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defaultThemeVersion="166925"/>
  <mc:AlternateContent xmlns:mc="http://schemas.openxmlformats.org/markup-compatibility/2006">
    <mc:Choice Requires="x15">
      <x15ac:absPath xmlns:x15ac="http://schemas.microsoft.com/office/spreadsheetml/2010/11/ac" url="https://pnnl.sharepoint.com/teams/LightingLCAProject/Shared Documents/LCA Mechanical Electrical/3.2.1.09 Lighting LCI/Project Work/LCI Data Collection TEMPLATE/LCI Template Versions/GitHub Beta Launch/"/>
    </mc:Choice>
  </mc:AlternateContent>
  <xr:revisionPtr revIDLastSave="0" documentId="8_{2B86E002-755F-4AD8-B48A-882DF3B69D7B}" xr6:coauthVersionLast="47" xr6:coauthVersionMax="47" xr10:uidLastSave="{00000000-0000-0000-0000-000000000000}"/>
  <bookViews>
    <workbookView xWindow="-23148" yWindow="-108" windowWidth="23256" windowHeight="12456" tabRatio="858" xr2:uid="{3F1A7F71-4915-47C0-BD7E-B084A9618A63}"/>
  </bookViews>
  <sheets>
    <sheet name="Introduction" sheetId="28" r:id="rId1"/>
    <sheet name="Contents" sheetId="19" r:id="rId2"/>
    <sheet name="Product Flows Alpha" sheetId="2" state="hidden" r:id="rId3"/>
    <sheet name="Product Flows Category" sheetId="4" state="hidden" r:id="rId4"/>
    <sheet name="Geo" sheetId="9" state="hidden" r:id="rId5"/>
    <sheet name="GEN_EPD" sheetId="16" r:id="rId6"/>
    <sheet name="BOM" sheetId="17" r:id="rId7"/>
    <sheet name="A1-A2 Upstream Mfg" sheetId="27" r:id="rId8"/>
    <sheet name="A3 Foreground Assembly" sheetId="12" r:id="rId9"/>
    <sheet name="A4-A5 Deliver Install" sheetId="13" r:id="rId10"/>
    <sheet name="B1-B6 Use" sheetId="14" r:id="rId11"/>
    <sheet name="C1-C4 Disposal" sheetId="15" r:id="rId12"/>
    <sheet name="D Beyond System" sheetId="21" r:id="rId13"/>
    <sheet name="SQL" sheetId="25" r:id="rId14"/>
    <sheet name="natl_stat" sheetId="10" r:id="rId15"/>
    <sheet name="eol_lf_type_region" sheetId="11" r:id="rId16"/>
    <sheet name="ei_geo" sheetId="23" r:id="rId17"/>
    <sheet name="master_list_menus" sheetId="24" r:id="rId18"/>
    <sheet name="openEPD_units &amp; conversions" sheetId="20" r:id="rId19"/>
  </sheets>
  <definedNames>
    <definedName name="_ftn1" localSheetId="5">GEN_EPD!$A$92</definedName>
    <definedName name="ABS">master_list_menus!$O$34:$O$43</definedName>
    <definedName name="acid_cleaner">master_list_menus!$AB$34:$AB$43</definedName>
    <definedName name="acrylic">master_list_menus!$Q$34:$Q$43</definedName>
    <definedName name="Active_burst_mode__ABM">master_list_menus!$F$70:$F$77</definedName>
    <definedName name="Aluminium_Forming">master_list_menus!$R$91:$R$102</definedName>
    <definedName name="Aluminium_Machining">master_list_menus!$S$91:$S$103</definedName>
    <definedName name="aluminum">master_list_menus!$I$34:$I$43</definedName>
    <definedName name="Ambient_Light_Detecting">master_list_menus!$E$70:$E$77</definedName>
    <definedName name="ancillary">master_list_menus!$L$18:$L$24</definedName>
    <definedName name="Anodizing">master_list_menus!$AB$70:$AB$77</definedName>
    <definedName name="brass">master_list_menus!$K$34:$K$44</definedName>
    <definedName name="bronze">master_list_menus!$L$34:$L$43</definedName>
    <definedName name="cast">master_list_menus!$T$70:$T$77</definedName>
    <definedName name="cast_iron">master_list_menus!$N$34:$N$44</definedName>
    <definedName name="caustic">master_list_menus!$AA$34:$AA$43</definedName>
    <definedName name="ceramic">master_list_menus!$I$18:$I$24</definedName>
    <definedName name="ceramic_metal_halide">master_list_menus!$E$34:$E$43</definedName>
    <definedName name="Chromium_coating">master_list_menus!$AA$70:$AA$77</definedName>
    <definedName name="Color_Tunability">master_list_menus!$C$70:$C$77</definedName>
    <definedName name="compact_fluorescent_lamp__CFL">master_list_menus!$B$18:$B$24</definedName>
    <definedName name="compact_fluorescent_lamp_CFL">master_list_menus!$B$18:$B$25</definedName>
    <definedName name="Connector">master_list_menus!$D$18:$D$24</definedName>
    <definedName name="Constant_current_Indoor">master_list_menus!$M$70:$M$77</definedName>
    <definedName name="Constant_current_Outdoor">master_list_menus!$O$70:$O$77</definedName>
    <definedName name="Constant_voltage_Indoor">master_list_menus!$K$70:$K$77</definedName>
    <definedName name="Constant_voltage_Outdoor">master_list_menus!$L$70:$L$77</definedName>
    <definedName name="copper">master_list_menus!$J$34:$J$43</definedName>
    <definedName name="corrugated_sheet_box">master_list_menus!$V$34:$V$43</definedName>
    <definedName name="degreaser">master_list_menus!$X$34:$X$43</definedName>
    <definedName name="Dimmability">master_list_menus!$B$70:$B$77</definedName>
    <definedName name="Driver">master_list_menus!$G$18:$G$24</definedName>
    <definedName name="Electrostatic_paint">master_list_menus!$X$70:$X$77</definedName>
    <definedName name="Enamelling">master_list_menus!$Y$70:$Y$77</definedName>
    <definedName name="End_uses" comment="End uses of each BOM material item">master_list_menus!$G$4:$G$12</definedName>
    <definedName name="ethoxylated_alcohol">master_list_menus!$Z$34:$Z$43</definedName>
    <definedName name="finish_coating_paint">master_list_menus!$M$34:$M$43</definedName>
    <definedName name="glass">master_list_menus!$M$18:$M$24</definedName>
    <definedName name="Group">master_list_menus!$A$5:$A$7</definedName>
    <definedName name="Harness">master_list_menus!$F$18:$F$24</definedName>
    <definedName name="HDPE">master_list_menus!$R$34:$R$43</definedName>
    <definedName name="high_intensity_discharge__HID__lamp">master_list_menus!$C$18:$C$24</definedName>
    <definedName name="high_pressure_sodium">master_list_menus!$B$34:$B$43</definedName>
    <definedName name="highintensity_discharge_HID_lamp">master_list_menus!$C$18:$C$25</definedName>
    <definedName name="Integrated_blue_tooth">master_list_menus!$A$91:$A$102</definedName>
    <definedName name="Integrated_light">master_list_menus!$L$91:$L$102</definedName>
    <definedName name="Integrated_motion">master_list_menus!$I$91:$I$102</definedName>
    <definedName name="Integrated_wi_fi">master_list_menus!$C$91:$C$102</definedName>
    <definedName name="Integrated_ZigBee">master_list_menus!$E$91:$E$102</definedName>
    <definedName name="Interconnects">master_list_menus!$E$18:$E$24</definedName>
    <definedName name="Jitter_function">master_list_menus!$I$70:$I$77</definedName>
    <definedName name="LDPE_film">master_list_menus!$U$34:$U$43</definedName>
    <definedName name="light_emitting_diode__LED">master_list_menus!$A$18:$A$24</definedName>
    <definedName name="light_emitting_diode_LED">master_list_menus!$A$18:$A$25</definedName>
    <definedName name="LIGHT_SOURCE">master_list_menus!$C$5:$C$10</definedName>
    <definedName name="Low_alloyed">master_list_menus!$Q$70:$Q$77</definedName>
    <definedName name="low_pressure_sodium">master_list_menus!$C$34:$C$43</definedName>
    <definedName name="lubricating_oil">master_list_menus!$AC$34:$AC$43</definedName>
    <definedName name="Material_Input_Name">BOM!$C$14:$C$213</definedName>
    <definedName name="mercury_vapor">master_list_menus!$D$34:$D$43</definedName>
    <definedName name="metal">master_list_menus!$H$18:$H$24</definedName>
    <definedName name="metal_halide">master_list_menus!$A$34:$A$43</definedName>
    <definedName name="Motion_Detecting">master_list_menus!$D$70:$D$77</definedName>
    <definedName name="No_light_sensor">master_list_menus!$O$91:$O$102</definedName>
    <definedName name="No_motion_sensor">master_list_menus!$K$91:$K$102</definedName>
    <definedName name="No_smart_features">master_list_menus!$H$91:$H$102</definedName>
    <definedName name="Non_integrated_blue_tooth">master_list_menus!$B$91:$B$102</definedName>
    <definedName name="Non_integrated_light">master_list_menus!$M$91:$M$102</definedName>
    <definedName name="Non_integrated_motion">master_list_menus!$J$91:$J$102</definedName>
    <definedName name="Non_integrated_wi_fi">master_list_menus!$D$91:$D$102</definedName>
    <definedName name="Non_integrated_ZigBee">master_list_menus!$F$91:$F$102</definedName>
    <definedName name="Normally_on__depletion_metal_oxide_semi_conductor_field_effect_transistor__MOSFET">master_list_menus!$J$70:$J$77</definedName>
    <definedName name="nylon_6_6__glass_filled">master_list_menus!$S$34:$S$43</definedName>
    <definedName name="Oil_based_paint">master_list_menus!$W$70:$W$77</definedName>
    <definedName name="packaging">master_list_menus!$K$18:$K$25</definedName>
    <definedName name="pallet">master_list_menus!$W$34:$W$43</definedName>
    <definedName name="plastic">master_list_menus!$J$18:$J$24</definedName>
    <definedName name="plastic_pallet">master_list_menus!$AD$70:$AD$77</definedName>
    <definedName name="polycarbonate">master_list_menus!$P$34:$P$43</definedName>
    <definedName name="polypropylene__PP__strapping">master_list_menus!$T$34:$T$43</definedName>
    <definedName name="Powder_coating">master_list_menus!$U$70:$U$77</definedName>
    <definedName name="POWER_SUPPLY">master_list_menus!$D$5:$D$10</definedName>
    <definedName name="Quasi_resonant_or_discontinuous_conduction_mode_w__power_factor_correction">master_list_menus!$H$70:$H$77</definedName>
    <definedName name="Secondary_Side_Regulated__SSR__Constant_Voltage__CV__output_flyback_controller">master_list_menus!$G$70:$G$77</definedName>
    <definedName name="silicone_sealant">master_list_menus!$AD$34:$AD$43</definedName>
    <definedName name="smart_features">master_list_menus!$F$34:$F$43</definedName>
    <definedName name="Stainless_steel">master_list_menus!$R$70:$R$77</definedName>
    <definedName name="steel">master_list_menus!$H$34:$H$43</definedName>
    <definedName name="Steel_Forming">master_list_menus!$P$91:$P$102</definedName>
    <definedName name="Steel_Machining">master_list_menus!$Q$91:$Q$103</definedName>
    <definedName name="STRUCTURAL">master_list_menus!$E$5:$E$10</definedName>
    <definedName name="surfactant_tenside_detergent">master_list_menus!$Y$34:$Y$43</definedName>
    <definedName name="Tin_plating">master_list_menus!$Z$70:$Z$77</definedName>
    <definedName name="topology">master_list_menus!$G$34:$G$43</definedName>
    <definedName name="Unalloyed">master_list_menus!$P$70:$P$77</definedName>
    <definedName name="waste_fate1">'A3 Foreground Assembly'!$J$60:$J$68</definedName>
    <definedName name="waste_list">master_list_menus!$S$3:$S$18</definedName>
    <definedName name="waste_quant">'A3 Foreground Assembly'!$B$60:$B$68</definedName>
    <definedName name="Wired_communications">master_list_menus!$G$91:$G$102</definedName>
    <definedName name="Wireless_Technology">master_list_menus!$A$70:$A$77</definedName>
    <definedName name="wood_pallet">master_list_menus!$AC$70:$AC$77</definedName>
    <definedName name="wrought">master_list_menus!$S$70:$S$77</definedName>
    <definedName name="Zinc_coating">master_list_menus!$V$70:$V$77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4" i="17" l="1"/>
  <c r="T15" i="17"/>
  <c r="T16" i="17"/>
  <c r="T17" i="17"/>
  <c r="T18" i="17"/>
  <c r="T19" i="17"/>
  <c r="T20" i="17"/>
  <c r="T21" i="17"/>
  <c r="T22" i="17"/>
  <c r="T23" i="17"/>
  <c r="T24" i="17"/>
  <c r="T25" i="17"/>
  <c r="T26" i="17"/>
  <c r="T27" i="17"/>
  <c r="T28" i="17"/>
  <c r="T29" i="17"/>
  <c r="T30" i="17"/>
  <c r="T31" i="17"/>
  <c r="T32" i="17"/>
  <c r="T44" i="17"/>
  <c r="T43" i="17"/>
  <c r="E37" i="12"/>
  <c r="B15" i="14"/>
  <c r="B26" i="21"/>
  <c r="B22" i="15"/>
  <c r="B16" i="14"/>
  <c r="B17" i="14" s="1"/>
  <c r="C6" i="12"/>
  <c r="D6" i="12"/>
  <c r="C7" i="12"/>
  <c r="C9" i="12" s="1"/>
  <c r="A50" i="12"/>
  <c r="E5" i="17"/>
  <c r="C63" i="16"/>
  <c r="C11" i="12" l="1"/>
  <c r="B20" i="12"/>
  <c r="C10" i="12"/>
  <c r="G34" i="17" l="1"/>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14" i="17"/>
  <c r="G15" i="17"/>
  <c r="G16" i="17"/>
  <c r="G17" i="17"/>
  <c r="G18" i="17"/>
  <c r="G19" i="17"/>
  <c r="G20" i="17"/>
  <c r="G21" i="17"/>
  <c r="G22" i="17"/>
  <c r="G23" i="17"/>
  <c r="G24" i="17"/>
  <c r="G25" i="17"/>
  <c r="G26" i="17"/>
  <c r="G27" i="17"/>
  <c r="G28" i="17"/>
  <c r="G29" i="17"/>
  <c r="G30" i="17"/>
  <c r="G31" i="17"/>
  <c r="G32" i="17"/>
  <c r="G33" i="17"/>
  <c r="BM20" i="17" l="1"/>
  <c r="BM32" i="17"/>
  <c r="T33" i="17"/>
  <c r="T34" i="17"/>
  <c r="T35" i="17"/>
  <c r="BO14" i="17"/>
  <c r="BM15" i="17"/>
  <c r="BM16" i="17"/>
  <c r="BM17" i="17"/>
  <c r="BM18" i="17"/>
  <c r="BM19" i="17"/>
  <c r="BM21" i="17"/>
  <c r="BM22" i="17"/>
  <c r="BM23" i="17"/>
  <c r="BM24" i="17"/>
  <c r="BM25" i="17"/>
  <c r="BM26" i="17"/>
  <c r="BM27" i="17"/>
  <c r="BM28" i="17"/>
  <c r="BM29" i="17"/>
  <c r="BM30" i="17"/>
  <c r="BM31" i="17"/>
  <c r="BM14" i="17" l="1"/>
  <c r="BN14" i="17"/>
  <c r="B90" i="14"/>
  <c r="C16" i="14"/>
  <c r="BN25" i="17"/>
  <c r="BN26" i="17"/>
  <c r="BN27" i="17"/>
  <c r="BN41" i="17"/>
  <c r="BM34" i="17"/>
  <c r="BM39" i="17"/>
  <c r="BM40" i="17"/>
  <c r="BM41" i="17"/>
  <c r="BM42" i="17"/>
  <c r="BN15" i="17"/>
  <c r="BN16" i="17"/>
  <c r="BN17" i="17"/>
  <c r="BN18" i="17"/>
  <c r="BN20" i="17"/>
  <c r="BN21" i="17"/>
  <c r="BN22" i="17"/>
  <c r="BN23" i="17"/>
  <c r="BN24" i="17"/>
  <c r="BN28" i="17"/>
  <c r="BN29" i="17"/>
  <c r="BN30" i="17"/>
  <c r="BN31" i="17"/>
  <c r="BN32" i="17"/>
  <c r="BM33" i="17"/>
  <c r="BN34" i="17"/>
  <c r="BM35" i="17"/>
  <c r="BN36" i="17"/>
  <c r="BN37" i="17"/>
  <c r="BN38" i="17"/>
  <c r="BN39" i="17"/>
  <c r="BN40" i="17"/>
  <c r="BN42" i="17"/>
  <c r="BM43" i="17"/>
  <c r="BN44" i="17"/>
  <c r="BN45" i="17"/>
  <c r="BN46" i="17"/>
  <c r="BN47" i="17"/>
  <c r="BN48" i="17"/>
  <c r="BN49" i="17"/>
  <c r="BM50" i="17"/>
  <c r="BM51" i="17"/>
  <c r="BN52" i="17"/>
  <c r="BN53" i="17"/>
  <c r="BN54" i="17"/>
  <c r="BN55" i="17"/>
  <c r="BN56" i="17"/>
  <c r="BM57" i="17"/>
  <c r="BM58" i="17"/>
  <c r="BM59" i="17"/>
  <c r="BN60" i="17"/>
  <c r="BN61" i="17"/>
  <c r="BN62" i="17"/>
  <c r="BN63" i="17"/>
  <c r="BN64" i="17"/>
  <c r="X5" i="25"/>
  <c r="S5" i="25"/>
  <c r="T5" i="25" s="1"/>
  <c r="L5" i="25"/>
  <c r="R5" i="25" s="1"/>
  <c r="X4" i="25"/>
  <c r="S4" i="25"/>
  <c r="T4" i="25" s="1"/>
  <c r="T217" i="25"/>
  <c r="T218" i="25"/>
  <c r="T219" i="25"/>
  <c r="T220" i="25"/>
  <c r="T221" i="25"/>
  <c r="T222" i="25"/>
  <c r="T223" i="25"/>
  <c r="T224" i="25"/>
  <c r="T216" i="25"/>
  <c r="X296" i="25"/>
  <c r="X297" i="25"/>
  <c r="X298" i="25"/>
  <c r="X299" i="25"/>
  <c r="X300" i="25"/>
  <c r="X301" i="25"/>
  <c r="X295" i="25"/>
  <c r="X280" i="25"/>
  <c r="X281" i="25"/>
  <c r="X282" i="25"/>
  <c r="X283" i="25"/>
  <c r="X284" i="25"/>
  <c r="X285" i="25"/>
  <c r="X286" i="25"/>
  <c r="X20" i="25"/>
  <c r="S352" i="25"/>
  <c r="T352" i="25" s="1"/>
  <c r="X351" i="25"/>
  <c r="S351" i="25"/>
  <c r="T351" i="25" s="1"/>
  <c r="S339" i="25"/>
  <c r="T339" i="25" s="1"/>
  <c r="S338" i="25"/>
  <c r="T338" i="25" s="1"/>
  <c r="L338" i="25"/>
  <c r="R338" i="25" s="1"/>
  <c r="L339" i="25"/>
  <c r="R339" i="25" s="1"/>
  <c r="B60" i="13"/>
  <c r="B59" i="13"/>
  <c r="S343" i="25"/>
  <c r="T343" i="25" s="1"/>
  <c r="L343" i="25"/>
  <c r="R343" i="25" s="1"/>
  <c r="N9" i="13"/>
  <c r="N10" i="13"/>
  <c r="N11" i="13"/>
  <c r="N12" i="13"/>
  <c r="N13" i="13"/>
  <c r="N14" i="13"/>
  <c r="N15" i="13"/>
  <c r="N16" i="13"/>
  <c r="N8" i="13"/>
  <c r="E52" i="13"/>
  <c r="I16" i="13" s="1"/>
  <c r="E32" i="13"/>
  <c r="D8" i="13" s="1"/>
  <c r="BN51" i="17" l="1"/>
  <c r="BN59" i="17"/>
  <c r="BN58" i="17"/>
  <c r="BN57" i="17"/>
  <c r="BN50" i="17"/>
  <c r="BM64" i="17"/>
  <c r="BN43" i="17"/>
  <c r="BM63" i="17"/>
  <c r="BN35" i="17"/>
  <c r="BM56" i="17"/>
  <c r="BM55" i="17"/>
  <c r="BN33" i="17"/>
  <c r="BM49" i="17"/>
  <c r="BM48" i="17"/>
  <c r="BM47" i="17"/>
  <c r="BN19" i="17"/>
  <c r="BM62" i="17"/>
  <c r="BM54" i="17"/>
  <c r="BM46" i="17"/>
  <c r="BM38" i="17"/>
  <c r="BM61" i="17"/>
  <c r="BM53" i="17"/>
  <c r="BM45" i="17"/>
  <c r="BM37" i="17"/>
  <c r="BM60" i="17"/>
  <c r="BM52" i="17"/>
  <c r="BM44" i="17"/>
  <c r="BM36" i="17"/>
  <c r="C17" i="14"/>
  <c r="I13" i="13"/>
  <c r="D15" i="13"/>
  <c r="U5" i="25"/>
  <c r="V5" i="25" s="1"/>
  <c r="U343" i="25"/>
  <c r="V343" i="25" s="1"/>
  <c r="U339" i="25"/>
  <c r="V339" i="25" s="1"/>
  <c r="U338" i="25"/>
  <c r="V338" i="25" s="1"/>
  <c r="D11" i="13"/>
  <c r="D10" i="13"/>
  <c r="D14" i="13"/>
  <c r="I15" i="13"/>
  <c r="D13" i="13"/>
  <c r="L333" i="25" s="1"/>
  <c r="R333" i="25" s="1"/>
  <c r="I14" i="13"/>
  <c r="I12" i="13"/>
  <c r="I11" i="13"/>
  <c r="I10" i="13"/>
  <c r="I9" i="13"/>
  <c r="D12" i="13"/>
  <c r="D9" i="13"/>
  <c r="D16" i="13"/>
  <c r="L336" i="25" s="1"/>
  <c r="R336" i="25" s="1"/>
  <c r="I8" i="13"/>
  <c r="L335" i="25" l="1"/>
  <c r="R335" i="25" s="1"/>
  <c r="L329" i="25"/>
  <c r="R329" i="25" s="1"/>
  <c r="L330" i="25"/>
  <c r="R330" i="25" s="1"/>
  <c r="L332" i="25"/>
  <c r="R332" i="25" s="1"/>
  <c r="L328" i="25"/>
  <c r="L331" i="25"/>
  <c r="R331" i="25" s="1"/>
  <c r="L334" i="25"/>
  <c r="R334" i="25" s="1"/>
  <c r="S296" i="25" l="1"/>
  <c r="T296" i="25" s="1"/>
  <c r="U296" i="25" s="1"/>
  <c r="S297" i="25"/>
  <c r="T297" i="25" s="1"/>
  <c r="U297" i="25" s="1"/>
  <c r="S298" i="25"/>
  <c r="T298" i="25" s="1"/>
  <c r="U298" i="25" s="1"/>
  <c r="S299" i="25"/>
  <c r="T299" i="25" s="1"/>
  <c r="U299" i="25" s="1"/>
  <c r="S300" i="25"/>
  <c r="T300" i="25" s="1"/>
  <c r="U300" i="25" s="1"/>
  <c r="S301" i="25"/>
  <c r="T301" i="25" s="1"/>
  <c r="U301" i="25" s="1"/>
  <c r="S295" i="25"/>
  <c r="T295" i="25" s="1"/>
  <c r="U295" i="25" s="1"/>
  <c r="S280" i="25"/>
  <c r="T280" i="25" s="1"/>
  <c r="U280" i="25" s="1"/>
  <c r="S281" i="25"/>
  <c r="T281" i="25" s="1"/>
  <c r="U281" i="25" s="1"/>
  <c r="S282" i="25"/>
  <c r="T282" i="25" s="1"/>
  <c r="U282" i="25" s="1"/>
  <c r="S283" i="25"/>
  <c r="T283" i="25" s="1"/>
  <c r="U283" i="25" s="1"/>
  <c r="S284" i="25"/>
  <c r="T284" i="25" s="1"/>
  <c r="U284" i="25" s="1"/>
  <c r="S285" i="25"/>
  <c r="T285" i="25" s="1"/>
  <c r="U285" i="25" s="1"/>
  <c r="S286" i="25"/>
  <c r="T286" i="25" s="1"/>
  <c r="U286" i="25" s="1"/>
  <c r="S279" i="25"/>
  <c r="T279" i="25" s="1"/>
  <c r="U279" i="25" s="1"/>
  <c r="X279" i="25"/>
  <c r="A324" i="25"/>
  <c r="A312" i="25"/>
  <c r="A313" i="25"/>
  <c r="A314" i="25"/>
  <c r="A315" i="25"/>
  <c r="A316" i="25"/>
  <c r="A317" i="25"/>
  <c r="A318" i="25"/>
  <c r="A319" i="25"/>
  <c r="A320" i="25"/>
  <c r="A321" i="25"/>
  <c r="A322" i="25"/>
  <c r="A323" i="25"/>
  <c r="A295" i="25"/>
  <c r="A296" i="25"/>
  <c r="A297" i="25"/>
  <c r="A298" i="25"/>
  <c r="A299" i="25"/>
  <c r="A300" i="25"/>
  <c r="A301" i="25"/>
  <c r="A302" i="25"/>
  <c r="A303" i="25"/>
  <c r="A304" i="25"/>
  <c r="A305" i="25"/>
  <c r="A306" i="25"/>
  <c r="A307" i="25"/>
  <c r="A308" i="25"/>
  <c r="A310" i="25"/>
  <c r="A311" i="25"/>
  <c r="A294" i="25"/>
  <c r="A292" i="25"/>
  <c r="A283" i="25"/>
  <c r="A284" i="25"/>
  <c r="A285" i="25"/>
  <c r="A286" i="25"/>
  <c r="A287" i="25"/>
  <c r="A288" i="25"/>
  <c r="A289" i="25"/>
  <c r="A290" i="25"/>
  <c r="A291" i="25"/>
  <c r="A279" i="25"/>
  <c r="A280" i="25"/>
  <c r="A281" i="25"/>
  <c r="A282" i="25"/>
  <c r="A278" i="25"/>
  <c r="S329" i="25"/>
  <c r="T329" i="25" s="1"/>
  <c r="U329" i="25" s="1"/>
  <c r="V329" i="25" s="1"/>
  <c r="S330" i="25"/>
  <c r="T330" i="25" s="1"/>
  <c r="U330" i="25" s="1"/>
  <c r="V330" i="25" s="1"/>
  <c r="S331" i="25"/>
  <c r="T331" i="25" s="1"/>
  <c r="U331" i="25" s="1"/>
  <c r="V331" i="25" s="1"/>
  <c r="S332" i="25"/>
  <c r="T332" i="25" s="1"/>
  <c r="U332" i="25" s="1"/>
  <c r="V332" i="25" s="1"/>
  <c r="S333" i="25"/>
  <c r="T333" i="25" s="1"/>
  <c r="U333" i="25" s="1"/>
  <c r="V333" i="25" s="1"/>
  <c r="S334" i="25"/>
  <c r="T334" i="25" s="1"/>
  <c r="U334" i="25" s="1"/>
  <c r="V334" i="25" s="1"/>
  <c r="S335" i="25"/>
  <c r="T335" i="25" s="1"/>
  <c r="U335" i="25" s="1"/>
  <c r="V335" i="25" s="1"/>
  <c r="S336" i="25"/>
  <c r="T336" i="25" s="1"/>
  <c r="U336" i="25" s="1"/>
  <c r="V336" i="25" s="1"/>
  <c r="S328" i="25"/>
  <c r="T328" i="25" s="1"/>
  <c r="T232" i="25"/>
  <c r="T233" i="25"/>
  <c r="T234" i="25"/>
  <c r="U234" i="25" s="1"/>
  <c r="T235" i="25"/>
  <c r="U235" i="25" s="1"/>
  <c r="T236" i="25"/>
  <c r="U236" i="25" s="1"/>
  <c r="T237" i="25"/>
  <c r="U237" i="25" s="1"/>
  <c r="T259" i="25"/>
  <c r="T260" i="25"/>
  <c r="T261" i="25"/>
  <c r="T262" i="25"/>
  <c r="T263" i="25"/>
  <c r="T264" i="25"/>
  <c r="T247" i="25"/>
  <c r="T248" i="25"/>
  <c r="T249" i="25"/>
  <c r="T250" i="25"/>
  <c r="T251" i="25"/>
  <c r="T252" i="25"/>
  <c r="I259" i="25"/>
  <c r="L237" i="25"/>
  <c r="L236" i="25"/>
  <c r="L235" i="25"/>
  <c r="L233" i="25"/>
  <c r="R233" i="25"/>
  <c r="B233" i="25"/>
  <c r="C233" i="25"/>
  <c r="D233" i="25"/>
  <c r="E233" i="25"/>
  <c r="F233" i="25"/>
  <c r="G233" i="25"/>
  <c r="B234" i="25"/>
  <c r="C234" i="25"/>
  <c r="D234" i="25"/>
  <c r="E234" i="25"/>
  <c r="F234" i="25"/>
  <c r="G234" i="25"/>
  <c r="B235" i="25"/>
  <c r="C235" i="25"/>
  <c r="D235" i="25"/>
  <c r="E235" i="25"/>
  <c r="F235" i="25"/>
  <c r="G235" i="25"/>
  <c r="B236" i="25"/>
  <c r="C236" i="25"/>
  <c r="D236" i="25"/>
  <c r="E236" i="25"/>
  <c r="F236" i="25"/>
  <c r="G236" i="25"/>
  <c r="B237" i="25"/>
  <c r="C237" i="25"/>
  <c r="D237" i="25"/>
  <c r="E237" i="25"/>
  <c r="F237" i="25"/>
  <c r="G237" i="25"/>
  <c r="U233" i="25" l="1"/>
  <c r="T246" i="25"/>
  <c r="U246" i="25" s="1"/>
  <c r="T245" i="25"/>
  <c r="U245" i="25" s="1"/>
  <c r="T244" i="25"/>
  <c r="U244" i="25" s="1"/>
  <c r="T243" i="25"/>
  <c r="U243" i="25" s="1"/>
  <c r="T242" i="25"/>
  <c r="U242" i="25" s="1"/>
  <c r="I255" i="25"/>
  <c r="I256" i="25"/>
  <c r="I257" i="25"/>
  <c r="I258" i="25"/>
  <c r="U258" i="25" s="1" a="1"/>
  <c r="U258" i="25" s="1"/>
  <c r="I254" i="25"/>
  <c r="T258" i="25"/>
  <c r="T257" i="25"/>
  <c r="T256" i="25"/>
  <c r="T255" i="25"/>
  <c r="T254" i="25"/>
  <c r="L254" i="25"/>
  <c r="K254" i="25"/>
  <c r="J254" i="25"/>
  <c r="BR213" i="17"/>
  <c r="BR74" i="17"/>
  <c r="BR75" i="17"/>
  <c r="BR76" i="17"/>
  <c r="BR77" i="17"/>
  <c r="BR78" i="17"/>
  <c r="BR79" i="17"/>
  <c r="BR80" i="17"/>
  <c r="BR81" i="17"/>
  <c r="BR82" i="17"/>
  <c r="BR83" i="17"/>
  <c r="BR84" i="17"/>
  <c r="BR85" i="17"/>
  <c r="BR86" i="17"/>
  <c r="BR87" i="17"/>
  <c r="BR88" i="17"/>
  <c r="BR89" i="17"/>
  <c r="BR90" i="17"/>
  <c r="BR91" i="17"/>
  <c r="BR92" i="17"/>
  <c r="BR93" i="17"/>
  <c r="BR94" i="17"/>
  <c r="BR95" i="17"/>
  <c r="BR96" i="17"/>
  <c r="BR97" i="17"/>
  <c r="BR98" i="17"/>
  <c r="BR99" i="17"/>
  <c r="BR100" i="17"/>
  <c r="BR101" i="17"/>
  <c r="BR102" i="17"/>
  <c r="BR103" i="17"/>
  <c r="BR104" i="17"/>
  <c r="BR105" i="17"/>
  <c r="BR106" i="17"/>
  <c r="BR107" i="17"/>
  <c r="BR108" i="17"/>
  <c r="BR109" i="17"/>
  <c r="BR110" i="17"/>
  <c r="BR111" i="17"/>
  <c r="BR112" i="17"/>
  <c r="BR113" i="17"/>
  <c r="BR114" i="17"/>
  <c r="BR115" i="17"/>
  <c r="BR116" i="17"/>
  <c r="BR117" i="17"/>
  <c r="BR118" i="17"/>
  <c r="BR119" i="17"/>
  <c r="BR120" i="17"/>
  <c r="BR121" i="17"/>
  <c r="BR122" i="17"/>
  <c r="BR123" i="17"/>
  <c r="BR124" i="17"/>
  <c r="BR125" i="17"/>
  <c r="BR126" i="17"/>
  <c r="BR127" i="17"/>
  <c r="BR128" i="17"/>
  <c r="BR129" i="17"/>
  <c r="BR130" i="17"/>
  <c r="BR131" i="17"/>
  <c r="BR132" i="17"/>
  <c r="BR133" i="17"/>
  <c r="BR134" i="17"/>
  <c r="BR135" i="17"/>
  <c r="BR136" i="17"/>
  <c r="BR137" i="17"/>
  <c r="BR138" i="17"/>
  <c r="BR139" i="17"/>
  <c r="BR140" i="17"/>
  <c r="BR141" i="17"/>
  <c r="BR142" i="17"/>
  <c r="BR143" i="17"/>
  <c r="BR144" i="17"/>
  <c r="BR145" i="17"/>
  <c r="BR146" i="17"/>
  <c r="BR147" i="17"/>
  <c r="BR148" i="17"/>
  <c r="BR149" i="17"/>
  <c r="BR150" i="17"/>
  <c r="BR151" i="17"/>
  <c r="BR152" i="17"/>
  <c r="BR153" i="17"/>
  <c r="BR154" i="17"/>
  <c r="BR155" i="17"/>
  <c r="BR156" i="17"/>
  <c r="BR157" i="17"/>
  <c r="BR158" i="17"/>
  <c r="BR159" i="17"/>
  <c r="BR160" i="17"/>
  <c r="BR161" i="17"/>
  <c r="BR162" i="17"/>
  <c r="BR163" i="17"/>
  <c r="BR164" i="17"/>
  <c r="BR165" i="17"/>
  <c r="BR166" i="17"/>
  <c r="BR167" i="17"/>
  <c r="BR168" i="17"/>
  <c r="BR169" i="17"/>
  <c r="BR170" i="17"/>
  <c r="BR171" i="17"/>
  <c r="BR172" i="17"/>
  <c r="BR173" i="17"/>
  <c r="BR174" i="17"/>
  <c r="BR175" i="17"/>
  <c r="BR176" i="17"/>
  <c r="BR177" i="17"/>
  <c r="BR178" i="17"/>
  <c r="BR179" i="17"/>
  <c r="BR180" i="17"/>
  <c r="BR181" i="17"/>
  <c r="BR182" i="17"/>
  <c r="BR183" i="17"/>
  <c r="BR184" i="17"/>
  <c r="BR185" i="17"/>
  <c r="BR186" i="17"/>
  <c r="BR187" i="17"/>
  <c r="BR188" i="17"/>
  <c r="BR189" i="17"/>
  <c r="BR190" i="17"/>
  <c r="BR191" i="17"/>
  <c r="BR192" i="17"/>
  <c r="BR193" i="17"/>
  <c r="BR194" i="17"/>
  <c r="BR195" i="17"/>
  <c r="BR196" i="17"/>
  <c r="BR197" i="17"/>
  <c r="BR198" i="17"/>
  <c r="BR199" i="17"/>
  <c r="BR200" i="17"/>
  <c r="BR201" i="17"/>
  <c r="BR202" i="17"/>
  <c r="BR203" i="17"/>
  <c r="BR204" i="17"/>
  <c r="BR205" i="17"/>
  <c r="BR206" i="17"/>
  <c r="BR207" i="17"/>
  <c r="BR208" i="17"/>
  <c r="BR209" i="17"/>
  <c r="BR210" i="17"/>
  <c r="BR211" i="17"/>
  <c r="BR212" i="17"/>
  <c r="G215" i="17"/>
  <c r="U254" i="25" l="1"/>
  <c r="H68" i="16" l="1"/>
  <c r="E67" i="12"/>
  <c r="F67" i="12"/>
  <c r="G67" i="12"/>
  <c r="G202" i="25" l="1"/>
  <c r="G201" i="25"/>
  <c r="G200" i="25"/>
  <c r="G199" i="25"/>
  <c r="G198" i="25"/>
  <c r="G197" i="25"/>
  <c r="G68" i="25"/>
  <c r="G67" i="25"/>
  <c r="G66" i="25"/>
  <c r="G65" i="25"/>
  <c r="G64" i="25"/>
  <c r="G63" i="25"/>
  <c r="G62" i="25"/>
  <c r="G61" i="25"/>
  <c r="G60" i="25"/>
  <c r="G59" i="25"/>
  <c r="G14" i="25"/>
  <c r="G13" i="25"/>
  <c r="G12" i="25"/>
  <c r="G11" i="25"/>
  <c r="G10" i="25"/>
  <c r="G9" i="25"/>
  <c r="T64" i="17"/>
  <c r="T65" i="17"/>
  <c r="T66" i="17"/>
  <c r="T67" i="17"/>
  <c r="T68" i="17"/>
  <c r="T69" i="17"/>
  <c r="T70" i="17"/>
  <c r="T71" i="17"/>
  <c r="T72" i="17"/>
  <c r="T73" i="17"/>
  <c r="T74" i="17"/>
  <c r="T75" i="17"/>
  <c r="T76" i="17"/>
  <c r="T77" i="17"/>
  <c r="T78" i="17"/>
  <c r="T79" i="17"/>
  <c r="T80" i="17"/>
  <c r="T81" i="17"/>
  <c r="T82" i="17"/>
  <c r="T83" i="17"/>
  <c r="T84" i="17"/>
  <c r="T85" i="17"/>
  <c r="T86" i="17"/>
  <c r="T87" i="17"/>
  <c r="T88" i="17"/>
  <c r="T89" i="17"/>
  <c r="T90" i="17"/>
  <c r="T91" i="17"/>
  <c r="T92" i="17"/>
  <c r="T93" i="17"/>
  <c r="T94" i="17"/>
  <c r="T95" i="17"/>
  <c r="T96" i="17"/>
  <c r="T97" i="17"/>
  <c r="T98" i="17"/>
  <c r="T99" i="17"/>
  <c r="T100" i="17"/>
  <c r="T101" i="17"/>
  <c r="T102" i="17"/>
  <c r="T103" i="17"/>
  <c r="T104" i="17"/>
  <c r="T105" i="17"/>
  <c r="T106" i="17"/>
  <c r="T107" i="17"/>
  <c r="T108" i="17"/>
  <c r="T109" i="17"/>
  <c r="T110" i="17"/>
  <c r="T111" i="17"/>
  <c r="T112" i="17"/>
  <c r="T113" i="17"/>
  <c r="T114" i="17"/>
  <c r="T115" i="17"/>
  <c r="T116" i="17"/>
  <c r="T117" i="17"/>
  <c r="T118" i="17"/>
  <c r="T119" i="17"/>
  <c r="T120" i="17"/>
  <c r="T121" i="17"/>
  <c r="T122" i="17"/>
  <c r="T123" i="17"/>
  <c r="T124" i="17"/>
  <c r="T125" i="17"/>
  <c r="T126" i="17"/>
  <c r="T127" i="17"/>
  <c r="T128" i="17"/>
  <c r="T129" i="17"/>
  <c r="T130" i="17"/>
  <c r="T131" i="17"/>
  <c r="T132" i="17"/>
  <c r="T133" i="17"/>
  <c r="T134" i="17"/>
  <c r="T135" i="17"/>
  <c r="T136" i="17"/>
  <c r="T137" i="17"/>
  <c r="T138" i="17"/>
  <c r="T139" i="17"/>
  <c r="T140" i="17"/>
  <c r="T141" i="17"/>
  <c r="T142" i="17"/>
  <c r="T143" i="17"/>
  <c r="T144" i="17"/>
  <c r="T145" i="17"/>
  <c r="T146" i="17"/>
  <c r="T147" i="17"/>
  <c r="T148" i="17"/>
  <c r="T149" i="17"/>
  <c r="T150" i="17"/>
  <c r="T151" i="17"/>
  <c r="T152"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T181" i="17"/>
  <c r="T182" i="17"/>
  <c r="T183" i="17"/>
  <c r="T184" i="17"/>
  <c r="T185" i="17"/>
  <c r="T186" i="17"/>
  <c r="T187" i="17"/>
  <c r="T188" i="17"/>
  <c r="T189" i="17"/>
  <c r="T190" i="17"/>
  <c r="T191" i="17"/>
  <c r="T192" i="17"/>
  <c r="T193" i="17"/>
  <c r="T194" i="17"/>
  <c r="T195" i="17"/>
  <c r="T196" i="17"/>
  <c r="T197" i="17"/>
  <c r="T198" i="17"/>
  <c r="T199" i="17"/>
  <c r="T200" i="17"/>
  <c r="T201" i="17"/>
  <c r="T202" i="17"/>
  <c r="T203" i="17"/>
  <c r="T204" i="17"/>
  <c r="T205" i="17"/>
  <c r="T206" i="17"/>
  <c r="T207" i="17"/>
  <c r="T208" i="17"/>
  <c r="T209" i="17"/>
  <c r="T210" i="17"/>
  <c r="T211" i="17"/>
  <c r="T212" i="17"/>
  <c r="T213" i="17"/>
  <c r="T52" i="17"/>
  <c r="T53" i="17"/>
  <c r="H36" i="25" s="1"/>
  <c r="T54" i="17"/>
  <c r="T55" i="17"/>
  <c r="T56" i="17"/>
  <c r="T57" i="17"/>
  <c r="T58" i="17"/>
  <c r="T59" i="17"/>
  <c r="T60" i="17"/>
  <c r="H211" i="25" s="1"/>
  <c r="T61" i="17"/>
  <c r="T62" i="17"/>
  <c r="T63" i="17"/>
  <c r="T51" i="17"/>
  <c r="G17" i="25" s="1"/>
  <c r="T39" i="17"/>
  <c r="T40" i="17"/>
  <c r="G19" i="25" s="1"/>
  <c r="T41" i="17"/>
  <c r="T42" i="17"/>
  <c r="T45" i="17"/>
  <c r="T46" i="17"/>
  <c r="T47" i="17"/>
  <c r="T48" i="17"/>
  <c r="G8" i="25" s="1"/>
  <c r="T49" i="17"/>
  <c r="T50" i="17"/>
  <c r="T38" i="17"/>
  <c r="T37" i="17"/>
  <c r="G15" i="25" s="1"/>
  <c r="T36" i="17"/>
  <c r="H203" i="25"/>
  <c r="H196" i="25"/>
  <c r="G209" i="25"/>
  <c r="H188" i="25"/>
  <c r="A2" i="21"/>
  <c r="D11" i="21"/>
  <c r="D12" i="21"/>
  <c r="I24" i="15"/>
  <c r="A2" i="14"/>
  <c r="B232" i="25"/>
  <c r="C232" i="25"/>
  <c r="D232" i="25"/>
  <c r="E232" i="25"/>
  <c r="F232" i="25"/>
  <c r="G232" i="25"/>
  <c r="B328" i="25"/>
  <c r="C328" i="25"/>
  <c r="D328" i="25"/>
  <c r="E328" i="25"/>
  <c r="F328" i="25"/>
  <c r="G328" i="25"/>
  <c r="B332" i="25"/>
  <c r="C332" i="25"/>
  <c r="D332" i="25"/>
  <c r="E332" i="25"/>
  <c r="F332" i="25"/>
  <c r="G332" i="25"/>
  <c r="B333" i="25"/>
  <c r="C333" i="25"/>
  <c r="D333" i="25"/>
  <c r="E333" i="25"/>
  <c r="F333" i="25"/>
  <c r="G333" i="25"/>
  <c r="B334" i="25"/>
  <c r="C334" i="25"/>
  <c r="D334" i="25"/>
  <c r="E334" i="25"/>
  <c r="F334" i="25"/>
  <c r="G334" i="25"/>
  <c r="B335" i="25"/>
  <c r="C335" i="25"/>
  <c r="D335" i="25"/>
  <c r="E335" i="25"/>
  <c r="F335" i="25"/>
  <c r="G335" i="25"/>
  <c r="B336" i="25"/>
  <c r="C336" i="25"/>
  <c r="D336" i="25"/>
  <c r="E336" i="25"/>
  <c r="F336" i="25"/>
  <c r="G336" i="25"/>
  <c r="G331" i="25"/>
  <c r="F331" i="25"/>
  <c r="E331" i="25"/>
  <c r="D331" i="25"/>
  <c r="C331" i="25"/>
  <c r="B331" i="25"/>
  <c r="G330" i="25"/>
  <c r="F330" i="25"/>
  <c r="E330" i="25"/>
  <c r="D330" i="25"/>
  <c r="C330" i="25"/>
  <c r="B330" i="25"/>
  <c r="G329" i="25"/>
  <c r="F329" i="25"/>
  <c r="E329" i="25"/>
  <c r="D329" i="25"/>
  <c r="C329" i="25"/>
  <c r="B329" i="25"/>
  <c r="G231" i="25"/>
  <c r="F231" i="25"/>
  <c r="E231" i="25"/>
  <c r="D231" i="25"/>
  <c r="C231" i="25"/>
  <c r="B231" i="25"/>
  <c r="G230" i="25"/>
  <c r="F230" i="25"/>
  <c r="E230" i="25"/>
  <c r="D230" i="25"/>
  <c r="C230" i="25"/>
  <c r="B230" i="25"/>
  <c r="G229" i="25"/>
  <c r="F229" i="25"/>
  <c r="E229" i="25"/>
  <c r="D229" i="25"/>
  <c r="C229" i="25"/>
  <c r="B229" i="25"/>
  <c r="G228" i="25"/>
  <c r="F228" i="25"/>
  <c r="E228" i="25"/>
  <c r="D228" i="25"/>
  <c r="C228" i="25"/>
  <c r="B228" i="25"/>
  <c r="G227" i="25"/>
  <c r="F227" i="25"/>
  <c r="E227" i="25"/>
  <c r="D227" i="25"/>
  <c r="C227" i="25"/>
  <c r="B227" i="25"/>
  <c r="A329" i="25"/>
  <c r="A330" i="25"/>
  <c r="A331" i="25"/>
  <c r="A332" i="25"/>
  <c r="A333" i="25"/>
  <c r="A334" i="25"/>
  <c r="A335" i="25"/>
  <c r="A336" i="25"/>
  <c r="A328" i="25"/>
  <c r="L62" i="27"/>
  <c r="K62" i="27"/>
  <c r="J62" i="27"/>
  <c r="I62" i="27"/>
  <c r="T228" i="25"/>
  <c r="T229" i="25"/>
  <c r="T230" i="25"/>
  <c r="T231" i="25"/>
  <c r="T227" i="25"/>
  <c r="X10" i="25"/>
  <c r="X11" i="25"/>
  <c r="X12" i="25"/>
  <c r="X13" i="25"/>
  <c r="X14" i="25"/>
  <c r="X21" i="25"/>
  <c r="X22" i="25"/>
  <c r="X23" i="25"/>
  <c r="X24" i="25"/>
  <c r="X25" i="25"/>
  <c r="X26" i="25"/>
  <c r="X27" i="25"/>
  <c r="X28" i="25"/>
  <c r="X29" i="25"/>
  <c r="X30" i="25"/>
  <c r="X32" i="25"/>
  <c r="X34" i="25"/>
  <c r="X35" i="25"/>
  <c r="X37" i="25"/>
  <c r="X38" i="25"/>
  <c r="X40" i="25"/>
  <c r="X41" i="25"/>
  <c r="X42" i="25"/>
  <c r="X43" i="25"/>
  <c r="X44" i="25"/>
  <c r="X45" i="25"/>
  <c r="X46" i="25"/>
  <c r="X47" i="25"/>
  <c r="X48" i="25"/>
  <c r="X51" i="25"/>
  <c r="X52" i="25"/>
  <c r="X53" i="25"/>
  <c r="X56" i="25"/>
  <c r="X57" i="25"/>
  <c r="X58" i="25"/>
  <c r="X202" i="25"/>
  <c r="B29" i="14" a="1"/>
  <c r="B29" i="14" s="1"/>
  <c r="L70" i="27"/>
  <c r="L69" i="27"/>
  <c r="L68" i="27"/>
  <c r="L67" i="27"/>
  <c r="L66" i="27"/>
  <c r="L65" i="27"/>
  <c r="L64" i="27"/>
  <c r="L63" i="27"/>
  <c r="K70" i="27"/>
  <c r="K69" i="27"/>
  <c r="K68" i="27"/>
  <c r="K67" i="27"/>
  <c r="K66" i="27"/>
  <c r="K65" i="27"/>
  <c r="K64" i="27"/>
  <c r="J70" i="27"/>
  <c r="J69" i="27"/>
  <c r="J68" i="27"/>
  <c r="J66" i="27"/>
  <c r="J65" i="27"/>
  <c r="J64" i="27"/>
  <c r="I70" i="27"/>
  <c r="I69" i="27"/>
  <c r="I68" i="27"/>
  <c r="I67" i="27"/>
  <c r="I65" i="27"/>
  <c r="I64" i="27"/>
  <c r="K63" i="27"/>
  <c r="J63" i="27"/>
  <c r="I63" i="27"/>
  <c r="F196" i="25"/>
  <c r="E196" i="25"/>
  <c r="D196" i="25"/>
  <c r="F195" i="25"/>
  <c r="E195" i="25"/>
  <c r="D195" i="25"/>
  <c r="D193" i="25"/>
  <c r="E193" i="25"/>
  <c r="F193" i="25"/>
  <c r="E191" i="25"/>
  <c r="F191" i="25"/>
  <c r="E192" i="25"/>
  <c r="F192" i="25"/>
  <c r="R192" i="25"/>
  <c r="R189" i="25"/>
  <c r="L192" i="25"/>
  <c r="F190" i="25"/>
  <c r="E190" i="25"/>
  <c r="R187" i="25"/>
  <c r="R186" i="25"/>
  <c r="R185" i="25"/>
  <c r="R184" i="25"/>
  <c r="R182" i="25"/>
  <c r="R181" i="25"/>
  <c r="R179" i="25"/>
  <c r="R178" i="25"/>
  <c r="F179" i="25"/>
  <c r="F180" i="25"/>
  <c r="F181" i="25"/>
  <c r="F182" i="25"/>
  <c r="F183" i="25"/>
  <c r="F184" i="25"/>
  <c r="F185" i="25"/>
  <c r="F186" i="25"/>
  <c r="F187" i="25"/>
  <c r="F188" i="25"/>
  <c r="F189" i="25"/>
  <c r="F178" i="25"/>
  <c r="L189" i="25"/>
  <c r="L187" i="25"/>
  <c r="L186" i="25"/>
  <c r="L185" i="25"/>
  <c r="L184" i="25"/>
  <c r="L182" i="25"/>
  <c r="L181" i="25"/>
  <c r="L179" i="25"/>
  <c r="L178" i="25"/>
  <c r="R121" i="25"/>
  <c r="R120" i="25"/>
  <c r="R119" i="25"/>
  <c r="R118" i="25"/>
  <c r="R117" i="25"/>
  <c r="R116" i="25"/>
  <c r="R115" i="25"/>
  <c r="R114" i="25"/>
  <c r="R113" i="25"/>
  <c r="R112" i="25"/>
  <c r="R111" i="25"/>
  <c r="R110" i="25"/>
  <c r="L121" i="25"/>
  <c r="L120" i="25"/>
  <c r="L119" i="25"/>
  <c r="L118" i="25"/>
  <c r="L117" i="25"/>
  <c r="L116" i="25"/>
  <c r="L115" i="25"/>
  <c r="L114" i="25"/>
  <c r="L113" i="25"/>
  <c r="L112" i="25"/>
  <c r="L111" i="25"/>
  <c r="L110" i="25"/>
  <c r="F177" i="25"/>
  <c r="E177" i="25"/>
  <c r="L176" i="25"/>
  <c r="F176" i="25"/>
  <c r="E176" i="25"/>
  <c r="D176" i="25"/>
  <c r="F175" i="25"/>
  <c r="E175" i="25"/>
  <c r="F174" i="25"/>
  <c r="F173" i="25"/>
  <c r="E172" i="25"/>
  <c r="F172" i="25"/>
  <c r="R172" i="25"/>
  <c r="L172" i="25"/>
  <c r="C171" i="25"/>
  <c r="D171" i="25"/>
  <c r="E171" i="25"/>
  <c r="F171" i="25"/>
  <c r="D170" i="25"/>
  <c r="E170" i="25"/>
  <c r="F170" i="25"/>
  <c r="R168" i="25"/>
  <c r="R169" i="25"/>
  <c r="R170" i="25"/>
  <c r="D26" i="27" s="1"/>
  <c r="L170" i="25"/>
  <c r="L169" i="25"/>
  <c r="L168" i="25"/>
  <c r="R80" i="25"/>
  <c r="R78" i="25"/>
  <c r="R77" i="25"/>
  <c r="R76" i="25"/>
  <c r="R75" i="25"/>
  <c r="R72" i="25"/>
  <c r="R71" i="25"/>
  <c r="R69" i="25"/>
  <c r="L69" i="25"/>
  <c r="L71" i="25"/>
  <c r="L72" i="25"/>
  <c r="L75" i="25"/>
  <c r="L76" i="25"/>
  <c r="L77" i="25"/>
  <c r="L78" i="25"/>
  <c r="L80" i="25"/>
  <c r="R149" i="25"/>
  <c r="R148" i="25"/>
  <c r="R147" i="25"/>
  <c r="R146" i="25"/>
  <c r="R145" i="25"/>
  <c r="L149" i="25"/>
  <c r="L148" i="25"/>
  <c r="L147" i="25"/>
  <c r="L146" i="25"/>
  <c r="L145" i="25"/>
  <c r="R140" i="25"/>
  <c r="R139" i="25"/>
  <c r="R138" i="25"/>
  <c r="R136" i="25"/>
  <c r="L140" i="25"/>
  <c r="L139" i="25"/>
  <c r="L138" i="25"/>
  <c r="F149" i="25"/>
  <c r="F148" i="25"/>
  <c r="F147" i="25"/>
  <c r="F146" i="25"/>
  <c r="F145" i="25"/>
  <c r="F110" i="25"/>
  <c r="F111" i="25"/>
  <c r="F112" i="25"/>
  <c r="F113" i="25"/>
  <c r="F114" i="25"/>
  <c r="F115" i="25"/>
  <c r="F116" i="25"/>
  <c r="F117" i="25"/>
  <c r="F118" i="25"/>
  <c r="F119" i="25"/>
  <c r="F120" i="25"/>
  <c r="F121" i="25"/>
  <c r="L136" i="25"/>
  <c r="L135" i="25"/>
  <c r="R135" i="25"/>
  <c r="E135" i="25"/>
  <c r="F135" i="25"/>
  <c r="E136" i="25"/>
  <c r="F136" i="25"/>
  <c r="F134" i="25"/>
  <c r="E134" i="25"/>
  <c r="R132" i="25"/>
  <c r="R131" i="25"/>
  <c r="R130" i="25"/>
  <c r="R129" i="25"/>
  <c r="R128" i="25"/>
  <c r="R127" i="25"/>
  <c r="R126" i="25"/>
  <c r="L132" i="25"/>
  <c r="L131" i="25"/>
  <c r="L130" i="25"/>
  <c r="L129" i="25"/>
  <c r="L128" i="25"/>
  <c r="T125" i="25"/>
  <c r="U125" i="25" s="1"/>
  <c r="L125" i="25"/>
  <c r="L124" i="25"/>
  <c r="D124" i="25"/>
  <c r="E124" i="25"/>
  <c r="F124" i="25"/>
  <c r="D125" i="25"/>
  <c r="E125" i="25"/>
  <c r="F125" i="25"/>
  <c r="L123" i="25"/>
  <c r="L122" i="25"/>
  <c r="F123" i="25"/>
  <c r="E123" i="25"/>
  <c r="D123" i="25"/>
  <c r="F122" i="25"/>
  <c r="E122" i="25"/>
  <c r="D122" i="25"/>
  <c r="L109" i="25"/>
  <c r="F109" i="25"/>
  <c r="E109" i="25"/>
  <c r="D109" i="25"/>
  <c r="T93" i="25"/>
  <c r="R93" i="25"/>
  <c r="D28" i="27" s="1"/>
  <c r="L93" i="25"/>
  <c r="F93" i="25"/>
  <c r="E93" i="25"/>
  <c r="D93" i="25"/>
  <c r="L108" i="25"/>
  <c r="D108" i="25"/>
  <c r="E108" i="25"/>
  <c r="F108" i="25"/>
  <c r="E106" i="25"/>
  <c r="F106" i="25"/>
  <c r="E107" i="25"/>
  <c r="F107" i="25"/>
  <c r="R105" i="25"/>
  <c r="R104" i="25"/>
  <c r="R103" i="25"/>
  <c r="R102" i="25"/>
  <c r="R101" i="25"/>
  <c r="R100" i="25"/>
  <c r="R99" i="25"/>
  <c r="R98" i="25"/>
  <c r="R97" i="25"/>
  <c r="R96" i="25"/>
  <c r="R95" i="25"/>
  <c r="R94" i="25"/>
  <c r="R92" i="25"/>
  <c r="R91" i="25"/>
  <c r="R90" i="25"/>
  <c r="R89" i="25"/>
  <c r="R88" i="25"/>
  <c r="R87" i="25"/>
  <c r="R86" i="25"/>
  <c r="R85" i="25"/>
  <c r="R84" i="25"/>
  <c r="D27" i="27" s="1"/>
  <c r="L99" i="25"/>
  <c r="L98" i="25"/>
  <c r="L97" i="25"/>
  <c r="L105" i="25"/>
  <c r="L104" i="25"/>
  <c r="L103" i="25"/>
  <c r="L102" i="25"/>
  <c r="L101" i="25"/>
  <c r="L100" i="25"/>
  <c r="L96" i="25"/>
  <c r="L95" i="25"/>
  <c r="L94" i="25"/>
  <c r="E94" i="25"/>
  <c r="F94" i="25"/>
  <c r="E95" i="25"/>
  <c r="F95" i="25"/>
  <c r="E96" i="25"/>
  <c r="F96" i="25"/>
  <c r="E97" i="25"/>
  <c r="F97" i="25"/>
  <c r="E98" i="25"/>
  <c r="F98" i="25"/>
  <c r="E99" i="25"/>
  <c r="F99" i="25"/>
  <c r="E100" i="25"/>
  <c r="F100" i="25"/>
  <c r="E101" i="25"/>
  <c r="F101" i="25"/>
  <c r="E102" i="25"/>
  <c r="F102" i="25"/>
  <c r="E103" i="25"/>
  <c r="F103" i="25"/>
  <c r="E104" i="25"/>
  <c r="F104" i="25"/>
  <c r="E105" i="25"/>
  <c r="F105" i="25"/>
  <c r="E85" i="25"/>
  <c r="F85" i="25"/>
  <c r="E86" i="25"/>
  <c r="F86" i="25"/>
  <c r="E87" i="25"/>
  <c r="F87" i="25"/>
  <c r="E88" i="25"/>
  <c r="F88" i="25"/>
  <c r="E89" i="25"/>
  <c r="F89" i="25"/>
  <c r="E90" i="25"/>
  <c r="F90" i="25"/>
  <c r="E91" i="25"/>
  <c r="F91" i="25"/>
  <c r="E92" i="25"/>
  <c r="F92" i="25"/>
  <c r="L92" i="25"/>
  <c r="L91" i="25"/>
  <c r="L90" i="25"/>
  <c r="L89" i="25"/>
  <c r="L88" i="25"/>
  <c r="L87" i="25"/>
  <c r="L86" i="25"/>
  <c r="L85" i="25"/>
  <c r="D84" i="25"/>
  <c r="T72" i="25"/>
  <c r="T73" i="25"/>
  <c r="T74" i="25"/>
  <c r="T75" i="25"/>
  <c r="T76" i="25"/>
  <c r="T77" i="25"/>
  <c r="T78" i="25"/>
  <c r="T79" i="25"/>
  <c r="T80" i="25"/>
  <c r="T81" i="25"/>
  <c r="T82" i="25"/>
  <c r="T83" i="25"/>
  <c r="T84" i="25"/>
  <c r="T85" i="25"/>
  <c r="T86" i="25"/>
  <c r="T87" i="25"/>
  <c r="T88" i="25"/>
  <c r="T89" i="25"/>
  <c r="T90" i="25"/>
  <c r="T91" i="25"/>
  <c r="T92" i="25"/>
  <c r="T94" i="25"/>
  <c r="T95" i="25"/>
  <c r="T96" i="25"/>
  <c r="T97" i="25"/>
  <c r="T98" i="25"/>
  <c r="T99" i="25"/>
  <c r="T100" i="25"/>
  <c r="T101" i="25"/>
  <c r="T102" i="25"/>
  <c r="T103" i="25"/>
  <c r="T104" i="25"/>
  <c r="T105" i="25"/>
  <c r="T106" i="25"/>
  <c r="U106" i="25" s="1"/>
  <c r="V106" i="25" s="1"/>
  <c r="T107" i="25"/>
  <c r="U107" i="25" s="1"/>
  <c r="V107" i="25" s="1"/>
  <c r="T108" i="25"/>
  <c r="U108" i="25" s="1"/>
  <c r="V108" i="25" s="1"/>
  <c r="T109" i="25"/>
  <c r="U109" i="25" s="1"/>
  <c r="V109" i="25" s="1"/>
  <c r="T110" i="25"/>
  <c r="T111" i="25"/>
  <c r="T112" i="25"/>
  <c r="T113" i="25"/>
  <c r="T114" i="25"/>
  <c r="T115" i="25"/>
  <c r="T116" i="25"/>
  <c r="T117" i="25"/>
  <c r="T118" i="25"/>
  <c r="T119" i="25"/>
  <c r="T120" i="25"/>
  <c r="T121" i="25"/>
  <c r="T122" i="25"/>
  <c r="U122" i="25" s="1"/>
  <c r="V122" i="25" s="1"/>
  <c r="T123" i="25"/>
  <c r="U123" i="25" s="1"/>
  <c r="V123" i="25" s="1"/>
  <c r="T124" i="25"/>
  <c r="U124" i="25" s="1"/>
  <c r="V124" i="25" s="1"/>
  <c r="T126" i="25"/>
  <c r="T127" i="25"/>
  <c r="T128" i="25"/>
  <c r="T129" i="25"/>
  <c r="T130" i="25"/>
  <c r="T131" i="25"/>
  <c r="T132" i="25"/>
  <c r="T133" i="25"/>
  <c r="T134" i="25"/>
  <c r="T135" i="25"/>
  <c r="T136" i="25"/>
  <c r="T137" i="25"/>
  <c r="T138" i="25"/>
  <c r="T139" i="25"/>
  <c r="T140" i="25"/>
  <c r="T141" i="25"/>
  <c r="T142" i="25"/>
  <c r="U142" i="25" s="1"/>
  <c r="V142" i="25" s="1"/>
  <c r="T143" i="25"/>
  <c r="U143" i="25" s="1"/>
  <c r="V143" i="25" s="1"/>
  <c r="T144" i="25"/>
  <c r="U144" i="25" s="1"/>
  <c r="V144" i="25" s="1"/>
  <c r="T145" i="25"/>
  <c r="T146" i="25"/>
  <c r="T147" i="25"/>
  <c r="T148" i="25"/>
  <c r="T149" i="25"/>
  <c r="T150" i="25"/>
  <c r="U150" i="25" s="1"/>
  <c r="V150" i="25" s="1"/>
  <c r="T151" i="25"/>
  <c r="U151" i="25" s="1"/>
  <c r="V151" i="25" s="1"/>
  <c r="T152" i="25"/>
  <c r="U152" i="25" s="1"/>
  <c r="V152" i="25" s="1"/>
  <c r="T153" i="25"/>
  <c r="U153" i="25" s="1"/>
  <c r="V153" i="25" s="1"/>
  <c r="T154" i="25"/>
  <c r="U154" i="25" s="1"/>
  <c r="V154" i="25" s="1"/>
  <c r="T155" i="25"/>
  <c r="U155" i="25" s="1"/>
  <c r="V155" i="25" s="1"/>
  <c r="T156" i="25"/>
  <c r="U156" i="25" s="1"/>
  <c r="V156" i="25" s="1"/>
  <c r="T157" i="25"/>
  <c r="U157" i="25" s="1"/>
  <c r="V157" i="25" s="1"/>
  <c r="T158" i="25"/>
  <c r="U158" i="25" s="1"/>
  <c r="V158" i="25" s="1"/>
  <c r="T159" i="25"/>
  <c r="U159" i="25" s="1"/>
  <c r="V159" i="25" s="1"/>
  <c r="T160" i="25"/>
  <c r="U160" i="25" s="1"/>
  <c r="V160" i="25" s="1"/>
  <c r="T161" i="25"/>
  <c r="U161" i="25" s="1"/>
  <c r="V161" i="25" s="1"/>
  <c r="T162" i="25"/>
  <c r="U162" i="25" s="1"/>
  <c r="V162" i="25" s="1"/>
  <c r="T163" i="25"/>
  <c r="U163" i="25" s="1"/>
  <c r="V163" i="25" s="1"/>
  <c r="T164" i="25"/>
  <c r="U164" i="25" s="1"/>
  <c r="V164" i="25" s="1"/>
  <c r="T165" i="25"/>
  <c r="U165" i="25" s="1"/>
  <c r="V165" i="25" s="1"/>
  <c r="T166" i="25"/>
  <c r="U166" i="25" s="1"/>
  <c r="V166" i="25" s="1"/>
  <c r="T167" i="25"/>
  <c r="U167" i="25" s="1"/>
  <c r="V167" i="25" s="1"/>
  <c r="T168" i="25"/>
  <c r="T169" i="25"/>
  <c r="T170" i="25"/>
  <c r="T171" i="25"/>
  <c r="U171" i="25" s="1"/>
  <c r="V171" i="25" s="1"/>
  <c r="T172" i="25"/>
  <c r="T173" i="25"/>
  <c r="T174" i="25"/>
  <c r="T175" i="25"/>
  <c r="U175" i="25" s="1"/>
  <c r="V175" i="25" s="1"/>
  <c r="T176" i="25"/>
  <c r="U176" i="25" s="1"/>
  <c r="V176" i="25" s="1"/>
  <c r="T177" i="25"/>
  <c r="U177" i="25" s="1"/>
  <c r="V177" i="25" s="1"/>
  <c r="T178" i="25"/>
  <c r="T179" i="25"/>
  <c r="T180" i="25"/>
  <c r="T181" i="25"/>
  <c r="T182" i="25"/>
  <c r="T183" i="25"/>
  <c r="T184" i="25"/>
  <c r="T185" i="25"/>
  <c r="T186" i="25"/>
  <c r="T187" i="25"/>
  <c r="T188" i="25"/>
  <c r="T189" i="25"/>
  <c r="T190" i="25"/>
  <c r="T191" i="25"/>
  <c r="T192" i="25"/>
  <c r="T193" i="25"/>
  <c r="T194" i="25"/>
  <c r="U194" i="25" s="1"/>
  <c r="V194" i="25" s="1"/>
  <c r="T195" i="25"/>
  <c r="T196" i="25"/>
  <c r="U196" i="25" s="1"/>
  <c r="V196" i="25" s="1"/>
  <c r="T70" i="25"/>
  <c r="T71" i="25"/>
  <c r="T69" i="25"/>
  <c r="F84" i="25"/>
  <c r="E84" i="25"/>
  <c r="E83" i="25"/>
  <c r="F83" i="25"/>
  <c r="F81" i="25"/>
  <c r="F82" i="25"/>
  <c r="E82" i="25"/>
  <c r="E81" i="25"/>
  <c r="F80" i="25"/>
  <c r="F79" i="25"/>
  <c r="S80" i="10"/>
  <c r="F84" i="10"/>
  <c r="R80" i="10" s="1"/>
  <c r="S73" i="10"/>
  <c r="R73" i="10"/>
  <c r="F77" i="10"/>
  <c r="T68" i="25"/>
  <c r="U68" i="25" s="1"/>
  <c r="V68" i="25" s="1"/>
  <c r="T67" i="25"/>
  <c r="T66" i="25"/>
  <c r="R67" i="25"/>
  <c r="D39" i="27" s="1"/>
  <c r="R66" i="25"/>
  <c r="D40" i="27" s="1"/>
  <c r="L68" i="25"/>
  <c r="L67" i="25"/>
  <c r="R65" i="25"/>
  <c r="D49" i="27" s="1"/>
  <c r="R64" i="25"/>
  <c r="D48" i="27" s="1"/>
  <c r="R63" i="25"/>
  <c r="D47" i="27" s="1"/>
  <c r="R62" i="25"/>
  <c r="D46" i="27" s="1"/>
  <c r="R61" i="25"/>
  <c r="D45" i="27" s="1"/>
  <c r="R60" i="25"/>
  <c r="D44" i="27" s="1"/>
  <c r="R59" i="25"/>
  <c r="D43" i="27" s="1"/>
  <c r="L65" i="25"/>
  <c r="L64" i="25"/>
  <c r="L63" i="25"/>
  <c r="L62" i="25"/>
  <c r="L61" i="25"/>
  <c r="L60" i="25"/>
  <c r="L59" i="25"/>
  <c r="L66" i="25"/>
  <c r="C68" i="25"/>
  <c r="D68" i="25"/>
  <c r="E68" i="25"/>
  <c r="F68" i="25"/>
  <c r="C67" i="25"/>
  <c r="D67" i="25"/>
  <c r="E67" i="25"/>
  <c r="F67" i="25"/>
  <c r="T49" i="25"/>
  <c r="T50" i="25"/>
  <c r="T51" i="25"/>
  <c r="T52" i="25"/>
  <c r="T53" i="25"/>
  <c r="T54" i="25"/>
  <c r="T55" i="25"/>
  <c r="T56" i="25"/>
  <c r="T57" i="25"/>
  <c r="T58" i="25"/>
  <c r="R57" i="25"/>
  <c r="R49" i="25"/>
  <c r="T22" i="25"/>
  <c r="U22" i="25" s="1"/>
  <c r="V22" i="25" s="1"/>
  <c r="T23" i="25"/>
  <c r="U23" i="25" s="1"/>
  <c r="V23" i="25" s="1"/>
  <c r="T24" i="25"/>
  <c r="U24" i="25" s="1"/>
  <c r="V24" i="25" s="1"/>
  <c r="T25" i="25"/>
  <c r="U25" i="25" s="1"/>
  <c r="V25" i="25" s="1"/>
  <c r="T26" i="25"/>
  <c r="U26" i="25" s="1"/>
  <c r="V26" i="25" s="1"/>
  <c r="T27" i="25"/>
  <c r="U27" i="25" s="1"/>
  <c r="V27" i="25" s="1"/>
  <c r="T28" i="25"/>
  <c r="U28" i="25" s="1"/>
  <c r="V28" i="25" s="1"/>
  <c r="T29" i="25"/>
  <c r="U29" i="25" s="1"/>
  <c r="V29" i="25" s="1"/>
  <c r="T30" i="25"/>
  <c r="U30" i="25" s="1"/>
  <c r="V30" i="25" s="1"/>
  <c r="T31" i="25"/>
  <c r="U31" i="25" s="1"/>
  <c r="V31" i="25" s="1"/>
  <c r="T32" i="25"/>
  <c r="U32" i="25" s="1"/>
  <c r="V32" i="25" s="1"/>
  <c r="T33" i="25"/>
  <c r="U33" i="25" s="1"/>
  <c r="V33" i="25" s="1"/>
  <c r="T34" i="25"/>
  <c r="U34" i="25" s="1"/>
  <c r="V34" i="25" s="1"/>
  <c r="T35" i="25"/>
  <c r="U35" i="25" s="1"/>
  <c r="V35" i="25" s="1"/>
  <c r="T36" i="25"/>
  <c r="U36" i="25" s="1"/>
  <c r="V36" i="25" s="1"/>
  <c r="T37" i="25"/>
  <c r="U37" i="25" s="1"/>
  <c r="V37" i="25" s="1"/>
  <c r="T38" i="25"/>
  <c r="U38" i="25" s="1"/>
  <c r="V38" i="25" s="1"/>
  <c r="T39" i="25"/>
  <c r="U39" i="25" s="1"/>
  <c r="V39" i="25" s="1"/>
  <c r="T40" i="25"/>
  <c r="U40" i="25" s="1"/>
  <c r="V40" i="25" s="1"/>
  <c r="T41" i="25"/>
  <c r="U41" i="25" s="1"/>
  <c r="V41" i="25" s="1"/>
  <c r="T42" i="25"/>
  <c r="U42" i="25" s="1"/>
  <c r="V42" i="25" s="1"/>
  <c r="T43" i="25"/>
  <c r="U43" i="25" s="1"/>
  <c r="V43" i="25" s="1"/>
  <c r="T44" i="25"/>
  <c r="U44" i="25" s="1"/>
  <c r="V44" i="25" s="1"/>
  <c r="T45" i="25"/>
  <c r="U45" i="25" s="1"/>
  <c r="V45" i="25" s="1"/>
  <c r="T46" i="25"/>
  <c r="U46" i="25" s="1"/>
  <c r="V46" i="25" s="1"/>
  <c r="T47" i="25"/>
  <c r="U47" i="25" s="1"/>
  <c r="V47" i="25" s="1"/>
  <c r="T48" i="25"/>
  <c r="U48" i="25" s="1"/>
  <c r="V48" i="25" s="1"/>
  <c r="T21" i="25"/>
  <c r="U21" i="25" s="1"/>
  <c r="V21" i="25" s="1"/>
  <c r="T204" i="25"/>
  <c r="U204" i="25" s="1"/>
  <c r="V204" i="25" s="1"/>
  <c r="T205" i="25"/>
  <c r="U205" i="25" s="1"/>
  <c r="V205" i="25" s="1"/>
  <c r="T206" i="25"/>
  <c r="U206" i="25" s="1"/>
  <c r="V206" i="25" s="1"/>
  <c r="T207" i="25"/>
  <c r="U207" i="25" s="1"/>
  <c r="V207" i="25" s="1"/>
  <c r="T208" i="25"/>
  <c r="T209" i="25"/>
  <c r="T210" i="25"/>
  <c r="T211" i="25"/>
  <c r="T212" i="25"/>
  <c r="T203" i="25"/>
  <c r="R212" i="25"/>
  <c r="D34" i="27" s="1"/>
  <c r="R209" i="25"/>
  <c r="D36" i="27" s="1"/>
  <c r="L212" i="25"/>
  <c r="L209" i="25"/>
  <c r="D209" i="25"/>
  <c r="E209" i="25"/>
  <c r="F209" i="25"/>
  <c r="D210" i="25"/>
  <c r="E210" i="25"/>
  <c r="F210" i="25"/>
  <c r="D211" i="25"/>
  <c r="E211" i="25"/>
  <c r="F211" i="25"/>
  <c r="D212" i="25"/>
  <c r="E212" i="25"/>
  <c r="F212" i="25"/>
  <c r="D204" i="25"/>
  <c r="E204" i="25"/>
  <c r="F204" i="25"/>
  <c r="D205" i="25"/>
  <c r="E205" i="25"/>
  <c r="F205" i="25"/>
  <c r="D206" i="25"/>
  <c r="E206" i="25"/>
  <c r="F206" i="25"/>
  <c r="D207" i="25"/>
  <c r="E207" i="25"/>
  <c r="F207" i="25"/>
  <c r="D208" i="25"/>
  <c r="E208" i="25"/>
  <c r="F208" i="25"/>
  <c r="C205" i="25"/>
  <c r="C206" i="25"/>
  <c r="C207" i="25"/>
  <c r="C208" i="25"/>
  <c r="C204" i="25"/>
  <c r="T198" i="25"/>
  <c r="T199" i="25"/>
  <c r="T200" i="25"/>
  <c r="T201" i="25"/>
  <c r="T202" i="25"/>
  <c r="T197" i="25"/>
  <c r="R202" i="25"/>
  <c r="R201" i="25"/>
  <c r="R200" i="25"/>
  <c r="D54" i="27" s="1"/>
  <c r="R199" i="25"/>
  <c r="R198" i="25"/>
  <c r="R197" i="25"/>
  <c r="D52" i="27" s="1"/>
  <c r="L199" i="25"/>
  <c r="L198" i="25"/>
  <c r="L197" i="25"/>
  <c r="L200" i="25"/>
  <c r="L202" i="25"/>
  <c r="L201" i="25"/>
  <c r="T60" i="25"/>
  <c r="T61" i="25"/>
  <c r="T62" i="25"/>
  <c r="T63" i="25"/>
  <c r="T64" i="25"/>
  <c r="T65" i="25"/>
  <c r="T59" i="25"/>
  <c r="T16" i="25"/>
  <c r="T17" i="25"/>
  <c r="U17" i="25" s="1"/>
  <c r="V17" i="25" s="1"/>
  <c r="T18" i="25"/>
  <c r="T19" i="25"/>
  <c r="U19" i="25" s="1"/>
  <c r="V19" i="25" s="1"/>
  <c r="T20" i="25"/>
  <c r="T15" i="25"/>
  <c r="T9" i="25"/>
  <c r="T10" i="25"/>
  <c r="T11" i="25"/>
  <c r="T12" i="25"/>
  <c r="T13" i="25"/>
  <c r="T14" i="25"/>
  <c r="T8" i="25"/>
  <c r="M55" i="25"/>
  <c r="M56" i="25"/>
  <c r="M57" i="25"/>
  <c r="M58" i="25"/>
  <c r="M54" i="25"/>
  <c r="M49" i="25"/>
  <c r="M50" i="25"/>
  <c r="B76" i="12" l="1"/>
  <c r="B27" i="12"/>
  <c r="B26" i="12"/>
  <c r="B25" i="12"/>
  <c r="L230" i="25" s="1"/>
  <c r="B24" i="12"/>
  <c r="L229" i="25" s="1"/>
  <c r="L227" i="25"/>
  <c r="B23" i="12"/>
  <c r="B21" i="12"/>
  <c r="B22" i="12"/>
  <c r="H140" i="25"/>
  <c r="BM211" i="17"/>
  <c r="BO211" i="17"/>
  <c r="BN211" i="17"/>
  <c r="BP211" i="17"/>
  <c r="BS211" i="17"/>
  <c r="BT211" i="17" s="1"/>
  <c r="BM203" i="17"/>
  <c r="BO203" i="17"/>
  <c r="BN203" i="17"/>
  <c r="BS203" i="17"/>
  <c r="BT203" i="17" s="1"/>
  <c r="BP203" i="17"/>
  <c r="BM195" i="17"/>
  <c r="BO195" i="17"/>
  <c r="BS195" i="17"/>
  <c r="BT195" i="17" s="1"/>
  <c r="BN195" i="17"/>
  <c r="BP195" i="17"/>
  <c r="BM187" i="17"/>
  <c r="BO187" i="17"/>
  <c r="BS187" i="17"/>
  <c r="BT187" i="17" s="1"/>
  <c r="BN187" i="17"/>
  <c r="BP187" i="17"/>
  <c r="BM179" i="17"/>
  <c r="BO179" i="17"/>
  <c r="BN179" i="17"/>
  <c r="BP179" i="17"/>
  <c r="BS179" i="17"/>
  <c r="BT179" i="17" s="1"/>
  <c r="BM171" i="17"/>
  <c r="BO171" i="17"/>
  <c r="BN171" i="17"/>
  <c r="BS171" i="17"/>
  <c r="BT171" i="17" s="1"/>
  <c r="BP171" i="17"/>
  <c r="BM163" i="17"/>
  <c r="BO163" i="17"/>
  <c r="BS163" i="17"/>
  <c r="BT163" i="17" s="1"/>
  <c r="BN163" i="17"/>
  <c r="BP163" i="17"/>
  <c r="BS210" i="17"/>
  <c r="BT210" i="17" s="1"/>
  <c r="BM210" i="17"/>
  <c r="BN210" i="17"/>
  <c r="BO210" i="17"/>
  <c r="BP210" i="17"/>
  <c r="BS202" i="17"/>
  <c r="BT202" i="17" s="1"/>
  <c r="BM202" i="17"/>
  <c r="BN202" i="17"/>
  <c r="BO202" i="17"/>
  <c r="BP202" i="17"/>
  <c r="BS194" i="17"/>
  <c r="BT194" i="17" s="1"/>
  <c r="BM194" i="17"/>
  <c r="BN194" i="17"/>
  <c r="BO194" i="17"/>
  <c r="BP194" i="17"/>
  <c r="BS186" i="17"/>
  <c r="BT186" i="17" s="1"/>
  <c r="BM186" i="17"/>
  <c r="BN186" i="17"/>
  <c r="BO186" i="17"/>
  <c r="BP186" i="17"/>
  <c r="BS178" i="17"/>
  <c r="BT178" i="17" s="1"/>
  <c r="BM178" i="17"/>
  <c r="BN178" i="17"/>
  <c r="BO178" i="17"/>
  <c r="BP178" i="17"/>
  <c r="BS170" i="17"/>
  <c r="BT170" i="17" s="1"/>
  <c r="BM170" i="17"/>
  <c r="BN170" i="17"/>
  <c r="BO170" i="17"/>
  <c r="BP170" i="17"/>
  <c r="BM209" i="17"/>
  <c r="BS209" i="17"/>
  <c r="BT209" i="17" s="1"/>
  <c r="BO209" i="17"/>
  <c r="BN209" i="17"/>
  <c r="BP209" i="17"/>
  <c r="BM201" i="17"/>
  <c r="BS201" i="17"/>
  <c r="BT201" i="17" s="1"/>
  <c r="BO201" i="17"/>
  <c r="BN201" i="17"/>
  <c r="BP201" i="17"/>
  <c r="BM193" i="17"/>
  <c r="BS193" i="17"/>
  <c r="BT193" i="17" s="1"/>
  <c r="BO193" i="17"/>
  <c r="BN193" i="17"/>
  <c r="BP193" i="17"/>
  <c r="BM185" i="17"/>
  <c r="BS185" i="17"/>
  <c r="BT185" i="17" s="1"/>
  <c r="BO185" i="17"/>
  <c r="BP185" i="17"/>
  <c r="BN185" i="17"/>
  <c r="BM177" i="17"/>
  <c r="BS177" i="17"/>
  <c r="BT177" i="17" s="1"/>
  <c r="BO177" i="17"/>
  <c r="BN177" i="17"/>
  <c r="BP177" i="17"/>
  <c r="BM169" i="17"/>
  <c r="BS169" i="17"/>
  <c r="BT169" i="17" s="1"/>
  <c r="BO169" i="17"/>
  <c r="BN169" i="17"/>
  <c r="BP169" i="17"/>
  <c r="BS208" i="17"/>
  <c r="BT208" i="17" s="1"/>
  <c r="BM208" i="17"/>
  <c r="BN208" i="17"/>
  <c r="BO208" i="17"/>
  <c r="BP208" i="17"/>
  <c r="BS200" i="17"/>
  <c r="BT200" i="17" s="1"/>
  <c r="BM200" i="17"/>
  <c r="BN200" i="17"/>
  <c r="BO200" i="17"/>
  <c r="BP200" i="17"/>
  <c r="BS192" i="17"/>
  <c r="BT192" i="17" s="1"/>
  <c r="BM192" i="17"/>
  <c r="BN192" i="17"/>
  <c r="BO192" i="17"/>
  <c r="BP192" i="17"/>
  <c r="BS184" i="17"/>
  <c r="BT184" i="17" s="1"/>
  <c r="BM184" i="17"/>
  <c r="BN184" i="17"/>
  <c r="BO184" i="17"/>
  <c r="BP184" i="17"/>
  <c r="BS176" i="17"/>
  <c r="BT176" i="17" s="1"/>
  <c r="BM176" i="17"/>
  <c r="BN176" i="17"/>
  <c r="BO176" i="17"/>
  <c r="BP176" i="17"/>
  <c r="BS168" i="17"/>
  <c r="BT168" i="17" s="1"/>
  <c r="BM168" i="17"/>
  <c r="BN168" i="17"/>
  <c r="BO168" i="17"/>
  <c r="BP168" i="17"/>
  <c r="BM207" i="17"/>
  <c r="BO207" i="17"/>
  <c r="BN207" i="17"/>
  <c r="BP207" i="17"/>
  <c r="BS207" i="17"/>
  <c r="BT207" i="17" s="1"/>
  <c r="BM199" i="17"/>
  <c r="BO199" i="17"/>
  <c r="BS199" i="17"/>
  <c r="BT199" i="17" s="1"/>
  <c r="BN199" i="17"/>
  <c r="BP199" i="17"/>
  <c r="BM191" i="17"/>
  <c r="BO191" i="17"/>
  <c r="BN191" i="17"/>
  <c r="BP191" i="17"/>
  <c r="BS191" i="17"/>
  <c r="BT191" i="17" s="1"/>
  <c r="BM183" i="17"/>
  <c r="BO183" i="17"/>
  <c r="BN183" i="17"/>
  <c r="BP183" i="17"/>
  <c r="BS183" i="17"/>
  <c r="BT183" i="17" s="1"/>
  <c r="BM175" i="17"/>
  <c r="BO175" i="17"/>
  <c r="BN175" i="17"/>
  <c r="BP175" i="17"/>
  <c r="BS175" i="17"/>
  <c r="BT175" i="17" s="1"/>
  <c r="BM167" i="17"/>
  <c r="BO167" i="17"/>
  <c r="BS167" i="17"/>
  <c r="BT167" i="17" s="1"/>
  <c r="BN167" i="17"/>
  <c r="BP167" i="17"/>
  <c r="BS206" i="17"/>
  <c r="BT206" i="17" s="1"/>
  <c r="BM206" i="17"/>
  <c r="BN206" i="17"/>
  <c r="BP206" i="17"/>
  <c r="BO206" i="17"/>
  <c r="BS198" i="17"/>
  <c r="BT198" i="17" s="1"/>
  <c r="BM198" i="17"/>
  <c r="BN198" i="17"/>
  <c r="BO198" i="17"/>
  <c r="BP198" i="17"/>
  <c r="BS190" i="17"/>
  <c r="BT190" i="17" s="1"/>
  <c r="BM190" i="17"/>
  <c r="BN190" i="17"/>
  <c r="BO190" i="17"/>
  <c r="BP190" i="17"/>
  <c r="BS182" i="17"/>
  <c r="BT182" i="17" s="1"/>
  <c r="BM182" i="17"/>
  <c r="BN182" i="17"/>
  <c r="BO182" i="17"/>
  <c r="BP182" i="17"/>
  <c r="BS174" i="17"/>
  <c r="BT174" i="17" s="1"/>
  <c r="BM174" i="17"/>
  <c r="BN174" i="17"/>
  <c r="BO174" i="17"/>
  <c r="BP174" i="17"/>
  <c r="BS166" i="17"/>
  <c r="BT166" i="17" s="1"/>
  <c r="BM166" i="17"/>
  <c r="BN166" i="17"/>
  <c r="BO166" i="17"/>
  <c r="BP166" i="17"/>
  <c r="BM213" i="17"/>
  <c r="BO213" i="17"/>
  <c r="BS213" i="17"/>
  <c r="BT213" i="17" s="1"/>
  <c r="BN213" i="17"/>
  <c r="BP213" i="17"/>
  <c r="BM205" i="17"/>
  <c r="BS205" i="17"/>
  <c r="BT205" i="17" s="1"/>
  <c r="BO205" i="17"/>
  <c r="BN205" i="17"/>
  <c r="BP205" i="17"/>
  <c r="BM197" i="17"/>
  <c r="BS197" i="17"/>
  <c r="BT197" i="17" s="1"/>
  <c r="BO197" i="17"/>
  <c r="BN197" i="17"/>
  <c r="BP197" i="17"/>
  <c r="BM189" i="17"/>
  <c r="BS189" i="17"/>
  <c r="BT189" i="17" s="1"/>
  <c r="BO189" i="17"/>
  <c r="BN189" i="17"/>
  <c r="BP189" i="17"/>
  <c r="BM181" i="17"/>
  <c r="BS181" i="17"/>
  <c r="BT181" i="17" s="1"/>
  <c r="BO181" i="17"/>
  <c r="BN181" i="17"/>
  <c r="BP181" i="17"/>
  <c r="BM173" i="17"/>
  <c r="BS173" i="17"/>
  <c r="BT173" i="17" s="1"/>
  <c r="BO173" i="17"/>
  <c r="BN173" i="17"/>
  <c r="BP173" i="17"/>
  <c r="BM165" i="17"/>
  <c r="BS165" i="17"/>
  <c r="BT165" i="17" s="1"/>
  <c r="BO165" i="17"/>
  <c r="BN165" i="17"/>
  <c r="BP165" i="17"/>
  <c r="BS212" i="17"/>
  <c r="BT212" i="17" s="1"/>
  <c r="BO212" i="17"/>
  <c r="BP212" i="17"/>
  <c r="BM212" i="17"/>
  <c r="BN212" i="17"/>
  <c r="BS204" i="17"/>
  <c r="BT204" i="17" s="1"/>
  <c r="BO204" i="17"/>
  <c r="BP204" i="17"/>
  <c r="BM204" i="17"/>
  <c r="BN204" i="17"/>
  <c r="BS196" i="17"/>
  <c r="BT196" i="17" s="1"/>
  <c r="BO196" i="17"/>
  <c r="BP196" i="17"/>
  <c r="BN196" i="17"/>
  <c r="BM196" i="17"/>
  <c r="BS188" i="17"/>
  <c r="BT188" i="17" s="1"/>
  <c r="BO188" i="17"/>
  <c r="BP188" i="17"/>
  <c r="BM188" i="17"/>
  <c r="BN188" i="17"/>
  <c r="BS180" i="17"/>
  <c r="BT180" i="17" s="1"/>
  <c r="BO180" i="17"/>
  <c r="BP180" i="17"/>
  <c r="BM180" i="17"/>
  <c r="BN180" i="17"/>
  <c r="BS172" i="17"/>
  <c r="BT172" i="17" s="1"/>
  <c r="BO172" i="17"/>
  <c r="BP172" i="17"/>
  <c r="BM172" i="17"/>
  <c r="BN172" i="17"/>
  <c r="BS164" i="17"/>
  <c r="BT164" i="17" s="1"/>
  <c r="BO164" i="17"/>
  <c r="BP164" i="17"/>
  <c r="BN164" i="17"/>
  <c r="BM164" i="17"/>
  <c r="B77" i="12"/>
  <c r="B67" i="12"/>
  <c r="L234" i="25" s="1"/>
  <c r="U199" i="25"/>
  <c r="V199" i="25" s="1"/>
  <c r="G20" i="25"/>
  <c r="G28" i="25"/>
  <c r="G36" i="25"/>
  <c r="G44" i="25"/>
  <c r="G52" i="25"/>
  <c r="B120" i="12"/>
  <c r="B128" i="12"/>
  <c r="B106" i="12"/>
  <c r="B114" i="12"/>
  <c r="B90" i="12"/>
  <c r="B98" i="12"/>
  <c r="B63" i="12"/>
  <c r="B61" i="12"/>
  <c r="B121" i="12"/>
  <c r="B129" i="12"/>
  <c r="B107" i="12"/>
  <c r="B103" i="12"/>
  <c r="B91" i="12"/>
  <c r="B85" i="12"/>
  <c r="B64" i="12"/>
  <c r="L231" i="25"/>
  <c r="B122" i="12"/>
  <c r="B130" i="12"/>
  <c r="B108" i="12"/>
  <c r="B102" i="12"/>
  <c r="B92" i="12"/>
  <c r="B65" i="12"/>
  <c r="B112" i="12"/>
  <c r="B54" i="12"/>
  <c r="B123" i="12"/>
  <c r="B119" i="12"/>
  <c r="B109" i="12"/>
  <c r="B101" i="12"/>
  <c r="B93" i="12"/>
  <c r="B74" i="12"/>
  <c r="B66" i="12"/>
  <c r="B51" i="12"/>
  <c r="B104" i="12"/>
  <c r="B124" i="12"/>
  <c r="B118" i="12"/>
  <c r="B110" i="12"/>
  <c r="B86" i="12"/>
  <c r="B94" i="12"/>
  <c r="B75" i="12"/>
  <c r="B68" i="12"/>
  <c r="B52" i="12"/>
  <c r="B88" i="12"/>
  <c r="B125" i="12"/>
  <c r="B117" i="12"/>
  <c r="B111" i="12"/>
  <c r="B87" i="12"/>
  <c r="B95" i="12"/>
  <c r="B53" i="12"/>
  <c r="B126" i="12"/>
  <c r="B127" i="12"/>
  <c r="B105" i="12"/>
  <c r="B113" i="12"/>
  <c r="B89" i="12"/>
  <c r="B97" i="12"/>
  <c r="B62" i="12"/>
  <c r="B96" i="12"/>
  <c r="B60" i="12"/>
  <c r="B73" i="12"/>
  <c r="L232" i="25" s="1"/>
  <c r="R232" i="25" s="1"/>
  <c r="G18" i="25"/>
  <c r="G26" i="25"/>
  <c r="G34" i="25"/>
  <c r="G42" i="25"/>
  <c r="G50" i="25"/>
  <c r="G58" i="25"/>
  <c r="G74" i="25"/>
  <c r="G82" i="25"/>
  <c r="G90" i="25"/>
  <c r="G98" i="25"/>
  <c r="G106" i="25"/>
  <c r="G114" i="25"/>
  <c r="G122" i="25"/>
  <c r="G130" i="25"/>
  <c r="G138" i="25"/>
  <c r="G146" i="25"/>
  <c r="G154" i="25"/>
  <c r="G162" i="25"/>
  <c r="G170" i="25"/>
  <c r="G178" i="25"/>
  <c r="G186" i="25"/>
  <c r="G194" i="25"/>
  <c r="G210" i="25"/>
  <c r="H21" i="25"/>
  <c r="H29" i="25"/>
  <c r="H37" i="25"/>
  <c r="H69" i="25"/>
  <c r="H77" i="25"/>
  <c r="H117" i="25"/>
  <c r="H133" i="25"/>
  <c r="H141" i="25"/>
  <c r="H149" i="25"/>
  <c r="H157" i="25"/>
  <c r="H165" i="25"/>
  <c r="H173" i="25"/>
  <c r="H181" i="25"/>
  <c r="H189" i="25"/>
  <c r="G27" i="25"/>
  <c r="G35" i="25"/>
  <c r="G43" i="25"/>
  <c r="G51" i="25"/>
  <c r="G75" i="25"/>
  <c r="G83" i="25"/>
  <c r="G91" i="25"/>
  <c r="G99" i="25"/>
  <c r="G107" i="25"/>
  <c r="G115" i="25"/>
  <c r="G123" i="25"/>
  <c r="G131" i="25"/>
  <c r="G139" i="25"/>
  <c r="G147" i="25"/>
  <c r="G155" i="25"/>
  <c r="G163" i="25"/>
  <c r="G171" i="25"/>
  <c r="G179" i="25"/>
  <c r="G187" i="25"/>
  <c r="G195" i="25"/>
  <c r="G203" i="25"/>
  <c r="G211" i="25"/>
  <c r="H22" i="25"/>
  <c r="H30" i="25"/>
  <c r="H38" i="25"/>
  <c r="H70" i="25"/>
  <c r="H78" i="25"/>
  <c r="H110" i="25"/>
  <c r="H118" i="25"/>
  <c r="H126" i="25"/>
  <c r="H134" i="25"/>
  <c r="H142" i="25"/>
  <c r="H150" i="25"/>
  <c r="H158" i="25"/>
  <c r="H166" i="25"/>
  <c r="H174" i="25"/>
  <c r="H182" i="25"/>
  <c r="H190" i="25"/>
  <c r="G76" i="25"/>
  <c r="G84" i="25"/>
  <c r="G92" i="25"/>
  <c r="G100" i="25"/>
  <c r="G108" i="25"/>
  <c r="G116" i="25"/>
  <c r="G124" i="25"/>
  <c r="G132" i="25"/>
  <c r="G140" i="25"/>
  <c r="G148" i="25"/>
  <c r="G156" i="25"/>
  <c r="G164" i="25"/>
  <c r="G172" i="25"/>
  <c r="G180" i="25"/>
  <c r="G188" i="25"/>
  <c r="G196" i="25"/>
  <c r="G204" i="25"/>
  <c r="G212" i="25"/>
  <c r="H23" i="25"/>
  <c r="H31" i="25"/>
  <c r="H39" i="25"/>
  <c r="H71" i="25"/>
  <c r="H79" i="25"/>
  <c r="H111" i="25"/>
  <c r="H119" i="25"/>
  <c r="H127" i="25"/>
  <c r="H135" i="25"/>
  <c r="H143" i="25"/>
  <c r="H151" i="25"/>
  <c r="H159" i="25"/>
  <c r="H167" i="25"/>
  <c r="H175" i="25"/>
  <c r="H183" i="25"/>
  <c r="H191" i="25"/>
  <c r="G21" i="25"/>
  <c r="G29" i="25"/>
  <c r="G37" i="25"/>
  <c r="G45" i="25"/>
  <c r="G53" i="25"/>
  <c r="G69" i="25"/>
  <c r="G77" i="25"/>
  <c r="G85" i="25"/>
  <c r="G93" i="25"/>
  <c r="G101" i="25"/>
  <c r="G109" i="25"/>
  <c r="G117" i="25"/>
  <c r="G125" i="25"/>
  <c r="G133" i="25"/>
  <c r="G141" i="25"/>
  <c r="G149" i="25"/>
  <c r="G157" i="25"/>
  <c r="G165" i="25"/>
  <c r="G173" i="25"/>
  <c r="G181" i="25"/>
  <c r="G189" i="25"/>
  <c r="G205" i="25"/>
  <c r="H24" i="25"/>
  <c r="H32" i="25"/>
  <c r="H72" i="25"/>
  <c r="H80" i="25"/>
  <c r="H112" i="25"/>
  <c r="H120" i="25"/>
  <c r="H128" i="25"/>
  <c r="H136" i="25"/>
  <c r="H144" i="25"/>
  <c r="H152" i="25"/>
  <c r="H160" i="25"/>
  <c r="H168" i="25"/>
  <c r="H184" i="25"/>
  <c r="H192" i="25"/>
  <c r="G22" i="25"/>
  <c r="G30" i="25"/>
  <c r="G38" i="25"/>
  <c r="G46" i="25"/>
  <c r="G54" i="25"/>
  <c r="G70" i="25"/>
  <c r="G78" i="25"/>
  <c r="G86" i="25"/>
  <c r="G94" i="25"/>
  <c r="G102" i="25"/>
  <c r="G110" i="25"/>
  <c r="G118" i="25"/>
  <c r="G126" i="25"/>
  <c r="G134" i="25"/>
  <c r="G142" i="25"/>
  <c r="G150" i="25"/>
  <c r="G158" i="25"/>
  <c r="G166" i="25"/>
  <c r="G174" i="25"/>
  <c r="G182" i="25"/>
  <c r="G190" i="25"/>
  <c r="G206" i="25"/>
  <c r="H25" i="25"/>
  <c r="H33" i="25"/>
  <c r="H73" i="25"/>
  <c r="H81" i="25"/>
  <c r="H113" i="25"/>
  <c r="H121" i="25"/>
  <c r="H129" i="25"/>
  <c r="H137" i="25"/>
  <c r="H145" i="25"/>
  <c r="H153" i="25"/>
  <c r="H161" i="25"/>
  <c r="H169" i="25"/>
  <c r="H177" i="25"/>
  <c r="H185" i="25"/>
  <c r="H193" i="25"/>
  <c r="G23" i="25"/>
  <c r="G31" i="25"/>
  <c r="G39" i="25"/>
  <c r="G47" i="25"/>
  <c r="G55" i="25"/>
  <c r="G71" i="25"/>
  <c r="G79" i="25"/>
  <c r="G87" i="25"/>
  <c r="G95" i="25"/>
  <c r="G103" i="25"/>
  <c r="G111" i="25"/>
  <c r="G119" i="25"/>
  <c r="G127" i="25"/>
  <c r="G135" i="25"/>
  <c r="G143" i="25"/>
  <c r="G151" i="25"/>
  <c r="G159" i="25"/>
  <c r="G167" i="25"/>
  <c r="G175" i="25"/>
  <c r="G183" i="25"/>
  <c r="G191" i="25"/>
  <c r="G207" i="25"/>
  <c r="H26" i="25"/>
  <c r="H34" i="25"/>
  <c r="H74" i="25"/>
  <c r="H82" i="25"/>
  <c r="H106" i="25"/>
  <c r="H114" i="25"/>
  <c r="H130" i="25"/>
  <c r="H138" i="25"/>
  <c r="H146" i="25"/>
  <c r="H154" i="25"/>
  <c r="H162" i="25"/>
  <c r="H178" i="25"/>
  <c r="H186" i="25"/>
  <c r="H210" i="25"/>
  <c r="G16" i="25"/>
  <c r="G24" i="25"/>
  <c r="G32" i="25"/>
  <c r="G40" i="25"/>
  <c r="G48" i="25"/>
  <c r="G56" i="25"/>
  <c r="G72" i="25"/>
  <c r="G80" i="25"/>
  <c r="G88" i="25"/>
  <c r="G96" i="25"/>
  <c r="G104" i="25"/>
  <c r="G112" i="25"/>
  <c r="G120" i="25"/>
  <c r="G128" i="25"/>
  <c r="G136" i="25"/>
  <c r="G144" i="25"/>
  <c r="G152" i="25"/>
  <c r="G160" i="25"/>
  <c r="G168" i="25"/>
  <c r="G176" i="25"/>
  <c r="G184" i="25"/>
  <c r="G192" i="25"/>
  <c r="G208" i="25"/>
  <c r="H27" i="25"/>
  <c r="H35" i="25"/>
  <c r="H75" i="25"/>
  <c r="H83" i="25"/>
  <c r="H107" i="25"/>
  <c r="H115" i="25"/>
  <c r="H131" i="25"/>
  <c r="H139" i="25"/>
  <c r="H147" i="25"/>
  <c r="H155" i="25"/>
  <c r="H163" i="25"/>
  <c r="H179" i="25"/>
  <c r="H187" i="25"/>
  <c r="H195" i="25"/>
  <c r="G25" i="25"/>
  <c r="G33" i="25"/>
  <c r="G41" i="25"/>
  <c r="G49" i="25"/>
  <c r="G57" i="25"/>
  <c r="G73" i="25"/>
  <c r="G81" i="25"/>
  <c r="G89" i="25"/>
  <c r="G97" i="25"/>
  <c r="G105" i="25"/>
  <c r="G113" i="25"/>
  <c r="G121" i="25"/>
  <c r="G129" i="25"/>
  <c r="G137" i="25"/>
  <c r="G145" i="25"/>
  <c r="G153" i="25"/>
  <c r="G161" i="25"/>
  <c r="G169" i="25"/>
  <c r="G177" i="25"/>
  <c r="G185" i="25"/>
  <c r="G193" i="25"/>
  <c r="H28" i="25"/>
  <c r="H76" i="25"/>
  <c r="H116" i="25"/>
  <c r="H132" i="25"/>
  <c r="H148" i="25"/>
  <c r="H156" i="25"/>
  <c r="H164" i="25"/>
  <c r="H172" i="25"/>
  <c r="H180" i="25"/>
  <c r="U145" i="25"/>
  <c r="V145" i="25" s="1"/>
  <c r="G70" i="27"/>
  <c r="L224" i="25" s="1"/>
  <c r="R224" i="25" s="1"/>
  <c r="U224" i="25" s="1"/>
  <c r="V224" i="25" s="1"/>
  <c r="G64" i="27"/>
  <c r="L218" i="25" s="1"/>
  <c r="R218" i="25" s="1"/>
  <c r="U218" i="25" s="1"/>
  <c r="V218" i="25" s="1"/>
  <c r="G68" i="27"/>
  <c r="L222" i="25" s="1"/>
  <c r="R222" i="25" s="1"/>
  <c r="U222" i="25" s="1"/>
  <c r="V222" i="25" s="1"/>
  <c r="K71" i="27"/>
  <c r="G63" i="27"/>
  <c r="L217" i="25" s="1"/>
  <c r="R217" i="25" s="1"/>
  <c r="U217" i="25" s="1"/>
  <c r="V217" i="25" s="1"/>
  <c r="L71" i="27"/>
  <c r="G65" i="27"/>
  <c r="L219" i="25" s="1"/>
  <c r="R219" i="25" s="1"/>
  <c r="U219" i="25" s="1"/>
  <c r="V219" i="25" s="1"/>
  <c r="U118" i="25"/>
  <c r="V118" i="25" s="1"/>
  <c r="U80" i="25"/>
  <c r="V80" i="25" s="1"/>
  <c r="U117" i="25"/>
  <c r="V117" i="25" s="1"/>
  <c r="U120" i="25"/>
  <c r="V120" i="25" s="1"/>
  <c r="G62" i="27"/>
  <c r="G69" i="27"/>
  <c r="L223" i="25" s="1"/>
  <c r="R223" i="25" s="1"/>
  <c r="U223" i="25" s="1"/>
  <c r="V223" i="25" s="1"/>
  <c r="U111" i="25"/>
  <c r="V111" i="25" s="1"/>
  <c r="U119" i="25"/>
  <c r="V119" i="25" s="1"/>
  <c r="U184" i="25"/>
  <c r="V184" i="25" s="1"/>
  <c r="D55" i="27"/>
  <c r="D53" i="27"/>
  <c r="U192" i="25"/>
  <c r="V192" i="25" s="1"/>
  <c r="D42" i="27"/>
  <c r="D38" i="27"/>
  <c r="U110" i="25"/>
  <c r="V110" i="25" s="1"/>
  <c r="U86" i="25"/>
  <c r="V86" i="25" s="1"/>
  <c r="U95" i="25"/>
  <c r="V95" i="25" s="1"/>
  <c r="U129" i="25"/>
  <c r="V129" i="25" s="1"/>
  <c r="U112" i="25"/>
  <c r="V112" i="25" s="1"/>
  <c r="U87" i="25"/>
  <c r="V87" i="25" s="1"/>
  <c r="U96" i="25"/>
  <c r="V96" i="25" s="1"/>
  <c r="U104" i="25"/>
  <c r="V104" i="25" s="1"/>
  <c r="U113" i="25"/>
  <c r="V113" i="25" s="1"/>
  <c r="U121" i="25"/>
  <c r="V121" i="25" s="1"/>
  <c r="U115" i="25"/>
  <c r="V115" i="25" s="1"/>
  <c r="U116" i="25"/>
  <c r="V116" i="25" s="1"/>
  <c r="U186" i="25"/>
  <c r="V186" i="25" s="1"/>
  <c r="U185" i="25"/>
  <c r="V185" i="25" s="1"/>
  <c r="U189" i="25"/>
  <c r="V189" i="25" s="1"/>
  <c r="U187" i="25"/>
  <c r="V187" i="25" s="1"/>
  <c r="U179" i="25"/>
  <c r="V179" i="25" s="1"/>
  <c r="U182" i="25"/>
  <c r="V182" i="25" s="1"/>
  <c r="U181" i="25"/>
  <c r="V181" i="25" s="1"/>
  <c r="U178" i="25"/>
  <c r="V178" i="25" s="1"/>
  <c r="U114" i="25"/>
  <c r="V114" i="25" s="1"/>
  <c r="U136" i="25"/>
  <c r="V136" i="25" s="1"/>
  <c r="U172" i="25"/>
  <c r="V172" i="25" s="1"/>
  <c r="U130" i="25"/>
  <c r="V130" i="25" s="1"/>
  <c r="U209" i="25"/>
  <c r="V209" i="25" s="1"/>
  <c r="U97" i="25"/>
  <c r="V97" i="25" s="1"/>
  <c r="U132" i="25"/>
  <c r="V132" i="25" s="1"/>
  <c r="U100" i="25"/>
  <c r="V100" i="25" s="1"/>
  <c r="U126" i="25"/>
  <c r="V126" i="25" s="1"/>
  <c r="U138" i="25"/>
  <c r="V138" i="25" s="1"/>
  <c r="U75" i="25"/>
  <c r="V75" i="25" s="1"/>
  <c r="U127" i="25"/>
  <c r="V127" i="25" s="1"/>
  <c r="U76" i="25"/>
  <c r="V76" i="25" s="1"/>
  <c r="U94" i="25"/>
  <c r="V94" i="25" s="1"/>
  <c r="U102" i="25"/>
  <c r="V102" i="25" s="1"/>
  <c r="U128" i="25"/>
  <c r="V128" i="25" s="1"/>
  <c r="U135" i="25"/>
  <c r="V135" i="25" s="1"/>
  <c r="U140" i="25"/>
  <c r="V140" i="25" s="1"/>
  <c r="U146" i="25"/>
  <c r="V146" i="25" s="1"/>
  <c r="U168" i="25"/>
  <c r="V168" i="25" s="1"/>
  <c r="U170" i="25"/>
  <c r="V170" i="25" s="1"/>
  <c r="U169" i="25"/>
  <c r="V169" i="25" s="1"/>
  <c r="U149" i="25"/>
  <c r="V149" i="25" s="1"/>
  <c r="U139" i="25"/>
  <c r="V139" i="25" s="1"/>
  <c r="U131" i="25"/>
  <c r="V131" i="25" s="1"/>
  <c r="U148" i="25"/>
  <c r="V148" i="25" s="1"/>
  <c r="U147" i="25"/>
  <c r="V147" i="25" s="1"/>
  <c r="U198" i="25"/>
  <c r="V198" i="25" s="1"/>
  <c r="U84" i="25"/>
  <c r="V84" i="25" s="1"/>
  <c r="U92" i="25"/>
  <c r="V92" i="25" s="1"/>
  <c r="U101" i="25"/>
  <c r="V101" i="25" s="1"/>
  <c r="U201" i="25"/>
  <c r="V201" i="25" s="1"/>
  <c r="U202" i="25"/>
  <c r="V202" i="25" s="1"/>
  <c r="U49" i="25"/>
  <c r="V49" i="25" s="1"/>
  <c r="U212" i="25"/>
  <c r="V212" i="25" s="1"/>
  <c r="U85" i="25"/>
  <c r="V85" i="25" s="1"/>
  <c r="U88" i="25"/>
  <c r="V88" i="25" s="1"/>
  <c r="U105" i="25"/>
  <c r="V105" i="25" s="1"/>
  <c r="U77" i="25"/>
  <c r="V77" i="25" s="1"/>
  <c r="U93" i="25"/>
  <c r="V93" i="25" s="1"/>
  <c r="U89" i="25"/>
  <c r="V89" i="25" s="1"/>
  <c r="U197" i="25"/>
  <c r="V197" i="25" s="1"/>
  <c r="U103" i="25"/>
  <c r="V103" i="25" s="1"/>
  <c r="U200" i="25"/>
  <c r="V200" i="25" s="1"/>
  <c r="U98" i="25"/>
  <c r="V98" i="25" s="1"/>
  <c r="U72" i="25"/>
  <c r="V72" i="25" s="1"/>
  <c r="U90" i="25"/>
  <c r="V90" i="25" s="1"/>
  <c r="U99" i="25"/>
  <c r="V99" i="25" s="1"/>
  <c r="U91" i="25"/>
  <c r="V91" i="25" s="1"/>
  <c r="U71" i="25"/>
  <c r="V71" i="25" s="1"/>
  <c r="U78" i="25"/>
  <c r="V78" i="25" s="1"/>
  <c r="U69" i="25"/>
  <c r="V69" i="25" s="1"/>
  <c r="U66" i="25"/>
  <c r="V66" i="25" s="1"/>
  <c r="U67" i="25"/>
  <c r="V67" i="25" s="1"/>
  <c r="U57" i="25"/>
  <c r="V57" i="25" s="1"/>
  <c r="U61" i="25"/>
  <c r="V61" i="25" s="1"/>
  <c r="U60" i="25"/>
  <c r="V60" i="25" s="1"/>
  <c r="U59" i="25"/>
  <c r="V59" i="25" s="1"/>
  <c r="U65" i="25"/>
  <c r="V65" i="25" s="1"/>
  <c r="U64" i="25"/>
  <c r="V64" i="25" s="1"/>
  <c r="U63" i="25"/>
  <c r="V63" i="25" s="1"/>
  <c r="U62" i="25"/>
  <c r="V62" i="25" s="1"/>
  <c r="L228" i="25" l="1"/>
  <c r="B78" i="12"/>
  <c r="L216" i="25"/>
  <c r="R216" i="25" s="1"/>
  <c r="U216" i="25" s="1"/>
  <c r="V216" i="25" s="1"/>
  <c r="D51" i="27"/>
  <c r="D8" i="27" s="1"/>
  <c r="R14" i="25"/>
  <c r="U14" i="25" s="1"/>
  <c r="V14" i="25" s="1"/>
  <c r="R13" i="25"/>
  <c r="U13" i="25" s="1"/>
  <c r="V13" i="25" s="1"/>
  <c r="R11" i="25"/>
  <c r="U11" i="25" s="1"/>
  <c r="V11" i="25" s="1"/>
  <c r="R12" i="25"/>
  <c r="U12" i="25" s="1"/>
  <c r="V12" i="25" s="1"/>
  <c r="R10" i="25"/>
  <c r="R9" i="25"/>
  <c r="J10" i="25"/>
  <c r="K10" i="25"/>
  <c r="L10" i="25"/>
  <c r="M10" i="25"/>
  <c r="N10" i="25"/>
  <c r="J11" i="25"/>
  <c r="K11" i="25"/>
  <c r="L11" i="25"/>
  <c r="M11" i="25"/>
  <c r="N11" i="25"/>
  <c r="J12" i="25"/>
  <c r="K12" i="25"/>
  <c r="L12" i="25"/>
  <c r="M12" i="25"/>
  <c r="N12" i="25"/>
  <c r="J13" i="25"/>
  <c r="K13" i="25"/>
  <c r="L13" i="25"/>
  <c r="M13" i="25"/>
  <c r="N13" i="25"/>
  <c r="N14" i="25"/>
  <c r="M14" i="25"/>
  <c r="L14" i="25"/>
  <c r="K14" i="25"/>
  <c r="J14" i="25"/>
  <c r="J21" i="25"/>
  <c r="K21" i="25"/>
  <c r="L21" i="25"/>
  <c r="M21" i="25"/>
  <c r="N21" i="25"/>
  <c r="J22" i="25"/>
  <c r="K22" i="25"/>
  <c r="L22" i="25"/>
  <c r="M22" i="25"/>
  <c r="N22" i="25"/>
  <c r="J23" i="25"/>
  <c r="K23" i="25"/>
  <c r="L23" i="25"/>
  <c r="M23" i="25"/>
  <c r="N23" i="25"/>
  <c r="J24" i="25"/>
  <c r="K24" i="25"/>
  <c r="L24" i="25"/>
  <c r="M24" i="25"/>
  <c r="N24" i="25"/>
  <c r="J25" i="25"/>
  <c r="K25" i="25"/>
  <c r="L25" i="25"/>
  <c r="M25" i="25"/>
  <c r="N25" i="25"/>
  <c r="J26" i="25"/>
  <c r="K26" i="25"/>
  <c r="L26" i="25"/>
  <c r="M26" i="25"/>
  <c r="N26" i="25"/>
  <c r="J27" i="25"/>
  <c r="K27" i="25"/>
  <c r="L27" i="25"/>
  <c r="M27" i="25"/>
  <c r="N27" i="25"/>
  <c r="J28" i="25"/>
  <c r="K28" i="25"/>
  <c r="L28" i="25"/>
  <c r="M28" i="25"/>
  <c r="N28" i="25"/>
  <c r="J29" i="25"/>
  <c r="K29" i="25"/>
  <c r="L29" i="25"/>
  <c r="M29" i="25"/>
  <c r="N29" i="25"/>
  <c r="J30" i="25"/>
  <c r="K30" i="25"/>
  <c r="L30" i="25"/>
  <c r="M30" i="25"/>
  <c r="N30" i="25"/>
  <c r="J31" i="25"/>
  <c r="K31" i="25"/>
  <c r="L31" i="25"/>
  <c r="M31" i="25"/>
  <c r="N31" i="25"/>
  <c r="J32" i="25"/>
  <c r="K32" i="25"/>
  <c r="L32" i="25"/>
  <c r="M32" i="25"/>
  <c r="N32" i="25"/>
  <c r="J33" i="25"/>
  <c r="K33" i="25"/>
  <c r="L33" i="25"/>
  <c r="M33" i="25"/>
  <c r="N33" i="25"/>
  <c r="J34" i="25"/>
  <c r="K34" i="25"/>
  <c r="L34" i="25"/>
  <c r="M34" i="25"/>
  <c r="N34" i="25"/>
  <c r="J35" i="25"/>
  <c r="K35" i="25"/>
  <c r="L35" i="25"/>
  <c r="M35" i="25"/>
  <c r="N35" i="25"/>
  <c r="J36" i="25"/>
  <c r="K36" i="25"/>
  <c r="L36" i="25"/>
  <c r="M36" i="25"/>
  <c r="N36" i="25"/>
  <c r="J37" i="25"/>
  <c r="K37" i="25"/>
  <c r="L37" i="25"/>
  <c r="M37" i="25"/>
  <c r="N37" i="25"/>
  <c r="J38" i="25"/>
  <c r="K38" i="25"/>
  <c r="L38" i="25"/>
  <c r="M38" i="25"/>
  <c r="N38" i="25"/>
  <c r="J40" i="25"/>
  <c r="K40" i="25"/>
  <c r="L40" i="25"/>
  <c r="M40" i="25"/>
  <c r="N40" i="25"/>
  <c r="J41" i="25"/>
  <c r="K41" i="25"/>
  <c r="L41" i="25"/>
  <c r="M41" i="25"/>
  <c r="N41" i="25"/>
  <c r="J42" i="25"/>
  <c r="K42" i="25"/>
  <c r="L42" i="25"/>
  <c r="M42" i="25"/>
  <c r="N42" i="25"/>
  <c r="J43" i="25"/>
  <c r="K43" i="25"/>
  <c r="L43" i="25"/>
  <c r="M43" i="25"/>
  <c r="N43" i="25"/>
  <c r="J44" i="25"/>
  <c r="K44" i="25"/>
  <c r="L44" i="25"/>
  <c r="M44" i="25"/>
  <c r="N44" i="25"/>
  <c r="J45" i="25"/>
  <c r="K45" i="25"/>
  <c r="L45" i="25"/>
  <c r="M45" i="25"/>
  <c r="N45" i="25"/>
  <c r="J46" i="25"/>
  <c r="K46" i="25"/>
  <c r="L46" i="25"/>
  <c r="M46" i="25"/>
  <c r="N46" i="25"/>
  <c r="J47" i="25"/>
  <c r="K47" i="25"/>
  <c r="L47" i="25"/>
  <c r="M47" i="25"/>
  <c r="N47" i="25"/>
  <c r="J48" i="25"/>
  <c r="K48" i="25"/>
  <c r="L48" i="25"/>
  <c r="M48" i="25"/>
  <c r="N48" i="25"/>
  <c r="U9" i="25" l="1"/>
  <c r="V9" i="25" s="1"/>
  <c r="D12" i="27"/>
  <c r="U10" i="25"/>
  <c r="V10" i="25" s="1"/>
  <c r="D13" i="27"/>
  <c r="L9" i="25"/>
  <c r="F48" i="25"/>
  <c r="L49" i="25"/>
  <c r="L57" i="25"/>
  <c r="D66" i="25"/>
  <c r="E66" i="25"/>
  <c r="F66" i="25"/>
  <c r="C66" i="25"/>
  <c r="F20" i="25"/>
  <c r="E20" i="25"/>
  <c r="D20" i="25"/>
  <c r="C20" i="25"/>
  <c r="E41" i="25"/>
  <c r="F41" i="25"/>
  <c r="E42" i="25"/>
  <c r="F42" i="25"/>
  <c r="E43" i="25"/>
  <c r="F43" i="25"/>
  <c r="E44" i="25"/>
  <c r="F44" i="25"/>
  <c r="E45" i="25"/>
  <c r="F45" i="25"/>
  <c r="E46" i="25"/>
  <c r="F46" i="25"/>
  <c r="E47" i="25"/>
  <c r="F47" i="25"/>
  <c r="E48" i="25"/>
  <c r="F40" i="25"/>
  <c r="E40" i="25"/>
  <c r="N39" i="25"/>
  <c r="M39" i="25"/>
  <c r="L39" i="25"/>
  <c r="K39" i="25"/>
  <c r="J39" i="25"/>
  <c r="I39" i="25"/>
  <c r="X39" i="25" s="1"/>
  <c r="F39" i="25"/>
  <c r="I36" i="25"/>
  <c r="X36" i="25" s="1"/>
  <c r="F36" i="25"/>
  <c r="I33" i="25"/>
  <c r="X33" i="25" s="1"/>
  <c r="F33" i="25"/>
  <c r="I31" i="25"/>
  <c r="X31" i="25" s="1"/>
  <c r="F31" i="25"/>
  <c r="F28" i="25" l="1"/>
  <c r="F27" i="25"/>
  <c r="F26" i="25"/>
  <c r="F25" i="25"/>
  <c r="F24" i="25"/>
  <c r="F23" i="25"/>
  <c r="F22" i="25"/>
  <c r="F21" i="25"/>
  <c r="C16" i="25"/>
  <c r="D16" i="25"/>
  <c r="E16" i="25"/>
  <c r="F16" i="25"/>
  <c r="C17" i="25"/>
  <c r="D17" i="25"/>
  <c r="E17" i="25"/>
  <c r="F17" i="25"/>
  <c r="C18" i="25"/>
  <c r="D18" i="25"/>
  <c r="E18" i="25"/>
  <c r="F18" i="25"/>
  <c r="C19" i="25"/>
  <c r="D19" i="25"/>
  <c r="E19" i="25"/>
  <c r="F19" i="25"/>
  <c r="F15" i="25"/>
  <c r="E15" i="25"/>
  <c r="D15" i="25"/>
  <c r="C15" i="25"/>
  <c r="F14" i="25"/>
  <c r="E14" i="25"/>
  <c r="D14" i="25"/>
  <c r="F13" i="25"/>
  <c r="E13" i="25"/>
  <c r="D13" i="25"/>
  <c r="F12" i="25"/>
  <c r="E12" i="25"/>
  <c r="D12" i="25"/>
  <c r="F11" i="25"/>
  <c r="E11" i="25"/>
  <c r="D11" i="25"/>
  <c r="F10" i="25"/>
  <c r="E10" i="25"/>
  <c r="D10" i="25"/>
  <c r="F9" i="25"/>
  <c r="E9" i="25"/>
  <c r="D9" i="25"/>
  <c r="C9" i="25"/>
  <c r="D8" i="25"/>
  <c r="E8" i="25"/>
  <c r="F8" i="25"/>
  <c r="C8" i="25"/>
  <c r="J255" i="25" l="1"/>
  <c r="U255" i="25" s="1"/>
  <c r="K255" i="25"/>
  <c r="L255" i="25"/>
  <c r="J256" i="25"/>
  <c r="K256" i="25"/>
  <c r="L256" i="25"/>
  <c r="J257" i="25"/>
  <c r="K257" i="25"/>
  <c r="L257" i="25"/>
  <c r="J258" i="25"/>
  <c r="K258" i="25"/>
  <c r="L258" i="25"/>
  <c r="J259" i="25"/>
  <c r="K259" i="25"/>
  <c r="L259" i="25"/>
  <c r="BS162" i="17" l="1"/>
  <c r="BT162" i="17" s="1"/>
  <c r="BM162" i="17"/>
  <c r="BS154" i="17"/>
  <c r="BT154" i="17" s="1"/>
  <c r="BM154" i="17"/>
  <c r="BS146" i="17"/>
  <c r="BT146" i="17" s="1"/>
  <c r="BM146" i="17"/>
  <c r="BS138" i="17"/>
  <c r="BT138" i="17" s="1"/>
  <c r="BM138" i="17"/>
  <c r="BS130" i="17"/>
  <c r="BT130" i="17" s="1"/>
  <c r="BM130" i="17"/>
  <c r="BS122" i="17"/>
  <c r="BT122" i="17" s="1"/>
  <c r="BM122" i="17"/>
  <c r="BS114" i="17"/>
  <c r="BT114" i="17" s="1"/>
  <c r="BM114" i="17"/>
  <c r="BS106" i="17"/>
  <c r="BT106" i="17" s="1"/>
  <c r="BM106" i="17"/>
  <c r="BS98" i="17"/>
  <c r="BT98" i="17" s="1"/>
  <c r="BM98" i="17"/>
  <c r="BS90" i="17"/>
  <c r="BT90" i="17" s="1"/>
  <c r="BM90" i="17"/>
  <c r="BS161" i="17"/>
  <c r="BT161" i="17" s="1"/>
  <c r="BM161" i="17"/>
  <c r="BS153" i="17"/>
  <c r="BT153" i="17" s="1"/>
  <c r="BM153" i="17"/>
  <c r="BS145" i="17"/>
  <c r="BT145" i="17" s="1"/>
  <c r="BM145" i="17"/>
  <c r="BS137" i="17"/>
  <c r="BT137" i="17" s="1"/>
  <c r="BM137" i="17"/>
  <c r="BS129" i="17"/>
  <c r="BT129" i="17" s="1"/>
  <c r="BM129" i="17"/>
  <c r="BS121" i="17"/>
  <c r="BT121" i="17" s="1"/>
  <c r="BM121" i="17"/>
  <c r="BS113" i="17"/>
  <c r="BT113" i="17" s="1"/>
  <c r="BM113" i="17"/>
  <c r="BS105" i="17"/>
  <c r="BT105" i="17" s="1"/>
  <c r="BM105" i="17"/>
  <c r="BS97" i="17"/>
  <c r="BT97" i="17" s="1"/>
  <c r="BM97" i="17"/>
  <c r="BS89" i="17"/>
  <c r="BT89" i="17" s="1"/>
  <c r="BM89" i="17"/>
  <c r="BS160" i="17"/>
  <c r="BT160" i="17" s="1"/>
  <c r="BM160" i="17"/>
  <c r="BS152" i="17"/>
  <c r="BT152" i="17" s="1"/>
  <c r="BM152" i="17"/>
  <c r="BS144" i="17"/>
  <c r="BT144" i="17" s="1"/>
  <c r="BM144" i="17"/>
  <c r="BS136" i="17"/>
  <c r="BT136" i="17" s="1"/>
  <c r="BM136" i="17"/>
  <c r="BS128" i="17"/>
  <c r="BT128" i="17" s="1"/>
  <c r="BM128" i="17"/>
  <c r="BS120" i="17"/>
  <c r="BT120" i="17" s="1"/>
  <c r="BM120" i="17"/>
  <c r="BS112" i="17"/>
  <c r="BT112" i="17" s="1"/>
  <c r="BM112" i="17"/>
  <c r="BS104" i="17"/>
  <c r="BT104" i="17" s="1"/>
  <c r="BM104" i="17"/>
  <c r="BS96" i="17"/>
  <c r="BT96" i="17" s="1"/>
  <c r="BM96" i="17"/>
  <c r="BS88" i="17"/>
  <c r="BT88" i="17" s="1"/>
  <c r="BM88" i="17"/>
  <c r="BM159" i="17"/>
  <c r="BS159" i="17"/>
  <c r="BT159" i="17" s="1"/>
  <c r="BM151" i="17"/>
  <c r="BS151" i="17"/>
  <c r="BT151" i="17" s="1"/>
  <c r="BS143" i="17"/>
  <c r="BT143" i="17" s="1"/>
  <c r="BM143" i="17"/>
  <c r="BS135" i="17"/>
  <c r="BT135" i="17" s="1"/>
  <c r="BM135" i="17"/>
  <c r="BM127" i="17"/>
  <c r="BS127" i="17"/>
  <c r="BT127" i="17" s="1"/>
  <c r="BM119" i="17"/>
  <c r="BS119" i="17"/>
  <c r="BT119" i="17" s="1"/>
  <c r="BS111" i="17"/>
  <c r="BT111" i="17" s="1"/>
  <c r="BM111" i="17"/>
  <c r="BS103" i="17"/>
  <c r="BT103" i="17" s="1"/>
  <c r="BM103" i="17"/>
  <c r="BM95" i="17"/>
  <c r="BS95" i="17"/>
  <c r="BT95" i="17" s="1"/>
  <c r="BM87" i="17"/>
  <c r="BS87" i="17"/>
  <c r="BT87" i="17" s="1"/>
  <c r="BS158" i="17"/>
  <c r="BT158" i="17" s="1"/>
  <c r="BM158" i="17"/>
  <c r="BS150" i="17"/>
  <c r="BT150" i="17" s="1"/>
  <c r="BM150" i="17"/>
  <c r="BS142" i="17"/>
  <c r="BT142" i="17" s="1"/>
  <c r="BM142" i="17"/>
  <c r="BS134" i="17"/>
  <c r="BT134" i="17" s="1"/>
  <c r="BM134" i="17"/>
  <c r="BS126" i="17"/>
  <c r="BT126" i="17" s="1"/>
  <c r="BM126" i="17"/>
  <c r="BS118" i="17"/>
  <c r="BT118" i="17" s="1"/>
  <c r="BM118" i="17"/>
  <c r="BS110" i="17"/>
  <c r="BT110" i="17" s="1"/>
  <c r="BM110" i="17"/>
  <c r="BS102" i="17"/>
  <c r="BT102" i="17" s="1"/>
  <c r="BM102" i="17"/>
  <c r="BS94" i="17"/>
  <c r="BT94" i="17" s="1"/>
  <c r="BM94" i="17"/>
  <c r="BS86" i="17"/>
  <c r="BT86" i="17" s="1"/>
  <c r="BM86" i="17"/>
  <c r="BS157" i="17"/>
  <c r="BT157" i="17" s="1"/>
  <c r="BM157" i="17"/>
  <c r="BS149" i="17"/>
  <c r="BT149" i="17" s="1"/>
  <c r="BM149" i="17"/>
  <c r="BS141" i="17"/>
  <c r="BT141" i="17" s="1"/>
  <c r="BM141" i="17"/>
  <c r="BS133" i="17"/>
  <c r="BT133" i="17" s="1"/>
  <c r="BM133" i="17"/>
  <c r="BS125" i="17"/>
  <c r="BT125" i="17" s="1"/>
  <c r="BM125" i="17"/>
  <c r="BS117" i="17"/>
  <c r="BT117" i="17" s="1"/>
  <c r="BM117" i="17"/>
  <c r="BS109" i="17"/>
  <c r="BT109" i="17" s="1"/>
  <c r="BM109" i="17"/>
  <c r="BS101" i="17"/>
  <c r="BT101" i="17" s="1"/>
  <c r="BM101" i="17"/>
  <c r="BS93" i="17"/>
  <c r="BT93" i="17" s="1"/>
  <c r="BM93" i="17"/>
  <c r="BS85" i="17"/>
  <c r="BT85" i="17" s="1"/>
  <c r="BM85" i="17"/>
  <c r="BS156" i="17"/>
  <c r="BT156" i="17" s="1"/>
  <c r="BM156" i="17"/>
  <c r="BS148" i="17"/>
  <c r="BT148" i="17" s="1"/>
  <c r="BM148" i="17"/>
  <c r="BS140" i="17"/>
  <c r="BT140" i="17" s="1"/>
  <c r="BM140" i="17"/>
  <c r="BS132" i="17"/>
  <c r="BT132" i="17" s="1"/>
  <c r="BM132" i="17"/>
  <c r="BS124" i="17"/>
  <c r="BT124" i="17" s="1"/>
  <c r="BM124" i="17"/>
  <c r="BS116" i="17"/>
  <c r="BT116" i="17" s="1"/>
  <c r="BM116" i="17"/>
  <c r="BS108" i="17"/>
  <c r="BT108" i="17" s="1"/>
  <c r="BM108" i="17"/>
  <c r="BS100" i="17"/>
  <c r="BT100" i="17" s="1"/>
  <c r="BM100" i="17"/>
  <c r="BS92" i="17"/>
  <c r="BT92" i="17" s="1"/>
  <c r="BM92" i="17"/>
  <c r="BS84" i="17"/>
  <c r="BT84" i="17" s="1"/>
  <c r="BM84" i="17"/>
  <c r="BM155" i="17"/>
  <c r="BS155" i="17"/>
  <c r="BT155" i="17" s="1"/>
  <c r="BM147" i="17"/>
  <c r="BS147" i="17"/>
  <c r="BT147" i="17" s="1"/>
  <c r="BM139" i="17"/>
  <c r="BS139" i="17"/>
  <c r="BT139" i="17" s="1"/>
  <c r="BM131" i="17"/>
  <c r="BS131" i="17"/>
  <c r="BT131" i="17" s="1"/>
  <c r="BM123" i="17"/>
  <c r="BS123" i="17"/>
  <c r="BT123" i="17" s="1"/>
  <c r="BM115" i="17"/>
  <c r="BS115" i="17"/>
  <c r="BT115" i="17" s="1"/>
  <c r="BM107" i="17"/>
  <c r="BS107" i="17"/>
  <c r="BT107" i="17" s="1"/>
  <c r="BM99" i="17"/>
  <c r="BS99" i="17"/>
  <c r="BT99" i="17" s="1"/>
  <c r="BM91" i="17"/>
  <c r="BS91" i="17"/>
  <c r="BT91" i="17" s="1"/>
  <c r="BM83" i="17"/>
  <c r="BS83" i="17"/>
  <c r="BT83" i="17" s="1"/>
  <c r="U257" i="25"/>
  <c r="U256" i="25"/>
  <c r="BO136" i="17"/>
  <c r="BP136" i="17"/>
  <c r="BN136" i="17"/>
  <c r="BN104" i="17"/>
  <c r="BO104" i="17"/>
  <c r="BP104" i="17"/>
  <c r="BP143" i="17"/>
  <c r="BN143" i="17"/>
  <c r="BO143" i="17"/>
  <c r="BP111" i="17"/>
  <c r="BO111" i="17"/>
  <c r="BN111" i="17"/>
  <c r="BN134" i="17"/>
  <c r="BO134" i="17"/>
  <c r="BP134" i="17"/>
  <c r="BN148" i="17"/>
  <c r="BO148" i="17"/>
  <c r="BP148" i="17"/>
  <c r="BP124" i="17"/>
  <c r="BN124" i="17"/>
  <c r="BO124" i="17"/>
  <c r="BN84" i="17"/>
  <c r="BO84" i="17"/>
  <c r="BP84" i="17"/>
  <c r="BN162" i="17"/>
  <c r="BO162" i="17"/>
  <c r="BP162" i="17"/>
  <c r="BN154" i="17"/>
  <c r="BO154" i="17"/>
  <c r="BP154" i="17"/>
  <c r="BN146" i="17"/>
  <c r="BO146" i="17"/>
  <c r="BP146" i="17"/>
  <c r="BN138" i="17"/>
  <c r="BO138" i="17"/>
  <c r="BP138" i="17"/>
  <c r="BN130" i="17"/>
  <c r="BO130" i="17"/>
  <c r="BP130" i="17"/>
  <c r="BN122" i="17"/>
  <c r="BO122" i="17"/>
  <c r="BP122" i="17"/>
  <c r="BN114" i="17"/>
  <c r="BO114" i="17"/>
  <c r="BP114" i="17"/>
  <c r="BN106" i="17"/>
  <c r="BO106" i="17"/>
  <c r="BP106" i="17"/>
  <c r="BN98" i="17"/>
  <c r="BO98" i="17"/>
  <c r="BP98" i="17"/>
  <c r="BN90" i="17"/>
  <c r="BO90" i="17"/>
  <c r="BP90" i="17"/>
  <c r="BN160" i="17"/>
  <c r="BO160" i="17"/>
  <c r="BP160" i="17"/>
  <c r="BO128" i="17"/>
  <c r="BP128" i="17"/>
  <c r="BN128" i="17"/>
  <c r="BN96" i="17"/>
  <c r="BO96" i="17"/>
  <c r="BP96" i="17"/>
  <c r="BP135" i="17"/>
  <c r="BN135" i="17"/>
  <c r="BO135" i="17"/>
  <c r="BP87" i="17"/>
  <c r="BN87" i="17"/>
  <c r="BO87" i="17"/>
  <c r="BN142" i="17"/>
  <c r="BO142" i="17"/>
  <c r="BP142" i="17"/>
  <c r="BO140" i="17"/>
  <c r="BN140" i="17"/>
  <c r="BP140" i="17"/>
  <c r="BN116" i="17"/>
  <c r="BO116" i="17"/>
  <c r="BP116" i="17"/>
  <c r="BO92" i="17"/>
  <c r="BP92" i="17"/>
  <c r="BN92" i="17"/>
  <c r="BN161" i="17"/>
  <c r="BO161" i="17"/>
  <c r="BP161" i="17"/>
  <c r="BN153" i="17"/>
  <c r="BO153" i="17"/>
  <c r="BP153" i="17"/>
  <c r="BN145" i="17"/>
  <c r="BO145" i="17"/>
  <c r="BP145" i="17"/>
  <c r="BN137" i="17"/>
  <c r="BO137" i="17"/>
  <c r="BP137" i="17"/>
  <c r="BO129" i="17"/>
  <c r="BN129" i="17"/>
  <c r="BP129" i="17"/>
  <c r="BP121" i="17"/>
  <c r="BN121" i="17"/>
  <c r="BO121" i="17"/>
  <c r="BN113" i="17"/>
  <c r="BO113" i="17"/>
  <c r="BP113" i="17"/>
  <c r="BN105" i="17"/>
  <c r="BO105" i="17"/>
  <c r="BP105" i="17"/>
  <c r="BO97" i="17"/>
  <c r="BP97" i="17"/>
  <c r="BN97" i="17"/>
  <c r="BN89" i="17"/>
  <c r="BO89" i="17"/>
  <c r="BP89" i="17"/>
  <c r="BO144" i="17"/>
  <c r="BN144" i="17"/>
  <c r="BP144" i="17"/>
  <c r="BP112" i="17"/>
  <c r="BN112" i="17"/>
  <c r="BO112" i="17"/>
  <c r="BO88" i="17"/>
  <c r="BP88" i="17"/>
  <c r="BN88" i="17"/>
  <c r="BN159" i="17"/>
  <c r="BP159" i="17"/>
  <c r="BO159" i="17"/>
  <c r="BP127" i="17"/>
  <c r="BN127" i="17"/>
  <c r="BO127" i="17"/>
  <c r="BP119" i="17"/>
  <c r="BO119" i="17"/>
  <c r="BN119" i="17"/>
  <c r="BP95" i="17"/>
  <c r="BN95" i="17"/>
  <c r="BO95" i="17"/>
  <c r="BO158" i="17"/>
  <c r="BP158" i="17"/>
  <c r="BN158" i="17"/>
  <c r="BN126" i="17"/>
  <c r="BO126" i="17"/>
  <c r="BP126" i="17"/>
  <c r="BP118" i="17"/>
  <c r="BN118" i="17"/>
  <c r="BO118" i="17"/>
  <c r="BO110" i="17"/>
  <c r="BP110" i="17"/>
  <c r="BN110" i="17"/>
  <c r="BO102" i="17"/>
  <c r="BN102" i="17"/>
  <c r="BP102" i="17"/>
  <c r="BO94" i="17"/>
  <c r="BP94" i="17"/>
  <c r="BN94" i="17"/>
  <c r="BN86" i="17"/>
  <c r="BO86" i="17"/>
  <c r="BP86" i="17"/>
  <c r="BO157" i="17"/>
  <c r="BP157" i="17"/>
  <c r="BN157" i="17"/>
  <c r="BO149" i="17"/>
  <c r="BP149" i="17"/>
  <c r="BN149" i="17"/>
  <c r="BN141" i="17"/>
  <c r="BO141" i="17"/>
  <c r="BP141" i="17"/>
  <c r="BN133" i="17"/>
  <c r="BO133" i="17"/>
  <c r="BP133" i="17"/>
  <c r="BO125" i="17"/>
  <c r="BN125" i="17"/>
  <c r="BP125" i="17"/>
  <c r="BN117" i="17"/>
  <c r="BO117" i="17"/>
  <c r="BP117" i="17"/>
  <c r="BP109" i="17"/>
  <c r="BN109" i="17"/>
  <c r="BO109" i="17"/>
  <c r="BO101" i="17"/>
  <c r="BP101" i="17"/>
  <c r="BN101" i="17"/>
  <c r="BO93" i="17"/>
  <c r="BN93" i="17"/>
  <c r="BP93" i="17"/>
  <c r="BO85" i="17"/>
  <c r="BP85" i="17"/>
  <c r="BN85" i="17"/>
  <c r="BN152" i="17"/>
  <c r="BO152" i="17"/>
  <c r="BP152" i="17"/>
  <c r="BO120" i="17"/>
  <c r="BP120" i="17"/>
  <c r="BN120" i="17"/>
  <c r="BP151" i="17"/>
  <c r="BN151" i="17"/>
  <c r="BO151" i="17"/>
  <c r="BP103" i="17"/>
  <c r="BO103" i="17"/>
  <c r="BN103" i="17"/>
  <c r="BN150" i="17"/>
  <c r="BO150" i="17"/>
  <c r="BP150" i="17"/>
  <c r="BN156" i="17"/>
  <c r="BO156" i="17"/>
  <c r="BP156" i="17"/>
  <c r="BN132" i="17"/>
  <c r="BO132" i="17"/>
  <c r="BP132" i="17"/>
  <c r="BN108" i="17"/>
  <c r="BO108" i="17"/>
  <c r="BP108" i="17"/>
  <c r="BO100" i="17"/>
  <c r="BP100" i="17"/>
  <c r="BN100" i="17"/>
  <c r="BO155" i="17"/>
  <c r="BN155" i="17"/>
  <c r="BP155" i="17"/>
  <c r="BO147" i="17"/>
  <c r="BP147" i="17"/>
  <c r="BN147" i="17"/>
  <c r="BO139" i="17"/>
  <c r="BP139" i="17"/>
  <c r="BN139" i="17"/>
  <c r="BO131" i="17"/>
  <c r="BP131" i="17"/>
  <c r="BN131" i="17"/>
  <c r="BN123" i="17"/>
  <c r="BO123" i="17"/>
  <c r="BP123" i="17"/>
  <c r="BP115" i="17"/>
  <c r="BN115" i="17"/>
  <c r="BO115" i="17"/>
  <c r="BN107" i="17"/>
  <c r="BO107" i="17"/>
  <c r="BP107" i="17"/>
  <c r="BN99" i="17"/>
  <c r="BO99" i="17"/>
  <c r="BP99" i="17"/>
  <c r="BO91" i="17"/>
  <c r="BP91" i="17"/>
  <c r="BN91" i="17"/>
  <c r="BO83" i="17"/>
  <c r="BP83" i="17"/>
  <c r="BN83" i="17"/>
  <c r="B32" i="21"/>
  <c r="B31" i="21"/>
  <c r="B30" i="21"/>
  <c r="B29" i="21"/>
  <c r="B27" i="21"/>
  <c r="B85" i="10"/>
  <c r="B86" i="10" s="1"/>
  <c r="B87" i="10" s="1"/>
  <c r="B83" i="10"/>
  <c r="B84" i="10" s="1"/>
  <c r="M26" i="10"/>
  <c r="N26" i="10"/>
  <c r="O26" i="10"/>
  <c r="AB26" i="10" s="1"/>
  <c r="L26" i="10"/>
  <c r="BS14" i="17" l="1"/>
  <c r="BR14" i="17"/>
  <c r="B88" i="10"/>
  <c r="R180" i="25"/>
  <c r="U180" i="25" s="1"/>
  <c r="V180" i="25" s="1"/>
  <c r="L180" i="25"/>
  <c r="BP14" i="17"/>
  <c r="L351" i="25"/>
  <c r="L352" i="25" l="1"/>
  <c r="R352" i="25" s="1"/>
  <c r="U352" i="25" s="1"/>
  <c r="V352" i="25" s="1"/>
  <c r="R351" i="25"/>
  <c r="U351" i="25" s="1"/>
  <c r="V351" i="25" s="1"/>
  <c r="BT14" i="17"/>
  <c r="H212" i="25" l="1"/>
  <c r="H124" i="25"/>
  <c r="H108" i="25"/>
  <c r="H100" i="25"/>
  <c r="H92" i="25"/>
  <c r="H84" i="25"/>
  <c r="H60" i="25"/>
  <c r="H52" i="25"/>
  <c r="H44" i="25"/>
  <c r="H11" i="25"/>
  <c r="H123" i="25"/>
  <c r="H99" i="25"/>
  <c r="H91" i="25"/>
  <c r="H59" i="25"/>
  <c r="H51" i="25"/>
  <c r="H43" i="25"/>
  <c r="H12" i="25"/>
  <c r="H202" i="25"/>
  <c r="H194" i="25"/>
  <c r="H170" i="25"/>
  <c r="H122" i="25"/>
  <c r="H98" i="25"/>
  <c r="H90" i="25"/>
  <c r="H58" i="25"/>
  <c r="H50" i="25"/>
  <c r="H42" i="25"/>
  <c r="H13" i="25"/>
  <c r="H209" i="25"/>
  <c r="H201" i="25"/>
  <c r="H105" i="25"/>
  <c r="H97" i="25"/>
  <c r="H89" i="25"/>
  <c r="H65" i="25"/>
  <c r="H57" i="25"/>
  <c r="H49" i="25"/>
  <c r="H41" i="25"/>
  <c r="H14" i="25"/>
  <c r="H200" i="25"/>
  <c r="H176" i="25"/>
  <c r="H104" i="25"/>
  <c r="H96" i="25"/>
  <c r="H88" i="25"/>
  <c r="H64" i="25"/>
  <c r="H56" i="25"/>
  <c r="H48" i="25"/>
  <c r="H40" i="25"/>
  <c r="H199" i="25"/>
  <c r="H103" i="25"/>
  <c r="H95" i="25"/>
  <c r="H87" i="25"/>
  <c r="H63" i="25"/>
  <c r="H55" i="25"/>
  <c r="H47" i="25"/>
  <c r="H198" i="25"/>
  <c r="H102" i="25"/>
  <c r="H94" i="25"/>
  <c r="H86" i="25"/>
  <c r="H62" i="25"/>
  <c r="H54" i="25"/>
  <c r="H46" i="25"/>
  <c r="H197" i="25"/>
  <c r="H125" i="25"/>
  <c r="H109" i="25"/>
  <c r="H101" i="25"/>
  <c r="H93" i="25"/>
  <c r="H85" i="25"/>
  <c r="H61" i="25"/>
  <c r="H53" i="25"/>
  <c r="H45" i="25"/>
  <c r="H10" i="25"/>
  <c r="H67" i="25"/>
  <c r="H208" i="25"/>
  <c r="H204" i="25"/>
  <c r="H206" i="25"/>
  <c r="H207" i="25"/>
  <c r="H205" i="25"/>
  <c r="H171" i="25"/>
  <c r="H68" i="25"/>
  <c r="H20" i="25"/>
  <c r="H66" i="25"/>
  <c r="H19" i="25"/>
  <c r="H8" i="25"/>
  <c r="H17" i="25"/>
  <c r="H15" i="25"/>
  <c r="H18" i="25"/>
  <c r="H16" i="25"/>
  <c r="H9" i="25"/>
  <c r="B89" i="14"/>
  <c r="B88" i="14" s="1"/>
  <c r="BM66" i="17" l="1"/>
  <c r="BM67" i="17"/>
  <c r="BM68" i="17"/>
  <c r="BM69" i="17"/>
  <c r="BM70" i="17"/>
  <c r="BM71" i="17"/>
  <c r="L4" i="25"/>
  <c r="R4" i="25" s="1"/>
  <c r="U4" i="25" s="1"/>
  <c r="V4" i="25" s="1"/>
  <c r="N24" i="15"/>
  <c r="O24" i="15"/>
  <c r="P24" i="15"/>
  <c r="Q24" i="15"/>
  <c r="R24" i="15"/>
  <c r="S24" i="15"/>
  <c r="Q11" i="21" s="1"/>
  <c r="Q12" i="21" s="1"/>
  <c r="T24" i="15"/>
  <c r="U24" i="15"/>
  <c r="M24" i="15"/>
  <c r="L24" i="15"/>
  <c r="L25" i="15"/>
  <c r="E24" i="15"/>
  <c r="F24" i="15"/>
  <c r="G24" i="15"/>
  <c r="H24" i="15"/>
  <c r="J24" i="15"/>
  <c r="K24" i="15"/>
  <c r="C24" i="15"/>
  <c r="N23" i="15"/>
  <c r="O23" i="15"/>
  <c r="P23" i="15"/>
  <c r="Q23" i="15"/>
  <c r="R23" i="15"/>
  <c r="S23" i="15"/>
  <c r="T23" i="15"/>
  <c r="U23" i="15"/>
  <c r="M23" i="15"/>
  <c r="B24" i="15"/>
  <c r="B25" i="15"/>
  <c r="D23" i="15"/>
  <c r="E23" i="15"/>
  <c r="F23" i="15"/>
  <c r="G23" i="15"/>
  <c r="H23" i="15"/>
  <c r="I23" i="15"/>
  <c r="J23" i="15"/>
  <c r="K23" i="15"/>
  <c r="C23" i="15"/>
  <c r="G130" i="12"/>
  <c r="F130" i="12"/>
  <c r="E130" i="12"/>
  <c r="G129" i="12"/>
  <c r="F129" i="12"/>
  <c r="E129" i="12"/>
  <c r="G128" i="12"/>
  <c r="F128" i="12"/>
  <c r="E128" i="12"/>
  <c r="G127" i="12"/>
  <c r="F127" i="12"/>
  <c r="E127" i="12"/>
  <c r="G126" i="12"/>
  <c r="F126" i="12"/>
  <c r="E126" i="12"/>
  <c r="G125" i="12"/>
  <c r="F125" i="12"/>
  <c r="E125" i="12"/>
  <c r="G124" i="12"/>
  <c r="F124" i="12"/>
  <c r="E124" i="12"/>
  <c r="G123" i="12"/>
  <c r="F123" i="12"/>
  <c r="E123" i="12"/>
  <c r="G122" i="12"/>
  <c r="F122" i="12"/>
  <c r="E122" i="12"/>
  <c r="G121" i="12"/>
  <c r="F121" i="12"/>
  <c r="E121" i="12"/>
  <c r="G120" i="12"/>
  <c r="F120" i="12"/>
  <c r="E120" i="12"/>
  <c r="G119" i="12"/>
  <c r="F119" i="12"/>
  <c r="E119" i="12"/>
  <c r="G118" i="12"/>
  <c r="F118" i="12"/>
  <c r="E118" i="12"/>
  <c r="G117" i="12"/>
  <c r="F117" i="12"/>
  <c r="E117" i="12"/>
  <c r="G114" i="12"/>
  <c r="F114" i="12"/>
  <c r="E114" i="12"/>
  <c r="G113" i="12"/>
  <c r="F113" i="12"/>
  <c r="E113" i="12"/>
  <c r="G112" i="12"/>
  <c r="F112" i="12"/>
  <c r="E112" i="12"/>
  <c r="G111" i="12"/>
  <c r="F111" i="12"/>
  <c r="E111" i="12"/>
  <c r="G110" i="12"/>
  <c r="F110" i="12"/>
  <c r="E110" i="12"/>
  <c r="G109" i="12"/>
  <c r="F109" i="12"/>
  <c r="E109" i="12"/>
  <c r="G108" i="12"/>
  <c r="F108" i="12"/>
  <c r="E108" i="12"/>
  <c r="G107" i="12"/>
  <c r="F107" i="12"/>
  <c r="E107" i="12"/>
  <c r="G106" i="12"/>
  <c r="F106" i="12"/>
  <c r="E106" i="12"/>
  <c r="G105" i="12"/>
  <c r="F105" i="12"/>
  <c r="E105" i="12"/>
  <c r="G104" i="12"/>
  <c r="F104" i="12"/>
  <c r="E104" i="12"/>
  <c r="G103" i="12"/>
  <c r="F103" i="12"/>
  <c r="E103" i="12"/>
  <c r="G102" i="12"/>
  <c r="F102" i="12"/>
  <c r="E102" i="12"/>
  <c r="G101" i="12"/>
  <c r="F101" i="12"/>
  <c r="E101" i="12"/>
  <c r="E86" i="12"/>
  <c r="F86" i="12"/>
  <c r="G86" i="12"/>
  <c r="E87" i="12"/>
  <c r="F87" i="12"/>
  <c r="G87" i="12"/>
  <c r="E88" i="12"/>
  <c r="F88" i="12"/>
  <c r="G88" i="12"/>
  <c r="E89" i="12"/>
  <c r="F89" i="12"/>
  <c r="G89" i="12"/>
  <c r="E90" i="12"/>
  <c r="F90" i="12"/>
  <c r="G90" i="12"/>
  <c r="E91" i="12"/>
  <c r="F91" i="12"/>
  <c r="G91" i="12"/>
  <c r="E92" i="12"/>
  <c r="F92" i="12"/>
  <c r="G92" i="12"/>
  <c r="E93" i="12"/>
  <c r="F93" i="12"/>
  <c r="G93" i="12"/>
  <c r="E94" i="12"/>
  <c r="F94" i="12"/>
  <c r="G94" i="12"/>
  <c r="E95" i="12"/>
  <c r="F95" i="12"/>
  <c r="G95" i="12"/>
  <c r="E96" i="12"/>
  <c r="F96" i="12"/>
  <c r="G96" i="12"/>
  <c r="E97" i="12"/>
  <c r="F97" i="12"/>
  <c r="G97" i="12"/>
  <c r="E98" i="12"/>
  <c r="F98" i="12"/>
  <c r="G98" i="12"/>
  <c r="G85" i="12"/>
  <c r="F85" i="12"/>
  <c r="E85" i="12"/>
  <c r="E61" i="12"/>
  <c r="F61" i="12"/>
  <c r="G61" i="12"/>
  <c r="E62" i="12"/>
  <c r="F62" i="12"/>
  <c r="G62" i="12"/>
  <c r="E63" i="12"/>
  <c r="F63" i="12"/>
  <c r="G63" i="12"/>
  <c r="E64" i="12"/>
  <c r="F64" i="12"/>
  <c r="G64" i="12"/>
  <c r="E65" i="12"/>
  <c r="F65" i="12"/>
  <c r="G65" i="12"/>
  <c r="E66" i="12"/>
  <c r="F66" i="12"/>
  <c r="G66" i="12"/>
  <c r="E68" i="12"/>
  <c r="F68" i="12"/>
  <c r="G68" i="12"/>
  <c r="G60" i="12"/>
  <c r="F60" i="12"/>
  <c r="E60" i="12"/>
  <c r="E51" i="12"/>
  <c r="F51" i="12"/>
  <c r="G51" i="12"/>
  <c r="E52" i="12"/>
  <c r="F52" i="12"/>
  <c r="G52" i="12"/>
  <c r="E53" i="12"/>
  <c r="F53" i="12"/>
  <c r="G53" i="12"/>
  <c r="E54" i="12"/>
  <c r="F54" i="12"/>
  <c r="G54" i="12"/>
  <c r="F37" i="12"/>
  <c r="G37" i="12"/>
  <c r="F38" i="12"/>
  <c r="G38" i="12"/>
  <c r="F39" i="12"/>
  <c r="G39" i="12"/>
  <c r="F40" i="12"/>
  <c r="G40" i="12"/>
  <c r="F41" i="12"/>
  <c r="G41" i="12"/>
  <c r="F42" i="12"/>
  <c r="G42" i="12"/>
  <c r="F43" i="12"/>
  <c r="G43" i="12"/>
  <c r="F44" i="12"/>
  <c r="G44" i="12"/>
  <c r="G50" i="12"/>
  <c r="F50" i="12"/>
  <c r="E50" i="12"/>
  <c r="M37" i="12"/>
  <c r="M38" i="12"/>
  <c r="M39" i="12"/>
  <c r="M40" i="12"/>
  <c r="M41" i="12"/>
  <c r="M42" i="12"/>
  <c r="M43" i="12"/>
  <c r="M44" i="12"/>
  <c r="L37" i="12"/>
  <c r="L38" i="12"/>
  <c r="L39" i="12"/>
  <c r="L40" i="12"/>
  <c r="L41" i="12"/>
  <c r="L42" i="12"/>
  <c r="L43" i="12"/>
  <c r="L44" i="12"/>
  <c r="M36" i="12"/>
  <c r="L36" i="12"/>
  <c r="K36" i="12"/>
  <c r="K44" i="12"/>
  <c r="K43" i="12"/>
  <c r="K42" i="12"/>
  <c r="K41" i="12"/>
  <c r="K40" i="12"/>
  <c r="K39" i="12"/>
  <c r="K38" i="12"/>
  <c r="K37" i="12"/>
  <c r="F36" i="12"/>
  <c r="G36" i="12"/>
  <c r="E38" i="12"/>
  <c r="E39" i="12"/>
  <c r="E40" i="12"/>
  <c r="E41" i="12"/>
  <c r="E42" i="12"/>
  <c r="E43" i="12"/>
  <c r="E44" i="12"/>
  <c r="E36" i="12"/>
  <c r="E6" i="17"/>
  <c r="F5" i="17"/>
  <c r="G29" i="20"/>
  <c r="A15" i="17"/>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C15" i="10"/>
  <c r="B15" i="10"/>
  <c r="H14" i="10"/>
  <c r="I14" i="10"/>
  <c r="D12" i="10"/>
  <c r="B32" i="10"/>
  <c r="F22" i="10"/>
  <c r="C22" i="10"/>
  <c r="B22" i="10"/>
  <c r="D22" i="10"/>
  <c r="I8" i="10"/>
  <c r="I38" i="10"/>
  <c r="I28" i="10"/>
  <c r="H38" i="10"/>
  <c r="H28" i="10"/>
  <c r="H18" i="10"/>
  <c r="H8" i="10"/>
  <c r="H39" i="10"/>
  <c r="H29" i="10"/>
  <c r="H19" i="10"/>
  <c r="G19" i="10"/>
  <c r="F19" i="10"/>
  <c r="E19" i="10"/>
  <c r="C19" i="10"/>
  <c r="B19" i="10"/>
  <c r="G29" i="10"/>
  <c r="E29" i="10"/>
  <c r="F29" i="10"/>
  <c r="C29" i="10"/>
  <c r="B29" i="10"/>
  <c r="F39" i="10"/>
  <c r="G39" i="10"/>
  <c r="E39" i="10"/>
  <c r="C39" i="10"/>
  <c r="B39" i="10"/>
  <c r="C9" i="10"/>
  <c r="B9" i="10"/>
  <c r="F9" i="10"/>
  <c r="E9" i="10"/>
  <c r="H9" i="10"/>
  <c r="D9" i="10"/>
  <c r="D39" i="10" s="1"/>
  <c r="G38" i="10"/>
  <c r="G28" i="10"/>
  <c r="G18" i="10"/>
  <c r="E7" i="10"/>
  <c r="E37" i="10"/>
  <c r="E27" i="10"/>
  <c r="E17" i="10"/>
  <c r="E8" i="17" l="1"/>
  <c r="E9" i="17"/>
  <c r="B36" i="12"/>
  <c r="B38" i="12"/>
  <c r="B39" i="12"/>
  <c r="B40" i="12"/>
  <c r="B41" i="12"/>
  <c r="B42" i="12"/>
  <c r="B43" i="12"/>
  <c r="B44" i="12"/>
  <c r="B37" i="12"/>
  <c r="BM65" i="17"/>
  <c r="BN65" i="17"/>
  <c r="H29" i="20"/>
  <c r="B28" i="12"/>
  <c r="BS82" i="17"/>
  <c r="BT82" i="17" s="1"/>
  <c r="BM82" i="17"/>
  <c r="BS81" i="17"/>
  <c r="BT81" i="17" s="1"/>
  <c r="BM81" i="17"/>
  <c r="BS80" i="17"/>
  <c r="BT80" i="17" s="1"/>
  <c r="BM80" i="17"/>
  <c r="BS79" i="17"/>
  <c r="BT79" i="17" s="1"/>
  <c r="BM79" i="17"/>
  <c r="BS78" i="17"/>
  <c r="BT78" i="17" s="1"/>
  <c r="BM78" i="17"/>
  <c r="BS77" i="17"/>
  <c r="BT77" i="17" s="1"/>
  <c r="BM77" i="17"/>
  <c r="BS76" i="17"/>
  <c r="BT76" i="17" s="1"/>
  <c r="BM76" i="17"/>
  <c r="BM75" i="17"/>
  <c r="BS75" i="17"/>
  <c r="BT75" i="17" s="1"/>
  <c r="BS74" i="17"/>
  <c r="BT74" i="17" s="1"/>
  <c r="BM74" i="17"/>
  <c r="BR73" i="17"/>
  <c r="BS73" i="17"/>
  <c r="BM73" i="17"/>
  <c r="BS72" i="17"/>
  <c r="BM72" i="17"/>
  <c r="BR72" i="17"/>
  <c r="BR71" i="17"/>
  <c r="BS71" i="17"/>
  <c r="BR70" i="17"/>
  <c r="BS70" i="17"/>
  <c r="BR69" i="17"/>
  <c r="BS69" i="17"/>
  <c r="BS68" i="17"/>
  <c r="BR68" i="17"/>
  <c r="BR67" i="17"/>
  <c r="BS67" i="17"/>
  <c r="BR66" i="17"/>
  <c r="BS66" i="17"/>
  <c r="BR65" i="17"/>
  <c r="BS65" i="17"/>
  <c r="BR64" i="17"/>
  <c r="BS64" i="17"/>
  <c r="BR63" i="17"/>
  <c r="BS63" i="17"/>
  <c r="BR62" i="17"/>
  <c r="BS62" i="17"/>
  <c r="BR61" i="17"/>
  <c r="BS61" i="17"/>
  <c r="BR60" i="17"/>
  <c r="BS60" i="17"/>
  <c r="BR59" i="17"/>
  <c r="BS59" i="17"/>
  <c r="BR58" i="17"/>
  <c r="BS58" i="17"/>
  <c r="BR57" i="17"/>
  <c r="BS57" i="17"/>
  <c r="BS56" i="17"/>
  <c r="BR56" i="17"/>
  <c r="BR55" i="17"/>
  <c r="BS55" i="17"/>
  <c r="BR54" i="17"/>
  <c r="BS54" i="17"/>
  <c r="BR53" i="17"/>
  <c r="BS53" i="17"/>
  <c r="BS52" i="17"/>
  <c r="BR52" i="17"/>
  <c r="BR51" i="17"/>
  <c r="BS51" i="17"/>
  <c r="BR50" i="17"/>
  <c r="BS50" i="17"/>
  <c r="BR49" i="17"/>
  <c r="BS49" i="17"/>
  <c r="BR48" i="17"/>
  <c r="BS48" i="17"/>
  <c r="BR47" i="17"/>
  <c r="BS47" i="17"/>
  <c r="BS46" i="17"/>
  <c r="BR46" i="17"/>
  <c r="BR45" i="17"/>
  <c r="BS45" i="17"/>
  <c r="BR44" i="17"/>
  <c r="BS44" i="17"/>
  <c r="BR43" i="17"/>
  <c r="BS43" i="17"/>
  <c r="BR42" i="17"/>
  <c r="BS42" i="17"/>
  <c r="BR41" i="17"/>
  <c r="BS41" i="17"/>
  <c r="BR40" i="17"/>
  <c r="BS40" i="17"/>
  <c r="BR39" i="17"/>
  <c r="BS39" i="17"/>
  <c r="BR38" i="17"/>
  <c r="BS38" i="17"/>
  <c r="BR37" i="17"/>
  <c r="BS37" i="17"/>
  <c r="BR36" i="17"/>
  <c r="BS36" i="17"/>
  <c r="BR35" i="17"/>
  <c r="BS35" i="17"/>
  <c r="BR34" i="17"/>
  <c r="BS34" i="17"/>
  <c r="BR33" i="17"/>
  <c r="BS33" i="17"/>
  <c r="BR32" i="17"/>
  <c r="BS32" i="17"/>
  <c r="BR31" i="17"/>
  <c r="BS31" i="17"/>
  <c r="BR30" i="17"/>
  <c r="BS30" i="17"/>
  <c r="BR29" i="17"/>
  <c r="BS29" i="17"/>
  <c r="BR28" i="17"/>
  <c r="BS28" i="17"/>
  <c r="BR27" i="17"/>
  <c r="BS27" i="17"/>
  <c r="BR26" i="17"/>
  <c r="BS26" i="17"/>
  <c r="BS25" i="17"/>
  <c r="BR25" i="17"/>
  <c r="BR24" i="17"/>
  <c r="BS24" i="17"/>
  <c r="BR23" i="17"/>
  <c r="BS23" i="17"/>
  <c r="BR22" i="17"/>
  <c r="BS22" i="17"/>
  <c r="BR21" i="17"/>
  <c r="BS21" i="17"/>
  <c r="BR20" i="17"/>
  <c r="BS20" i="17"/>
  <c r="BR19" i="17"/>
  <c r="BS19" i="17"/>
  <c r="BR18" i="17"/>
  <c r="BS18" i="17"/>
  <c r="BR17" i="17"/>
  <c r="BS17" i="17"/>
  <c r="BR16" i="17"/>
  <c r="BS16" i="17"/>
  <c r="BR15" i="17"/>
  <c r="BS15" i="17"/>
  <c r="BM215" i="17"/>
  <c r="BR217" i="17"/>
  <c r="BP215" i="17"/>
  <c r="BO215" i="17"/>
  <c r="BN215" i="17"/>
  <c r="D19" i="10"/>
  <c r="I29" i="20"/>
  <c r="BN78" i="17"/>
  <c r="BO78" i="17"/>
  <c r="BP78" i="17"/>
  <c r="BO22" i="17"/>
  <c r="BP22" i="17"/>
  <c r="R133" i="25"/>
  <c r="U133" i="25" s="1"/>
  <c r="V133" i="25" s="1"/>
  <c r="L133" i="25"/>
  <c r="BN77" i="17"/>
  <c r="BO77" i="17"/>
  <c r="BP77" i="17"/>
  <c r="BN69" i="17"/>
  <c r="BO69" i="17"/>
  <c r="BP69" i="17"/>
  <c r="BO61" i="17"/>
  <c r="BP61" i="17"/>
  <c r="L53" i="25"/>
  <c r="R53" i="25"/>
  <c r="U53" i="25" s="1"/>
  <c r="V53" i="25" s="1"/>
  <c r="R20" i="25"/>
  <c r="D19" i="27" s="1"/>
  <c r="BO53" i="17"/>
  <c r="BP53" i="17"/>
  <c r="BP45" i="17"/>
  <c r="BO45" i="17"/>
  <c r="BO37" i="17"/>
  <c r="BP37" i="17"/>
  <c r="BO29" i="17"/>
  <c r="BP29" i="17"/>
  <c r="BO21" i="17"/>
  <c r="R79" i="25"/>
  <c r="U79" i="25" s="1"/>
  <c r="V79" i="25" s="1"/>
  <c r="BP21" i="17"/>
  <c r="L137" i="25"/>
  <c r="R137" i="25"/>
  <c r="U137" i="25" s="1"/>
  <c r="V137" i="25" s="1"/>
  <c r="L79" i="25"/>
  <c r="L175" i="25"/>
  <c r="BO70" i="17"/>
  <c r="BN70" i="17"/>
  <c r="BP70" i="17"/>
  <c r="BO30" i="17"/>
  <c r="BP30" i="17"/>
  <c r="BO76" i="17"/>
  <c r="BP76" i="17"/>
  <c r="BN76" i="17"/>
  <c r="BN68" i="17"/>
  <c r="BO68" i="17"/>
  <c r="BP68" i="17"/>
  <c r="BP60" i="17"/>
  <c r="BO60" i="17"/>
  <c r="R55" i="25"/>
  <c r="U55" i="25" s="1"/>
  <c r="V55" i="25" s="1"/>
  <c r="R54" i="25"/>
  <c r="U54" i="25" s="1"/>
  <c r="V54" i="25" s="1"/>
  <c r="R50" i="25"/>
  <c r="U50" i="25" s="1"/>
  <c r="V50" i="25" s="1"/>
  <c r="R58" i="25"/>
  <c r="U58" i="25" s="1"/>
  <c r="V58" i="25" s="1"/>
  <c r="BO52" i="17"/>
  <c r="BP52" i="17"/>
  <c r="R56" i="25"/>
  <c r="U56" i="25" s="1"/>
  <c r="V56" i="25" s="1"/>
  <c r="BO44" i="17"/>
  <c r="BP44" i="17"/>
  <c r="BO36" i="17"/>
  <c r="BP36" i="17"/>
  <c r="L210" i="25"/>
  <c r="R210" i="25"/>
  <c r="BO28" i="17"/>
  <c r="BP28" i="17"/>
  <c r="BO20" i="17"/>
  <c r="BP20" i="17"/>
  <c r="BP54" i="17"/>
  <c r="BO54" i="17"/>
  <c r="BN75" i="17"/>
  <c r="BO75" i="17"/>
  <c r="BP75" i="17"/>
  <c r="BO67" i="17"/>
  <c r="BP67" i="17"/>
  <c r="BN67" i="17"/>
  <c r="L211" i="25"/>
  <c r="R211" i="25"/>
  <c r="BO59" i="17"/>
  <c r="BP59" i="17"/>
  <c r="BP51" i="17"/>
  <c r="BO51" i="17"/>
  <c r="BO43" i="17"/>
  <c r="BP43" i="17"/>
  <c r="R134" i="25"/>
  <c r="U134" i="25" s="1"/>
  <c r="V134" i="25" s="1"/>
  <c r="L134" i="25"/>
  <c r="R70" i="25"/>
  <c r="U70" i="25" s="1"/>
  <c r="V70" i="25" s="1"/>
  <c r="L70" i="25"/>
  <c r="BO35" i="17"/>
  <c r="BP35" i="17"/>
  <c r="BO27" i="17"/>
  <c r="BP27" i="17"/>
  <c r="R141" i="25"/>
  <c r="U141" i="25" s="1"/>
  <c r="V141" i="25" s="1"/>
  <c r="BO19" i="17"/>
  <c r="BP19" i="17"/>
  <c r="R73" i="25"/>
  <c r="U73" i="25" s="1"/>
  <c r="V73" i="25" s="1"/>
  <c r="L73" i="25"/>
  <c r="L141" i="25"/>
  <c r="BO62" i="17"/>
  <c r="BP62" i="17"/>
  <c r="BN82" i="17"/>
  <c r="BO82" i="17"/>
  <c r="BP82" i="17"/>
  <c r="BN74" i="17"/>
  <c r="BO74" i="17"/>
  <c r="BP74" i="17"/>
  <c r="BN66" i="17"/>
  <c r="BO66" i="17"/>
  <c r="BP66" i="17"/>
  <c r="BO58" i="17"/>
  <c r="BP58" i="17"/>
  <c r="BO50" i="17"/>
  <c r="BP50" i="17"/>
  <c r="BO42" i="17"/>
  <c r="BP42" i="17"/>
  <c r="BO34" i="17"/>
  <c r="BP34" i="17"/>
  <c r="BO26" i="17"/>
  <c r="BP26" i="17"/>
  <c r="BO18" i="17"/>
  <c r="BP18" i="17"/>
  <c r="BO38" i="17"/>
  <c r="BP38" i="17"/>
  <c r="D29" i="10"/>
  <c r="BN81" i="17"/>
  <c r="BO81" i="17"/>
  <c r="BP81" i="17"/>
  <c r="BO73" i="17"/>
  <c r="BP73" i="17"/>
  <c r="BN73" i="17"/>
  <c r="BO65" i="17"/>
  <c r="BP65" i="17"/>
  <c r="BP57" i="17"/>
  <c r="BO57" i="17"/>
  <c r="BO49" i="17"/>
  <c r="BP49" i="17"/>
  <c r="BO41" i="17"/>
  <c r="BP41" i="17"/>
  <c r="BO33" i="17"/>
  <c r="L74" i="25"/>
  <c r="BP33" i="17"/>
  <c r="R74" i="25"/>
  <c r="U74" i="25" s="1"/>
  <c r="V74" i="25" s="1"/>
  <c r="BO25" i="17"/>
  <c r="BP25" i="17"/>
  <c r="BO17" i="17"/>
  <c r="BP17" i="17"/>
  <c r="BN80" i="17"/>
  <c r="BO80" i="17"/>
  <c r="BP80" i="17"/>
  <c r="BN72" i="17"/>
  <c r="BO72" i="17"/>
  <c r="BP72" i="17"/>
  <c r="BO64" i="17"/>
  <c r="BP64" i="17"/>
  <c r="BO56" i="17"/>
  <c r="BP56" i="17"/>
  <c r="BP48" i="17"/>
  <c r="BO48" i="17"/>
  <c r="BO40" i="17"/>
  <c r="BP40" i="17"/>
  <c r="BO32" i="17"/>
  <c r="BP32" i="17"/>
  <c r="BO24" i="17"/>
  <c r="BP24" i="17"/>
  <c r="D29" i="27"/>
  <c r="BO16" i="17"/>
  <c r="BP16" i="17"/>
  <c r="BO46" i="17"/>
  <c r="BP46" i="17"/>
  <c r="BP79" i="17"/>
  <c r="BO79" i="17"/>
  <c r="BN79" i="17"/>
  <c r="BP71" i="17"/>
  <c r="BN71" i="17"/>
  <c r="BO71" i="17"/>
  <c r="BP63" i="17"/>
  <c r="BO63" i="17"/>
  <c r="BP55" i="17"/>
  <c r="BO55" i="17"/>
  <c r="BP47" i="17"/>
  <c r="BO47" i="17"/>
  <c r="BP39" i="17"/>
  <c r="BO39" i="17"/>
  <c r="R190" i="25"/>
  <c r="L190" i="25"/>
  <c r="BP31" i="17"/>
  <c r="R203" i="25"/>
  <c r="L203" i="25"/>
  <c r="BO31" i="17"/>
  <c r="BP23" i="17"/>
  <c r="BO23" i="17"/>
  <c r="BP15" i="17"/>
  <c r="BO15" i="17"/>
  <c r="R191" i="25"/>
  <c r="U191" i="25" s="1"/>
  <c r="V191" i="25" s="1"/>
  <c r="L183" i="25"/>
  <c r="R183" i="25"/>
  <c r="U183" i="25" s="1"/>
  <c r="V183" i="25" s="1"/>
  <c r="L196" i="25"/>
  <c r="L191" i="25"/>
  <c r="R195" i="25"/>
  <c r="U195" i="25" s="1"/>
  <c r="V195" i="25" s="1"/>
  <c r="G214" i="17"/>
  <c r="L195" i="25"/>
  <c r="R328" i="25"/>
  <c r="U328" i="25" s="1"/>
  <c r="V328" i="25" s="1"/>
  <c r="B11" i="21"/>
  <c r="C11" i="21" s="1"/>
  <c r="L193" i="25"/>
  <c r="R193" i="25"/>
  <c r="U193" i="25" s="1"/>
  <c r="V193" i="25" s="1"/>
  <c r="R173" i="25"/>
  <c r="U173" i="25" s="1"/>
  <c r="V173" i="25" s="1"/>
  <c r="L173" i="25"/>
  <c r="R188" i="25"/>
  <c r="U188" i="25" s="1"/>
  <c r="V188" i="25" s="1"/>
  <c r="L174" i="25"/>
  <c r="R174" i="25"/>
  <c r="U174" i="25" s="1"/>
  <c r="V174" i="25" s="1"/>
  <c r="L188" i="25"/>
  <c r="R82" i="25"/>
  <c r="U82" i="25" s="1"/>
  <c r="V82" i="25" s="1"/>
  <c r="L82" i="25"/>
  <c r="L127" i="25"/>
  <c r="L126" i="25"/>
  <c r="L106" i="25"/>
  <c r="R81" i="25"/>
  <c r="L107" i="25"/>
  <c r="L81" i="25"/>
  <c r="R83" i="25"/>
  <c r="L83" i="25"/>
  <c r="L84" i="25"/>
  <c r="L20" i="25"/>
  <c r="R15" i="25"/>
  <c r="L15" i="25"/>
  <c r="L56" i="25"/>
  <c r="L58" i="25"/>
  <c r="L55" i="25"/>
  <c r="L54" i="25"/>
  <c r="L50" i="25"/>
  <c r="R16" i="25"/>
  <c r="L17" i="25"/>
  <c r="L16" i="25"/>
  <c r="R8" i="25"/>
  <c r="D11" i="27" s="1"/>
  <c r="L8" i="25"/>
  <c r="R18" i="25"/>
  <c r="L19" i="25"/>
  <c r="L18" i="25"/>
  <c r="B36" i="10"/>
  <c r="B26" i="10"/>
  <c r="B16" i="10"/>
  <c r="T36" i="10"/>
  <c r="T16" i="10"/>
  <c r="J26" i="10"/>
  <c r="K22" i="15" s="1"/>
  <c r="J16" i="10"/>
  <c r="U22" i="15" s="1"/>
  <c r="F17" i="10"/>
  <c r="H13" i="21" l="1"/>
  <c r="F13" i="21"/>
  <c r="L13" i="21"/>
  <c r="J13" i="21"/>
  <c r="H35" i="17"/>
  <c r="H41" i="17"/>
  <c r="H47" i="17"/>
  <c r="H53" i="17"/>
  <c r="H59" i="17"/>
  <c r="H65" i="17"/>
  <c r="H71" i="17"/>
  <c r="H77" i="17"/>
  <c r="H83" i="17"/>
  <c r="H89" i="17"/>
  <c r="H95" i="17"/>
  <c r="H101" i="17"/>
  <c r="H107" i="17"/>
  <c r="H113" i="17"/>
  <c r="H119" i="17"/>
  <c r="H125" i="17"/>
  <c r="H131" i="17"/>
  <c r="H137" i="17"/>
  <c r="H143" i="17"/>
  <c r="H149" i="17"/>
  <c r="H155" i="17"/>
  <c r="H161" i="17"/>
  <c r="H167" i="17"/>
  <c r="H173" i="17"/>
  <c r="H191" i="17"/>
  <c r="H203" i="17"/>
  <c r="H54" i="17"/>
  <c r="H102" i="17"/>
  <c r="H144" i="17"/>
  <c r="H174" i="17"/>
  <c r="H198" i="17"/>
  <c r="H68" i="17"/>
  <c r="H98" i="17"/>
  <c r="H104" i="17"/>
  <c r="H122" i="17"/>
  <c r="H140" i="17"/>
  <c r="H152" i="17"/>
  <c r="H176" i="17"/>
  <c r="H188" i="17"/>
  <c r="H200" i="17"/>
  <c r="H212" i="17"/>
  <c r="H159" i="17"/>
  <c r="H183" i="17"/>
  <c r="H207" i="17"/>
  <c r="H197" i="17"/>
  <c r="H48" i="17"/>
  <c r="H72" i="17"/>
  <c r="H96" i="17"/>
  <c r="H120" i="17"/>
  <c r="H138" i="17"/>
  <c r="H162" i="17"/>
  <c r="H192" i="17"/>
  <c r="H56" i="17"/>
  <c r="H92" i="17"/>
  <c r="H110" i="17"/>
  <c r="H128" i="17"/>
  <c r="H134" i="17"/>
  <c r="H146" i="17"/>
  <c r="H158" i="17"/>
  <c r="H170" i="17"/>
  <c r="H182" i="17"/>
  <c r="H194" i="17"/>
  <c r="H206" i="17"/>
  <c r="H153" i="17"/>
  <c r="H171" i="17"/>
  <c r="H189" i="17"/>
  <c r="H201" i="17"/>
  <c r="H179" i="17"/>
  <c r="H36" i="17"/>
  <c r="H66" i="17"/>
  <c r="H84" i="17"/>
  <c r="H108" i="17"/>
  <c r="H132" i="17"/>
  <c r="H156" i="17"/>
  <c r="H180" i="17"/>
  <c r="H210" i="17"/>
  <c r="H38" i="17"/>
  <c r="H44" i="17"/>
  <c r="H50" i="17"/>
  <c r="H62" i="17"/>
  <c r="H74" i="17"/>
  <c r="H80" i="17"/>
  <c r="H86" i="17"/>
  <c r="H116" i="17"/>
  <c r="H164" i="17"/>
  <c r="H78" i="17"/>
  <c r="H39" i="17"/>
  <c r="H45" i="17"/>
  <c r="H51" i="17"/>
  <c r="H57" i="17"/>
  <c r="H63" i="17"/>
  <c r="H69" i="17"/>
  <c r="H75" i="17"/>
  <c r="H81" i="17"/>
  <c r="H87" i="17"/>
  <c r="H93" i="17"/>
  <c r="H99" i="17"/>
  <c r="H105" i="17"/>
  <c r="H111" i="17"/>
  <c r="H117" i="17"/>
  <c r="H123" i="17"/>
  <c r="H129" i="17"/>
  <c r="H135" i="17"/>
  <c r="H141" i="17"/>
  <c r="H147" i="17"/>
  <c r="H165" i="17"/>
  <c r="H177" i="17"/>
  <c r="H195" i="17"/>
  <c r="H213" i="17"/>
  <c r="H185" i="17"/>
  <c r="H209" i="17"/>
  <c r="H42" i="17"/>
  <c r="H60" i="17"/>
  <c r="H90" i="17"/>
  <c r="H114" i="17"/>
  <c r="H126" i="17"/>
  <c r="H150" i="17"/>
  <c r="H168" i="17"/>
  <c r="H186" i="17"/>
  <c r="H204" i="17"/>
  <c r="H37" i="17"/>
  <c r="H172" i="17"/>
  <c r="H91" i="17"/>
  <c r="H175" i="17"/>
  <c r="H211" i="17"/>
  <c r="H124" i="17"/>
  <c r="H79" i="17"/>
  <c r="H118" i="17"/>
  <c r="H100" i="17"/>
  <c r="H208" i="17"/>
  <c r="H202" i="17"/>
  <c r="H82" i="17"/>
  <c r="H145" i="17"/>
  <c r="H58" i="17"/>
  <c r="H49" i="17"/>
  <c r="H34" i="17"/>
  <c r="H178" i="17"/>
  <c r="H67" i="17"/>
  <c r="H187" i="17"/>
  <c r="H136" i="17"/>
  <c r="H106" i="17"/>
  <c r="H52" i="17"/>
  <c r="H94" i="17"/>
  <c r="H181" i="17"/>
  <c r="H169" i="17"/>
  <c r="H133" i="17"/>
  <c r="H40" i="17"/>
  <c r="H139" i="17"/>
  <c r="H61" i="17"/>
  <c r="H157" i="17"/>
  <c r="H103" i="17"/>
  <c r="H142" i="17"/>
  <c r="H166" i="17"/>
  <c r="H64" i="17"/>
  <c r="H43" i="17"/>
  <c r="H196" i="17"/>
  <c r="H151" i="17"/>
  <c r="H55" i="17"/>
  <c r="H112" i="17"/>
  <c r="H76" i="17"/>
  <c r="H199" i="17"/>
  <c r="H163" i="17"/>
  <c r="H97" i="17"/>
  <c r="H115" i="17"/>
  <c r="H154" i="17"/>
  <c r="H130" i="17"/>
  <c r="H193" i="17"/>
  <c r="H184" i="17"/>
  <c r="H148" i="17"/>
  <c r="H127" i="17"/>
  <c r="H121" i="17"/>
  <c r="H73" i="17"/>
  <c r="H160" i="17"/>
  <c r="H88" i="17"/>
  <c r="H70" i="17"/>
  <c r="H85" i="17"/>
  <c r="H205" i="17"/>
  <c r="H46" i="17"/>
  <c r="H190" i="17"/>
  <c r="H109" i="17"/>
  <c r="H22" i="17"/>
  <c r="H29" i="17"/>
  <c r="H23" i="17"/>
  <c r="H25" i="17"/>
  <c r="H17" i="17"/>
  <c r="H33" i="17"/>
  <c r="H19" i="17"/>
  <c r="H31" i="17"/>
  <c r="H21" i="17"/>
  <c r="H18" i="17"/>
  <c r="H26" i="17"/>
  <c r="H30" i="17"/>
  <c r="H32" i="17"/>
  <c r="H20" i="17"/>
  <c r="H28" i="17"/>
  <c r="H27" i="17"/>
  <c r="H14" i="17"/>
  <c r="H24" i="17"/>
  <c r="H16" i="17"/>
  <c r="H15" i="17"/>
  <c r="BT17" i="17"/>
  <c r="BT33" i="17"/>
  <c r="BT32" i="17"/>
  <c r="BT53" i="17"/>
  <c r="BT46" i="17"/>
  <c r="BR215" i="17"/>
  <c r="BT41" i="17"/>
  <c r="BT57" i="17"/>
  <c r="BT49" i="17"/>
  <c r="BT29" i="17"/>
  <c r="BT20" i="17"/>
  <c r="BT36" i="17"/>
  <c r="BT28" i="17"/>
  <c r="BT44" i="17"/>
  <c r="BT60" i="17"/>
  <c r="BT61" i="17"/>
  <c r="BT25" i="17"/>
  <c r="BT18" i="17"/>
  <c r="BT34" i="17"/>
  <c r="BT50" i="17"/>
  <c r="BT58" i="17"/>
  <c r="BT66" i="17"/>
  <c r="BT64" i="17"/>
  <c r="BT19" i="17"/>
  <c r="BT35" i="17"/>
  <c r="BT43" i="17"/>
  <c r="BT52" i="17"/>
  <c r="BT15" i="17"/>
  <c r="BT23" i="17"/>
  <c r="BT31" i="17"/>
  <c r="BT39" i="17"/>
  <c r="BT42" i="17"/>
  <c r="BT47" i="17"/>
  <c r="BT55" i="17"/>
  <c r="BT26" i="17"/>
  <c r="B45" i="12"/>
  <c r="BT16" i="17"/>
  <c r="BT24" i="17"/>
  <c r="BT40" i="17"/>
  <c r="BT56" i="17"/>
  <c r="BT22" i="17"/>
  <c r="BT30" i="17"/>
  <c r="BT38" i="17"/>
  <c r="BT54" i="17"/>
  <c r="BT62" i="17"/>
  <c r="BT70" i="17"/>
  <c r="BT48" i="17"/>
  <c r="BT68" i="17"/>
  <c r="BT72" i="17"/>
  <c r="BT21" i="17"/>
  <c r="BT27" i="17"/>
  <c r="BT37" i="17"/>
  <c r="BT45" i="17"/>
  <c r="BT51" i="17"/>
  <c r="BT59" i="17"/>
  <c r="BT63" i="17"/>
  <c r="BT67" i="17"/>
  <c r="BT65" i="17"/>
  <c r="BT69" i="17"/>
  <c r="BT71" i="17"/>
  <c r="BT73" i="17"/>
  <c r="G216" i="17"/>
  <c r="H216" i="17" s="1"/>
  <c r="I216" i="17" s="1"/>
  <c r="C50" i="12"/>
  <c r="U20" i="25"/>
  <c r="V20" i="25" s="1"/>
  <c r="L208" i="25"/>
  <c r="BP214" i="17"/>
  <c r="D32" i="27"/>
  <c r="U203" i="25"/>
  <c r="V203" i="25" s="1"/>
  <c r="D35" i="27"/>
  <c r="U211" i="25"/>
  <c r="V211" i="25" s="1"/>
  <c r="BN214" i="17"/>
  <c r="BO214" i="17"/>
  <c r="U190" i="25"/>
  <c r="V190" i="25" s="1"/>
  <c r="D24" i="27"/>
  <c r="J67" i="27"/>
  <c r="D33" i="27"/>
  <c r="R208" i="25"/>
  <c r="U208" i="25" s="1"/>
  <c r="V208" i="25" s="1"/>
  <c r="U210" i="25"/>
  <c r="V210" i="25" s="1"/>
  <c r="I66" i="27"/>
  <c r="BM214" i="17"/>
  <c r="B12" i="21"/>
  <c r="C12" i="21" s="1"/>
  <c r="O11" i="21"/>
  <c r="R230" i="25"/>
  <c r="U230" i="25" s="1"/>
  <c r="V230" i="25" s="1"/>
  <c r="R229" i="25"/>
  <c r="U229" i="25" s="1"/>
  <c r="V229" i="25" s="1"/>
  <c r="R228" i="25"/>
  <c r="U228" i="25" s="1"/>
  <c r="V228" i="25" s="1"/>
  <c r="R227" i="25"/>
  <c r="U227" i="25" s="1"/>
  <c r="V227" i="25" s="1"/>
  <c r="R231" i="25"/>
  <c r="U231" i="25" s="1"/>
  <c r="V231" i="25" s="1"/>
  <c r="U232" i="25"/>
  <c r="U15" i="25"/>
  <c r="V15" i="25" s="1"/>
  <c r="D16" i="27"/>
  <c r="U81" i="25"/>
  <c r="V81" i="25" s="1"/>
  <c r="D25" i="27"/>
  <c r="U16" i="25"/>
  <c r="V16" i="25" s="1"/>
  <c r="D17" i="27"/>
  <c r="U18" i="25"/>
  <c r="V18" i="25" s="1"/>
  <c r="D18" i="27"/>
  <c r="U8" i="25"/>
  <c r="V8" i="25" s="1"/>
  <c r="D10" i="27"/>
  <c r="U83" i="25"/>
  <c r="V83" i="25" s="1"/>
  <c r="D17" i="10"/>
  <c r="D37" i="10"/>
  <c r="D27" i="10"/>
  <c r="D8" i="10"/>
  <c r="D38" i="10" s="1"/>
  <c r="F38" i="10"/>
  <c r="E38" i="10"/>
  <c r="F28" i="10"/>
  <c r="E28" i="10"/>
  <c r="F18" i="10"/>
  <c r="E18" i="10"/>
  <c r="C18" i="10"/>
  <c r="B18" i="10"/>
  <c r="F8" i="10"/>
  <c r="E8" i="10"/>
  <c r="C38" i="10"/>
  <c r="B38" i="10"/>
  <c r="C28" i="10"/>
  <c r="B28" i="10"/>
  <c r="C8" i="10"/>
  <c r="B8" i="10"/>
  <c r="X203" i="25"/>
  <c r="X69" i="25"/>
  <c r="X70" i="25"/>
  <c r="X71" i="25"/>
  <c r="X72" i="25"/>
  <c r="X73" i="25"/>
  <c r="X74" i="25"/>
  <c r="X75" i="25"/>
  <c r="X76" i="25"/>
  <c r="X77" i="25"/>
  <c r="X78" i="25"/>
  <c r="X79" i="25"/>
  <c r="X80" i="25"/>
  <c r="X81" i="25"/>
  <c r="X82" i="25"/>
  <c r="X83" i="25"/>
  <c r="X204" i="25"/>
  <c r="X84" i="25"/>
  <c r="X85" i="25"/>
  <c r="X86" i="25"/>
  <c r="X87" i="25"/>
  <c r="X88" i="25"/>
  <c r="X89" i="25"/>
  <c r="X90" i="25"/>
  <c r="X91" i="25"/>
  <c r="X92" i="25"/>
  <c r="X93" i="25"/>
  <c r="X16" i="25"/>
  <c r="X205" i="25"/>
  <c r="X94" i="25"/>
  <c r="X95" i="25"/>
  <c r="X96" i="25"/>
  <c r="X97" i="25"/>
  <c r="X98" i="25"/>
  <c r="X99" i="25"/>
  <c r="X100" i="25"/>
  <c r="X101" i="25"/>
  <c r="X102" i="25"/>
  <c r="X103" i="25"/>
  <c r="X104" i="25"/>
  <c r="X105" i="25"/>
  <c r="X108" i="25"/>
  <c r="X109" i="25"/>
  <c r="X66" i="25"/>
  <c r="X110" i="25"/>
  <c r="X111" i="25"/>
  <c r="X112" i="25"/>
  <c r="X113" i="25"/>
  <c r="X114" i="25"/>
  <c r="X115" i="25"/>
  <c r="X116" i="25"/>
  <c r="X117" i="25"/>
  <c r="X118" i="25"/>
  <c r="X119" i="25"/>
  <c r="X120" i="25"/>
  <c r="X121" i="25"/>
  <c r="X9" i="25"/>
  <c r="X122" i="25"/>
  <c r="X123" i="25"/>
  <c r="X229" i="25"/>
  <c r="X124" i="25"/>
  <c r="X125" i="25"/>
  <c r="X200" i="25"/>
  <c r="X126" i="25"/>
  <c r="X127" i="25"/>
  <c r="X128" i="25"/>
  <c r="X129" i="25"/>
  <c r="X130" i="25"/>
  <c r="X131" i="25"/>
  <c r="X132" i="25"/>
  <c r="X133" i="25"/>
  <c r="X59" i="25"/>
  <c r="X134" i="25"/>
  <c r="X135" i="25"/>
  <c r="X61" i="25"/>
  <c r="X201" i="25"/>
  <c r="X206" i="25"/>
  <c r="X63" i="25"/>
  <c r="X67" i="25"/>
  <c r="X136" i="25"/>
  <c r="X231" i="25"/>
  <c r="X228" i="25"/>
  <c r="X230"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208" i="25"/>
  <c r="X49" i="25"/>
  <c r="X50" i="25"/>
  <c r="X8" i="25"/>
  <c r="X64" i="25"/>
  <c r="X168" i="25"/>
  <c r="X169" i="25"/>
  <c r="X170" i="25"/>
  <c r="X171" i="25"/>
  <c r="X172" i="25"/>
  <c r="X60" i="25"/>
  <c r="X209" i="25"/>
  <c r="X199" i="25"/>
  <c r="X210" i="25"/>
  <c r="X211" i="25"/>
  <c r="X212" i="25"/>
  <c r="X197" i="25"/>
  <c r="X173" i="25"/>
  <c r="X174" i="25"/>
  <c r="X54" i="25"/>
  <c r="X55" i="25"/>
  <c r="X237" i="25"/>
  <c r="X233" i="25"/>
  <c r="X236" i="25"/>
  <c r="X235" i="25"/>
  <c r="X234" i="25"/>
  <c r="X175" i="25"/>
  <c r="X176" i="25"/>
  <c r="X177" i="25"/>
  <c r="X65" i="25"/>
  <c r="X62" i="25"/>
  <c r="X178" i="25"/>
  <c r="X179" i="25"/>
  <c r="X180" i="25"/>
  <c r="X181" i="25"/>
  <c r="X182" i="25"/>
  <c r="X183" i="25"/>
  <c r="X184" i="25"/>
  <c r="X185" i="25"/>
  <c r="X186" i="25"/>
  <c r="X187" i="25"/>
  <c r="X188" i="25"/>
  <c r="X189" i="25"/>
  <c r="X190" i="25"/>
  <c r="X191" i="25"/>
  <c r="X192" i="25"/>
  <c r="X232" i="25"/>
  <c r="X68" i="25"/>
  <c r="X193" i="25"/>
  <c r="X338" i="25"/>
  <c r="X339" i="25"/>
  <c r="X194" i="25"/>
  <c r="B14" i="21" l="1"/>
  <c r="C14" i="21" s="1"/>
  <c r="B50" i="12"/>
  <c r="B133" i="12" s="1"/>
  <c r="B134" i="12" s="1"/>
  <c r="B135" i="12" s="1"/>
  <c r="C135" i="12" s="1"/>
  <c r="X331" i="25"/>
  <c r="X219" i="25"/>
  <c r="X332" i="25"/>
  <c r="X220" i="25"/>
  <c r="L52" i="25"/>
  <c r="X223" i="25"/>
  <c r="X335" i="25"/>
  <c r="X221" i="25"/>
  <c r="X333" i="25"/>
  <c r="X222" i="25"/>
  <c r="X334" i="25"/>
  <c r="X224" i="25"/>
  <c r="X336" i="25"/>
  <c r="X216" i="25"/>
  <c r="X328" i="25"/>
  <c r="X218" i="25"/>
  <c r="X330" i="25"/>
  <c r="X217" i="25"/>
  <c r="X329" i="25"/>
  <c r="X343" i="25"/>
  <c r="X352" i="25"/>
  <c r="X227" i="25"/>
  <c r="R52" i="25"/>
  <c r="U52" i="25" s="1"/>
  <c r="V52" i="25" s="1"/>
  <c r="BR214" i="17"/>
  <c r="L51" i="25"/>
  <c r="D31" i="27"/>
  <c r="X198" i="25"/>
  <c r="X207" i="25"/>
  <c r="X15" i="25"/>
  <c r="X18" i="25"/>
  <c r="X107" i="25"/>
  <c r="X106" i="25"/>
  <c r="X17" i="25"/>
  <c r="X19" i="25"/>
  <c r="X195" i="25"/>
  <c r="X196" i="25"/>
  <c r="G66" i="27"/>
  <c r="I71" i="27"/>
  <c r="G67" i="27"/>
  <c r="L221" i="25" s="1"/>
  <c r="R221" i="25" s="1"/>
  <c r="U221" i="25" s="1"/>
  <c r="V221" i="25" s="1"/>
  <c r="J71" i="27"/>
  <c r="R51" i="25"/>
  <c r="U51" i="25" s="1"/>
  <c r="V51" i="25" s="1"/>
  <c r="H214" i="17"/>
  <c r="O12" i="21"/>
  <c r="P12" i="21" s="1"/>
  <c r="O14" i="21" s="1"/>
  <c r="P11" i="21"/>
  <c r="D23" i="27"/>
  <c r="D15" i="27"/>
  <c r="D18" i="10"/>
  <c r="D28" i="10"/>
  <c r="T26" i="10"/>
  <c r="AD26" i="10"/>
  <c r="U13" i="21" l="1"/>
  <c r="Y13" i="21"/>
  <c r="S13" i="21"/>
  <c r="W13" i="21"/>
  <c r="D7" i="27"/>
  <c r="D6" i="27" s="1"/>
  <c r="B15" i="21"/>
  <c r="O15" i="21"/>
  <c r="P14" i="21"/>
  <c r="F62" i="27"/>
  <c r="F67" i="27"/>
  <c r="D21" i="27"/>
  <c r="F63" i="27"/>
  <c r="F65" i="27"/>
  <c r="F64" i="27"/>
  <c r="F69" i="27"/>
  <c r="F68" i="27"/>
  <c r="F70" i="27"/>
  <c r="F66" i="27"/>
  <c r="L220" i="25"/>
  <c r="R220" i="25" s="1"/>
  <c r="U220" i="25" s="1"/>
  <c r="V220" i="25" s="1"/>
  <c r="G71" i="27"/>
  <c r="D2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Rebe Feraldi</author>
  </authors>
  <commentList>
    <comment ref="I55" authorId="0" shapeId="0" xr:uid="{78F0FD33-9A6B-47E5-8D90-FBF90EB3F3AA}">
      <text>
        <r>
          <rPr>
            <b/>
            <sz val="9"/>
            <color indexed="81"/>
            <rFont val="Tahoma"/>
            <family val="2"/>
          </rPr>
          <t>Rebe Feraldi:</t>
        </r>
        <r>
          <rPr>
            <sz val="9"/>
            <color indexed="81"/>
            <rFont val="Tahoma"/>
            <family val="2"/>
          </rPr>
          <t xml:space="preserve">
The dataset represents  the assembly of 1 m2 of a 6-layer FR-4 printed wiring board.  It is based on a 1.6 mm thick 6-layer PWB with a mixture of several Pb-free surface finishing methods Pb-free surface finished (mixture of different finishing methods)  for surface mount applications, with soldermask, a weight of 3.26 kg without mounted components for ICT applications. Main data are taken from environmental reports of 3 German PWB producers, plus from literature.
Production volume: 1 m2
Included activities start: From reception of raw materials at the factory gate.
Included activities end: This dataset includes of a PWB prepared for surface mounting of components. It includes (raw) materials, infrastructure, energy consumption, emissions to air and water and waste. Not included into this dataset is the mounting of the PWB.
Energy values: Undefined
Geography: The inventory is modelled for Global
Technology level: Current
Technology: Average PWB production composed of: substrate preparation, imaging, exposure, etching, sandwiching, activation and accelaration steps as well as copper plating, cleaning, oxidification, dry vacuum lamination, micro etching, surface finishing.
Start date: 01/01/2003
End date: 31/12/2021
Is data valid for entire period: True
Time period: 
Macro-economic scenario name: Business-as-Usual
Version: 28.3.0.0
Created: 7/28/2010 6:53:21 PM
Last edited: 3/17/2021 10:11:50 AM
Source: 423a4ae1-803a-4a64-a696-f2831baa441c_65cf8186-2a0d-4271-b7ee-62c9f5d5100c.spold
UUID: 423a4ae1-803a-4a64-a696-f2831baa441c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Rebe Feraldi</author>
  </authors>
  <commentList>
    <comment ref="H13" authorId="0" shapeId="0" xr:uid="{7D0B8383-47E6-4F10-A856-FB0067898E63}">
      <text>
        <r>
          <rPr>
            <b/>
            <sz val="9"/>
            <color indexed="81"/>
            <rFont val="Tahoma"/>
            <family val="2"/>
          </rPr>
          <t>Rebe Feraldi:</t>
        </r>
        <r>
          <rPr>
            <sz val="9"/>
            <color indexed="81"/>
            <rFont val="Tahoma"/>
            <family val="2"/>
          </rPr>
          <t xml:space="preserve">
Per BIR 2018 report on corrugated recycling</t>
        </r>
      </text>
    </comment>
    <comment ref="J16" authorId="0" shapeId="0" xr:uid="{6A4F7E38-65B8-4643-AC7E-E8B35EBD3A4E}">
      <text>
        <r>
          <rPr>
            <b/>
            <sz val="9"/>
            <color indexed="81"/>
            <rFont val="Tahoma"/>
            <family val="2"/>
          </rPr>
          <t>Rebe Feraldi:</t>
        </r>
        <r>
          <rPr>
            <sz val="9"/>
            <color indexed="81"/>
            <rFont val="Tahoma"/>
            <family val="2"/>
          </rPr>
          <t xml:space="preserve">
MSW DST Tool (Default value miles/trip) convert from miles to km</t>
        </r>
      </text>
    </comment>
    <comment ref="I22" authorId="0" shapeId="0" xr:uid="{95BD98F4-38DF-4BB6-951B-1ADBCA2D66D3}">
      <text>
        <r>
          <rPr>
            <b/>
            <sz val="9"/>
            <color indexed="81"/>
            <rFont val="Tahoma"/>
            <family val="2"/>
          </rPr>
          <t>Rebe Feraldi:</t>
        </r>
        <r>
          <rPr>
            <sz val="9"/>
            <color indexed="81"/>
            <rFont val="Tahoma"/>
            <family val="2"/>
          </rPr>
          <t xml:space="preserve">
https://www.epa.gov/facts-and-figures-about-materials-waste-and-recycling/containers-and-packaging-product-specific-data#:~:text=The%20recycling%20rate%20for%20corrugated,received%20940%2C000%20tons%20in%202018.</t>
        </r>
      </text>
    </comment>
    <comment ref="H23" authorId="0" shapeId="0" xr:uid="{59A491DE-87B7-4C0C-9A4E-F83703F60198}">
      <text>
        <r>
          <rPr>
            <b/>
            <sz val="9"/>
            <color indexed="81"/>
            <rFont val="Tahoma"/>
            <family val="2"/>
          </rPr>
          <t>Rebe Feraldi:</t>
        </r>
        <r>
          <rPr>
            <sz val="9"/>
            <color indexed="81"/>
            <rFont val="Tahoma"/>
            <family val="2"/>
          </rPr>
          <t xml:space="preserve">
Per BIR 2018 report on corrugated recycling</t>
        </r>
      </text>
    </comment>
    <comment ref="I23" authorId="0" shapeId="0" xr:uid="{A0B6A9AF-8A82-43E8-BC10-A57A14937565}">
      <text>
        <r>
          <rPr>
            <b/>
            <sz val="9"/>
            <color indexed="81"/>
            <rFont val="Tahoma"/>
            <family val="2"/>
          </rPr>
          <t>Rebe Feraldi:</t>
        </r>
        <r>
          <rPr>
            <sz val="9"/>
            <color indexed="81"/>
            <rFont val="Tahoma"/>
            <family val="2"/>
          </rPr>
          <t xml:space="preserve">
EPA quotes Corrugated RR is 96.5% per 
https://www.epa.gov/facts-and-figures-about-materials-waste-and-recycling/containers-and-packaging-product-specific-data#:~:text=The%20recycling%20rate%20for%20corrugated,received%20940%2C000%20tons%20in%202018.
However, much of this is due to retail collection (controlled, good quality)
Increase in e-commerce and consumer EOL generation is causing it to drop </t>
        </r>
      </text>
    </comment>
    <comment ref="I24" authorId="0" shapeId="0" xr:uid="{27B18236-FB58-47AC-9B9A-DCFC5FB5DE3F}">
      <text>
        <r>
          <rPr>
            <b/>
            <sz val="9"/>
            <color indexed="81"/>
            <rFont val="Tahoma"/>
            <family val="2"/>
          </rPr>
          <t xml:space="preserve">Rebe Feraldi:
AF&amp;PA 66.2 per Recycling Today for 2019
https://www.recyclingtoday.com/article/paper-recycling-rate-at-66-percent-2019/
EPA quotes </t>
        </r>
        <r>
          <rPr>
            <sz val="9"/>
            <color indexed="81"/>
            <rFont val="Tahoma"/>
            <family val="2"/>
          </rPr>
          <t>Paper RR 80% per https://www.epa.gov/facts-and-figures-about-materials-waste-and-recycling/containers-and-packaging-product-specific-data#:~:text=The%20recycling%20rate%20for%20corrugated,received%20940%2C000%20tons%20in%202018.</t>
        </r>
      </text>
    </comment>
    <comment ref="I32" authorId="0" shapeId="0" xr:uid="{06EDC3C1-C6BE-4E0A-96A3-D59D5CA50C7F}">
      <text>
        <r>
          <rPr>
            <b/>
            <sz val="9"/>
            <color indexed="81"/>
            <rFont val="Tahoma"/>
            <family val="2"/>
          </rPr>
          <t>Rebe Feraldi:</t>
        </r>
        <r>
          <rPr>
            <sz val="9"/>
            <color indexed="81"/>
            <rFont val="Tahoma"/>
            <family val="2"/>
          </rPr>
          <t xml:space="preserve">
https://ec.europa.eu/eurostat/databrowser/view/cei_wm020/default/table?lang=en
Also see: https://www.plasticseurope.org/application/files/1115/7236/4388/FINAL_web_version_Plastics_the_facts2019_14102019.pdf</t>
        </r>
      </text>
    </comment>
    <comment ref="H33" authorId="0" shapeId="0" xr:uid="{543E9649-6BA0-45D1-9CC4-61F6CE03A034}">
      <text>
        <r>
          <rPr>
            <b/>
            <sz val="9"/>
            <color indexed="81"/>
            <rFont val="Tahoma"/>
            <family val="2"/>
          </rPr>
          <t>Rebe Feraldi:</t>
        </r>
        <r>
          <rPr>
            <sz val="9"/>
            <color indexed="81"/>
            <rFont val="Tahoma"/>
            <family val="2"/>
          </rPr>
          <t xml:space="preserve">
Per BIR 2018 report on corrugated recycling</t>
        </r>
      </text>
    </comment>
    <comment ref="I33" authorId="0" shapeId="0" xr:uid="{D5CAAEC9-1216-4C49-B939-01D9BC2CCBC9}">
      <text>
        <r>
          <rPr>
            <b/>
            <sz val="9"/>
            <color indexed="81"/>
            <rFont val="Tahoma"/>
            <family val="2"/>
          </rPr>
          <t>Rebe Feraldi:</t>
        </r>
        <r>
          <rPr>
            <sz val="9"/>
            <color indexed="81"/>
            <rFont val="Tahoma"/>
            <family val="2"/>
          </rPr>
          <t xml:space="preserve">
Per Statista: Recycling rate of paper and cardboard packaging waste in the EU 2005-2017
Published by Daniela Coppola, Sep 11, 2020
 Between 2005 and 2017, the recycling rate of paper and cardboard packaging waste in the European Union experienced an increase of about ten percentage points. As of 2005, the average percentage among the 28 EU countries amounted to 73.3 percent. In the following years, the rate grew up to 84.8 percent in 2017. In addition, the largest growth was recorded between 2006 and 2007, as the value went from 75.7 to 78.4 percent.</t>
        </r>
      </text>
    </comment>
    <comment ref="I34" authorId="0" shapeId="0" xr:uid="{76303513-F31D-4D30-91ED-2191041194A6}">
      <text>
        <r>
          <rPr>
            <b/>
            <sz val="9"/>
            <color indexed="81"/>
            <rFont val="Tahoma"/>
            <family val="2"/>
          </rPr>
          <t>Rebe Feraldi:</t>
        </r>
        <r>
          <rPr>
            <sz val="9"/>
            <color indexed="81"/>
            <rFont val="Tahoma"/>
            <family val="2"/>
          </rPr>
          <t xml:space="preserve">
Per CEPI Key Statistics 2017; also EPRC says 72% per https://www.paperage.com/2020news/07_20_2020european_paper_recycling_rate.html</t>
        </r>
      </text>
    </comment>
    <comment ref="J36" authorId="0" shapeId="0" xr:uid="{0EF9140B-9E74-4E52-8C5F-31FE55162942}">
      <text>
        <r>
          <rPr>
            <b/>
            <sz val="9"/>
            <color indexed="81"/>
            <rFont val="Tahoma"/>
            <family val="2"/>
          </rPr>
          <t>Rebe Feraldi:</t>
        </r>
        <r>
          <rPr>
            <sz val="9"/>
            <color indexed="81"/>
            <rFont val="Tahoma"/>
            <family val="2"/>
          </rPr>
          <t xml:space="preserve">
South Asia 44% collected mainly door-to-door (62%, 11% centralized drop-off - informal waste prolific)</t>
        </r>
      </text>
    </comment>
    <comment ref="I42" authorId="0" shapeId="0" xr:uid="{95517486-3813-4C23-BBA8-FD26FA05FFCE}">
      <text>
        <r>
          <rPr>
            <b/>
            <sz val="9"/>
            <color indexed="81"/>
            <rFont val="Tahoma"/>
            <family val="2"/>
          </rPr>
          <t>Rebe Feraldi:</t>
        </r>
        <r>
          <rPr>
            <sz val="9"/>
            <color indexed="81"/>
            <rFont val="Tahoma"/>
            <family val="2"/>
          </rPr>
          <t xml:space="preserve">
Per, https://borgenproject.org/10-facts-about-plastic-waste-in-southeast-asia/, for SE Asia; UN 2020 3R Asia Forum says ~ 20% seems high</t>
        </r>
      </text>
    </comment>
    <comment ref="H43" authorId="0" shapeId="0" xr:uid="{BA258E0E-F653-4C07-950A-8AAAD6672AD1}">
      <text>
        <r>
          <rPr>
            <b/>
            <sz val="9"/>
            <color indexed="81"/>
            <rFont val="Tahoma"/>
            <family val="2"/>
          </rPr>
          <t>Rebe Feraldi:</t>
        </r>
        <r>
          <rPr>
            <sz val="9"/>
            <color indexed="81"/>
            <rFont val="Tahoma"/>
            <family val="2"/>
          </rPr>
          <t xml:space="preserve">
Per BIR 2018 report on corrugated recycling</t>
        </r>
      </text>
    </comment>
    <comment ref="I43" authorId="0" shapeId="0" xr:uid="{C8505126-0AB7-427D-A7AC-69556A7A3438}">
      <text>
        <r>
          <rPr>
            <b/>
            <sz val="9"/>
            <color indexed="81"/>
            <rFont val="Tahoma"/>
            <family val="2"/>
          </rPr>
          <t>Rebe Feraldi:</t>
        </r>
        <r>
          <rPr>
            <sz val="9"/>
            <color indexed="81"/>
            <rFont val="Tahoma"/>
            <family val="2"/>
          </rPr>
          <t xml:space="preserve">
https://www.bir.org/publications/facts-figures
Paper &amp; Board recycling in 2018
</t>
        </r>
      </text>
    </comment>
    <comment ref="I44" authorId="0" shapeId="0" xr:uid="{A74378F5-63CF-4F75-9E82-30B815CFD0A5}">
      <text>
        <r>
          <rPr>
            <b/>
            <sz val="9"/>
            <color indexed="81"/>
            <rFont val="Tahoma"/>
            <family val="2"/>
          </rPr>
          <t>Rebe Feraldi:</t>
        </r>
        <r>
          <rPr>
            <sz val="9"/>
            <color indexed="81"/>
            <rFont val="Tahoma"/>
            <family val="2"/>
          </rPr>
          <t xml:space="preserve">
Per: https://www.nea.gov.sg/our-services/waste-management/waste-statistics-and-overall-recycling (Just Singapore?)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<sst xmlns="http://schemas.openxmlformats.org/spreadsheetml/2006/main" count="58919" uniqueCount="10939">
  <si>
    <t xml:space="preserve">Life Cycle Inventory (LCI) Template for Luminaire Products </t>
  </si>
  <si>
    <t>TABLE OF CONTENTS:</t>
  </si>
  <si>
    <t>Intended for the generation of Life Cycle Assessment (LCA)s underlying Environmental Product Declaration (EPD) compliant with:</t>
  </si>
  <si>
    <t>ISO 14040 and 14044 series for LCA</t>
  </si>
  <si>
    <t>https://www.iso.org/standard/38498.html</t>
  </si>
  <si>
    <t>International LCA Standards</t>
  </si>
  <si>
    <t>ISO 14025 for EPDs</t>
  </si>
  <si>
    <t>https://www.iso.org/standard/38131.html</t>
  </si>
  <si>
    <t>International EPD Standards</t>
  </si>
  <si>
    <t>ISO 14027 for PCRs</t>
  </si>
  <si>
    <t>https://www.iso.org/standard/66123.html</t>
  </si>
  <si>
    <t>International PCR Standards</t>
  </si>
  <si>
    <t>ISO 21930 for Building Sector EPDs</t>
  </si>
  <si>
    <t>https://www.iso.org/standard/61694.html</t>
  </si>
  <si>
    <t>International Core PCR for Construction Products</t>
  </si>
  <si>
    <t>EN 15804 for Building Sector EPDs</t>
  </si>
  <si>
    <t>https://www.usgbc.org/resources/en-15804%E2%80%942012-sustainability-construction-works-environmental-product-declarations-core-ru</t>
  </si>
  <si>
    <t>European analogue to ISO 21930</t>
  </si>
  <si>
    <t>EN 15804—2012 Sustainability of construction works, Environmental product declarations, Core rules for the product category of construction products</t>
  </si>
  <si>
    <t>WRI GHG Protocol Product Level Accounting</t>
  </si>
  <si>
    <t>https://ghgprotocol.org/</t>
  </si>
  <si>
    <t>WRI GHG Protocol: Product Life Cycle Accounting and Reporting Standard</t>
  </si>
  <si>
    <t>Inflation Reduction Act - Standardization of EPDs</t>
  </si>
  <si>
    <t>https://www.democrats.senate.gov/imo/media/doc/inflation_reduction_act_of_2022.pdf</t>
  </si>
  <si>
    <t xml:space="preserve">Sec. 60116, </t>
  </si>
  <si>
    <t xml:space="preserve">SEC. 60116. LOW-EMBODIED CARBON LABELING FOR CONSTRUCTION MATERIALS. </t>
  </si>
  <si>
    <t>PEP ecoPassport®</t>
  </si>
  <si>
    <t>http://www.pep-ecopassport.org/the-pcr-of-the-pep-ecopassportR-program/</t>
  </si>
  <si>
    <t>Product Category Rules (PCRs) defined by Environmental Product Profiles (PEP) defined by the PEP ecoPassport® Program</t>
  </si>
  <si>
    <t>ibu PCR 2017</t>
  </si>
  <si>
    <t>https://epd-online.com/Pcr/PdfDownloadForEpd/6517</t>
  </si>
  <si>
    <t>PCR for 'Luminaires, lamps and components for luminaires' - 11.2017</t>
  </si>
  <si>
    <t>(IBU) Part B: Requirements on the EPD for Luminaires, lamps and components for luminaires</t>
  </si>
  <si>
    <t>ACLCA PCR Open Standard v1.0</t>
  </si>
  <si>
    <t>https://aclca.org/pcr/</t>
  </si>
  <si>
    <t>ACLCA 2022 ACLCA PCR Open Standard - Guidance Checklist Toolkit</t>
  </si>
  <si>
    <t xml:space="preserve">2022 ACLCA PCR Guidance – Process and Methods Toolkit: Creating Standardized, Consistent, and Reliable PCRs &amp; EPDs for Transparency, Procurement, and Supply Chain Data </t>
  </si>
  <si>
    <r>
      <rPr>
        <b/>
        <sz val="16"/>
        <color rgb="FF0000FF"/>
        <rFont val="Calibri"/>
        <family val="2"/>
        <scheme val="minor"/>
      </rPr>
      <t>BLUE text are additional instructions/guidance for data provider</t>
    </r>
    <r>
      <rPr>
        <b/>
        <sz val="16"/>
        <color theme="1"/>
        <rFont val="Calibri"/>
        <family val="2"/>
        <scheme val="minor"/>
      </rPr>
      <t xml:space="preserve">
</t>
    </r>
    <r>
      <rPr>
        <b/>
        <sz val="16"/>
        <color rgb="FF00B050"/>
        <rFont val="Calibri"/>
        <family val="2"/>
        <scheme val="minor"/>
      </rPr>
      <t>GREEN text are for additional instructions/guidance for practitioners implementing LCI</t>
    </r>
    <r>
      <rPr>
        <b/>
        <sz val="16"/>
        <color theme="1"/>
        <rFont val="Calibri"/>
        <family val="2"/>
        <scheme val="minor"/>
      </rPr>
      <t xml:space="preserve">
</t>
    </r>
    <r>
      <rPr>
        <b/>
        <sz val="16"/>
        <color rgb="FFFF0000"/>
        <rFont val="Calibri"/>
        <family val="2"/>
        <scheme val="minor"/>
      </rPr>
      <t>RED text are temporary notes for internal use only + indicate areas where feedback is required</t>
    </r>
  </si>
  <si>
    <t>What's in it?</t>
  </si>
  <si>
    <t>Tab Description</t>
  </si>
  <si>
    <t>Tab Title</t>
  </si>
  <si>
    <t>Tab Contents</t>
  </si>
  <si>
    <t>Fillable Form</t>
  </si>
  <si>
    <t>General LCI/LCA/EPD Content</t>
  </si>
  <si>
    <t>GEN_EPD</t>
  </si>
  <si>
    <t>GEN_EPD fields determine the basis upon which other tab field entries are normalized (e.g., weight of product per unit) as well as text descriptions utilized in the EPD output.</t>
  </si>
  <si>
    <t>Color-Coding Key</t>
  </si>
  <si>
    <t>A1-A2 Template: Raw Materials &amp; Transport</t>
  </si>
  <si>
    <t>A1-A2: Upstream Mfg</t>
  </si>
  <si>
    <t>A1-A2 - Production: Power generation, production of base materials, pre-products, ancillary materials, processing of secondary materials, packaging materials, extraction and processing of upstream materials and energy along with incoming material transports.</t>
  </si>
  <si>
    <t>Header 1</t>
  </si>
  <si>
    <t>Header 2</t>
  </si>
  <si>
    <t>Header 3</t>
  </si>
  <si>
    <t>Header 4</t>
  </si>
  <si>
    <t>Header 5</t>
  </si>
  <si>
    <t>A3: Manufacturing</t>
  </si>
  <si>
    <t>A3: Foreground Mfg</t>
  </si>
  <si>
    <t xml:space="preserve">A3: Manufacturing: production of ancillary materials or pre-products; energy used and recovered, water consumed, emissions, and waste produced at luminaire assembly, </t>
  </si>
  <si>
    <t>This color cell should be filled out by the data provider: critical information needed for template functionality</t>
  </si>
  <si>
    <t>This color cell should be filled out by the data provider: Supplemental information for clarify and/or EPD</t>
  </si>
  <si>
    <t>This color cell should be filled out by the practitioner implementing the LCI</t>
  </si>
  <si>
    <t>This color cell indicates a formula: auto-generated by other entries</t>
  </si>
  <si>
    <t>A4-A5 Template: Construction/Installation</t>
  </si>
  <si>
    <t>A4-A5: Deliver &amp; Install</t>
  </si>
  <si>
    <t>B1-B6 Template: Use phase</t>
  </si>
  <si>
    <t>B1-B6: Use</t>
  </si>
  <si>
    <t>…</t>
  </si>
  <si>
    <t>C1-C4 Template: Disposal</t>
  </si>
  <si>
    <t>C1-C4: Disposal</t>
  </si>
  <si>
    <t>C1-C4: Includes deinstallation, collection, transport, and end-of-life treatment of the entire luminaire at end of operational service life; also, includes the disposal of the last light source utilized in the luminaire over the reference lifetime. Disposal includes pre-treatment and management of the disposal site. Recycling only accounted for in terms of amount of luminaire disposed, i.e., amount disposed is less the amount recycled per recent statistics of the investigated geographic scope specific for this product category (e-waste).</t>
  </si>
  <si>
    <t>D: Supplemental Beyond Life Cycle</t>
  </si>
  <si>
    <t>D: Beyond System</t>
  </si>
  <si>
    <t xml:space="preserve">D: Optional supplementary information declaring potential impacts and benefits of secondary material, secondary fuel or recovered energy leaving the product system based on scenarios. These scenario results are always presented separately from Modules A-C for transparency. </t>
  </si>
  <si>
    <t>Linked Ref</t>
  </si>
  <si>
    <t>Physical Units Required for openEPD System</t>
  </si>
  <si>
    <t>openEPD_units &amp; conversions</t>
  </si>
  <si>
    <t>SI units shall be used; basic units are meter (m), kilogram (kg), metric tonne (t), and lumens. Water use in cubic meters (m3), temperature in degrees Celsius, time in minutes, hours, days, years. Power in (kWh) .</t>
  </si>
  <si>
    <t>Landfill Types Default per Region</t>
  </si>
  <si>
    <t>eol_lf_type_region</t>
  </si>
  <si>
    <t>National/Regional Recycling &amp; EOL Statistics</t>
  </si>
  <si>
    <t>natl_stat</t>
  </si>
  <si>
    <t>European and North American recycling rates and primary-to-secondary material ratios for some metals are utilized to more accurately reflect material flows of the investigated geographic scope (i.e., toggle between Europe or RER and Regional North America or RNA).</t>
  </si>
  <si>
    <t>Linked Ref &amp; Model Output</t>
  </si>
  <si>
    <t>Structured Query Language - Model Script</t>
  </si>
  <si>
    <t>SQL</t>
  </si>
  <si>
    <t>SQL scripts generated from user inputs; use Column U to update openLCA model (copy paste into openLCA model copy Developer Tools SQL Statement field) to generate updated model results.</t>
  </si>
  <si>
    <t>Background ecoinvent® database geography</t>
  </si>
  <si>
    <t>ei_geo</t>
  </si>
  <si>
    <t>List of database table containing all ecoivnent® v3.8 geographic scope acronyms and boundaries (i.e., country and region codes with latitude &amp; longitude).</t>
  </si>
  <si>
    <t>Master Data Validation Lists &amp; Dependencies</t>
  </si>
  <si>
    <t>master_list_menus</t>
  </si>
  <si>
    <t>Master data validation tables used for pull-down lists.</t>
  </si>
  <si>
    <t>SOURCEFLOWNAME</t>
  </si>
  <si>
    <t>SOURCEFLOWUUID</t>
  </si>
  <si>
    <t>CATEGORY</t>
  </si>
  <si>
    <t>SUBCATEGORY</t>
  </si>
  <si>
    <t>SOURCEUNIT</t>
  </si>
  <si>
    <t>UNITGRPID</t>
  </si>
  <si>
    <t>UNITGRPNAME</t>
  </si>
  <si>
    <t>UNITSID</t>
  </si>
  <si>
    <t>UNITSNAME</t>
  </si>
  <si>
    <t>FLOWPROPID</t>
  </si>
  <si>
    <t>FLOWPROPNAME</t>
  </si>
  <si>
    <t>[sulfonyl]urea-compound</t>
  </si>
  <si>
    <t>4c2b1cc3-84e5-4e35-b74e-8815eadbc674</t>
  </si>
  <si>
    <t>NULL</t>
  </si>
  <si>
    <t>2021:Manufacture of pesticides and other agrochemical products</t>
  </si>
  <si>
    <t>kg</t>
  </si>
  <si>
    <t>Units of mass</t>
  </si>
  <si>
    <t>Mass</t>
  </si>
  <si>
    <t>[thio]carbamate-compound</t>
  </si>
  <si>
    <t>1be4f7e4-5244-4f9d-b80d-7fbf1e337e2b</t>
  </si>
  <si>
    <t>1,1-difluoroethane, HFC-152a</t>
  </si>
  <si>
    <t>807906d0-f3cb-4a7c-a528-ae497a61bf12</t>
  </si>
  <si>
    <t>2011:Manufacture of basic chemicals</t>
  </si>
  <si>
    <t>1,1-dimethylcyclopentane</t>
  </si>
  <si>
    <t>41bae23f-237d-4ba6-9b1d-73d5f4baee55</t>
  </si>
  <si>
    <t>1920:Manufacture of refined petroleum products</t>
  </si>
  <si>
    <t>1-butanol</t>
  </si>
  <si>
    <t>5543d899-1cbd-4acf-a770-befd41102943</t>
  </si>
  <si>
    <t>1-pentanol</t>
  </si>
  <si>
    <t>d3a29af5-314a-4659-a574-6bfd53a6bde0</t>
  </si>
  <si>
    <t>1-propanol</t>
  </si>
  <si>
    <t>b7b72951-a57c-4364-9b49-ea3c7cb03d00</t>
  </si>
  <si>
    <t>2,3-dimethylbutan</t>
  </si>
  <si>
    <t>a191a2a0-c238-407b-8627-6eb61e1792c5</t>
  </si>
  <si>
    <t>2,4-dichlorophenol</t>
  </si>
  <si>
    <t>f1df8dfc-212e-49a2-bfbc-287dc8eb5da3</t>
  </si>
  <si>
    <t>2,4-dichlorotoluene</t>
  </si>
  <si>
    <t>04ec6467-1e9f-426c-b84a-687d6164b6c1</t>
  </si>
  <si>
    <t>2,4-dinitrotoluene</t>
  </si>
  <si>
    <t>36a34f57-eadf-441b-a354-a10fe3d5f2bc</t>
  </si>
  <si>
    <t>2,4-di-tert-butylphenol</t>
  </si>
  <si>
    <t>9d005382-c0b6-5cdc-a56c-96d392f0b1a6</t>
  </si>
  <si>
    <t>2,5-dimethylhexane-2,5-dihydroperoxide</t>
  </si>
  <si>
    <t>4de1ac3c-15ac-5165-9c53-78dd251fdf2c</t>
  </si>
  <si>
    <t>2,6-di-tert-butylphenol</t>
  </si>
  <si>
    <t>0fd5517a-5e54-5aed-9057-ab93b60324ad</t>
  </si>
  <si>
    <t>2-butanol</t>
  </si>
  <si>
    <t>dab51c45-3349-4fbf-8dbc-cc97ffdd57df</t>
  </si>
  <si>
    <t>2-cyclopentone</t>
  </si>
  <si>
    <t>dafa1eaf-3254-436c-a273-1f38b10ee28e</t>
  </si>
  <si>
    <t>2-methyl-1-butanol</t>
  </si>
  <si>
    <t>ba5a6af1-073c-4532-977c-24a932ac44e9</t>
  </si>
  <si>
    <t>2-methyl-2-butanol</t>
  </si>
  <si>
    <t>11bd64cc-4415-44e4-8cf0-edde6adc6b46</t>
  </si>
  <si>
    <t>2-methylpentane</t>
  </si>
  <si>
    <t>11290f67-05de-4e87-b58c-3d36392d9f22</t>
  </si>
  <si>
    <t>2-nitroaniline</t>
  </si>
  <si>
    <t>089f5c04-e340-42c4-bf9c-e8ec6174443a</t>
  </si>
  <si>
    <t>2-pyridinol</t>
  </si>
  <si>
    <t>e3449af4-a6f1-484b-88c9-eab58f41a250</t>
  </si>
  <si>
    <t>3-methyl-1-butanol</t>
  </si>
  <si>
    <t>5b8d6214-5226-4a48-a7aa-a814ea610fee</t>
  </si>
  <si>
    <t>3-methyl-1-butyl acetate</t>
  </si>
  <si>
    <t>ef84c866-e125-4835-8747-ed684e87d36e</t>
  </si>
  <si>
    <t>3-methylpyridine</t>
  </si>
  <si>
    <t>f624efa9-1c07-54f3-b9fd-5e30dd0e3d04</t>
  </si>
  <si>
    <t>4-methyl-2-pentanone</t>
  </si>
  <si>
    <t>d1a3ebf3-e2d5-4da1-8090-664c9160aa33</t>
  </si>
  <si>
    <t>4-tert-butylbenzaldehyde</t>
  </si>
  <si>
    <t>abba9c52-1cf4-40a9-a2bf-2681b3e84b1c</t>
  </si>
  <si>
    <t>4-tert-butyltoluene</t>
  </si>
  <si>
    <t>2f5bfd17-304f-4568-b051-155ed2d2f3b0</t>
  </si>
  <si>
    <t>absorption chiller, 100kW</t>
  </si>
  <si>
    <t>85c1094f-fe6e-4869-9759-47fa520b3354</t>
  </si>
  <si>
    <t>2819:Manufacture of other general-purpose machinery</t>
  </si>
  <si>
    <t>Item(s)</t>
  </si>
  <si>
    <t>Units of items</t>
  </si>
  <si>
    <t>Number of items</t>
  </si>
  <si>
    <t>acetaldehyde</t>
  </si>
  <si>
    <t>86e7640d-9427-47f7-b801-03f9df666a18</t>
  </si>
  <si>
    <t>acetamide-anillide-compound, unspecified</t>
  </si>
  <si>
    <t>2487d46f-ca68-45fe-9baf-c8546908cef2</t>
  </si>
  <si>
    <t>acetanilide</t>
  </si>
  <si>
    <t>98c3d189-a2b3-4d52-b833-e896553847e9</t>
  </si>
  <si>
    <t>acetic acid, without water, in 98% solution state</t>
  </si>
  <si>
    <t>e36aa595-9fc6-4eff-8f34-a9b11f460762</t>
  </si>
  <si>
    <t>acetic anhydride</t>
  </si>
  <si>
    <t>50a418df-9ef8-4a99-8bea-4f9b4ea88acb</t>
  </si>
  <si>
    <t>acetoacetic acid</t>
  </si>
  <si>
    <t>dbbb2b50-295a-486a-af82-9da5b08df6b5</t>
  </si>
  <si>
    <t>acetone cyanohydrin</t>
  </si>
  <si>
    <t>3b363d31-87f8-483f-9676-ab3221789dca</t>
  </si>
  <si>
    <t>2013:Manufacture of plastics and synthetic rubber in primary forms</t>
  </si>
  <si>
    <t>acetone, liquid</t>
  </si>
  <si>
    <t>15e08bcb-75e0-4f45-ab47-d6ddff721ebc</t>
  </si>
  <si>
    <t>acetonitrile</t>
  </si>
  <si>
    <t>f28138f3-8c6c-4c3f-801b-ff365c5e6cc0</t>
  </si>
  <si>
    <t>acetyl chloride</t>
  </si>
  <si>
    <t>b38b6557-fb95-4f02-820c-2902c294998e</t>
  </si>
  <si>
    <t>acetylene</t>
  </si>
  <si>
    <t>ac271101-169f-43d6-913e-624d1a1b6683</t>
  </si>
  <si>
    <t>aclonifen</t>
  </si>
  <si>
    <t>906ace6c-3089-4c95-9ebd-5a396ee84577</t>
  </si>
  <si>
    <t>acrolein</t>
  </si>
  <si>
    <t>41860f12-8b2b-47d9-bffe-966505490bf6</t>
  </si>
  <si>
    <t>acrylic acid</t>
  </si>
  <si>
    <t>b9d163af-230d-4a54-a9e0-27f894dc8c2a</t>
  </si>
  <si>
    <t>acrylic binder, without water, in 34% solution state</t>
  </si>
  <si>
    <t>79bd7e18-86c4-4aa4-aebe-34fdb546c3bd</t>
  </si>
  <si>
    <t>2022:Manufacture of paints, varnishes and similar coatings, printing ink and mas</t>
  </si>
  <si>
    <t>acrylic dispersion, without water, in 65% solution state</t>
  </si>
  <si>
    <t>dce67266-c173-4a2c-ad18-3838209a083a</t>
  </si>
  <si>
    <t>acrylic filler</t>
  </si>
  <si>
    <t>aad176cd-625d-4e08-917b-6434e207accd</t>
  </si>
  <si>
    <t>acrylic varnish, without water, in 87.5% solution state</t>
  </si>
  <si>
    <t>4f41bd8f-2435-41c8-8a3f-3810f0210766</t>
  </si>
  <si>
    <t>acrylonitrile</t>
  </si>
  <si>
    <t>fa57e518-c22b-4011-a20c-6a73bdf8c53a</t>
  </si>
  <si>
    <t>acrylonitrile-butadiene-styrene copolymer</t>
  </si>
  <si>
    <t>71e296f1-2f6d-481a-87ed-e0eac085054d</t>
  </si>
  <si>
    <t>activated bentonite</t>
  </si>
  <si>
    <t>db314df7-a55f-4c57-b1b7-1bec53c2740c</t>
  </si>
  <si>
    <t>activated carbon, granular</t>
  </si>
  <si>
    <t>99ba8208-7a4c-46e7-b4f0-6d93a8332c0b</t>
  </si>
  <si>
    <t>2029:Manufacture of other chemical products n.e.c.</t>
  </si>
  <si>
    <t>activated silica</t>
  </si>
  <si>
    <t>aef8dfb0-f2a7-4ce6-9559-afe913243fc3</t>
  </si>
  <si>
    <t>adhesive mortar</t>
  </si>
  <si>
    <t>b8adef94-a49e-4914-ae0e-9a920ee87bdb</t>
  </si>
  <si>
    <t>2394:Manufacture of cement, lime and plaster</t>
  </si>
  <si>
    <t>adhesive, for metal</t>
  </si>
  <si>
    <t>fa11f755-b0fc-4b50-b3cc-6acde5908f28</t>
  </si>
  <si>
    <t>adipic acid</t>
  </si>
  <si>
    <t>a4206b90-e47d-42e9-b695-678b68ea38c7</t>
  </si>
  <si>
    <t>agricultural machinery, tillage</t>
  </si>
  <si>
    <t>84aefb4d-62e4-4a80-9f1d-6c2058eb4c52</t>
  </si>
  <si>
    <t>2821:Manufacture of agricultural and forestry machinery</t>
  </si>
  <si>
    <t>agricultural machinery, unspecified</t>
  </si>
  <si>
    <t>663a4580-9fa2-4ec3-8174-5a18ed250015</t>
  </si>
  <si>
    <t>agricultural trailer</t>
  </si>
  <si>
    <t>32af2447-4a20-428b-8ca3-6e311de7cd26</t>
  </si>
  <si>
    <t>air compressor, screw-type compressor, 300kW</t>
  </si>
  <si>
    <t>6874a6ba-4ed7-47c7-86d7-93ea0d49143c</t>
  </si>
  <si>
    <t>2813:Manufacture of other pumps, compressors, taps and valves</t>
  </si>
  <si>
    <t>air compressor, screw-type compressor, 4kW</t>
  </si>
  <si>
    <t>57a23d61-cc04-4414-ba30-4a15b785399a</t>
  </si>
  <si>
    <t>air distribution terminal panel, steel, 120 m3/h</t>
  </si>
  <si>
    <t>7207cd29-8c7e-419e-ae17-c29e8c20e3fa</t>
  </si>
  <si>
    <t>air filter, central unit, 600 m3/h</t>
  </si>
  <si>
    <t>9aa99528-f035-4245-abd7-eace6101abf8</t>
  </si>
  <si>
    <t>air filter, decentralized unit, 180-250 m3/h</t>
  </si>
  <si>
    <t>d0e5f559-5f1f-4228-b277-0848a1d49721</t>
  </si>
  <si>
    <t>air filter, decentralized unit, 250 m3/h</t>
  </si>
  <si>
    <t>1d8da2ef-019e-4fc8-9e15-11bd37949f61</t>
  </si>
  <si>
    <t>air filter, in exhaust air valve</t>
  </si>
  <si>
    <t>2bdd98d4-0ef8-4c4c-a1b2-f5de5e4786af</t>
  </si>
  <si>
    <t>air input/output unit, heat and power co-generation unit, 160kW electrical</t>
  </si>
  <si>
    <t>847db7e2-b84f-40ed-89ba-cede5b6c30c6</t>
  </si>
  <si>
    <t>air separation facility</t>
  </si>
  <si>
    <t>4dd034b4-e9bb-4464-bddc-a4dedfcf7f61</t>
  </si>
  <si>
    <t>4290:Construction of other civil engineering projects</t>
  </si>
  <si>
    <t>aircraft, belly freight, long haul</t>
  </si>
  <si>
    <t>208c6506-892d-4b5a-b1ce-489b2ee26abc</t>
  </si>
  <si>
    <t>3030:Manufacture of air and spacecraft and related machinery</t>
  </si>
  <si>
    <t>aircraft, belly freight, medium haul</t>
  </si>
  <si>
    <t>7a61ded0-9ae6-4181-9ed0-8988f5bda78e</t>
  </si>
  <si>
    <t>aircraft, belly freight, short haul</t>
  </si>
  <si>
    <t>c63b53d7-ad85-4b20-9057-cba8d36205ed</t>
  </si>
  <si>
    <t>aircraft, belly freight, very short haul</t>
  </si>
  <si>
    <t>b438f1ca-bbc3-403c-a979-381e5eb738ea</t>
  </si>
  <si>
    <t>aircraft, dedicated freight, long haul</t>
  </si>
  <si>
    <t>6808a91f-0322-406b-a4cf-41473f5a5ca8</t>
  </si>
  <si>
    <t>aircraft, dedicated freight, medium haul</t>
  </si>
  <si>
    <t>1750c542-8330-4f6a-9f79-f14e0ef80c7a</t>
  </si>
  <si>
    <t>aircraft, dedicated freight, short haul</t>
  </si>
  <si>
    <t>fb6d23d3-40b3-4175-939a-7b5f14a5f2e0</t>
  </si>
  <si>
    <t>aircraft, dedicated freight, very short haul</t>
  </si>
  <si>
    <t>6e3d1533-62f8-42a3-aadb-69f034d9e868</t>
  </si>
  <si>
    <t>aircraft, passenger, long haul</t>
  </si>
  <si>
    <t>f24acce7-b9ae-4df5-aa67-5863ff2a9a1c</t>
  </si>
  <si>
    <t>aircraft, passenger, medium haul</t>
  </si>
  <si>
    <t>722a1080-c48c-43ae-8666-53eb9e8c8c73</t>
  </si>
  <si>
    <t>aircraft, passenger, short haul</t>
  </si>
  <si>
    <t>f97a287c-bfcd-4d90-a9e8-01073f016507</t>
  </si>
  <si>
    <t>aircraft, passenger, very short haul</t>
  </si>
  <si>
    <t>00bc02b3-9343-4cd8-9ce6-c371a3c31eba</t>
  </si>
  <si>
    <t>airport</t>
  </si>
  <si>
    <t>d8f9c37f-d22d-436d-a83c-1039d7421020</t>
  </si>
  <si>
    <t>4210:Construction of roads and railways</t>
  </si>
  <si>
    <t>alfalfa-grass mixture, Swiss integrated production</t>
  </si>
  <si>
    <t>ecf9c16a-7027-4cba-9413-6f0d882d0d97</t>
  </si>
  <si>
    <t>0119:Growing of other non-perennial crops</t>
  </si>
  <si>
    <t>alfalfa-grass silage</t>
  </si>
  <si>
    <t>eb8fd188-240c-4b62-9b24-0265599b8d95</t>
  </si>
  <si>
    <t>alkyd paint, white, without solvent, in 60% solution state</t>
  </si>
  <si>
    <t>fb4bb128-084e-4da3-8227-2ef8ad95da13</t>
  </si>
  <si>
    <t>alkyd paint, white, without water, in 60% solution state</t>
  </si>
  <si>
    <t>d2aea801-6631-4070-939b-7b6d6b73bee5</t>
  </si>
  <si>
    <t>alkyd resin, long oil, without solvent, in 70% white spirit solution state</t>
  </si>
  <si>
    <t>53c35893-3698-4819-8994-b5484cf379b3</t>
  </si>
  <si>
    <t>alkyl sulphate (C12-14)</t>
  </si>
  <si>
    <t>c90997d4-c89d-5189-b360-2d1b5a0d4652</t>
  </si>
  <si>
    <t>2023:Manufacture of soap and detergents, cleaning and polishing preparations, pe</t>
  </si>
  <si>
    <t>alkylbenzene sulfonate, linear, petrochemical</t>
  </si>
  <si>
    <t>29026153-01e0-4b94-9ba5-173e3986ed08</t>
  </si>
  <si>
    <t>alkylbenzene, linear</t>
  </si>
  <si>
    <t>eae90647-a55e-4512-9922-e4170fb36a46</t>
  </si>
  <si>
    <t>alkylketene dimer sizing agent, for paper production</t>
  </si>
  <si>
    <t>846f817b-6e06-4594-89ee-6d46c8c368c4</t>
  </si>
  <si>
    <t>allyl chloride</t>
  </si>
  <si>
    <t>59984322-d17b-47b2-92bd-1c54912a2094</t>
  </si>
  <si>
    <t>almond</t>
  </si>
  <si>
    <t>0cb00cc5-6a2f-4bce-969e-425b45206734</t>
  </si>
  <si>
    <t>0125:Growing of other tree and bush fruits and nuts</t>
  </si>
  <si>
    <t>alpha-naphthol</t>
  </si>
  <si>
    <t>63775a1e-2862-48b9-a8e0-a710ece3dc4b</t>
  </si>
  <si>
    <t>alpha-picoline</t>
  </si>
  <si>
    <t>c3af769c-0f11-46f9-a0cf-74a60b473ead</t>
  </si>
  <si>
    <t>aluminium alloy, AlLi</t>
  </si>
  <si>
    <t>aa81aad8-3eea-4eb5-b33c-97621400e199</t>
  </si>
  <si>
    <t>2420:Manufacture of basic precious and other non-ferrous metals</t>
  </si>
  <si>
    <t>aluminium alloy, AlMg3</t>
  </si>
  <si>
    <t>e77d9460-e423-4e88-8c44-d1a4545b0b07</t>
  </si>
  <si>
    <t>aluminium alloy, metal matrix composite</t>
  </si>
  <si>
    <t>9c78fb2b-13ba-46ab-8e5c-7996d9526938</t>
  </si>
  <si>
    <t>aluminium around steel bi-metal stranded cable, 3x3.67mm external diameter wire</t>
  </si>
  <si>
    <t>bcc2de51-bded-45a8-ac4b-0d9ea6d5b2b1</t>
  </si>
  <si>
    <t>2599:Manufacture of other fabricated metal products n.e.c.</t>
  </si>
  <si>
    <t>m</t>
  </si>
  <si>
    <t>Units of length</t>
  </si>
  <si>
    <t>Length</t>
  </si>
  <si>
    <t>aluminium around steel bi-metal wire, 3.67mm external diameter</t>
  </si>
  <si>
    <t>bf6543c1-eb68-465b-85dd-d4f0cc107ec2</t>
  </si>
  <si>
    <t>aluminium casting facility</t>
  </si>
  <si>
    <t>3ce2f7c0-30bf-48f3-8e31-d9deeb08cb05</t>
  </si>
  <si>
    <t>4100:Construction of buildings</t>
  </si>
  <si>
    <t>aluminium chloride</t>
  </si>
  <si>
    <t>5d0ec026-7937-5ac8-9358-dd2690065dd7</t>
  </si>
  <si>
    <t>aluminium collector foil, for Li-ion battery</t>
  </si>
  <si>
    <t>d03314df-2b13-4c27-b966-b0e6739ec2bf</t>
  </si>
  <si>
    <t>2790:Manufacture of other electrical equipment</t>
  </si>
  <si>
    <t>aluminium electrolysis facility</t>
  </si>
  <si>
    <t>2b5712fb-1c87-44e1-9131-4970e73264ef</t>
  </si>
  <si>
    <t>aluminium fluoride</t>
  </si>
  <si>
    <t>61f268c8-d5f9-42e5-bf93-2b617f80871e</t>
  </si>
  <si>
    <t>aluminium hydroxide</t>
  </si>
  <si>
    <t>1fc89761-93f9-48c5-9204-08a8961b93c8</t>
  </si>
  <si>
    <t>aluminium hydroxide factory</t>
  </si>
  <si>
    <t>0e3da9a5-fcfd-4bff-82d6-d45e8b7add39</t>
  </si>
  <si>
    <t>aluminium melting furnace</t>
  </si>
  <si>
    <t>e19538bd-7b2d-441d-9399-71679c1c194c</t>
  </si>
  <si>
    <t>2815:Manufacture of ovens, furnaces and furnace burners</t>
  </si>
  <si>
    <t>aluminium oxide factory</t>
  </si>
  <si>
    <t>7abb1e42-78ba-41fc-b2d6-967b8480dfbe</t>
  </si>
  <si>
    <t>aluminium oxide, metallurgical</t>
  </si>
  <si>
    <t>b2c6db8a-b305-4413-a9c3-5460417f48de</t>
  </si>
  <si>
    <t>aluminium oxide, non-metallurgical</t>
  </si>
  <si>
    <t>96f36f31-8f6a-48f8-921f-1d781b7a545f</t>
  </si>
  <si>
    <t>aluminium removed by drilling, computer numerical controlled</t>
  </si>
  <si>
    <t>9f43b50a-3653-4952-b465-e66ef8926ea7</t>
  </si>
  <si>
    <t>2592:Treatment and coating of metals; machining</t>
  </si>
  <si>
    <t>aluminium removed by drilling, conventional</t>
  </si>
  <si>
    <t>b5f43a8d-4584-42d7-903e-dcb0b14adcbf</t>
  </si>
  <si>
    <t>aluminium removed by milling, average</t>
  </si>
  <si>
    <t>76736f35-6812-4b73-967d-010efeda851f</t>
  </si>
  <si>
    <t>aluminium removed by milling, dressing</t>
  </si>
  <si>
    <t>e8ce7dac-b45a-4dd3-b978-3a4bcb1152f4</t>
  </si>
  <si>
    <t>aluminium removed by milling, large parts</t>
  </si>
  <si>
    <t>195293db-2f14-4e35-a334-201246a27c19</t>
  </si>
  <si>
    <t>aluminium removed by milling, small parts</t>
  </si>
  <si>
    <t>9ceb8f63-d8e7-4c29-9522-df825f2c4a0f</t>
  </si>
  <si>
    <t>aluminium removed by turning, average, computer numerical controlled</t>
  </si>
  <si>
    <t>89b05b75-ebf7-4d7e-b5ab-e5ee133364c8</t>
  </si>
  <si>
    <t>aluminium removed by turning, average, conventional</t>
  </si>
  <si>
    <t>63b19600-43b7-42f4-bb72-172da4012027</t>
  </si>
  <si>
    <t>aluminium removed by turning, primarily dressing, computer numerical controlled</t>
  </si>
  <si>
    <t>c2efe7de-5ee4-43f7-9daa-ce1706051b76</t>
  </si>
  <si>
    <t>aluminium removed by turning, primarily dressing, conventional</t>
  </si>
  <si>
    <t>b508d780-01bd-422c-b119-1a66c41efb1d</t>
  </si>
  <si>
    <t>aluminium removed by turning, primarily roughing, computer numerical controlled</t>
  </si>
  <si>
    <t>8ed69bc7-09fe-420a-a282-014cbf5f278f</t>
  </si>
  <si>
    <t>aluminium removed by turning, primarily roughing, conventional</t>
  </si>
  <si>
    <t>4a9432d1-aaeb-4861-b776-822258862206</t>
  </si>
  <si>
    <t>aluminium scrap, new</t>
  </si>
  <si>
    <t>fec8576b-65e6-482e-a3c0-2e46e5854022</t>
  </si>
  <si>
    <t>aluminium scrap, post-consumer</t>
  </si>
  <si>
    <t>cc755744-10f3-4cf9-8d17-fbf308dd5c5a</t>
  </si>
  <si>
    <t>3830:Materials recovery</t>
  </si>
  <si>
    <t>aluminium scrap, post-consumer, prepared for melting</t>
  </si>
  <si>
    <t>858164b0-44f1-4118-b6cb-47054faa21ef</t>
  </si>
  <si>
    <t>aluminium sulfate, powder</t>
  </si>
  <si>
    <t>761145b7-3abe-48a5-a426-da5da6c36674</t>
  </si>
  <si>
    <t>aluminium sulfate, without water, in 4.33% aluminium solution state</t>
  </si>
  <si>
    <t>4ad5078c-3f14-440a-b9d6-b44ff0faec60</t>
  </si>
  <si>
    <t>aluminium, cast alloy</t>
  </si>
  <si>
    <t>a430f433-cdc8-45be-ace2-32a634634d3b</t>
  </si>
  <si>
    <t>aluminium, in mixed metal scrap</t>
  </si>
  <si>
    <t>d7ff1811-40af-5f9c-a645-21a05091fa39</t>
  </si>
  <si>
    <t>aluminium, primary, cast alloy slab from continuous casting</t>
  </si>
  <si>
    <t>f6161096-34e3-49c9-911e-060659b0dea1</t>
  </si>
  <si>
    <t>aluminium, primary, ingot</t>
  </si>
  <si>
    <t>44defed2-3dc7-4d59-b3bc-23dacf1b9140</t>
  </si>
  <si>
    <t>aluminium, primary, liquid</t>
  </si>
  <si>
    <t>3ede4edc-b278-40dc-8007-0c574aff0739</t>
  </si>
  <si>
    <t>aluminium, wrought alloy</t>
  </si>
  <si>
    <t>fef44ccb-917e-4c8d-bb35-a1898827b659</t>
  </si>
  <si>
    <t>amine oxide</t>
  </si>
  <si>
    <t>c9da0f61-1cb7-585e-8999-d5cb262aa539</t>
  </si>
  <si>
    <t>aminopyridine</t>
  </si>
  <si>
    <t>14d0697a-3064-44ff-afcd-29068d931464</t>
  </si>
  <si>
    <t>ammonia, anhydrous, liquid</t>
  </si>
  <si>
    <t>06b8d05b-e1e6-427b-929c-bb55e84e7c08</t>
  </si>
  <si>
    <t>2012:Manufacture of fertilizers and nitrogen compounds</t>
  </si>
  <si>
    <t>ammonium bicarbonate</t>
  </si>
  <si>
    <t>a7f92ffa-a459-4c1c-ae8b-ffefe3804099</t>
  </si>
  <si>
    <t>ammonium carbonate</t>
  </si>
  <si>
    <t>71aeb89d-1039-4f7f-ab8a-cda6b730c316</t>
  </si>
  <si>
    <t>ammonium chloride</t>
  </si>
  <si>
    <t>e03dc076-23ea-4705-b9f5-7bba07abd0ae</t>
  </si>
  <si>
    <t>ammonium nitrate</t>
  </si>
  <si>
    <t>a498d9fb-9402-4374-b2e2-3f85f5d98f43</t>
  </si>
  <si>
    <t>ammonium nitrate phosphate</t>
  </si>
  <si>
    <t>d918bb01-4699-5d60-8506-d7f43452a86b</t>
  </si>
  <si>
    <t>ammonium nitrite</t>
  </si>
  <si>
    <t>d6cfa491-ddbb-4b29-9bbc-f3835ebf9fe4</t>
  </si>
  <si>
    <t>ammonium paratungstate</t>
  </si>
  <si>
    <t>0bddecfa-a3d2-46fe-b31e-f794ff258621</t>
  </si>
  <si>
    <t>ammonium sulfate</t>
  </si>
  <si>
    <t>6f4bede8-f885-499c-8ac9-6832e35d9d16</t>
  </si>
  <si>
    <t>ammonium thiocyanate</t>
  </si>
  <si>
    <t>4d8591e3-c13b-4364-8fd9-c48c3996588a</t>
  </si>
  <si>
    <t>anaerobic digestion plant, agricultural</t>
  </si>
  <si>
    <t>812fbc21-cd00-46f5-89ed-7312a2e98798</t>
  </si>
  <si>
    <t>anaerobic digestion plant, agriculture, with methane recovery</t>
  </si>
  <si>
    <t>33afc5c1-e057-4456-b964-cd90dc31b1cb</t>
  </si>
  <si>
    <t>anaerobic digestion plant, for biowaste</t>
  </si>
  <si>
    <t>3f521fb7-d13e-4405-848e-aa0dd5a9322f</t>
  </si>
  <si>
    <t>anaerobic digestion plant, for sewage sludge</t>
  </si>
  <si>
    <t>f308d640-db05-4403-8baf-75d23e662c0b</t>
  </si>
  <si>
    <t>anhydrite</t>
  </si>
  <si>
    <t>f8c713b1-b288-4687-94ab-b814cd99f2ee</t>
  </si>
  <si>
    <t>anhydrite floor</t>
  </si>
  <si>
    <t>4ec94c17-2c74-47d0-bd57-38e762ed5ca9</t>
  </si>
  <si>
    <t>2395:Manufacture of articles of concrete, cement and plaster</t>
  </si>
  <si>
    <t>anhydrite rock</t>
  </si>
  <si>
    <t>a7da3e3d-12a6-4e17-944d-8261d33025ab</t>
  </si>
  <si>
    <t>0810:Quarrying of stone, sand and clay</t>
  </si>
  <si>
    <t>anhydrite, burned</t>
  </si>
  <si>
    <t>f77615e2-30e8-434e-8a8c-46c0e95314f9</t>
  </si>
  <si>
    <t>aniline</t>
  </si>
  <si>
    <t>9aa43f13-dfdb-45a0-ac93-8c4b0f7ddb84</t>
  </si>
  <si>
    <t>anionic resin</t>
  </si>
  <si>
    <t>6372f235-5d19-4174-8850-49f651ec58cc</t>
  </si>
  <si>
    <t>anode factory</t>
  </si>
  <si>
    <t>3736d0b4-90f9-4076-9d13-468bf0ae04e4</t>
  </si>
  <si>
    <t>anode refinery</t>
  </si>
  <si>
    <t>fc610554-63c4-4d89-a480-e91740313aa8</t>
  </si>
  <si>
    <t>anode slime from electrorefining of copper, anode</t>
  </si>
  <si>
    <t>ae5a36f4-d83e-4b8c-8453-859ca96a826a</t>
  </si>
  <si>
    <t>anode, for metal electrolysis</t>
  </si>
  <si>
    <t>4e584f6f-2e71-4796-931e-bb9a273c161c</t>
  </si>
  <si>
    <t>anode, graphite, for Li-ion battery</t>
  </si>
  <si>
    <t>12968f44-c081-4982-94da-d447bb56150b</t>
  </si>
  <si>
    <t>2720:Manufacture of batteries and accumulators</t>
  </si>
  <si>
    <t>anode, graphite, for lithium-ion battery</t>
  </si>
  <si>
    <t>7cc63761-c347-4395-96b5-2ebd7f98799e</t>
  </si>
  <si>
    <t>anode, paste, for aluminium electrolysis</t>
  </si>
  <si>
    <t>ebb5a65b-75b5-4489-a065-b11b7b8543bd</t>
  </si>
  <si>
    <t>anode, prebake, for aluminium electrolysis</t>
  </si>
  <si>
    <t>db66eb0b-7b48-4300-8134-2c851292cc14</t>
  </si>
  <si>
    <t>anode, silicon coated graphite, for Li-ion battery</t>
  </si>
  <si>
    <t>7310faf6-857d-4013-8fa4-043200a2c0e7</t>
  </si>
  <si>
    <t>anodising, aluminium sheet</t>
  </si>
  <si>
    <t>a399e4d1-d876-4cb0-81c2-7682a5c9e274</t>
  </si>
  <si>
    <t>m2</t>
  </si>
  <si>
    <t>Units of area</t>
  </si>
  <si>
    <t>Area</t>
  </si>
  <si>
    <t>anthranilic acid</t>
  </si>
  <si>
    <t>aa032b4c-85ce-442b-8788-a6678af1a12a</t>
  </si>
  <si>
    <t>anthraquinone</t>
  </si>
  <si>
    <t>93ba9b84-9cdb-4159-a78d-ea8b2000fde7</t>
  </si>
  <si>
    <t>antimony</t>
  </si>
  <si>
    <t>6a38ebd7-c7d9-41aa-941e-84772a9b40be</t>
  </si>
  <si>
    <t>anti-reflex-coating, etching, solar glass</t>
  </si>
  <si>
    <t>53d88c6c-e0e9-4c2c-81be-eb3545b4f4c6</t>
  </si>
  <si>
    <t>2310:Manufacture of glass and glass products</t>
  </si>
  <si>
    <t>apple</t>
  </si>
  <si>
    <t>1c819f15-1202-4fa9-8ef9-72196c2dfb85</t>
  </si>
  <si>
    <t>0124:Growing of pome fruits and stone fruits</t>
  </si>
  <si>
    <t>application of plant protection product, by field sprayer</t>
  </si>
  <si>
    <t>7225e2a6-7fd6-40e2-b341-f097b027d119</t>
  </si>
  <si>
    <t>0161:Support activities for crop production</t>
  </si>
  <si>
    <t>apricot</t>
  </si>
  <si>
    <t>bfbebb42-d443-4cc1-8300-7dbf18a85a0b</t>
  </si>
  <si>
    <t>argon, crude, liquid</t>
  </si>
  <si>
    <t>0e2dea51-7ebb-4cf8-8343-2db3e334195d</t>
  </si>
  <si>
    <t>argon, liquid</t>
  </si>
  <si>
    <t>a94ce0ad-46f5-407c-b445-671e353875f0</t>
  </si>
  <si>
    <t>arsine</t>
  </si>
  <si>
    <t>52c95e30-e777-4347-b90d-12db4c0006cb</t>
  </si>
  <si>
    <t>asbestos, crysotile type</t>
  </si>
  <si>
    <t>18dc1317-84b4-4681-a5f4-e296cf12f69e</t>
  </si>
  <si>
    <t>0899:Other mining and quarrying n.e.c.</t>
  </si>
  <si>
    <t>ascorbic acid</t>
  </si>
  <si>
    <t>38e909f7-a27d-4f53-9c4e-3b29007c4523</t>
  </si>
  <si>
    <t>2100:Manufacture of pharmaceuticals, medicinal chemical and botanical products</t>
  </si>
  <si>
    <t>ash, from combustion of bagasse from sugarcane</t>
  </si>
  <si>
    <t>ea80ca5e-c983-4155-99c3-d8dd83b35c5d</t>
  </si>
  <si>
    <t>ash, from combustion of straw</t>
  </si>
  <si>
    <t>96ccc771-7345-49cc-9f6f-97acca93b59b</t>
  </si>
  <si>
    <t>asparagus seedling, for planting</t>
  </si>
  <si>
    <t>5fc0dfd2-312f-4598-b23f-5b04adcda0eb</t>
  </si>
  <si>
    <t>0130:Plant propagation</t>
  </si>
  <si>
    <t>assembly of generator and motor, auxilliaries and energy use, for mini CHP plant</t>
  </si>
  <si>
    <t>c3e8f65b-ce1f-43dd-bc38-b4967ed71b03</t>
  </si>
  <si>
    <t>2811:Manufacture of engines and turbines, except aircraft, vehicle and cycle eng</t>
  </si>
  <si>
    <t>assembly of generator and motor, auxilliaries and energy use, heat and power co-generation unit, 160kW electrical</t>
  </si>
  <si>
    <t>886d7d3f-d22e-4b5e-9037-2b104078c073</t>
  </si>
  <si>
    <t>assembly of liquid crystal display, auxilliaries and energy use</t>
  </si>
  <si>
    <t>4f6092a7-7ca9-4a31-b3e0-2b35448a186c</t>
  </si>
  <si>
    <t>2620:Manufacture of computers and peripheral equipment</t>
  </si>
  <si>
    <t>atrazine</t>
  </si>
  <si>
    <t>bc06c7e3-8a07-424b-a2d9-e43b1918638d</t>
  </si>
  <si>
    <t>aubergine</t>
  </si>
  <si>
    <t>0a3a160b-61be-48f3-9cc9-206b0f504195</t>
  </si>
  <si>
    <t>0113:Growing of vegetables and melons, roots and tubers</t>
  </si>
  <si>
    <t>autoclaved aerated concrete block</t>
  </si>
  <si>
    <t>dccd37a7-b2cf-47ea-969b-6cdd748dfa12</t>
  </si>
  <si>
    <t>auxiliary heating unit, electric, 5kW</t>
  </si>
  <si>
    <t>aa02923c-76b9-4dce-aa4b-cbb330f3fbf1</t>
  </si>
  <si>
    <t>avocado</t>
  </si>
  <si>
    <t>dea57f7f-311e-4659-acde-df219917df6c</t>
  </si>
  <si>
    <t>0122:Growing of tropical and subtropical fruits</t>
  </si>
  <si>
    <t>azodicarbonamide</t>
  </si>
  <si>
    <t>53f62fb9-56c8-51d4-9f01-f3cdc3e09c95</t>
  </si>
  <si>
    <t>backlight, for liquid crystal display</t>
  </si>
  <si>
    <t>ec62f8d8-f557-44dd-8581-b27b18feb90d</t>
  </si>
  <si>
    <t>bagasse, from sugarcane</t>
  </si>
  <si>
    <t>22df1429-91c9-4d1e-a289-1deec0adc66d</t>
  </si>
  <si>
    <t>1072:Manufacture of sugar</t>
  </si>
  <si>
    <t>bagasse, from sweet sorghum</t>
  </si>
  <si>
    <t>2cd6e74e-c64c-4ed4-945b-fd2d2a4f0db6</t>
  </si>
  <si>
    <t>bale loading</t>
  </si>
  <si>
    <t>bab2d2e5-e35f-4264-82ff-7d8e6dc222c1</t>
  </si>
  <si>
    <t>0163:Post-harvest crop activities</t>
  </si>
  <si>
    <t>baling</t>
  </si>
  <si>
    <t>bb425565-81b9-410b-bbb4-a0316567f297</t>
  </si>
  <si>
    <t>bamboo culm</t>
  </si>
  <si>
    <t>51981001-f60a-4dce-ae66-c0aeef64015e</t>
  </si>
  <si>
    <t>0230:Gathering of non-wood forest products</t>
  </si>
  <si>
    <t>bamboo pole</t>
  </si>
  <si>
    <t>f31957b8-d8b1-4a37-8044-5c15c3440857</t>
  </si>
  <si>
    <t>162:Manufacture of products of wood, cork, straw and plaiting materials</t>
  </si>
  <si>
    <t>bamboo residues</t>
  </si>
  <si>
    <t>4d0e609c-f9ef-4ec5-b7b1-c458b86f887b</t>
  </si>
  <si>
    <t>banana</t>
  </si>
  <si>
    <t>3f376415-fc7f-485b-9713-609008c9994b</t>
  </si>
  <si>
    <t>barge</t>
  </si>
  <si>
    <t>86663fb7-de61-47c3-b3f9-b6b80a6a20e3</t>
  </si>
  <si>
    <t>3011:Building of ships and floating structures</t>
  </si>
  <si>
    <t>barge tanker</t>
  </si>
  <si>
    <t>041a813e-d8b2-4683-b92f-1037f128617b</t>
  </si>
  <si>
    <t>barite</t>
  </si>
  <si>
    <t>142f9def-fcb1-486b-b82a-3f384db79acf</t>
  </si>
  <si>
    <t>0729:Mining of other non-ferrous metal ores</t>
  </si>
  <si>
    <t>barium carbonate</t>
  </si>
  <si>
    <t>6a41c54d-8b6a-5e4d-b8b2-bf56fb7a1a21</t>
  </si>
  <si>
    <t>barium hydroxide</t>
  </si>
  <si>
    <t>5be8aafb-8070-549d-8b1f-55642ce02257</t>
  </si>
  <si>
    <t>barium oxide</t>
  </si>
  <si>
    <t>df92279e-c512-5e0b-a761-aff8c4868e05</t>
  </si>
  <si>
    <t>barium sulfide</t>
  </si>
  <si>
    <t>2e31071f-bd8a-5a8c-99f7-bb2edcab5f30</t>
  </si>
  <si>
    <t>bark</t>
  </si>
  <si>
    <t>2c9486c9-1fc4-4535-a296-cd8f3bc0e1cd</t>
  </si>
  <si>
    <t>1610:Sawmilling and planing of wood</t>
  </si>
  <si>
    <t>bark chips, wet, measured as dry mass</t>
  </si>
  <si>
    <t>6d2c81d0-5546-4bc3-a4f4-3e88606d539d</t>
  </si>
  <si>
    <t>1621:Manufacture of veneer sheets and wood-based panels</t>
  </si>
  <si>
    <t>barley grain</t>
  </si>
  <si>
    <t>3f6dada9-2497-4e1c-9e1b-eabafa6920f8</t>
  </si>
  <si>
    <t>0111:Growing of cereals (except rice), leguminous crops and oil seeds</t>
  </si>
  <si>
    <t>barley grain, feed</t>
  </si>
  <si>
    <t>aeaf5266-3f9c-4074-bd34-eba76a61760c</t>
  </si>
  <si>
    <t>1080:Manufacture of prepared animal feeds</t>
  </si>
  <si>
    <t>barley grain, feed, organic</t>
  </si>
  <si>
    <t>0d860eb4-1a25-41b4-a821-81f5726d86e5</t>
  </si>
  <si>
    <t>barley grain, feed, Swiss integrated production</t>
  </si>
  <si>
    <t>281fc4f0-c05d-410a-a784-06e3508e78e6</t>
  </si>
  <si>
    <t>barley grain, organic</t>
  </si>
  <si>
    <t>f467c4d0-ea1c-4ae3-8d69-712598a0478a</t>
  </si>
  <si>
    <t>barley grain, Swiss integrated production</t>
  </si>
  <si>
    <t>a235b2ff-3237-44b0-a445-b852376a1939</t>
  </si>
  <si>
    <t>barley seed, for sowing</t>
  </si>
  <si>
    <t>ed146ae5-db53-4750-b99b-6875af8218d1</t>
  </si>
  <si>
    <t>0164:Seed processing for propagation</t>
  </si>
  <si>
    <t>barley seed, organic, for sowing</t>
  </si>
  <si>
    <t>7b810d03-2e6d-418c-a978-434b087123e9</t>
  </si>
  <si>
    <t>barley seed, Swiss integrated production, for sowing</t>
  </si>
  <si>
    <t>4dfe45d5-c794-4318-bdf7-b72819fe915d</t>
  </si>
  <si>
    <t>basalt</t>
  </si>
  <si>
    <t>2bd67269-cd3a-4ca5-adae-0c030d7e76ed</t>
  </si>
  <si>
    <t>base oil</t>
  </si>
  <si>
    <t>06eb6d76-0ac1-5ba6-aa9b-6b0228e0dd96</t>
  </si>
  <si>
    <t>base plaster</t>
  </si>
  <si>
    <t>2d03bb2c-517e-4184-a3a9-8742107a3f46</t>
  </si>
  <si>
    <t>basic oxygen furnace dust, for recovery</t>
  </si>
  <si>
    <t>c1079141-b4b3-5aea-8ebc-eea359e5f6c3</t>
  </si>
  <si>
    <t>3821:Treatment and disposal of non-hazardous waste</t>
  </si>
  <si>
    <t>basic oxygen furnace secondary metallurgy slag, for recovery</t>
  </si>
  <si>
    <t>3f129a8d-b343-4961-96de-32c8a6d0383a</t>
  </si>
  <si>
    <t>2410:Manufacture of basic iron and steel</t>
  </si>
  <si>
    <t>basic oxygen furnace slag, for recovery</t>
  </si>
  <si>
    <t>aa802c70-0009-5762-b715-e9c07af1c224</t>
  </si>
  <si>
    <t>basic oxygen furnace sludge, for recovery</t>
  </si>
  <si>
    <t>532f6fb4-6fd1-5af1-bb24-7259f6bec409</t>
  </si>
  <si>
    <t>batch dyeing, fibre, cotton</t>
  </si>
  <si>
    <t>5012b3d2-72fb-40ca-ae1f-1f471bc3b36a</t>
  </si>
  <si>
    <t>1313:Finishing of textiles</t>
  </si>
  <si>
    <t>battery cell, Li-ion</t>
  </si>
  <si>
    <t>3103a12f-4541-4c57-88e1-79d331927a66</t>
  </si>
  <si>
    <t>battery cell, Li-ion, NCA</t>
  </si>
  <si>
    <t>d661a7da-bd43-43e9-8311-da1ff4505cf6</t>
  </si>
  <si>
    <t>battery cell, Li-ion, NMC111</t>
  </si>
  <si>
    <t>d572da99-e3a9-4868-a480-c5480f352842</t>
  </si>
  <si>
    <t>battery cell, Li-ion, NMC811</t>
  </si>
  <si>
    <t>758f9b3a-cfaa-40e8-918c-9fb0a2e9e879</t>
  </si>
  <si>
    <t>battery management system, for Li-ion battery</t>
  </si>
  <si>
    <t>cbae456e-4e3a-4537-8789-e259cecf25dc</t>
  </si>
  <si>
    <t>battery module packaging, Li-ion</t>
  </si>
  <si>
    <t>7c08195b-a164-424c-b305-7cf357389b67</t>
  </si>
  <si>
    <t>battery separator</t>
  </si>
  <si>
    <t>3de8d0de-2003-45a2-849d-faceb195e561</t>
  </si>
  <si>
    <t>battery, lead acid, rechargeable, stationary</t>
  </si>
  <si>
    <t>7fbe7184-9e9e-4a21-bd42-fa630266af1d</t>
  </si>
  <si>
    <t>battery, Li-ion, NCA, rechargeable, prismatic</t>
  </si>
  <si>
    <t>2fa1e1c0-3d02-46b6-9baf-e04422951dc8</t>
  </si>
  <si>
    <t>battery, Li-ion, NMC111, rechargeable, prismatic</t>
  </si>
  <si>
    <t>779a79ee-7466-4a8b-8440-db906edf68e7</t>
  </si>
  <si>
    <t>battery, Li-ion, NMC811, rechargeable, prismatic</t>
  </si>
  <si>
    <t>c549d0cd-57fe-43a7-911e-34b8017d67c5</t>
  </si>
  <si>
    <t>battery, Li-ion, rechargeable, prismatic</t>
  </si>
  <si>
    <t>18c7d197-ca25-4e23-b57a-4c9e379ae1bc</t>
  </si>
  <si>
    <t>battery, NaCl</t>
  </si>
  <si>
    <t>0a14cf62-310b-4205-9f3c-ddccaf5206cc</t>
  </si>
  <si>
    <t>battery, NiMH, rechargeable, prismatic</t>
  </si>
  <si>
    <t>85f25c36-edd2-4383-9fbc-4577e0726e00</t>
  </si>
  <si>
    <t>bauxite</t>
  </si>
  <si>
    <t>6e6b1247-4f6e-44a8-b22f-7ff81a0e461a</t>
  </si>
  <si>
    <t>beet seed, Swiss integrated production, for sowing</t>
  </si>
  <si>
    <t>0b7e9242-16c1-4b2f-8df1-0b06aaa2d470</t>
  </si>
  <si>
    <t>bell pepper</t>
  </si>
  <si>
    <t>98813ba1-c1a0-469d-99e0-6f2d8453c47d</t>
  </si>
  <si>
    <t>0128:Growing of spices, aromatic, drug and pharmaceutical crops</t>
  </si>
  <si>
    <t>bentonite</t>
  </si>
  <si>
    <t>4cdd8521-4a4a-4e2b-a7de-aafc3dcdb0d1</t>
  </si>
  <si>
    <t>bentonite quarry infrastructure</t>
  </si>
  <si>
    <t>915500af-3702-4039-8ea7-005a5f84cd2d</t>
  </si>
  <si>
    <t>benzal chloride</t>
  </si>
  <si>
    <t>6b344179-5d4c-47cb-a440-0256a8b501a9</t>
  </si>
  <si>
    <t>benzaldehyde</t>
  </si>
  <si>
    <t>b2fc2305-cd02-44ac-9b7f-4ae6ad257d2b</t>
  </si>
  <si>
    <t>benzaldehyde-2-sulfonic acid</t>
  </si>
  <si>
    <t>32adb0a5-9d9b-57fb-9608-e3c05be329c8</t>
  </si>
  <si>
    <t>benzene</t>
  </si>
  <si>
    <t>f598c5db-f614-47c6-a037-2ab56003e360</t>
  </si>
  <si>
    <t>1910:Manufacture of coke oven products</t>
  </si>
  <si>
    <t>benzimidazole-compound</t>
  </si>
  <si>
    <t>f4470cb4-f0f6-43d0-9e03-52bec610169f</t>
  </si>
  <si>
    <t>benzo[thia]diazole-compound</t>
  </si>
  <si>
    <t>6f07e082-b8cd-4a5f-a7e4-09592fb96d32</t>
  </si>
  <si>
    <t>benzoic acid</t>
  </si>
  <si>
    <t>044d1317-ada7-4837-bd5b-6924998b0797</t>
  </si>
  <si>
    <t>benzoic-compound</t>
  </si>
  <si>
    <t>f143fd40-3f07-4233-83e4-94c102e7eaac</t>
  </si>
  <si>
    <t>benzyl alcohol</t>
  </si>
  <si>
    <t>f2f7fe05-90ce-4e37-a9b1-3437a7db06a8</t>
  </si>
  <si>
    <t>benzyl chloride</t>
  </si>
  <si>
    <t>a5bf7510-836f-4cae-8c8d-3cd4e7ac87db</t>
  </si>
  <si>
    <t>beryllium</t>
  </si>
  <si>
    <t>1ad880ad-6bec-4205-93dd-583f2a3cf40b</t>
  </si>
  <si>
    <t>242:Manufacture of basic precious and other non-ferrous metals</t>
  </si>
  <si>
    <t>beryllium hydroxide</t>
  </si>
  <si>
    <t>5c87ce58-1c14-4af2-8bb2-218b118f2240</t>
  </si>
  <si>
    <t>beverage carton converting</t>
  </si>
  <si>
    <t>9cc5ecbd-442b-4d2a-a1dd-73b7b899535d</t>
  </si>
  <si>
    <t>1702:Manufacture of corrugated paper and paperboard and of containers of paper a</t>
  </si>
  <si>
    <t>bicycle</t>
  </si>
  <si>
    <t>dfaf81e4-74bd-44ac-9d66-00ae3db40bc6</t>
  </si>
  <si>
    <t>3092:Manufacture of bicycles and invalid carriages</t>
  </si>
  <si>
    <t>biogas</t>
  </si>
  <si>
    <t>18e1cfa1-498b-4d93-bace-44cd2ae12596</t>
  </si>
  <si>
    <t>m3</t>
  </si>
  <si>
    <t>Units of volume</t>
  </si>
  <si>
    <t>Volume</t>
  </si>
  <si>
    <t>biogas, from grass</t>
  </si>
  <si>
    <t>564149aa-8e11-4a57-87af-617a39ac3428</t>
  </si>
  <si>
    <t>biomethane, high pressure</t>
  </si>
  <si>
    <t>3f14ad74-3caf-4ddc-9155-c78e40f80a14</t>
  </si>
  <si>
    <t>3520:Manufacture of gas; distribution of gaseous fuels through mains</t>
  </si>
  <si>
    <t>biomethane, high pressure, vehicle grade</t>
  </si>
  <si>
    <t>3a35ef2d-97ec-4cec-a116-984759f6a6d6</t>
  </si>
  <si>
    <t>biomethane, low pressure</t>
  </si>
  <si>
    <t>df713085-e762-4edb-b02f-cc2b274ffab5</t>
  </si>
  <si>
    <t>MJ</t>
  </si>
  <si>
    <t>Units of energy</t>
  </si>
  <si>
    <t>Energy</t>
  </si>
  <si>
    <t>biomethane, low pressure, vehicle grade</t>
  </si>
  <si>
    <t>72798b31-e71e-4eef-9157-8df025f7fb43</t>
  </si>
  <si>
    <t>biomethane, medium pressure, vehicle grade</t>
  </si>
  <si>
    <t>a0ba6a2c-191c-4f4c-9253-f68034bee6ae</t>
  </si>
  <si>
    <t>bipyridylium-compound</t>
  </si>
  <si>
    <t>449726a6-8ebe-4eb7-98f7-25498ae3fd21</t>
  </si>
  <si>
    <t>bisphenol A epoxy based vinyl ester resin</t>
  </si>
  <si>
    <t>b48fcb84-1e4e-4660-8cf2-d1ee7467d060</t>
  </si>
  <si>
    <t>bisphenol A, powder</t>
  </si>
  <si>
    <t>d0cf73b3-5bc9-448e-8285-650adc0a57eb</t>
  </si>
  <si>
    <t>bitumen adhesive compound, cold</t>
  </si>
  <si>
    <t>7e034d72-d5bc-4f72-b2f6-9062337a2504</t>
  </si>
  <si>
    <t>2399:Manufacture of other non-metallic mineral products n.e.c.</t>
  </si>
  <si>
    <t>bitumen adhesive compound, hot</t>
  </si>
  <si>
    <t>a90f106b-8f07-43bb-8210-a4c12ade0b2c</t>
  </si>
  <si>
    <t>bitumen seal</t>
  </si>
  <si>
    <t>f4439eab-25f5-4cc0-b566-957bfe0e2d82</t>
  </si>
  <si>
    <t>bitumen seal, Alu80</t>
  </si>
  <si>
    <t>838aab4c-3cba-4528-ac67-52db590db910</t>
  </si>
  <si>
    <t>bitumen seal, polymer EP4 flame retardant</t>
  </si>
  <si>
    <t>1ea49dcc-2465-4923-bb15-9d9eed0e51e9</t>
  </si>
  <si>
    <t>bitumen seal, V60</t>
  </si>
  <si>
    <t>2e0e7474-61d8-4324-93aa-5df18338c53e</t>
  </si>
  <si>
    <t>bitumen seal, VA4</t>
  </si>
  <si>
    <t>0d89c476-685a-4501-bb4c-0f5d65becf13</t>
  </si>
  <si>
    <t>blast furnace</t>
  </si>
  <si>
    <t>28f2da0b-78ef-4715-ab9a-db1a5b17b2aa</t>
  </si>
  <si>
    <t>blast furnace dust, for recovery</t>
  </si>
  <si>
    <t>77bc11a8-289d-5b23-b0eb-d00b2f9a4be9</t>
  </si>
  <si>
    <t>blast furnace gas</t>
  </si>
  <si>
    <t>b254bbdf-fb2b-4878-aec9-2a7820f3f32e</t>
  </si>
  <si>
    <t>3510:Electric power generation, transmission and distribution</t>
  </si>
  <si>
    <t>blast furnace slag</t>
  </si>
  <si>
    <t>98d3683b-565f-492d-b2df-de9de017bb28</t>
  </si>
  <si>
    <t>blast furnace sludge, for recovery</t>
  </si>
  <si>
    <t>e7f3cc01-e67c-5d20-8254-6786322c0c77</t>
  </si>
  <si>
    <t>blast oxygen furnace converter</t>
  </si>
  <si>
    <t>7bd34016-89a6-40b4-92c8-98837a8a88ae</t>
  </si>
  <si>
    <t>blasting</t>
  </si>
  <si>
    <t>46f66854-d55f-472f-a570-a7aad4fdcfcc</t>
  </si>
  <si>
    <t>4312:Site preparation</t>
  </si>
  <si>
    <t>bleaching and dyeing, yarn</t>
  </si>
  <si>
    <t>832fb0de-b129-4dfe-97d8-92206a61068c</t>
  </si>
  <si>
    <t>bleaching, textile</t>
  </si>
  <si>
    <t>0cc1fded-a4e2-4c97-8fef-227c2475f7f7</t>
  </si>
  <si>
    <t>blow moulding</t>
  </si>
  <si>
    <t>cfe51aa8-55b2-43ef-82f3-0d6c4c80ca67</t>
  </si>
  <si>
    <t>2220:Manufacture of plastics products</t>
  </si>
  <si>
    <t>blower and heat exchange unit, Avent E 97</t>
  </si>
  <si>
    <t>cfd69796-4047-45c0-bc05-e42817b54435</t>
  </si>
  <si>
    <t>blower and heat exchange unit, central, 600-1200 m3/h</t>
  </si>
  <si>
    <t>f0e76468-151f-48df-b137-8ccae2de8c44</t>
  </si>
  <si>
    <t>blower and heat exchange unit, decentralized, 180-250 m3/h</t>
  </si>
  <si>
    <t>bfbd2433-aa69-4db2-96bd-056b4834bb8a</t>
  </si>
  <si>
    <t>blower and heat exchange unit, GE 250 RH</t>
  </si>
  <si>
    <t>87062d01-a1ca-45cc-aaa4-159bec6fdcc6</t>
  </si>
  <si>
    <t>blower and heat exchange unit, KWL 250</t>
  </si>
  <si>
    <t>273a97e6-6330-4400-8068-ac67da3421b6</t>
  </si>
  <si>
    <t>blower and heat exchange unit, KWLC 1200</t>
  </si>
  <si>
    <t>8911bd8c-a96f-4440-9f8e-a7dacf5e79de</t>
  </si>
  <si>
    <t>blower and heat exchange unit, Storkair G 90</t>
  </si>
  <si>
    <t>f058600f-e021-4677-91fd-b93e5286a4de</t>
  </si>
  <si>
    <t>blower and heat exchange unit, Twl-700</t>
  </si>
  <si>
    <t>33e3392c-3d6c-4482-b523-7edf799794d0</t>
  </si>
  <si>
    <t>borax, anhydrous, powder</t>
  </si>
  <si>
    <t>6a0bd6ed-8952-4f65-9117-b864669b9235</t>
  </si>
  <si>
    <t>borehole heat exchanger, 150m</t>
  </si>
  <si>
    <t>bbc6e4a8-c7ec-4dda-ab9b-a9fd047fd6f7</t>
  </si>
  <si>
    <t>boric acid, anhydrous, powder</t>
  </si>
  <si>
    <t>49b0e8ea-9fe2-4790-8532-91bdb99e161f</t>
  </si>
  <si>
    <t>0891:Mining of chemical and fertilizer minerals</t>
  </si>
  <si>
    <t>boric oxide</t>
  </si>
  <si>
    <t>eedb5f6e-8373-43d0-b8ec-da6d43d04a31</t>
  </si>
  <si>
    <t>boron carbide</t>
  </si>
  <si>
    <t>c3d1b7fa-31c2-4c50-94c7-45dc90f55ef2</t>
  </si>
  <si>
    <t>boron trifluoride</t>
  </si>
  <si>
    <t>592e0ff6-a7a8-4ad4-9f0a-139554ed4ce0</t>
  </si>
  <si>
    <t>brass</t>
  </si>
  <si>
    <t>57771ae0-5e8b-47be-bb73-ba59f2bf8cc8</t>
  </si>
  <si>
    <t>brass removed by drilling, computer numerical controlled</t>
  </si>
  <si>
    <t>f5e6f99a-f834-4a4d-8933-4a170816787c</t>
  </si>
  <si>
    <t>brass removed by drilling, conventional</t>
  </si>
  <si>
    <t>36c05836-b139-431a-b6ba-8e36a93b5f83</t>
  </si>
  <si>
    <t>brass removed by turning, average, computer numerical controlled</t>
  </si>
  <si>
    <t>34118ede-473b-4a05-8c6e-c5ea2942652d</t>
  </si>
  <si>
    <t>brass removed by turning, average, conventional</t>
  </si>
  <si>
    <t>f94ab6e8-791f-42e8-9773-039e41a61933</t>
  </si>
  <si>
    <t>brass removed by turning, primarily dressing, computer numerical controlled</t>
  </si>
  <si>
    <t>34410c01-8363-41bf-afcf-5b341c6fee1f</t>
  </si>
  <si>
    <t>brass removed by turning, primarily dressing, conventional</t>
  </si>
  <si>
    <t>c40263a4-8ee0-4162-8785-59f0c1d793d3</t>
  </si>
  <si>
    <t>brass removed by turning, primarily roughing, computer numerical controlled</t>
  </si>
  <si>
    <t>a4c330dd-6e7d-4f8c-bc46-8ee74fd41803</t>
  </si>
  <si>
    <t>brass removed by turning, primarily roughing, conventional</t>
  </si>
  <si>
    <t>7d33e24d-dec8-4261-b1d6-09edd9d45bf6</t>
  </si>
  <si>
    <t>brazing solder, cadmium free</t>
  </si>
  <si>
    <t>f3ed9c05-ff4b-4539-abe0-b6635f6cf91a</t>
  </si>
  <si>
    <t>breadcrumbs</t>
  </si>
  <si>
    <t>dca5d4c8-0e53-4f11-9df5-418e30a0e49f</t>
  </si>
  <si>
    <t>1061:Manufacture of grain mill products</t>
  </si>
  <si>
    <t>brick production facility</t>
  </si>
  <si>
    <t>fe15c49e-fef2-4cbc-be64-04338f4e2823</t>
  </si>
  <si>
    <t>broccoli</t>
  </si>
  <si>
    <t>d2ad7fe5-59ef-47c9-adff-d7c5ab93ee70</t>
  </si>
  <si>
    <t>bromine</t>
  </si>
  <si>
    <t>c16db903-a356-4c17-9775-1ce1c4aa4e0b</t>
  </si>
  <si>
    <t>bromopropane</t>
  </si>
  <si>
    <t>f33691e6-dcf7-42dd-9de5-cc0ea5b976e9</t>
  </si>
  <si>
    <t>bronze</t>
  </si>
  <si>
    <t>2fe4096e-1e4c-4235-853e-f00afc21adca</t>
  </si>
  <si>
    <t>bronze scrap, post-consumer</t>
  </si>
  <si>
    <t>d5030bb7-d19b-4fe8-a7c3-acf28641bdb6</t>
  </si>
  <si>
    <t>building machine</t>
  </si>
  <si>
    <t>cc89e7ae-ea0e-4850-9799-b2143f1115fc</t>
  </si>
  <si>
    <t>2824:Manufacture of machinery for mining, quarrying and construction</t>
  </si>
  <si>
    <t>building operation, budget hotel</t>
  </si>
  <si>
    <t>e190d352-21a1-4475-9b61-2e9c9c0ddfde</t>
  </si>
  <si>
    <t>5510:Short term accommodation activities</t>
  </si>
  <si>
    <t>guest night</t>
  </si>
  <si>
    <t>Unit group for guest night</t>
  </si>
  <si>
    <t>Flow property for guest night</t>
  </si>
  <si>
    <t>building operation, hostel</t>
  </si>
  <si>
    <t>42524be0-3cfb-427e-9fdb-1902d83e89e8</t>
  </si>
  <si>
    <t>building operation, luxury hotel</t>
  </si>
  <si>
    <t>e90acf2f-a5de-4d1b-ac35-f10bf5c1c9f2</t>
  </si>
  <si>
    <t>building operation, upmarket hotel</t>
  </si>
  <si>
    <t>99c359d0-08bc-4bb8-9463-dc087a00dd32</t>
  </si>
  <si>
    <t>building, budget hotel</t>
  </si>
  <si>
    <t>2bf7e6c9-e683-4f7f-b6dd-0a9724d81352</t>
  </si>
  <si>
    <t>building, hall</t>
  </si>
  <si>
    <t>d72638dc-71b8-4c4f-b5c7-72cbe6bdd145</t>
  </si>
  <si>
    <t>building, hall, steel construction</t>
  </si>
  <si>
    <t>7aaf6060-f9b7-43bb-8aee-06aecf386798</t>
  </si>
  <si>
    <t>building, hall, wood construction</t>
  </si>
  <si>
    <t>266ce7ab-5e3d-4c65-b2a5-48fcc0ccef64</t>
  </si>
  <si>
    <t>building, hostel</t>
  </si>
  <si>
    <t>0baef2ba-2a7f-4e42-8ed9-3d5f7d5be107</t>
  </si>
  <si>
    <t>building, luxury hotel</t>
  </si>
  <si>
    <t>46c8ade1-910f-4abf-b255-7f2a348181d2</t>
  </si>
  <si>
    <t>building, multi-storey</t>
  </si>
  <si>
    <t>006863b7-d736-4eb6-bbf8-648d292184ad</t>
  </si>
  <si>
    <t>building, upmarket hotel</t>
  </si>
  <si>
    <t>08fe4fa7-78be-4e77-8a2c-9da1d0c07c51</t>
  </si>
  <si>
    <t>bulk carrier, for dry goods</t>
  </si>
  <si>
    <t>f8ae83ea-deb2-4c09-b416-bf023a39fa85</t>
  </si>
  <si>
    <t>bulk lead-zinc concentrate</t>
  </si>
  <si>
    <t>c839156d-f582-43d0-af11-17ef38da095d</t>
  </si>
  <si>
    <t>bundle, energy wood, measured as dry mass</t>
  </si>
  <si>
    <t>97165d99-f445-4b78-8ec8-e145ecd787f4</t>
  </si>
  <si>
    <t>0220:Logging</t>
  </si>
  <si>
    <t>burnt shale</t>
  </si>
  <si>
    <t>9a121150-8fa3-4f58-b621-41e64424a5dc</t>
  </si>
  <si>
    <t>bus</t>
  </si>
  <si>
    <t>d59e8c63-4d09-4055-9b75-24ee6db4533e</t>
  </si>
  <si>
    <t>2910:Manufacture of motor vehicles</t>
  </si>
  <si>
    <t>butadiene</t>
  </si>
  <si>
    <t>788a9b6e-8251-438b-81d1-405920e2687e</t>
  </si>
  <si>
    <t>butane</t>
  </si>
  <si>
    <t>aaa1fb85-4e0e-426e-808a-35987bd8d486</t>
  </si>
  <si>
    <t>0620:Extraction of natural gas</t>
  </si>
  <si>
    <t>butane-1,4-diol</t>
  </si>
  <si>
    <t>dbc24013-2cb4-421e-850f-eedb0048bd2c</t>
  </si>
  <si>
    <t>butene, mixed</t>
  </si>
  <si>
    <t>8c1de2fe-b584-49b7-9b96-d8c50ed152c4</t>
  </si>
  <si>
    <t>butter, from cow milk</t>
  </si>
  <si>
    <t>f033e17f-826b-4fed-8c9e-7034e9b950ab</t>
  </si>
  <si>
    <t>1050:Manufacture of dairy products</t>
  </si>
  <si>
    <t>buttermilk, from cow milk</t>
  </si>
  <si>
    <t>35d7faef-61db-4c6c-ada6-079bb875bc3e</t>
  </si>
  <si>
    <t>butyl acetate</t>
  </si>
  <si>
    <t>6b9d5139-a306-427d-aa98-a6006a215d50</t>
  </si>
  <si>
    <t>butyl acrylate</t>
  </si>
  <si>
    <t>118544e5-7d7a-4bfe-bcf9-6e71e0b50ad4</t>
  </si>
  <si>
    <t>butyldiglycol acetate</t>
  </si>
  <si>
    <t>fe65e3f9-6827-53cd-9568-1165323f088f</t>
  </si>
  <si>
    <t>butyrolactone</t>
  </si>
  <si>
    <t>7a660d2e-6d57-4d2f-9332-30ea826cd679</t>
  </si>
  <si>
    <t>C3 hydrocarbon mixture</t>
  </si>
  <si>
    <t>07f702da-9f08-4082-85ea-6a3586caddd2</t>
  </si>
  <si>
    <t>cabbage red</t>
  </si>
  <si>
    <t>4e960086-efde-4e76-9bad-8c032bea2d64</t>
  </si>
  <si>
    <t>cabbage white</t>
  </si>
  <si>
    <t>75db30ea-bc22-4827-9784-07ac2523b3d6</t>
  </si>
  <si>
    <t>cable yarder with sled winch</t>
  </si>
  <si>
    <t>c01f662e-4208-4d10-82b1-1119f7d1b947</t>
  </si>
  <si>
    <t>cable yarding</t>
  </si>
  <si>
    <t>6b006425-66fe-4452-90d1-05ecb78bb99c</t>
  </si>
  <si>
    <t>d</t>
  </si>
  <si>
    <t>Units of time</t>
  </si>
  <si>
    <t>Duration</t>
  </si>
  <si>
    <t>cable, connector for computer, without plugs</t>
  </si>
  <si>
    <t>6ea1f939-c0f6-47bb-8096-167f11dcf99b</t>
  </si>
  <si>
    <t>2610:Manufacture of electronic components and boards</t>
  </si>
  <si>
    <t>cable, data cable in infrastructure</t>
  </si>
  <si>
    <t>c72cce08-d2b1-44cc-8410-df54f9326e69</t>
  </si>
  <si>
    <t>cable, network cable, category 5, without plugs</t>
  </si>
  <si>
    <t>103bb584-a95b-4227-988e-fcd3e2507c3e</t>
  </si>
  <si>
    <t>cable, printer cable, without plugs</t>
  </si>
  <si>
    <t>ab44e7a7-f8ff-46af-a617-cbe0179b5a67</t>
  </si>
  <si>
    <t>cable, ribbon cable, 20-pin, with plugs</t>
  </si>
  <si>
    <t>e5eaf82c-7199-4849-8bbb-7b78d998b24f</t>
  </si>
  <si>
    <t>cable, three-conductor cable</t>
  </si>
  <si>
    <t>58b3db4e-19b8-43f2-8545-55229a5ee6e4</t>
  </si>
  <si>
    <t>2732:Manufacture of other electronic and electric wires and cables</t>
  </si>
  <si>
    <t>cable, unspecified</t>
  </si>
  <si>
    <t>8b988c18-f03b-46aa-83ae-d72d4639ff76</t>
  </si>
  <si>
    <t>cadmium</t>
  </si>
  <si>
    <t>8b106b36-7a3f-464d-855f-70a1d5acfd0a</t>
  </si>
  <si>
    <t>cadmium chloride, semiconductor-grade</t>
  </si>
  <si>
    <t>52c5e025-a198-4393-858b-3096589d9de3</t>
  </si>
  <si>
    <t>cadmium sludge from zinc electrolysis</t>
  </si>
  <si>
    <t>27299f2c-5571-422a-8c7d-c0f8498b5704</t>
  </si>
  <si>
    <t>cadmium sludge from zinc electrolysis stockpiling</t>
  </si>
  <si>
    <t>94559e76-8b49-4844-ad81-a90c6ff55e19</t>
  </si>
  <si>
    <t>cadmium sulfide, semiconductor-grade</t>
  </si>
  <si>
    <t>de8ac708-4158-4384-b1e0-29b2c0155c2b</t>
  </si>
  <si>
    <t>cadmium telluride, semiconductor-grade</t>
  </si>
  <si>
    <t>7efe609d-4c69-47d5-bc25-5314a8a79606</t>
  </si>
  <si>
    <t>cadmium, semiconductor-grade</t>
  </si>
  <si>
    <t>e60b02d3-ea04-4272-a6fb-408ac969a00e</t>
  </si>
  <si>
    <t>calcareous marl</t>
  </si>
  <si>
    <t>0ae050ad-95a1-47cc-9ffc-2162d2e99a1d</t>
  </si>
  <si>
    <t>calcined clay</t>
  </si>
  <si>
    <t>120d4874-c322-4173-988f-49841427a5c0</t>
  </si>
  <si>
    <t>calcium ammonium nitrate</t>
  </si>
  <si>
    <t>7694e67a-7f11-53b2-97fa-9526154d614c</t>
  </si>
  <si>
    <t>calcium borates</t>
  </si>
  <si>
    <t>71051431-fb13-4033-a896-2c6ef0705d71</t>
  </si>
  <si>
    <t>calcium carbide, technical grade</t>
  </si>
  <si>
    <t>b2c3da99-4052-4e12-b38f-4efee8371432</t>
  </si>
  <si>
    <t>calcium carbonate, precipitated</t>
  </si>
  <si>
    <t>cb08ad19-9bff-5101-95f6-73c9e58ee1ff</t>
  </si>
  <si>
    <t>calcium chloride</t>
  </si>
  <si>
    <t>a4a72d78-6642-4e02-bec4-8dcd7fc35d4a</t>
  </si>
  <si>
    <t>calcium nitrate</t>
  </si>
  <si>
    <t>94ef9b64-be1e-4fea-a206-a952eb605628</t>
  </si>
  <si>
    <t>calendering, rigid sheets</t>
  </si>
  <si>
    <t>7539e2dc-9694-488e-8cf2-dcf80801892b</t>
  </si>
  <si>
    <t>canal</t>
  </si>
  <si>
    <t>9f999529-6d68-45a6-b35f-dffc79a362df</t>
  </si>
  <si>
    <t>m*a</t>
  </si>
  <si>
    <t>Units of length*time</t>
  </si>
  <si>
    <t>Length*time</t>
  </si>
  <si>
    <t>capacitor, auxilliaries and energy use</t>
  </si>
  <si>
    <t>6207ccc7-11eb-4bcc-8652-bdc3659b2545</t>
  </si>
  <si>
    <t>capacitor, electrolyte type, &lt; 2cm height</t>
  </si>
  <si>
    <t>5036886d-4b0a-4c87-956d-50d85d9abaab</t>
  </si>
  <si>
    <t>capacitor, electrolyte type, &gt; 2cm height</t>
  </si>
  <si>
    <t>5f06394c-4efd-4c65-9e82-5fd3cbebbd15</t>
  </si>
  <si>
    <t>capacitor, film type, for through-hole mounting</t>
  </si>
  <si>
    <t>1edf4d42-6315-49ab-89b8-cd8dd643f43c</t>
  </si>
  <si>
    <t>capacitor, for surface-mounting</t>
  </si>
  <si>
    <t>c924ae77-ba85-4856-bc7a-2f249809872b</t>
  </si>
  <si>
    <t>capacitor, tantalum-, for through-hole mounting</t>
  </si>
  <si>
    <t>7657e25c-8583-4c76-b496-f6a1a5292857</t>
  </si>
  <si>
    <t>captan</t>
  </si>
  <si>
    <t>20fb957d-e0aa-4ff7-9ac0-228e17b4a36a</t>
  </si>
  <si>
    <t>carbon black</t>
  </si>
  <si>
    <t>081e318e-b5f5-4f93-8c48-ab0bf5c43f2a</t>
  </si>
  <si>
    <t>carbon dioxide, in chemical industry</t>
  </si>
  <si>
    <t>cc67a5bb-8085-58f6-9ff2-23890e454f10</t>
  </si>
  <si>
    <t>carbon dioxide, liquid</t>
  </si>
  <si>
    <t>ef644ee9-9e11-4442-9c96-a29f8528dde7</t>
  </si>
  <si>
    <t>carbon disulfide</t>
  </si>
  <si>
    <t>817dbd86-f6e4-48c7-8bb3-3b068f6e0057</t>
  </si>
  <si>
    <t>carbon fibre reinforced plastic, injection moulded</t>
  </si>
  <si>
    <t>21669f19-9df7-43b1-8a16-f509b1b25c43</t>
  </si>
  <si>
    <t>carbon monoxide</t>
  </si>
  <si>
    <t>d349d8a1-79fb-433e-8bf4-64fbda6f657a</t>
  </si>
  <si>
    <t>carbon tetrachloride</t>
  </si>
  <si>
    <t>a18bcfed-b25b-45b7-853f-eb1b3191f439</t>
  </si>
  <si>
    <t>carboxymethyl cellulose, powder</t>
  </si>
  <si>
    <t>0ffa7cec-4410-423f-82b4-0071f3334660</t>
  </si>
  <si>
    <t>carrot</t>
  </si>
  <si>
    <t>ed50040b-8630-4560-9b12-dd6cb2c9d741</t>
  </si>
  <si>
    <t>carrot seed, for sowing</t>
  </si>
  <si>
    <t>ac10bf36-d24f-4486-a631-e4a4e7a90b05</t>
  </si>
  <si>
    <t>carrot seed, Swiss integrated production, at farm</t>
  </si>
  <si>
    <t>2de57b5a-6b48-4049-b315-271cdff5cdf2</t>
  </si>
  <si>
    <t>carton board box production, with gravure printing</t>
  </si>
  <si>
    <t>9b1c31ff-2e61-4e5f-957c-1452378729ad</t>
  </si>
  <si>
    <t>carton board box production, with offset printing</t>
  </si>
  <si>
    <t>40462fcf-07cc-4df8-83fd-f1395b5f2bb9</t>
  </si>
  <si>
    <t>cashew</t>
  </si>
  <si>
    <t>fa7f4132-1926-5311-b346-a35b34555d06</t>
  </si>
  <si>
    <t>cast iron</t>
  </si>
  <si>
    <t>4447af36-0897-4b00-8fd0-fd6a446dda6a</t>
  </si>
  <si>
    <t>cast iron removed by drilling, computer numerical controlled</t>
  </si>
  <si>
    <t>31dfa958-068d-42a7-b6fe-1b72fb4a644e</t>
  </si>
  <si>
    <t>cast iron removed by drilling, conventional</t>
  </si>
  <si>
    <t>abe39906-f4b7-447d-a8cb-1d7ab01add84</t>
  </si>
  <si>
    <t>cast iron removed by milling, average</t>
  </si>
  <si>
    <t>bb318197-ca77-4ac1-aaac-338aa99a3fda</t>
  </si>
  <si>
    <t>cast iron removed by milling, dressing</t>
  </si>
  <si>
    <t>19c17659-9730-45f5-bf15-b71ee8d5e7b9</t>
  </si>
  <si>
    <t>cast iron removed by milling, large parts</t>
  </si>
  <si>
    <t>50c41012-3b00-429d-ace3-40d0afb69746</t>
  </si>
  <si>
    <t>cast iron removed by milling, small parts</t>
  </si>
  <si>
    <t>cad5dc4a-9fb5-4de7-a892-c0d456d0ba16</t>
  </si>
  <si>
    <t>cast iron removed by turning, average, computer numerical controlled</t>
  </si>
  <si>
    <t>5024de82-c1f9-4664-8bf1-49504938db31</t>
  </si>
  <si>
    <t>cast iron removed by turning, average, conventional</t>
  </si>
  <si>
    <t>c4d2d64d-eeea-4157-a390-f548f8241569</t>
  </si>
  <si>
    <t>cast iron removed by turning, primarily dressing, computer numerical controlled</t>
  </si>
  <si>
    <t>de99a473-81ac-4a93-b118-f9d03d9c0cd8</t>
  </si>
  <si>
    <t>cast iron removed by turning, primarily dressing, conventional</t>
  </si>
  <si>
    <t>3c7be4a7-209b-4135-9dbf-8111f594a14b</t>
  </si>
  <si>
    <t>cast iron removed by turning, primarily roughing, computer numerical controlled</t>
  </si>
  <si>
    <t>7b946cc6-6e88-4799-8901-773cf112b3bf</t>
  </si>
  <si>
    <t>cast iron removed by turning, primarily roughing, conventional</t>
  </si>
  <si>
    <t>6d874a27-bc1e-45a5-8dcd-7d0754ee17d1</t>
  </si>
  <si>
    <t>casting, aluminium, lost-wax</t>
  </si>
  <si>
    <t>8ad0b079-38b6-4700-8462-74648a4edd7d</t>
  </si>
  <si>
    <t>2432:Casting of non-ferrous metals</t>
  </si>
  <si>
    <t>casting, brass</t>
  </si>
  <si>
    <t>77146dac-6e34-40e3-9d55-db579103ef52</t>
  </si>
  <si>
    <t>casting, bronze</t>
  </si>
  <si>
    <t>bf1643c7-e10b-45c8-a1f8-75b9e473dd07</t>
  </si>
  <si>
    <t>casting, steel, lost-wax</t>
  </si>
  <si>
    <t>425089e2-ad80-414f-b6eb-67b32f5aa626</t>
  </si>
  <si>
    <t>2431:Casting of iron and steel</t>
  </si>
  <si>
    <t>castor bean</t>
  </si>
  <si>
    <t>8f9aecd1-8c39-480a-b4a7-c358796d3f08</t>
  </si>
  <si>
    <t>catalytic converter, oxidation, 20 litre</t>
  </si>
  <si>
    <t>8d0233ab-42ef-4f04-95d6-bfacaee3ba5e</t>
  </si>
  <si>
    <t>2930:Manufacture of parts and accessories for motor vehicles</t>
  </si>
  <si>
    <t>catalytic converter, selective catalytic reduction, 200 litre</t>
  </si>
  <si>
    <t>6854fd9d-b189-4677-b55f-45c52bec224e</t>
  </si>
  <si>
    <t>catalytic converter, three-way, 19.1l</t>
  </si>
  <si>
    <t>70b31156-a8bb-40a2-99c5-6de216fb9f56</t>
  </si>
  <si>
    <t>catalytic converter, three-way, mini CHP plant</t>
  </si>
  <si>
    <t>0a6ef59e-fa6b-467d-acac-8d45df8d405b</t>
  </si>
  <si>
    <t>cathode, for aluminium electrolysis</t>
  </si>
  <si>
    <t>4d2b658e-8b37-4bf4-bb23-dcb1601ceb1e</t>
  </si>
  <si>
    <t>cathode, LiMn2O4, for lithium-ion battery</t>
  </si>
  <si>
    <t>dc43fac4-63b8-4abf-9b88-091c34ec129b</t>
  </si>
  <si>
    <t>cathode, NCA, for Li-ion battery</t>
  </si>
  <si>
    <t>e2d6dd95-4200-4497-901a-eaf6eaff4276</t>
  </si>
  <si>
    <t>cathode, NMC111, for Li-ion battery</t>
  </si>
  <si>
    <t>13bc97ac-debd-45b3-9933-3bf8b21137cb</t>
  </si>
  <si>
    <t>cathode, NMC811, for Li-ion battery</t>
  </si>
  <si>
    <t>8b1ca0c8-3ccc-4d53-a0ec-d3438cb6cd59</t>
  </si>
  <si>
    <t>cathode-ray tube, cathode ray tube display</t>
  </si>
  <si>
    <t>b2a2a2ad-48a1-47cf-bf55-c254d459f321</t>
  </si>
  <si>
    <t>cationic resin</t>
  </si>
  <si>
    <t>1fe6463a-08c8-406e-b05c-d5ad845da6be</t>
  </si>
  <si>
    <t>cattle for slaughtering, live weight</t>
  </si>
  <si>
    <t>49719318-578e-40fe-b359-0780c8df9221</t>
  </si>
  <si>
    <t>0141:Raising of cattle and buffaloes</t>
  </si>
  <si>
    <t>cauliflower</t>
  </si>
  <si>
    <t>8a6adbed-b166-491d-b1f0-cb6be6b350f2</t>
  </si>
  <si>
    <t>celery</t>
  </si>
  <si>
    <t>d8f9d34c-c3ad-4502-94b1-a4c756553a7c</t>
  </si>
  <si>
    <t>cellulose fibre</t>
  </si>
  <si>
    <t>b97d1806-5822-408c-b42d-811a9b25c941</t>
  </si>
  <si>
    <t>1709:Manufacture of other articles of paper and paperboard</t>
  </si>
  <si>
    <t>cement cast plaster floor</t>
  </si>
  <si>
    <t>ba849663-a190-415b-9119-16df53b10fcc</t>
  </si>
  <si>
    <t>cement factory</t>
  </si>
  <si>
    <t>c08228bd-b9ab-4278-a40b-2139980899b3</t>
  </si>
  <si>
    <t>cement mortar</t>
  </si>
  <si>
    <t>d454e221-5f08-4259-b46b-31d0dbe595d1</t>
  </si>
  <si>
    <t>cement plaster</t>
  </si>
  <si>
    <t>6d8a8081-0f96-421f-923a-d3941f11c643</t>
  </si>
  <si>
    <t>cement tile</t>
  </si>
  <si>
    <t>12099fef-99b3-4bf6-96e2-8ac795021302</t>
  </si>
  <si>
    <t>cement, alternative constituents 21-35%</t>
  </si>
  <si>
    <t>936059f1-6468-444f-a00d-fd59386943a3</t>
  </si>
  <si>
    <t>cement, alternative constituents 45%</t>
  </si>
  <si>
    <t>450c5264-9840-472f-bf39-d4823f2262b5</t>
  </si>
  <si>
    <t>cement, alternative constituents 6-20%</t>
  </si>
  <si>
    <t>7a439ec7-1840-4c4f-983f-1f07eda2053f</t>
  </si>
  <si>
    <t>cement, blast furnace slag 18-30% and 18-30% other alternative constituents</t>
  </si>
  <si>
    <t>172acea4-6658-44ee-a07f-023f3fcbc1af</t>
  </si>
  <si>
    <t>cement, blast furnace slag 21-35%</t>
  </si>
  <si>
    <t>06d2feef-655c-472f-a9a2-4b40d49e253a</t>
  </si>
  <si>
    <t>cement, blast furnace slag 25-70%</t>
  </si>
  <si>
    <t>c3114933-dc17-4ca6-aaeb-19a9974ae1e7</t>
  </si>
  <si>
    <t>cement, blast furnace slag 31-50% and 31-50% other alternative constituents</t>
  </si>
  <si>
    <t>966c9bf8-7525-43b7-8115-4ceae44321d1</t>
  </si>
  <si>
    <t>cement, blast furnace slag 35-70%</t>
  </si>
  <si>
    <t>5aa2b4db-7701-4e0c-a058-0921d5f69465</t>
  </si>
  <si>
    <t>cement, blast furnace slag 36-65%</t>
  </si>
  <si>
    <t>0fa023d0-d729-4ef3-bb1b-6ac5cef7b81d</t>
  </si>
  <si>
    <t>cement, blast furnace slag 40-70%</t>
  </si>
  <si>
    <t>af581725-c19e-41f8-bc08-d1926d6c5317</t>
  </si>
  <si>
    <t>cement, blast furnace slag 5-25%</t>
  </si>
  <si>
    <t>2b91b4f3-fb71-4c9d-bdcf-312039ed8f65</t>
  </si>
  <si>
    <t>cement, blast furnace slag 6-20%</t>
  </si>
  <si>
    <t>090718e7-9829-4f9e-a3d8-5d8cc9dcb92c</t>
  </si>
  <si>
    <t>cement, blast furnace slag 6-34%</t>
  </si>
  <si>
    <t>de26c021-2a85-4ca6-ba19-7ff1b80b0a15</t>
  </si>
  <si>
    <t>cement, blast furnace slag 66-80%</t>
  </si>
  <si>
    <t>1247c26e-4301-4399-89c8-054ddafa2405</t>
  </si>
  <si>
    <t>cement, blast furnace slag 70-100%</t>
  </si>
  <si>
    <t>da11ff0c-ad43-4f96-b5c2-5f2b23bebc6d</t>
  </si>
  <si>
    <t>cement, blast furnace slag 81-95%</t>
  </si>
  <si>
    <t>3d413f1b-247d-4c9a-8412-5a19c1d67ab2</t>
  </si>
  <si>
    <t>cement, limestone 21-35%</t>
  </si>
  <si>
    <t>3889fb8e-8887-442e-823b-d420f8733d41</t>
  </si>
  <si>
    <t>cement, limestone 6-10%</t>
  </si>
  <si>
    <t>3048e9c8-5d53-4b1c-a6b6-70237cb916c5</t>
  </si>
  <si>
    <t>cement, limestone 6-20%</t>
  </si>
  <si>
    <t>ad840fa5-bcf8-4309-bbd9-1949e4f090ff</t>
  </si>
  <si>
    <t>cement, Portland</t>
  </si>
  <si>
    <t>c5299a8e-d4b4-409c-9826-e8ae9e37c03d</t>
  </si>
  <si>
    <t>cement, portland fly ash cement 21-35%</t>
  </si>
  <si>
    <t>e966c047-14ea-461a-b109-869188de323e</t>
  </si>
  <si>
    <t>cement, portland fly ash cement 6-20%</t>
  </si>
  <si>
    <t>144f9ab3-ef81-42e7-bc3f-da3cee55aafc</t>
  </si>
  <si>
    <t>cement, pozzolana and fly ash 11-35%</t>
  </si>
  <si>
    <t>dba2f627-2df2-4bba-97dd-e6caf0c94edf</t>
  </si>
  <si>
    <t>cement, pozzolana and fly ash 15-40%</t>
  </si>
  <si>
    <t>5e6afc26-e6dd-45f7-942c-0c2adf34a198</t>
  </si>
  <si>
    <t>cement, pozzolana and fly ash 15-50%</t>
  </si>
  <si>
    <t>31e57e29-481b-4f04-b39c-45cf58c10be4</t>
  </si>
  <si>
    <t>cement, pozzolana and fly ash 25-35%</t>
  </si>
  <si>
    <t>d5d4665a-d909-464f-a8a1-d73127fcb944</t>
  </si>
  <si>
    <t>cement, pozzolana and fly ash 36-55%</t>
  </si>
  <si>
    <t>b2c3a391-3842-4046-8955-8ae53160a676</t>
  </si>
  <si>
    <t>cement, pozzolana and fly ash 5-15%</t>
  </si>
  <si>
    <t>2aba3a52-582c-4e59-8b14-1008fb027e02</t>
  </si>
  <si>
    <t>cement, pozzolana and fly ash 6-14%</t>
  </si>
  <si>
    <t>4fcef539-9596-4d1f-911c-0241320c86ba</t>
  </si>
  <si>
    <t>cement, sulphate resistant</t>
  </si>
  <si>
    <t>dff2618c-c606-4f86-afb8-aecd1903d66e</t>
  </si>
  <si>
    <t>cement, unspecified</t>
  </si>
  <si>
    <t>ec23da1b-e5fa-4f01-bd2c-3233fece2175</t>
  </si>
  <si>
    <t>ceramic factory</t>
  </si>
  <si>
    <t>f131b9cf-1930-4f27-af09-2d78a13662e4</t>
  </si>
  <si>
    <t>ceramic tile</t>
  </si>
  <si>
    <t>33187006-ca03-4db5-bc5a-75a91024c3ef</t>
  </si>
  <si>
    <t>2392:Manufacture of clay building materials</t>
  </si>
  <si>
    <t>cerium oxide</t>
  </si>
  <si>
    <t>df12f8f5-a3e3-4506-9d86-b33205d21a52</t>
  </si>
  <si>
    <t>charcoal</t>
  </si>
  <si>
    <t>8397cd58-0950-4853-ba0e-97ad2a279edb</t>
  </si>
  <si>
    <t>charger, electric passenger car</t>
  </si>
  <si>
    <t>ce201c12-f12f-4e7e-aa4a-7ddcf8353f69</t>
  </si>
  <si>
    <t>charger, for electric scooter</t>
  </si>
  <si>
    <t>bbd1420d-2c93-45f3-bda3-73ef11d0c3dc</t>
  </si>
  <si>
    <t>chassis, internet access equipment</t>
  </si>
  <si>
    <t>0e35a77b-02a4-4c53-8d79-a4ae83273774</t>
  </si>
  <si>
    <t>2630:Manufacture of communication equipment</t>
  </si>
  <si>
    <t>cheese, from cow milk, fresh, unripened</t>
  </si>
  <si>
    <t>e35863ed-da3f-4255-a90d-623066f43fd3</t>
  </si>
  <si>
    <t>chemical factory</t>
  </si>
  <si>
    <t>8cfc44b6-62f0-4485-aad5-d74532cb426f</t>
  </si>
  <si>
    <t>chemical factory, organics</t>
  </si>
  <si>
    <t>3d0fe4e0-eac9-4704-b3fd-09b8594d0fbe</t>
  </si>
  <si>
    <t>chemical, inorganic</t>
  </si>
  <si>
    <t>73b452c8-3ac4-4993-86e4-fe0653467988</t>
  </si>
  <si>
    <t>chemical, organic</t>
  </si>
  <si>
    <t>2be73167-58e8-4706-a68f-167c80df9f72</t>
  </si>
  <si>
    <t>201:Manufacture of basic chemicals, fertilizers and nitrogen compounds, plastics</t>
  </si>
  <si>
    <t>chemi-thermomechanical pulp</t>
  </si>
  <si>
    <t>726ac38f-0c3b-46a9-bd15-76f05bd8cd32</t>
  </si>
  <si>
    <t>1701:Manufacture of pulp, paper and paperboard</t>
  </si>
  <si>
    <t>chicken for slaughtering, live weight</t>
  </si>
  <si>
    <t>2da20646-8adf-460b-bd65-c9fc35494b66</t>
  </si>
  <si>
    <t>0146:Raising of poultry</t>
  </si>
  <si>
    <t>chickpea</t>
  </si>
  <si>
    <t>c8bd4d24-6997-490f-9239-85d32ffcca22</t>
  </si>
  <si>
    <t>chilli</t>
  </si>
  <si>
    <t>6da04e2b-e9e9-5cc4-8227-a5b19b91b936</t>
  </si>
  <si>
    <t>chimney</t>
  </si>
  <si>
    <t>21663725-f3b4-4d6a-a45a-baf3cb343a6a</t>
  </si>
  <si>
    <t>4390:Other specialized construction activities</t>
  </si>
  <si>
    <t>chipper, mobile, diesel</t>
  </si>
  <si>
    <t>46485e9c-5b50-43fd-bb1c-b06a9ae4d3af</t>
  </si>
  <si>
    <t>chipper, stationary, electric</t>
  </si>
  <si>
    <t>450202ff-b0c8-481b-9a58-d49af06cdb1b</t>
  </si>
  <si>
    <t>chlorine dioxide</t>
  </si>
  <si>
    <t>29fbcb1d-79ca-45df-8eec-3e51bb95979d</t>
  </si>
  <si>
    <t>chlorine, for reuse in titanium tetrachloride production</t>
  </si>
  <si>
    <t>2078f291-646e-48ee-b5d3-a5f6d69a8655</t>
  </si>
  <si>
    <t>chlorine, gaseous</t>
  </si>
  <si>
    <t>0992e479-07eb-4837-8aa3-d4411f675dad</t>
  </si>
  <si>
    <t>chlorine, liquid</t>
  </si>
  <si>
    <t>a6b32de2-648a-4cd7-a256-9b122f68dd8b</t>
  </si>
  <si>
    <t>chloroacetic acid</t>
  </si>
  <si>
    <t>52ac5131-16b7-4244-badb-1f195a04daef</t>
  </si>
  <si>
    <t>chloroacetyl chloride</t>
  </si>
  <si>
    <t>db2922b0-f8fe-4bf9-ba8b-b7d7018e10fb</t>
  </si>
  <si>
    <t>chlorodifluoromethane</t>
  </si>
  <si>
    <t>952f836a-c8ff-472b-ac3d-7528379339c3</t>
  </si>
  <si>
    <t>chloromethyl methyl ether</t>
  </si>
  <si>
    <t>1682a2f6-7521-417f-9e8b-59e0ba5b8983</t>
  </si>
  <si>
    <t>chloronitrobenzene</t>
  </si>
  <si>
    <t>c264fa53-15f7-41fd-b3ee-d03d467464d0</t>
  </si>
  <si>
    <t>chloropropionic acid</t>
  </si>
  <si>
    <t>3611bfa6-d86b-4f22-af89-2f5f813ccb5c</t>
  </si>
  <si>
    <t>chlorosulfonic acid</t>
  </si>
  <si>
    <t>d5c99e46-7caa-4a97-b29d-9ceffdec1e75</t>
  </si>
  <si>
    <t>chlorothalonil</t>
  </si>
  <si>
    <t>ec7efa0f-95a5-419f-8446-bb26f42afb68</t>
  </si>
  <si>
    <t>chlorotoluron</t>
  </si>
  <si>
    <t>7149c17c-c120-4480-b8d9-ca1554926dec</t>
  </si>
  <si>
    <t>chopping, maize</t>
  </si>
  <si>
    <t>b3280788-057e-49a7-9d66-48c1e2e93728</t>
  </si>
  <si>
    <t>chromite ore concentrate</t>
  </si>
  <si>
    <t>680ea06e-19d5-4355-a71f-097106b8a059</t>
  </si>
  <si>
    <t>chromium</t>
  </si>
  <si>
    <t>e416df9c-6f27-404a-a24f-fcdaf132eaff</t>
  </si>
  <si>
    <t>chromium oxide, flakes</t>
  </si>
  <si>
    <t>45fdcba1-32e8-462e-b7a3-932ad3dd761b</t>
  </si>
  <si>
    <t>chromium steel pipe</t>
  </si>
  <si>
    <t>39d6e8fc-3213-473b-b515-9d0fd85d3a33</t>
  </si>
  <si>
    <t>chromium steel removed by drilling, computer numerical controlled</t>
  </si>
  <si>
    <t>96c12a4d-4984-4a17-a5c3-a5efa961e4bc</t>
  </si>
  <si>
    <t>chromium steel removed by drilling, conventional</t>
  </si>
  <si>
    <t>02a08ad3-a2d4-4d88-bbdc-f4c378f38b2b</t>
  </si>
  <si>
    <t>chromium steel removed by milling, average</t>
  </si>
  <si>
    <t>1e379992-4b74-4a49-8226-517a45f2053c</t>
  </si>
  <si>
    <t>chromium steel removed by milling, dressing</t>
  </si>
  <si>
    <t>a34f9438-680b-4cb0-8fc3-2462bb902a8f</t>
  </si>
  <si>
    <t>chromium steel removed by milling, large parts</t>
  </si>
  <si>
    <t>7dd1dea7-88cc-47fa-900b-c9eb0dbfe819</t>
  </si>
  <si>
    <t>chromium steel removed by milling, small parts</t>
  </si>
  <si>
    <t>4763bc2c-e81a-4aaa-8889-ac0b5cf677ff</t>
  </si>
  <si>
    <t>chromium steel removed by turning, average, computer numerical controlled</t>
  </si>
  <si>
    <t>d1505014-0742-4dbe-b852-575dbf9b0775</t>
  </si>
  <si>
    <t>chromium steel removed by turning, average, conventional</t>
  </si>
  <si>
    <t>3e7f7623-6664-4513-a192-fd8791c22765</t>
  </si>
  <si>
    <t>chromium steel removed by turning, primarily dressing, computer numerical controlled</t>
  </si>
  <si>
    <t>5f166bcc-ca8e-48b3-a954-85e4ba3a0cea</t>
  </si>
  <si>
    <t>chromium steel removed by turning, primarily dressing, conventional</t>
  </si>
  <si>
    <t>075c20bd-0405-4160-adab-2bcc53483b2a</t>
  </si>
  <si>
    <t>chromium steel removed by turning, primarily roughing, computer numerical controlled</t>
  </si>
  <si>
    <t>0986e781-f70c-4d70-973f-23b806bb5c30</t>
  </si>
  <si>
    <t>chromium steel removed by turning, primarily roughing, conventional</t>
  </si>
  <si>
    <t>b761ec9b-9749-45a8-885f-71b5371e330e</t>
  </si>
  <si>
    <t>citric acid</t>
  </si>
  <si>
    <t>5a337107-6bdb-4280-84d4-15a4993c51c9</t>
  </si>
  <si>
    <t>cladding, crossbar-pole, aluminium</t>
  </si>
  <si>
    <t>76c2aa75-440a-4e94-91fd-96d79c127fab</t>
  </si>
  <si>
    <t>2511:Manufacture of structural metal products</t>
  </si>
  <si>
    <t>clay</t>
  </si>
  <si>
    <t>e89b4064-afcc-4f08-9481-651b7eaa90a1</t>
  </si>
  <si>
    <t>clay brick</t>
  </si>
  <si>
    <t>e9066206-5489-4a49-8192-927722af79ad</t>
  </si>
  <si>
    <t>clay pit infrastructure</t>
  </si>
  <si>
    <t>6fe4040b-39c7-4d58-b95b-6ee1de4aedb3</t>
  </si>
  <si>
    <t>clay plaster</t>
  </si>
  <si>
    <t>7e2e1fc2-238a-4a4a-ab25-980ac8401082</t>
  </si>
  <si>
    <t>cleaning consumables, without water, in 13.6% solution state</t>
  </si>
  <si>
    <t>5bfb6885-a0a0-4f4c-921a-34db393e8dcb</t>
  </si>
  <si>
    <t>cleft timber, measured as dry mass</t>
  </si>
  <si>
    <t>1fb2e33c-efb6-42f9-99e0-f9024ace9fcc</t>
  </si>
  <si>
    <t>0210:Silviculture and other forestry activities</t>
  </si>
  <si>
    <t>clefting of energy wood</t>
  </si>
  <si>
    <t>91294517-3ac2-4caa-baae-234624683b3d</t>
  </si>
  <si>
    <t>clinker</t>
  </si>
  <si>
    <t>1f41586d-0d8a-4c7c-8473-dd8351bab538</t>
  </si>
  <si>
    <t>clover seed, Swiss integrated production, at farm</t>
  </si>
  <si>
    <t>53ec78cd-0c3d-4e52-9664-9046d0786087</t>
  </si>
  <si>
    <t>clover seed, Swiss integrated production, for sowing</t>
  </si>
  <si>
    <t>cd360246-4139-4f4a-a844-c9d9d5c22ce5</t>
  </si>
  <si>
    <t>coal gas</t>
  </si>
  <si>
    <t>d3d23054-a030-4284-9cfb-c464e70ec865</t>
  </si>
  <si>
    <t>coal stove, 5-15kW</t>
  </si>
  <si>
    <t>609c7578-4cdb-42f5-ae5d-cadf993a9aaa</t>
  </si>
  <si>
    <t>coal tar</t>
  </si>
  <si>
    <t>d70d5efd-b120-4c9d-8192-d799fe431bfa</t>
  </si>
  <si>
    <t>coating powder</t>
  </si>
  <si>
    <t>0f90ad25-dfd7-41e0-94bf-ad889579cce5</t>
  </si>
  <si>
    <t>coating, with melamine impregnated paper</t>
  </si>
  <si>
    <t>1fb56fd9-e394-4690-b8fe-97147bedbe4e</t>
  </si>
  <si>
    <t>cobalt</t>
  </si>
  <si>
    <t>50c430bb-e392-4242-bd8e-b372d85b2cf9</t>
  </si>
  <si>
    <t>cobalt acetate</t>
  </si>
  <si>
    <t>521c93e2-96c4-52a2-91d8-ebbdf53ed51a</t>
  </si>
  <si>
    <t>cobalt carbonate</t>
  </si>
  <si>
    <t>2fadcb51-4a0a-5785-a2e1-87b4da0409ab</t>
  </si>
  <si>
    <t>cobalt hydroxide</t>
  </si>
  <si>
    <t>cb7953a3-a275-58e9-be15-a1076894d08b</t>
  </si>
  <si>
    <t>cobalt oxide</t>
  </si>
  <si>
    <t>8f210cb8-f6e9-5670-8c86-8d1cbe87cf86</t>
  </si>
  <si>
    <t>cobalt sulfate</t>
  </si>
  <si>
    <t>08182e61-7e1a-4e55-8aad-aaf8de6fa678</t>
  </si>
  <si>
    <t>cobwork</t>
  </si>
  <si>
    <t>ca4d9ee8-a4fe-4c00-808f-6e7d5c0724c7</t>
  </si>
  <si>
    <t>cocamide diethanolamine</t>
  </si>
  <si>
    <t>a7fab22d-a210-5eee-abac-b882fa7d5477</t>
  </si>
  <si>
    <t>cocoa bean</t>
  </si>
  <si>
    <t>79b268ec-9d31-41d2-9bc0-fb12ae0d39fc</t>
  </si>
  <si>
    <t>0127:Growing of beverage crops</t>
  </si>
  <si>
    <t>coconut husk</t>
  </si>
  <si>
    <t>835bdfad-fd13-49d2-997f-ed7a5652f61f</t>
  </si>
  <si>
    <t>381:Waste collection</t>
  </si>
  <si>
    <t>coconut oil, crude</t>
  </si>
  <si>
    <t>57a41587-d3a4-4a86-91d5-77ee2ffbaa9b</t>
  </si>
  <si>
    <t>1040:Manufacture of vegetable and animal oils and fats</t>
  </si>
  <si>
    <t>coconut, dehusked</t>
  </si>
  <si>
    <t>1adc665e-bf97-4113-a2bf-567f6c781504</t>
  </si>
  <si>
    <t>0126:Growing of oleaginous fruits</t>
  </si>
  <si>
    <t>cocoons</t>
  </si>
  <si>
    <t>2158c948-5317-40d4-9803-73a47fbcad35</t>
  </si>
  <si>
    <t>0149:Raising of other animals</t>
  </si>
  <si>
    <t>coffee maker</t>
  </si>
  <si>
    <t>3528e43c-5083-4538-a8dc-15838d61312d</t>
  </si>
  <si>
    <t>2750:Manufacture of domestic appliances</t>
  </si>
  <si>
    <t>coffee, green bean</t>
  </si>
  <si>
    <t>42193bba-bf84-4490-8c69-b6e23048e73d</t>
  </si>
  <si>
    <t>coke</t>
  </si>
  <si>
    <t>1fa64d0c-afd7-46ab-b95c-3a54e0902dd0</t>
  </si>
  <si>
    <t>collector field area, solar thermal parabolic trough, 50 MW</t>
  </si>
  <si>
    <t>306c02e5-b73f-4813-90ee-b2e3259a09b1</t>
  </si>
  <si>
    <t>4220:Construction of utility projects</t>
  </si>
  <si>
    <t>collector field area, solar tower power plant, 20 MW</t>
  </si>
  <si>
    <t>2b730e0b-51da-4e2c-9add-1de102263739</t>
  </si>
  <si>
    <t>combine harvesting</t>
  </si>
  <si>
    <t>cf52c0fe-72b3-4f42-a475-16a5b2a6f850</t>
  </si>
  <si>
    <t>compact fluorescent lamp</t>
  </si>
  <si>
    <t>11b9d045-7252-4741-895d-e7a7851b91de</t>
  </si>
  <si>
    <t>2740:Manufacture of electric lighting equipment</t>
  </si>
  <si>
    <t>compost</t>
  </si>
  <si>
    <t>f43c95e7-40e6-4ba9-9ab1-d1bc10d3fa79</t>
  </si>
  <si>
    <t>composting facility, open</t>
  </si>
  <si>
    <t>bfdc2268-b9c4-462a-8971-4503ffdfbaf3</t>
  </si>
  <si>
    <t>compressed air energy storage plant, 200 MW electrical</t>
  </si>
  <si>
    <t>22a64892-8f97-41bb-b3b3-e9e74f92b9f4</t>
  </si>
  <si>
    <t>compressed air energy storage plant, adiabatic, 150 MW electrical</t>
  </si>
  <si>
    <t>ea3923d2-4c54-49e2-92f4-e1f1baa4ed17</t>
  </si>
  <si>
    <t>compressed air, 1000 kPa gauge</t>
  </si>
  <si>
    <t>e7a3abb3-289e-4246-b875-6aabe1a7ad79</t>
  </si>
  <si>
    <t>compressed air, 1200 kPa gauge</t>
  </si>
  <si>
    <t>00f0de48-4d01-4f43-a0a2-a91b11319bf8</t>
  </si>
  <si>
    <t>compressed air, 600 kPa gauge</t>
  </si>
  <si>
    <t>58c5a1af-21fa-4cd1-a7a2-a63f454b411e</t>
  </si>
  <si>
    <t>compressed air, 700 kPa gauge</t>
  </si>
  <si>
    <t>ed3b2533-9ae2-4f2d-85de-c24200ce8975</t>
  </si>
  <si>
    <t>compressed air, 800 kPa gauge</t>
  </si>
  <si>
    <t>67d88d5e-1ca4-4824-a491-5900d48840df</t>
  </si>
  <si>
    <t>computer, desktop, without screen</t>
  </si>
  <si>
    <t>e92a03ce-ac0b-4acf-9306-ae1cdee9f6d2</t>
  </si>
  <si>
    <t>computer, laptop</t>
  </si>
  <si>
    <t>6a5c8503-639b-4251-988b-07548f7d658c</t>
  </si>
  <si>
    <t>concentrated solar power plant, solar thermal parabolic trough, 50 MW</t>
  </si>
  <si>
    <t>f1cf6d58-0859-4640-8bd8-d06234b3afbf</t>
  </si>
  <si>
    <t>concentrated solar power plant, solar tower, 20 MW</t>
  </si>
  <si>
    <t>73e2ac74-b55b-48e0-937b-b8c9aa56042a</t>
  </si>
  <si>
    <t>concrete block</t>
  </si>
  <si>
    <t>d4ee8f39-342b-4443-bbb9-c49b6801b5d6</t>
  </si>
  <si>
    <t>concrete mixing factory</t>
  </si>
  <si>
    <t>2e8c9c97-b547-4160-8f9e-0d68f336a6a7</t>
  </si>
  <si>
    <t>concrete roof tile</t>
  </si>
  <si>
    <t>37346571-2363-4ae9-8a8d-99fe8cd8162d</t>
  </si>
  <si>
    <t>concrete slab</t>
  </si>
  <si>
    <t>81f4caa3-a1f7-4c01-95ff-4c2d38357e66</t>
  </si>
  <si>
    <t>concrete, 20MPa</t>
  </si>
  <si>
    <t>7e9077e8-7bbc-44c4-9759-62526ff34d47</t>
  </si>
  <si>
    <t>concrete, 25-30MPa</t>
  </si>
  <si>
    <t>5b977c6a-8ee4-4b13-ba32-1abee8961826</t>
  </si>
  <si>
    <t>concrete, 25MPa</t>
  </si>
  <si>
    <t>3fdbecc2-bb86-4c4b-8f5c-7b80e5e365c8</t>
  </si>
  <si>
    <t>concrete, 30-32MPa</t>
  </si>
  <si>
    <t>e24020e6-18f0-48b4-bd1c-01e875da42e9</t>
  </si>
  <si>
    <t>concrete, 30MPa</t>
  </si>
  <si>
    <t>ef5d9b7f-0d4a-49b9-a2eb-eef36ded1c38</t>
  </si>
  <si>
    <t>concrete, 35MPa</t>
  </si>
  <si>
    <t>b1f74287-042b-4171-b90c-b1eb5739f30d</t>
  </si>
  <si>
    <t>concrete, 40MPa</t>
  </si>
  <si>
    <t>7deb8cd6-8e29-4f14-aae0-b1dd046ad038</t>
  </si>
  <si>
    <t>concrete, 45MPa</t>
  </si>
  <si>
    <t>bf9b1c2e-5c19-4abc-b638-7e628316f2c7</t>
  </si>
  <si>
    <t>concrete, 50MPa</t>
  </si>
  <si>
    <t>765e7edf-19bc-4110-bb7c-32df8d749c54</t>
  </si>
  <si>
    <t>concrete, for de-icing salt contact</t>
  </si>
  <si>
    <t>f7a8981c-e94e-4fb7-908d-2786f6f0749c</t>
  </si>
  <si>
    <t>concrete, high exacting requirements</t>
  </si>
  <si>
    <t>8b7d9b96-9303-4886-80dc-7e9d6eb858cc</t>
  </si>
  <si>
    <t>concrete, medium strength</t>
  </si>
  <si>
    <t>eb266390-532c-4f14-ba91-a1e1b688cf5c</t>
  </si>
  <si>
    <t>concrete, normal</t>
  </si>
  <si>
    <t>eee95138-58c8-4172-9b1f-754ba074325d</t>
  </si>
  <si>
    <t>concrete, sole plate and foundation</t>
  </si>
  <si>
    <t>7f4879a4-7028-47c6-935a-744c3cffd8f1</t>
  </si>
  <si>
    <t>construction work, heat and power co-generation unit, 160kW electrical</t>
  </si>
  <si>
    <t>0c513ba9-5d54-414e-81eb-5342dbb378e8</t>
  </si>
  <si>
    <t>consumer electronics, mobile device, smartphone</t>
  </si>
  <si>
    <t>68375c1a-7bdd-5a24-aec8-f68ac9ab874e</t>
  </si>
  <si>
    <t>consumer electronics, mobile device, tablet</t>
  </si>
  <si>
    <t>eabc0ef6-672d-55a4-a2fa-ea3f6956b31c</t>
  </si>
  <si>
    <t>2640:Manufacture of consumer electronics</t>
  </si>
  <si>
    <t>container ship</t>
  </si>
  <si>
    <t>d87140c5-a310-4de3-8c4d-194a00cf8541</t>
  </si>
  <si>
    <t>container, for collection of post-consumer waste plastic for recycling</t>
  </si>
  <si>
    <t>026c1068-871f-57e5-8fda-30d989615214</t>
  </si>
  <si>
    <t>containerboard, fluting medium</t>
  </si>
  <si>
    <t>128696a8-005e-49a7-9616-d96178655408</t>
  </si>
  <si>
    <t>containerboard, linerboard</t>
  </si>
  <si>
    <t>399489c2-92d1-4b5f-91ca-c23dafc52f4e</t>
  </si>
  <si>
    <t>continuous dyeing, fibre, cotton</t>
  </si>
  <si>
    <t>3ad50a22-b9bd-4cbc-891d-49bcdad17f6c</t>
  </si>
  <si>
    <t>contouring, brass</t>
  </si>
  <si>
    <t>ef7d455e-a506-48a9-bb01-117b1a8fb996</t>
  </si>
  <si>
    <t>contouring, bronze</t>
  </si>
  <si>
    <t>6ad2240e-f820-4ac8-9596-97dac195cb3a</t>
  </si>
  <si>
    <t>control cabinet, heat and power co-generation unit, 160kW electrical</t>
  </si>
  <si>
    <t>f300bf9e-ce80-4fcc-8452-6a58eebf4105</t>
  </si>
  <si>
    <t>controller, for electric scooter</t>
  </si>
  <si>
    <t>151b224c-4c4c-405c-bef5-bc7136084e39</t>
  </si>
  <si>
    <t>2710:Manufacture of electric motors, generators, transformers and electricity di</t>
  </si>
  <si>
    <t>converter, for electric passenger car</t>
  </si>
  <si>
    <t>db6cedc8-1f82-4c82-9036-087feec579f5</t>
  </si>
  <si>
    <t>conveyor belt</t>
  </si>
  <si>
    <t>26f457d5-9138-4502-a0b5-a3726ca8efa6</t>
  </si>
  <si>
    <t>2816:Manufacture of lifting and handling equipment</t>
  </si>
  <si>
    <t>cookstove</t>
  </si>
  <si>
    <t>cf47d9e8-58e4-41f9-bde9-4f938fdc8c7b</t>
  </si>
  <si>
    <t>cooling energy</t>
  </si>
  <si>
    <t>9c5b9099-11e9-4a60-af91-c0346cdf9395</t>
  </si>
  <si>
    <t>3530:Steam and air conditioning supply</t>
  </si>
  <si>
    <t>copper cake</t>
  </si>
  <si>
    <t>3a07b27c-f6fb-429a-b8b8-04c9e2fcddd7</t>
  </si>
  <si>
    <t>copper carbonate</t>
  </si>
  <si>
    <t>01bf4427-e5d5-477b-8619-aae3b94bc48a</t>
  </si>
  <si>
    <t>copper collector foil, for Li-ion battery</t>
  </si>
  <si>
    <t>d47b1a19-22dc-4950-bf7d-e499205bb957</t>
  </si>
  <si>
    <t>copper concentrate, sulfide ore</t>
  </si>
  <si>
    <t>0b4d69f9-6b39-4232-948b-62b7b4f0d3d8</t>
  </si>
  <si>
    <t>copper oxide</t>
  </si>
  <si>
    <t>f1e0a8f1-aa97-4de6-a715-9c63acd1b6d4</t>
  </si>
  <si>
    <t>copper scrap, sorted, pressed</t>
  </si>
  <si>
    <t>cc0d4252-6207-41d6-8567-bcbad58a7bef</t>
  </si>
  <si>
    <t>copper smelting facility</t>
  </si>
  <si>
    <t>eb002431-2e1f-4b72-91d8-9a4bb6b17c0b</t>
  </si>
  <si>
    <t>copper sulfate</t>
  </si>
  <si>
    <t>38646d90-4680-4034-b60a-ccb48a2f6853</t>
  </si>
  <si>
    <t>copper telluride cement</t>
  </si>
  <si>
    <t>9aef0ec3-670f-460a-8158-e91ed28e1617</t>
  </si>
  <si>
    <t>copper, anode</t>
  </si>
  <si>
    <t>06440ac0-a1f5-4ba5-a0f7-727570bfbfff</t>
  </si>
  <si>
    <t>copper, cathode</t>
  </si>
  <si>
    <t>fbb039f7-f9cc-46d2-b631-313ddb125c1a</t>
  </si>
  <si>
    <t>copper-rich materials</t>
  </si>
  <si>
    <t>e0333848-5397-4b8b-a304-108a3e1ac1ee</t>
  </si>
  <si>
    <t>core board</t>
  </si>
  <si>
    <t>46b5cbca-747e-4648-a10e-39d746e7b34c</t>
  </si>
  <si>
    <t>coriander</t>
  </si>
  <si>
    <t>22cdbdf8-05c7-4410-9eff-7b12ff1877b3</t>
  </si>
  <si>
    <t>cork slab</t>
  </si>
  <si>
    <t>344057fa-e494-4211-86f4-8538590fd559</t>
  </si>
  <si>
    <t>cork, raw</t>
  </si>
  <si>
    <t>065d2e72-48d3-4791-9a60-ad15a99b9c57</t>
  </si>
  <si>
    <t>corrugated board box</t>
  </si>
  <si>
    <t>ca213807-7c00-4537-ac8c-23d39d0f2bd5</t>
  </si>
  <si>
    <t>cottonseed</t>
  </si>
  <si>
    <t>9b8b880d-a6f6-45e1-ab18-cc2562b6da61</t>
  </si>
  <si>
    <t>cottonseed meal</t>
  </si>
  <si>
    <t>47ff0220-6194-47f6-8bfe-6be6fb39b484</t>
  </si>
  <si>
    <t>cottonseed oil, crude</t>
  </si>
  <si>
    <t>6051f864-9708-4f2d-8f3d-9cb7a3f75261</t>
  </si>
  <si>
    <t>cottonseed oil, refined</t>
  </si>
  <si>
    <t>55c80a3e-016d-4de4-b3d5-eda20b1b1675</t>
  </si>
  <si>
    <t>cottonseed, for sowing</t>
  </si>
  <si>
    <t>ab68c6e3-3d78-4a91-aa33-b100e5fa0639</t>
  </si>
  <si>
    <t>cottonseed, organic</t>
  </si>
  <si>
    <t>a769b2aa-bc38-5d86-b813-d0d1d9e3666c</t>
  </si>
  <si>
    <t>cottonseed, organic, for sowing</t>
  </si>
  <si>
    <t>7a233d92-6d7c-43c2-a90d-a19d542d3b9c</t>
  </si>
  <si>
    <t>cover plaster, mineral</t>
  </si>
  <si>
    <t>883e77e1-98eb-4be0-9608-5b4365d19676</t>
  </si>
  <si>
    <t>cover plaster, organic</t>
  </si>
  <si>
    <t>1bec933d-caf4-42f9-abaf-be1a8f589cd5</t>
  </si>
  <si>
    <t>cow milk</t>
  </si>
  <si>
    <t>a3ee1ec6-ce17-430e-a475-f98f1b2890d2</t>
  </si>
  <si>
    <t>cream, from cow milk</t>
  </si>
  <si>
    <t>e205cf62-396d-488a-8e2f-71344bbee1aa</t>
  </si>
  <si>
    <t>cross-laminated timber</t>
  </si>
  <si>
    <t>610daa06-27af-553b-9382-71de32df4525</t>
  </si>
  <si>
    <t>crust from Parkes process for lead production</t>
  </si>
  <si>
    <t>b1489e93-5758-49fb-979e-455555779aec</t>
  </si>
  <si>
    <t>cryolite</t>
  </si>
  <si>
    <t>f011e841-dfed-4e80-99c3-a5f71e50f890</t>
  </si>
  <si>
    <t>cucumber</t>
  </si>
  <si>
    <t>d5a5bee6-1c29-4ed7-be56-540172000e15</t>
  </si>
  <si>
    <t>cumene</t>
  </si>
  <si>
    <t>2fec913d-0391-4e1b-8103-093c0ea500b9</t>
  </si>
  <si>
    <t>cyanoacetic acid</t>
  </si>
  <si>
    <t>550f6b4b-1612-4e72-b13a-4e000df4c4ef</t>
  </si>
  <si>
    <t>cyanogen chloride</t>
  </si>
  <si>
    <t>8c48d3e8-2f09-4399-83e5-a68209144b0d</t>
  </si>
  <si>
    <t>cyanuric chloride</t>
  </si>
  <si>
    <t>63f60ad3-4b55-41e2-87d8-72d34fcf05e6</t>
  </si>
  <si>
    <t>cyclic N-compound</t>
  </si>
  <si>
    <t>d006454e-161f-4b7f-ad8a-8892ee176041</t>
  </si>
  <si>
    <t>cyclohexane</t>
  </si>
  <si>
    <t>faff01b2-d18a-4432-a850-a9e54cc64e7a</t>
  </si>
  <si>
    <t>cyclohexanol</t>
  </si>
  <si>
    <t>7fbaae23-bfff-48eb-b0cb-925c7b11d213</t>
  </si>
  <si>
    <t>cyclohexanone</t>
  </si>
  <si>
    <t>51f81140-93df-4b38-83f7-de265d88cd76</t>
  </si>
  <si>
    <t>dairy</t>
  </si>
  <si>
    <t>4c6c7931-a9ef-4a2d-ba4b-2632303ce6db</t>
  </si>
  <si>
    <t>decabromodiphenyl ether</t>
  </si>
  <si>
    <t>7b349a0f-7612-5137-9026-ddcb5e924ed1</t>
  </si>
  <si>
    <t>deep drawing, steel, 10000 kN press, automode</t>
  </si>
  <si>
    <t>f10b8722-4be1-43d5-b17d-c51ad0e29d29</t>
  </si>
  <si>
    <t>2591:Forging, pressing, stamping and roll-forming of metal; powder metallurgy</t>
  </si>
  <si>
    <t>deep drawing, steel, 10000 kN press, single stroke</t>
  </si>
  <si>
    <t>210dcb33-fd19-4542-8c76-d63f562dbe4b</t>
  </si>
  <si>
    <t>deep drawing, steel, 3500 kN press, automode</t>
  </si>
  <si>
    <t>1bed7aa6-94cd-445e-83f2-0ac811d8be86</t>
  </si>
  <si>
    <t>deep drawing, steel, 3500 kN press, single stroke</t>
  </si>
  <si>
    <t>fc9591fa-99c6-49f4-a80c-d7ae4be937b2</t>
  </si>
  <si>
    <t>deep drawing, steel, 38000 kN press, automode</t>
  </si>
  <si>
    <t>cb752f65-32fa-4181-84c4-bb9733f242d5</t>
  </si>
  <si>
    <t>deep drawing, steel, 38000 kN press, single stroke</t>
  </si>
  <si>
    <t>79268913-1168-4440-8a23-3f92fa70d263</t>
  </si>
  <si>
    <t>deep drawing, steel, 650 kN press, automode</t>
  </si>
  <si>
    <t>906a817d-5c2d-4fd1-80b6-49edd5223f4b</t>
  </si>
  <si>
    <t>deep drawing, steel, 650 kN press, single stroke</t>
  </si>
  <si>
    <t>aafac89e-9933-4423-a072-6e4aeed31cd5</t>
  </si>
  <si>
    <t>deep well closure</t>
  </si>
  <si>
    <t>cfde28b3-a9e9-496a-8a05-f3c4bbc17555</t>
  </si>
  <si>
    <t>0990:Support activities for other mining and quarrying</t>
  </si>
  <si>
    <t>deep well, drilled, for geothermal power</t>
  </si>
  <si>
    <t>bf0425ee-99c2-488e-9056-3495e9f4e9cb</t>
  </si>
  <si>
    <t>deep well, for geothermal power, onshore, 6000m</t>
  </si>
  <si>
    <t>e0a4840d-f0ec-42d1-9ec1-f85528f9cd06</t>
  </si>
  <si>
    <t>degreasing, metal part in alkaline bath</t>
  </si>
  <si>
    <t>7e1e83e1-4331-445f-ab99-c1988389de0f</t>
  </si>
  <si>
    <t>de-icer</t>
  </si>
  <si>
    <t>f65d3dbd-ab3c-4636-9714-a651100cba65</t>
  </si>
  <si>
    <t>deinked pulp, wet lap</t>
  </si>
  <si>
    <t>9d89ad02-50ba-4379-92f8-7961ddde64bc</t>
  </si>
  <si>
    <t>deinking emulsion, in paper production</t>
  </si>
  <si>
    <t>8d125c13-3754-415f-95e6-ec7609eb5c25</t>
  </si>
  <si>
    <t>delimbing/sorting, excavator-based processor</t>
  </si>
  <si>
    <t>9d5356f8-1a39-495b-aa35-3f38379886b4</t>
  </si>
  <si>
    <t>demersal fish, fresh</t>
  </si>
  <si>
    <t>cdbf0bef-39f7-46c8-87a2-3f9f679b5bb7</t>
  </si>
  <si>
    <t>0311:Marine fishing</t>
  </si>
  <si>
    <t>diammonium phosphate</t>
  </si>
  <si>
    <t>deacf25b-6aee-5105-893d-b78661769ca8</t>
  </si>
  <si>
    <t>diazine-compound</t>
  </si>
  <si>
    <t>99a11618-31ec-49b6-afe6-4bb57c1c5d9b</t>
  </si>
  <si>
    <t>diazole-compound</t>
  </si>
  <si>
    <t>a3c5df1d-2d37-409d-a3c6-61a4fb144c34</t>
  </si>
  <si>
    <t>diborane</t>
  </si>
  <si>
    <t>953a2c5b-32c8-4809-8853-b160343da646</t>
  </si>
  <si>
    <t>dichloromethane</t>
  </si>
  <si>
    <t>c1fd4059-c24f-4e05-b3f5-82651ec0dbfa</t>
  </si>
  <si>
    <t>dichloropropene</t>
  </si>
  <si>
    <t>51d011ea-b1ac-42a4-88d4-533d95994812</t>
  </si>
  <si>
    <t>dicyclopentadiene based unsaturated polyester resin</t>
  </si>
  <si>
    <t>dbfb29d6-e677-4932-9e63-90003928a00f</t>
  </si>
  <si>
    <t>diesel</t>
  </si>
  <si>
    <t>291fc06d-1b3e-4077-aabb-346b588ed24b</t>
  </si>
  <si>
    <t>diesel, burned in agricultural machinery</t>
  </si>
  <si>
    <t>fecdf330-8660-4362-adde-ab5ea197ab1d</t>
  </si>
  <si>
    <t>diesel, burned in building machine</t>
  </si>
  <si>
    <t>b0f4c2fb-5081-474a-8ffa-1457da8345db</t>
  </si>
  <si>
    <t>diesel, burned in diesel-electric generating set, 10MW</t>
  </si>
  <si>
    <t>1151abf1-5ac3-4518-bb20-60f003bb6a31</t>
  </si>
  <si>
    <t>diesel, burned in diesel-electric generating set, 18.5kW</t>
  </si>
  <si>
    <t>533392d3-8fa6-44bb-9b79-b14c0a0e66e0</t>
  </si>
  <si>
    <t>diesel, burned in fishing vessel</t>
  </si>
  <si>
    <t>79838d89-26c0-4781-b17f-a0deb787d482</t>
  </si>
  <si>
    <t>diesel, low-sulfur</t>
  </si>
  <si>
    <t>b80eb2d5-1256-41bb-a61d-83252d0dfd4d</t>
  </si>
  <si>
    <t>diesel-electric generating set, 10MW</t>
  </si>
  <si>
    <t>5c251ed1-1f25-46e7-976b-98e5e85f238d</t>
  </si>
  <si>
    <t>diesel-electric generating set, 18.5kW</t>
  </si>
  <si>
    <t>6b7e58ca-8d06-49bd-8b8e-02673cda3297</t>
  </si>
  <si>
    <t>diethanolamine</t>
  </si>
  <si>
    <t>12b2f717-a83f-4848-91c5-9f081b030ae5</t>
  </si>
  <si>
    <t>diethyl ether, without water, in 99.95% solution state</t>
  </si>
  <si>
    <t>86f356ee-4bfa-43cf-a82f-4799c7f7c776</t>
  </si>
  <si>
    <t>diethylene glycol</t>
  </si>
  <si>
    <t>afd7c901-ca10-4fd0-8cc0-6529a7515c83</t>
  </si>
  <si>
    <t>digester sludge</t>
  </si>
  <si>
    <t>caf4f3f7-4613-4919-af55-f142830d5ca8</t>
  </si>
  <si>
    <t>dimethenamide</t>
  </si>
  <si>
    <t>635a8fd4-8fd6-45af-b419-ec145a9f4579</t>
  </si>
  <si>
    <t>dimethyl carbonate</t>
  </si>
  <si>
    <t>53fd4bee-dffb-5151-9178-23ec0dfd622d</t>
  </si>
  <si>
    <t>dimethyl ether</t>
  </si>
  <si>
    <t>eeaf1bf6-b91b-475c-871b-c3b0e9e38213</t>
  </si>
  <si>
    <t>dimethyl hexanediol</t>
  </si>
  <si>
    <t>cad7658a-90cc-5ee7-a874-55ed33db5898</t>
  </si>
  <si>
    <t>dimethyl hexynediol</t>
  </si>
  <si>
    <t>5cd54aed-e0c3-56dd-b1fe-768d581fccbc</t>
  </si>
  <si>
    <t>dimethyl malonate</t>
  </si>
  <si>
    <t>0b0a4567-b987-4ad6-a338-7c282bd9eb14</t>
  </si>
  <si>
    <t>dimethyl sulfate</t>
  </si>
  <si>
    <t>5b808359-1aed-4a46-aba5-993226763791</t>
  </si>
  <si>
    <t>dimethyl sulfide</t>
  </si>
  <si>
    <t>a289fbe9-0efa-43ff-9c01-44503d641912</t>
  </si>
  <si>
    <t>dimethyl sulfoxide</t>
  </si>
  <si>
    <t>82f905b2-faf0-4743-b076-20209ac04ba4</t>
  </si>
  <si>
    <t>dimethylacetamide</t>
  </si>
  <si>
    <t>14fc5cbb-5bb5-4c0e-b4ba-abdaa522105c</t>
  </si>
  <si>
    <t>dimethylamine</t>
  </si>
  <si>
    <t>409fed7c-d609-44ba-901b-045059c1100d</t>
  </si>
  <si>
    <t>dimethylamine borane</t>
  </si>
  <si>
    <t>f5adb8c0-0bad-4e7f-b8bc-f2a3ea5c6445</t>
  </si>
  <si>
    <t>dimethylaminopropylamine</t>
  </si>
  <si>
    <t>f831dbaf-bcb9-5a4e-89a8-607f39516f51</t>
  </si>
  <si>
    <t>dimethyldichlorosilane</t>
  </si>
  <si>
    <t>4135c4ce-e9ab-51d1-9c3e-592b616adb68</t>
  </si>
  <si>
    <t>dinitroaniline-compound</t>
  </si>
  <si>
    <t>788fbac7-89f4-4167-a410-72b7bf149d92</t>
  </si>
  <si>
    <t>dinitrogen tetroxide</t>
  </si>
  <si>
    <t>1d8ac54e-4172-42c0-9d0e-97ab25363722</t>
  </si>
  <si>
    <t>diode, auxilliaries and energy use</t>
  </si>
  <si>
    <t>893fa727-fdac-482e-841d-679197590b4c</t>
  </si>
  <si>
    <t>diode, glass-, for surface-mounting</t>
  </si>
  <si>
    <t>38dddb73-6677-4128-9a82-5c6668eceb29</t>
  </si>
  <si>
    <t>diode, glass-, for through-hole mounting</t>
  </si>
  <si>
    <t>0fd2627f-cd91-40c7-b168-8d7847ffb1fc</t>
  </si>
  <si>
    <t>dioxane</t>
  </si>
  <si>
    <t>bb14c937-fb75-430a-bb90-128536904e85</t>
  </si>
  <si>
    <t>diphenylether-compound</t>
  </si>
  <si>
    <t>4855fa83-84d7-4138-8fde-27aa1bab3f42</t>
  </si>
  <si>
    <t>dipropyl amine</t>
  </si>
  <si>
    <t>bc6da04d-39f0-42e4-aa45-47b8a1ac582e</t>
  </si>
  <si>
    <t>dipropylene glycol monomethyl ether</t>
  </si>
  <si>
    <t>a01151e0-61fe-4db9-90b5-494aa8589692</t>
  </si>
  <si>
    <t>dishwasher</t>
  </si>
  <si>
    <t>579cee0c-0738-471b-9f53-9d9103ffb46a</t>
  </si>
  <si>
    <t>disk drive, CD/DVD, ROM, for desktop computer</t>
  </si>
  <si>
    <t>99df330b-2754-4a9c-912b-3268c9e6bcde</t>
  </si>
  <si>
    <t>disk drive, CD/DVD, ROM, for laptop computer</t>
  </si>
  <si>
    <t>d495abc3-3dd2-4fdc-93ed-e6304c3aa650</t>
  </si>
  <si>
    <t>disodium disulphite</t>
  </si>
  <si>
    <t>2ba90adb-d6f3-48da-a9e3-e67fa98fccab</t>
  </si>
  <si>
    <t>display, cathode ray tube, 17 inches</t>
  </si>
  <si>
    <t>17ddf1bd-c2da-49ea-8ef1-a7683ad53f1b</t>
  </si>
  <si>
    <t>display, liquid crystal, 17 inches</t>
  </si>
  <si>
    <t>37a90a87-60d3-4aa0-8488-4fdcebf2a6cf</t>
  </si>
  <si>
    <t>Distiller's Dried Grains with Solubles</t>
  </si>
  <si>
    <t>784742e8-9297-43ce-a6eb-4cf891661322</t>
  </si>
  <si>
    <t>distribution network, electricity, low voltage</t>
  </si>
  <si>
    <t>448b6d35-c6d6-42d9-9e63-c19b9a0a6496</t>
  </si>
  <si>
    <t>dithiocarbamate-compound</t>
  </si>
  <si>
    <t>135a953b-2acb-4c85-9d1c-7a268b5750ff</t>
  </si>
  <si>
    <t>dodecanol</t>
  </si>
  <si>
    <t>812ae2cf-86f0-58bc-a825-fcc7c4ecc80d</t>
  </si>
  <si>
    <t>dolomite</t>
  </si>
  <si>
    <t>8e2a9448-685b-4687-910a-77418454f259</t>
  </si>
  <si>
    <t>dolomite quarry infrastructure</t>
  </si>
  <si>
    <t>9f342c90-e370-45b4-a6aa-7618182dc926</t>
  </si>
  <si>
    <t>door, inner, glass-wood</t>
  </si>
  <si>
    <t>b5811f69-1406-41dd-8058-d6779d39f0ae</t>
  </si>
  <si>
    <t>1622:Manufacture of builders' carpentry and joinery</t>
  </si>
  <si>
    <t>door, inner, wood</t>
  </si>
  <si>
    <t>f7a0f8d7-7a73-462d-a9c8-a147818f6d05</t>
  </si>
  <si>
    <t>door, outer, wood-aluminium</t>
  </si>
  <si>
    <t>998b299a-be0c-4cca-8db5-8363d1594171</t>
  </si>
  <si>
    <t>door, outer, wood-glass</t>
  </si>
  <si>
    <t>eefdc5da-5148-44a1-820c-b4780c5a7dd8</t>
  </si>
  <si>
    <t>drawing of pipe, steel</t>
  </si>
  <si>
    <t>68e64673-7c91-4025-af50-31317791caf7</t>
  </si>
  <si>
    <t>dried roughage store, air dried, solar</t>
  </si>
  <si>
    <t>7f4e26b4-bf6a-4e94-bf7d-32c1ebb9f203</t>
  </si>
  <si>
    <t>dried roughage store, cold-air dried, conventional</t>
  </si>
  <si>
    <t>79b9ceea-f11c-4d24-9f30-057ebb8a34ba</t>
  </si>
  <si>
    <t>dried roughage store, non ventilated</t>
  </si>
  <si>
    <t>17f63373-8ae5-425f-aee3-a03d49e0518e</t>
  </si>
  <si>
    <t>dryer</t>
  </si>
  <si>
    <t>2eb6206e-5965-46f8-8e8f-f9c554579020</t>
  </si>
  <si>
    <t>drying of bread grain, seed and legumes</t>
  </si>
  <si>
    <t>c0d30387-3590-45d5-91a2-4fe5014b759d</t>
  </si>
  <si>
    <t>drying of feed grain</t>
  </si>
  <si>
    <t>05885833-b4e9-42a4-857a-5acc9a580a83</t>
  </si>
  <si>
    <t>drying of grass</t>
  </si>
  <si>
    <t>65e0420e-4ac2-4817-a5a7-f876d1e0a808</t>
  </si>
  <si>
    <t>drying of lentils</t>
  </si>
  <si>
    <t>c53d3387-2ce7-4619-afb1-a6e9b868a55b</t>
  </si>
  <si>
    <t>drying of maize grain</t>
  </si>
  <si>
    <t>070bc4e6-611e-4d09-9323-22013fc4ec8d</t>
  </si>
  <si>
    <t>drying of maize straw and whole-plant</t>
  </si>
  <si>
    <t>c6efcb32-7437-44c1-bcea-2b6e57ed18ee</t>
  </si>
  <si>
    <t>drying of protein pea</t>
  </si>
  <si>
    <t>42540f88-6507-401e-9c10-16116ce13c1c</t>
  </si>
  <si>
    <t>drying, natural gas</t>
  </si>
  <si>
    <t>4e947250-1301-4584-9582-25e09ae171d6</t>
  </si>
  <si>
    <t>DTPA, diethylenetriaminepentaacetic acid</t>
  </si>
  <si>
    <t>315d1b7c-4c81-4ef7-9e4a-eb475047418a</t>
  </si>
  <si>
    <t>dung slab</t>
  </si>
  <si>
    <t>cacf7090-a406-469b-acad-5bab2d2bb7a1</t>
  </si>
  <si>
    <t>dust collector, electrostatic precipitator, for domestic use</t>
  </si>
  <si>
    <t>71480d50-df3f-4936-a314-876d6841d60f</t>
  </si>
  <si>
    <t>dust collector, electrostatic precipitator, for industrial use</t>
  </si>
  <si>
    <t>3a33478f-84e5-4f44-9633-364616ffa49e</t>
  </si>
  <si>
    <t>dust collector, multicyclone</t>
  </si>
  <si>
    <t>16f44c6e-f9f6-419a-8c78-87fa4bd1246d</t>
  </si>
  <si>
    <t>dysprosium oxide</t>
  </si>
  <si>
    <t>1020c079-f3c3-5699-8fc9-72559914756a</t>
  </si>
  <si>
    <t>EDTA, ethylenediaminetetraacetic acid</t>
  </si>
  <si>
    <t>a5d022c6-c879-416a-bb1a-51b8c2c87bb1</t>
  </si>
  <si>
    <t>electric arc furnace converter</t>
  </si>
  <si>
    <t>c2c93af2-47cb-4ec7-a1bd-d3d572bca039</t>
  </si>
  <si>
    <t>electric arc furnace secondary metallurgy slag, for recovery</t>
  </si>
  <si>
    <t>6c3cb784-0eb8-531a-8216-4a5c40f8bc75</t>
  </si>
  <si>
    <t>electric arc furnace slag, for recovery</t>
  </si>
  <si>
    <t>2a31e0a0-90bb-5dda-8e31-ca86641aeabd</t>
  </si>
  <si>
    <t>electric bicycle</t>
  </si>
  <si>
    <t>945799a7-46e7-46cf-94b1-6967553434a3</t>
  </si>
  <si>
    <t>3091:Manufacture of motorcycles</t>
  </si>
  <si>
    <t>electric connector, peripheral component interconnect buss</t>
  </si>
  <si>
    <t>97abb774-9c04-4e55-8bc2-94edaff6342d</t>
  </si>
  <si>
    <t>electric connector, peripheral type buss</t>
  </si>
  <si>
    <t>9cc41404-5a63-4005-82a2-884dc147fc3f</t>
  </si>
  <si>
    <t>electric connector, wire clamp</t>
  </si>
  <si>
    <t>6716b460-7ba0-4cea-baa4-32ae24bfb88c</t>
  </si>
  <si>
    <t>electric kettle</t>
  </si>
  <si>
    <t>f0ab3e24-e4cd-4015-afa4-e36c17cc893b</t>
  </si>
  <si>
    <t>electric motor, electric passenger car</t>
  </si>
  <si>
    <t>3b02c7eb-5df6-46ad-a39d-51c588aa75dc</t>
  </si>
  <si>
    <t>electric motor, for electric scooter</t>
  </si>
  <si>
    <t>87a84dc1-502a-4213-a0c7-6ef45e1c520b</t>
  </si>
  <si>
    <t>electric motor, vehicle</t>
  </si>
  <si>
    <t>faac50ba-db79-4c84-8c68-9453728f9063</t>
  </si>
  <si>
    <t>electric parts, heat and power co-generation unit, 160kW electrical</t>
  </si>
  <si>
    <t>4e8874e8-096f-48df-af9b-41d1be279ac8</t>
  </si>
  <si>
    <t>electric parts, mini CHP plant</t>
  </si>
  <si>
    <t>f575d599-c290-4329-8b87-f0cbf03b4311</t>
  </si>
  <si>
    <t>electric scooter, without battery</t>
  </si>
  <si>
    <t>fbcabacc-60c3-4849-8b8f-125ae1b6fc3a</t>
  </si>
  <si>
    <t>electricity, for reuse in municipal waste incineration only</t>
  </si>
  <si>
    <t>637ee275-a239-4dcb-b084-abfa110dd65b</t>
  </si>
  <si>
    <t>electricity, high voltage</t>
  </si>
  <si>
    <t>66c93e71-f32b-4591-901c-55395db5c132</t>
  </si>
  <si>
    <t>electricity, high voltage, aluminium industry</t>
  </si>
  <si>
    <t>5d954e5c-1e6d-4f78-9fc3-d3857b7892cb</t>
  </si>
  <si>
    <t>electricity, high voltage, cobalt industry</t>
  </si>
  <si>
    <t>d2fd5cc0-630a-5514-9c3c-5d9fce0bb70b</t>
  </si>
  <si>
    <t>electricity, high voltage, for internal use in coal mining</t>
  </si>
  <si>
    <t>b7a0c0bc-fd0d-41b8-8ab7-15bc1a4a3063</t>
  </si>
  <si>
    <t>electricity, high voltage, for Swiss Federal Railways</t>
  </si>
  <si>
    <t>6d153080-c3aa-473e-8c78-9bd46e07ee4e</t>
  </si>
  <si>
    <t>electricity, high voltage, renewable energy products</t>
  </si>
  <si>
    <t>5f9b49ad-6aa8-42ee-8d55-af2982e9f0f8</t>
  </si>
  <si>
    <t>electricity, low voltage</t>
  </si>
  <si>
    <t>d69294d7-8d64-4915-a896-9996a014c410</t>
  </si>
  <si>
    <t>electricity, low voltage, renewable energy products</t>
  </si>
  <si>
    <t>ae13f419-fa76-4878-ab68-5bb94d3e24e6</t>
  </si>
  <si>
    <t>electricity, medium voltage</t>
  </si>
  <si>
    <t>759b89bd-3aa6-42ad-b767-5bb9ef5d331d</t>
  </si>
  <si>
    <t>electricity, medium voltage, aluminium industry</t>
  </si>
  <si>
    <t>4fcfb407-7879-42ad-9582-ab3fbfe5af10</t>
  </si>
  <si>
    <t>electricity, medium voltage, cobalt industry</t>
  </si>
  <si>
    <t>3c502ce5-8c62-59fd-abf3-38ff13db2405</t>
  </si>
  <si>
    <t>electricity, medium voltage, renewable energy products</t>
  </si>
  <si>
    <t>fef08457-493d-4860-b499-83f12579f413</t>
  </si>
  <si>
    <t>electrode, negative, LiC6</t>
  </si>
  <si>
    <t>d18d34ef-1f8a-451f-9620-a429feb04c26</t>
  </si>
  <si>
    <t>electrode, negative, Ni</t>
  </si>
  <si>
    <t>ec211391-5aa1-462e-8254-107b5b01b006</t>
  </si>
  <si>
    <t>electrode, positive, LaNi5</t>
  </si>
  <si>
    <t>288bd056-084a-410e-85ea-44679011dfd8</t>
  </si>
  <si>
    <t>electrolyte, copper-rich</t>
  </si>
  <si>
    <t>e97c0864-abdb-580d-97fb-3b73301ffaaa</t>
  </si>
  <si>
    <t>electrolyte, for Li-ion battery</t>
  </si>
  <si>
    <t>08fff83a-3881-442a-8062-a7084102d9a1</t>
  </si>
  <si>
    <t>20:Manufacture of chemicals and chemical products</t>
  </si>
  <si>
    <t>electrolyte, for solid oxide fuel cell</t>
  </si>
  <si>
    <t>08663c56-b6b9-4a91-b2e3-7478da4f27ba</t>
  </si>
  <si>
    <t>electrolyte, KOH, LiOH additive</t>
  </si>
  <si>
    <t>0cfee66a-2375-44b2-81f5-d49b4712bca5</t>
  </si>
  <si>
    <t>electrolyte, nickel-rich</t>
  </si>
  <si>
    <t>b9da6e4c-0d5d-51a4-b141-54b634c0a4b2</t>
  </si>
  <si>
    <t>electron gun, for cathode ray tube display</t>
  </si>
  <si>
    <t>badf9215-58af-4218-ac95-a133fddcb7dc</t>
  </si>
  <si>
    <t>electronic component factory</t>
  </si>
  <si>
    <t>fea38609-ac59-404b-8bb4-22e172c7a4a7</t>
  </si>
  <si>
    <t>electronic component machinery, unspecified</t>
  </si>
  <si>
    <t>e60fe70b-2ab2-4b9a-9ec2-81b90dcff450</t>
  </si>
  <si>
    <t>2829:Manufacture of other special-purpose machinery</t>
  </si>
  <si>
    <t>electronic component, active, unspecified</t>
  </si>
  <si>
    <t>d1e72526-546c-48f2-a363-e1e3b1c9aebc</t>
  </si>
  <si>
    <t>electronic component, passive, mobile, earpiece and speaker</t>
  </si>
  <si>
    <t>fb0d9104-ba62-5c7b-8f4f-a0201435dfa7</t>
  </si>
  <si>
    <t>electronic component, passive, unspecified</t>
  </si>
  <si>
    <t>4e252b55-fb08-4447-8391-d09e8bbb0238</t>
  </si>
  <si>
    <t>electronics scrap</t>
  </si>
  <si>
    <t>13534fe4-363f-4306-9f67-9d3ca1140e58</t>
  </si>
  <si>
    <t>electronics, for control units</t>
  </si>
  <si>
    <t>245732f4-a5ce-4881-816b-a207ba8df4c8</t>
  </si>
  <si>
    <t>electrostatic paint</t>
  </si>
  <si>
    <t>8db93acf-cb88-4744-8a2f-7812e173e4d0</t>
  </si>
  <si>
    <t>elevator, hydraulic</t>
  </si>
  <si>
    <t>b4cbfdca-29f0-4a59-8c59-47777a13e628</t>
  </si>
  <si>
    <t>enamelling</t>
  </si>
  <si>
    <t>eb885ff3-76d1-4f8b-91d2-24640fef1cba</t>
  </si>
  <si>
    <t>energy and auxilliary inputs, metal working factory</t>
  </si>
  <si>
    <t>6eb8dc11-5ac4-4538-a1f1-95463b640ea5</t>
  </si>
  <si>
    <t>259:Manufacture of other fabricated metal products; metalworking service activit</t>
  </si>
  <si>
    <t>energy and auxilliary inputs, metal working machine</t>
  </si>
  <si>
    <t>7c0ab4ca-e778-44c1-a33d-c26466d32c1a</t>
  </si>
  <si>
    <t>energy feed, gross</t>
  </si>
  <si>
    <t>7cb72345-4338-4f2d-830f-65bba3530fdb</t>
  </si>
  <si>
    <t>energy requirement for assembly of heat and power co-generation unit, 160kW electrical</t>
  </si>
  <si>
    <t>640f24e5-1f45-4aa2-b306-e8cca907034d</t>
  </si>
  <si>
    <t>energy saving</t>
  </si>
  <si>
    <t>c1d6d100-e442-4e1e-a307-4c5afb894a4c</t>
  </si>
  <si>
    <t>4322:Plumbing, heat and air-conditioning installation</t>
  </si>
  <si>
    <t>energy use and operation emissions, electric bicycle</t>
  </si>
  <si>
    <t>d9931b4a-3621-4141-b47f-1073a83f6887</t>
  </si>
  <si>
    <t>4922:Other passenger land transport</t>
  </si>
  <si>
    <t>energy use and operation emissions, electric bicycle, electricity from renewable energy products</t>
  </si>
  <si>
    <t>1873d261-bf81-410d-9dfc-178afc6523fe</t>
  </si>
  <si>
    <t>energy wood harvester</t>
  </si>
  <si>
    <t>0f55448c-4f2b-41b2-8da1-2577a98202ac</t>
  </si>
  <si>
    <t>enriched uranium, 4.2%</t>
  </si>
  <si>
    <t>7508d508-137d-4dd4-9353-a38465917991</t>
  </si>
  <si>
    <t>enzymes</t>
  </si>
  <si>
    <t>b9e7503c-58d1-436d-bc16-6f7d09efffd7</t>
  </si>
  <si>
    <t>epichlorohydrin</t>
  </si>
  <si>
    <t>55918c79-1454-4ce3-9c06-a09b4e3e224b</t>
  </si>
  <si>
    <t>epoxy resin insulator, Al2O3</t>
  </si>
  <si>
    <t>d3392d17-8ac2-4a74-b8e8-c1b2e6784d3e</t>
  </si>
  <si>
    <t>epoxy resin insulator, SiO2</t>
  </si>
  <si>
    <t>28a57559-b4f7-47f3-8576-175a4682542d</t>
  </si>
  <si>
    <t>epoxy resin, liquid</t>
  </si>
  <si>
    <t>51c7e57a-00b7-4412-b56c-94c17b211ee7</t>
  </si>
  <si>
    <t>erbium oxide</t>
  </si>
  <si>
    <t>e8e6fc47-a074-5f74-ab66-270ebe4e0f25</t>
  </si>
  <si>
    <t>establishing orchard</t>
  </si>
  <si>
    <t>0b0ceb4f-24d2-4245-a155-925b136eb55c</t>
  </si>
  <si>
    <t>esterquat</t>
  </si>
  <si>
    <t>b078cbaa-e4d8-49a0-afc7-78768258e79b</t>
  </si>
  <si>
    <t>esters of versatic acid</t>
  </si>
  <si>
    <t>ece340ed-eced-4f6d-afed-fc47e3f8edd3</t>
  </si>
  <si>
    <t>ethane</t>
  </si>
  <si>
    <t>88b55703-3dd1-44c5-8a55-3d89d5019e5d</t>
  </si>
  <si>
    <t>ethanol fermentation plant</t>
  </si>
  <si>
    <t>725cbdbd-cdb2-484b-9363-2c6facb2ab4b</t>
  </si>
  <si>
    <t>ethanol, without water, in 95% solution state, from fermentation</t>
  </si>
  <si>
    <t>ffcb8cbb-77ab-4f87-8a94-87ca5b8ea79e</t>
  </si>
  <si>
    <t>ethanol, without water, in 99.7% solution state, from ethylene</t>
  </si>
  <si>
    <t>3a0d77a5-6488-4977-966a-731350be864a</t>
  </si>
  <si>
    <t>ethanol, without water, in 99.7% solution state, from fermentation</t>
  </si>
  <si>
    <t>508155f4-0601-4a0b-be0f-9ac7d558605a</t>
  </si>
  <si>
    <t>ethanol, without water, in 99.7% solution state, from fermentation, vehicle grade</t>
  </si>
  <si>
    <t>49a76d5c-6960-454d-a0ad-1331411fc371</t>
  </si>
  <si>
    <t>ethoxylated alcohol (AE&gt;20)</t>
  </si>
  <si>
    <t>845fe303-3db0-5359-8603-baae6d4bf6e0</t>
  </si>
  <si>
    <t>ethoxylated alcohol (AE11)</t>
  </si>
  <si>
    <t>f8546b9e-d490-4fd7-9640-98be61866bce</t>
  </si>
  <si>
    <t>ethoxylated alcohol (AE3)</t>
  </si>
  <si>
    <t>1ff7f238-0259-4b52-8c62-503a50be5a46</t>
  </si>
  <si>
    <t>ethoxylated alcohol (AE7)</t>
  </si>
  <si>
    <t>ee02b2e7-9c42-4fe3-904b-2a4a6f221656</t>
  </si>
  <si>
    <t>ethyl acetate</t>
  </si>
  <si>
    <t>1a71f77c-edaa-4365-a192-f54ac538d033</t>
  </si>
  <si>
    <t>ethyl benzene</t>
  </si>
  <si>
    <t>c17913f3-7fcb-4c75-823f-32c9ff843f43</t>
  </si>
  <si>
    <t>ethyl tert-butyl ether</t>
  </si>
  <si>
    <t>a4121974-327a-4535-b3a1-deabb72bff2c</t>
  </si>
  <si>
    <t>ethylamine</t>
  </si>
  <si>
    <t>f62099af-2f69-4a09-b3b3-bfea04cf46cd</t>
  </si>
  <si>
    <t>ethylene</t>
  </si>
  <si>
    <t>44e8a892-3178-4352-a898-722e68990fe9</t>
  </si>
  <si>
    <t>ethylene bromide</t>
  </si>
  <si>
    <t>b8d5c3e7-0342-4048-8f15-bc1954e60cb8</t>
  </si>
  <si>
    <t>ethylene carbonate</t>
  </si>
  <si>
    <t>2974c2fd-d35b-4d8b-9919-6e3996ba2674</t>
  </si>
  <si>
    <t>ethylene dichloride</t>
  </si>
  <si>
    <t>26dda6c0-2ad5-4710-92f0-81c599840472</t>
  </si>
  <si>
    <t>ethylene glycol</t>
  </si>
  <si>
    <t>4052f31f-cd94-4b86-b075-210914586a0f</t>
  </si>
  <si>
    <t>ethylene glycol diethyl ether</t>
  </si>
  <si>
    <t>ff1053a2-b4b5-405f-8b28-1899a64b1f28</t>
  </si>
  <si>
    <t>ethylene glycol dimethyl ether</t>
  </si>
  <si>
    <t>85db2f1d-09aa-4171-a852-211e21ff9f2b</t>
  </si>
  <si>
    <t>ethylene glycol monoethyl ether</t>
  </si>
  <si>
    <t>d9da5528-0582-45ce-84d3-9f3e0b644df2</t>
  </si>
  <si>
    <t>ethylene oxide</t>
  </si>
  <si>
    <t>48396be2-470c-4a6a-b858-bec336a26b38</t>
  </si>
  <si>
    <t>ethylene vinyl acetate copolymer</t>
  </si>
  <si>
    <t>e6406c60-b8cf-4ee5-af0b-df43c146018c</t>
  </si>
  <si>
    <t>ethylene, pipeline system</t>
  </si>
  <si>
    <t>c7c790e7-474f-495a-911e-bb905050682d</t>
  </si>
  <si>
    <t>ethylenediamine</t>
  </si>
  <si>
    <t>18bebcb5-572f-433d-95aa-282cc3ada6e2</t>
  </si>
  <si>
    <t>ethylvinylacetate, foil</t>
  </si>
  <si>
    <t>4e735e76-09eb-493b-87b9-e22d9550e4ad</t>
  </si>
  <si>
    <t>eucalyptus seedling, for planting</t>
  </si>
  <si>
    <t>e8f942ff-7b62-4639-ac4a-f922c74c151c</t>
  </si>
  <si>
    <t>EUR-flat pallet</t>
  </si>
  <si>
    <t>9e68d1ff-39d8-4962-a34f-c1cf285a3ff7</t>
  </si>
  <si>
    <t>1623:Manufacture of wooden containers</t>
  </si>
  <si>
    <t>europium oxide</t>
  </si>
  <si>
    <t>7c07ff4e-f03c-57a6-beee-7d6c2867b75f</t>
  </si>
  <si>
    <t>evacuated tube collector</t>
  </si>
  <si>
    <t>e17273df-be44-4246-b0a6-c4bfa8ae262b</t>
  </si>
  <si>
    <t>evaporation of milk</t>
  </si>
  <si>
    <t>78b3da46-af34-4517-a952-cb828f76e1c2</t>
  </si>
  <si>
    <t>excavation, hydraulic digger</t>
  </si>
  <si>
    <t>0c826417-e870-4c43-95c4-b38ff2ff47d2</t>
  </si>
  <si>
    <t>excavation, skid-steer loader</t>
  </si>
  <si>
    <t>d67e647c-1f74-4961-81c0-5b144f1ca082</t>
  </si>
  <si>
    <t>exhaust air outlet, steel/aluminium, 85x365 mm</t>
  </si>
  <si>
    <t>c277a8c6-ed92-48f1-94eb-d3756ccd4025</t>
  </si>
  <si>
    <t>exhaust air roof hood, steel, DN 400</t>
  </si>
  <si>
    <t>07b011dc-4f15-4954-8791-f24aa55616de</t>
  </si>
  <si>
    <t>exhaust air valve, in-wall housing, plastic/steel, DN 125</t>
  </si>
  <si>
    <t>a828014d-70de-4b8d-9ba6-5005a84af7b5</t>
  </si>
  <si>
    <t>expanded clay</t>
  </si>
  <si>
    <t>6968a565-8132-49c4-b3ff-1d0865af0fdc</t>
  </si>
  <si>
    <t>expanded perlite</t>
  </si>
  <si>
    <t>cd27db73-0bae-4afa-a11a-e62153d7594b</t>
  </si>
  <si>
    <t>expanded vermiculite</t>
  </si>
  <si>
    <t>3f667976-b486-4a60-a9ce-ab972e437fe3</t>
  </si>
  <si>
    <t>expansion vessel, 25l</t>
  </si>
  <si>
    <t>ce62eef5-8398-4149-9418-5bff3cad94ec</t>
  </si>
  <si>
    <t>2512:Manufacture of tanks, reservoirs and containers of metal</t>
  </si>
  <si>
    <t>expansion vessel, 80l</t>
  </si>
  <si>
    <t>dbb769a5-c5ed-41ff-bbf3-5f35030cdad7</t>
  </si>
  <si>
    <t>explosive, tovex</t>
  </si>
  <si>
    <t>b14de8f8-490f-40d5-9b13-0d8f7487cf80</t>
  </si>
  <si>
    <t>explosives factory</t>
  </si>
  <si>
    <t>35acd9b5-a505-4019-a044-602d75c177cc</t>
  </si>
  <si>
    <t>extrusion of plastic sheets and thermoforming, inline</t>
  </si>
  <si>
    <t>c5638b4f-3c4b-4874-9188-644d52be12bc</t>
  </si>
  <si>
    <t>extrusion, co-extrusion</t>
  </si>
  <si>
    <t>575d9e48-c61d-4f6f-b765-dac7e8665547</t>
  </si>
  <si>
    <t>extrusion, plastic film</t>
  </si>
  <si>
    <t>579049d0-3db8-4496-a234-2f61ed28a72b</t>
  </si>
  <si>
    <t>extrusion, plastic pipes</t>
  </si>
  <si>
    <t>406ae9de-8894-4c8b-a601-40b7e849b66d</t>
  </si>
  <si>
    <t>fan, for power supply unit, desktop computer</t>
  </si>
  <si>
    <t>ba74648d-a5fd-4d4b-8a64-8087bc72ff3b</t>
  </si>
  <si>
    <t>fatty acid</t>
  </si>
  <si>
    <t>4aeb3a6c-81f4-4f6e-80b6-797b812e0792</t>
  </si>
  <si>
    <t>fatty acid methyl ester</t>
  </si>
  <si>
    <t>4bc66efe-f91b-48e5-9a26-07e383d47e80</t>
  </si>
  <si>
    <t>fatty alcohol</t>
  </si>
  <si>
    <t>a4440cda-ba49-464a-abf5-7e4c8d186b8b</t>
  </si>
  <si>
    <t>fatty alcohol sulfate</t>
  </si>
  <si>
    <t>b12f4334-c80b-4d8f-af9c-284adbe7173e</t>
  </si>
  <si>
    <t>fava bean seed, for sowing</t>
  </si>
  <si>
    <t>cce0394a-7dae-4a38-82ae-c32272b806b8</t>
  </si>
  <si>
    <t>fava bean seed, organic, for sowing</t>
  </si>
  <si>
    <t>c3d0ee4c-4e20-4b5c-8ff8-827400a011e0</t>
  </si>
  <si>
    <t>fava bean, feed, Swiss integrated production</t>
  </si>
  <si>
    <t>7d2df8fd-e2c2-4b3a-9ecd-184b9276962f</t>
  </si>
  <si>
    <t>fava bean, organic</t>
  </si>
  <si>
    <t>77a99b6a-d84b-418b-a6c9-ca7b4a864991</t>
  </si>
  <si>
    <t>fava bean, Swiss integrated production</t>
  </si>
  <si>
    <t>6eacd019-d0e5-42eb-8a50-060f17d5fee2</t>
  </si>
  <si>
    <t>feldspar</t>
  </si>
  <si>
    <t>5a58a8d4-cf9a-4d39-8238-dc66ef28dc93</t>
  </si>
  <si>
    <t>fennel</t>
  </si>
  <si>
    <t>ffbb8dda-88f2-4c34-82b7-c596358efd77</t>
  </si>
  <si>
    <t>fermentation filtrate</t>
  </si>
  <si>
    <t>613a5be4-3a4c-42be-90fd-54f191079c90</t>
  </si>
  <si>
    <t>ferrite</t>
  </si>
  <si>
    <t>fa6aa6bf-07c9-45bf-9fdc-a358a497b7e1</t>
  </si>
  <si>
    <t>2393:Manufacture of other porcelain and ceramic products</t>
  </si>
  <si>
    <t>ferrochromium, high-carbon, 55% Cr</t>
  </si>
  <si>
    <t>acb2a59b-ce48-43b9-8d27-31fbd5030e70</t>
  </si>
  <si>
    <t>ferrochromium, high-carbon, 68% Cr</t>
  </si>
  <si>
    <t>6e316c64-0481-4832-b097-296e14c0b02f</t>
  </si>
  <si>
    <t>ferromanganese, high-coal, 74.5% Mn</t>
  </si>
  <si>
    <t>71f57ac0-caa8-4e9d-9b12-221b4f13e458</t>
  </si>
  <si>
    <t>ferronickel</t>
  </si>
  <si>
    <t>71d0cff1-7f13-4476-94a9-4eaaec98d225</t>
  </si>
  <si>
    <t>ferroniobium, 66% Nb</t>
  </si>
  <si>
    <t>5a572f8b-0bbd-4946-81b3-1c483252627e</t>
  </si>
  <si>
    <t>ferrosilicon</t>
  </si>
  <si>
    <t>1e87e7db-557d-490d-b0bf-946d78833e56</t>
  </si>
  <si>
    <t>ferrous metal, in mixed metal scrap</t>
  </si>
  <si>
    <t>6e494138-d8ce-5102-9486-28910172975f</t>
  </si>
  <si>
    <t>ferry</t>
  </si>
  <si>
    <t>3249e9f4-9a74-489b-b439-9bdff5296d00</t>
  </si>
  <si>
    <t>fertilising, by broadcaster</t>
  </si>
  <si>
    <t>75168394-3da2-467a-90a1-285836ccd00d</t>
  </si>
  <si>
    <t>fertilising, by rig fertiliser, sugarcane</t>
  </si>
  <si>
    <t>54186f39-acc2-4c84-95e7-fbb067bde4cd</t>
  </si>
  <si>
    <t>fertilising, by stool splitter, sugarcane</t>
  </si>
  <si>
    <t>bf319565-54d1-4ff2-aff4-8926a4af138a</t>
  </si>
  <si>
    <t>fibre and fabric waste, polyester</t>
  </si>
  <si>
    <t>c4e028dc-33a3-4fb1-b0d7-08d0d1242d71</t>
  </si>
  <si>
    <t>fibre cement corrugated slab</t>
  </si>
  <si>
    <t>6d7a9035-752d-4b84-ad72-bde1a987a585</t>
  </si>
  <si>
    <t>fibre cement facing tile</t>
  </si>
  <si>
    <t>453a0f08-dab5-436c-b934-a3b7d2f49dfe</t>
  </si>
  <si>
    <t>fibre cement facing tile, large format</t>
  </si>
  <si>
    <t>f593c5c2-0980-43e9-8f70-617142b07bd6</t>
  </si>
  <si>
    <t>fibre cement facing tile, small format</t>
  </si>
  <si>
    <t>2a49d197-0efb-46ab-a6a7-d22cc5b93350</t>
  </si>
  <si>
    <t>fibre cement roof slate</t>
  </si>
  <si>
    <t>903f9c06-b73e-466b-967e-e43998d36404</t>
  </si>
  <si>
    <t>fibre, cotton</t>
  </si>
  <si>
    <t>0818abb1-d7ce-4ac6-b6e1-2e7b51a1ea9e</t>
  </si>
  <si>
    <t>fibre, cotton, organic</t>
  </si>
  <si>
    <t>837da5c9-94c1-450a-971d-12321506bbc7</t>
  </si>
  <si>
    <t>fibre, flax</t>
  </si>
  <si>
    <t>172454af-4293-48f8-92d7-183f06d86fa9</t>
  </si>
  <si>
    <t>1311:Preparation and spinning of textile fibres</t>
  </si>
  <si>
    <t>fibre, jute</t>
  </si>
  <si>
    <t>aabed306-e9a0-4441-86ac-5936fe671ed2</t>
  </si>
  <si>
    <t>fibre, kenaf</t>
  </si>
  <si>
    <t>5b3e03a6-ee21-4e24-94ab-66ff0212746e</t>
  </si>
  <si>
    <t>fibre, polyester</t>
  </si>
  <si>
    <t>2fca690e-d8ae-4b9b-8c48-8f658b6e7268</t>
  </si>
  <si>
    <t>2030:Manufacture of man-made fibres</t>
  </si>
  <si>
    <t>fibre, silk, short</t>
  </si>
  <si>
    <t>a0c0022d-148f-44b4-a351-3039cfb9e61c</t>
  </si>
  <si>
    <t>fibre, viscose</t>
  </si>
  <si>
    <t>88527ef9-0bc3-4d7c-918c-93772f91642b</t>
  </si>
  <si>
    <t>fibreboard, hard</t>
  </si>
  <si>
    <t>eba9ae95-dab6-4a3a-af5f-631386ac4991</t>
  </si>
  <si>
    <t>fibreboard, soft</t>
  </si>
  <si>
    <t>113b50d5-d900-4fbf-adde-c69b662b6834</t>
  </si>
  <si>
    <t>fibreboard, soft, latex bonded</t>
  </si>
  <si>
    <t>d76e4ec3-a885-4978-aadc-d3d87d6cd08e</t>
  </si>
  <si>
    <t>fibreboard, soft, without adhesives</t>
  </si>
  <si>
    <t>a61ed368-841d-4e2d-be53-42192b16476f</t>
  </si>
  <si>
    <t>fibre-reinforced concrete, steel</t>
  </si>
  <si>
    <t>dae617cb-a265-4c7f-bae4-5511f68b26f2</t>
  </si>
  <si>
    <t>field leveling, sugarcane</t>
  </si>
  <si>
    <t>292153e9-57a9-4b9e-a025-3558981d0ddd</t>
  </si>
  <si>
    <t>filter cake, from sugarcane juice filtration</t>
  </si>
  <si>
    <t>f0b6b3de-c6b8-469e-b168-2d09909d44d6</t>
  </si>
  <si>
    <t>finishing, textile, knit cotton</t>
  </si>
  <si>
    <t>fa1a0aa9-9caa-4857-9705-38ea33047640</t>
  </si>
  <si>
    <t>finishing, textile, woven cotton</t>
  </si>
  <si>
    <t>edc19281-8c61-498e-a230-ccc8e3f10f08</t>
  </si>
  <si>
    <t>fish block, hake</t>
  </si>
  <si>
    <t>08f0049b-a56c-4d77-a6a6-e0480ea7e2c6</t>
  </si>
  <si>
    <t>fish canning plant</t>
  </si>
  <si>
    <t>8cc14249-6937-4cdf-9ab2-f838e03bb786</t>
  </si>
  <si>
    <t>fish canning, large fish</t>
  </si>
  <si>
    <t>45cb59e4-59af-4fbd-a6fe-70019f450213</t>
  </si>
  <si>
    <t>1020:Processing and preserving of fish, crustaceans and molluscs</t>
  </si>
  <si>
    <t>fish canning, small fish</t>
  </si>
  <si>
    <t>a8c7249e-9a1a-44b3-b603-e2e2268d56f6</t>
  </si>
  <si>
    <t>fish curing plant</t>
  </si>
  <si>
    <t>d30ad511-0d19-4eae-8981-a8d11b965625</t>
  </si>
  <si>
    <t>fish curing, small fish</t>
  </si>
  <si>
    <t>5f4dc8fc-6797-4455-b1a3-040b3beaefc1</t>
  </si>
  <si>
    <t>fish freezing plant</t>
  </si>
  <si>
    <t>cf048faf-1e94-4788-a4cb-90c7074295e3</t>
  </si>
  <si>
    <t>fish freezing, small fish</t>
  </si>
  <si>
    <t>3d7cbbb1-cb35-4406-af7c-afd4cf2afe6a</t>
  </si>
  <si>
    <t>fish oil, from anchovy</t>
  </si>
  <si>
    <t>24878a86-f390-4b7e-9019-75947138a59b</t>
  </si>
  <si>
    <t>fish residues</t>
  </si>
  <si>
    <t>bd6aab7d-fe7d-4396-b209-448ffb557a61</t>
  </si>
  <si>
    <t>fishmeal plant</t>
  </si>
  <si>
    <t>390cc455-876e-4209-839b-aefa402b6f74</t>
  </si>
  <si>
    <t>fishmeal, 63-65% protein</t>
  </si>
  <si>
    <t>31733b4f-3120-4ad4-82f1-8a0bfc2f54ac</t>
  </si>
  <si>
    <t>fishmeal, 65-67% protein</t>
  </si>
  <si>
    <t>03cd4f38-583b-4cc1-bd08-23e2dcc04464</t>
  </si>
  <si>
    <t>flat glass factory</t>
  </si>
  <si>
    <t>2c8cec2b-9d8b-4359-a182-ea9c1ef23053</t>
  </si>
  <si>
    <t>flat glass, coated</t>
  </si>
  <si>
    <t>a9e29d5c-c101-4560-afce-118c572871f3</t>
  </si>
  <si>
    <t>flat glass, uncoated</t>
  </si>
  <si>
    <t>e9661fc2-f27f-4b41-87cc-2d55a4bee0cd</t>
  </si>
  <si>
    <t>flat plate solar collector, Cu absorber</t>
  </si>
  <si>
    <t>cca72f1b-007e-445f-8403-7c87ed6b5d62</t>
  </si>
  <si>
    <t>flattened bamboo</t>
  </si>
  <si>
    <t>760a7b1e-b405-4f8a-ad37-f032f36c02c0</t>
  </si>
  <si>
    <t>flax husks</t>
  </si>
  <si>
    <t>7dea0df1-ecc7-464f-9e3c-698f0a782311</t>
  </si>
  <si>
    <t>flax plant, harvested</t>
  </si>
  <si>
    <t>6676c202-e39b-5dbf-ba7a-0fce232578e0</t>
  </si>
  <si>
    <t>0116:Growing of fibre crops</t>
  </si>
  <si>
    <t>fleece, polyethylene</t>
  </si>
  <si>
    <t>51ee8234-6dea-42cb-b520-2d879bf53f3d</t>
  </si>
  <si>
    <t>1399:Manufacture of other textiles n.e.c.</t>
  </si>
  <si>
    <t>flexible duct, aluminium/PET, DN of 125</t>
  </si>
  <si>
    <t>fbe07a5f-bda0-4ac9-9d75-93bd5bd3f9d8</t>
  </si>
  <si>
    <t>floating collar cage</t>
  </si>
  <si>
    <t>7f31e37f-f021-4ad2-891e-495a5b3b70b3</t>
  </si>
  <si>
    <t>032:Aquaculture</t>
  </si>
  <si>
    <t>floating hexagonal metal cage</t>
  </si>
  <si>
    <t>7ecf7b27-7c72-4e75-8978-a61b11509eee</t>
  </si>
  <si>
    <t>fluorescent whitening agent, DAS1, triazinylaminostilben type</t>
  </si>
  <si>
    <t>21604598-173b-42e2-bf89-6d7f71ddb461</t>
  </si>
  <si>
    <t>fluorescent whitening agent, distyrylbiphenyl type</t>
  </si>
  <si>
    <t>031dd5ec-b11e-4092-9f92-5329f1cc580f</t>
  </si>
  <si>
    <t>fluorine, liquid</t>
  </si>
  <si>
    <t>70caf413-93ee-4843-90ba-4c2f76373d04</t>
  </si>
  <si>
    <t>fluorspar, 97% purity</t>
  </si>
  <si>
    <t>135a0add-c182-4582-9343-dfdbda7fc0c1</t>
  </si>
  <si>
    <t>fluosilicic acid, without water, in 22% solution state</t>
  </si>
  <si>
    <t>ce902a7a-1156-48eb-86a2-6e9dd86206e2</t>
  </si>
  <si>
    <t>flux, for wave soldering</t>
  </si>
  <si>
    <t>f1ba9c28-b54e-4533-a91c-4c1ea1e9e600</t>
  </si>
  <si>
    <t>flyash brick</t>
  </si>
  <si>
    <t>1f9d8150-57b5-4e5f-a9bf-b71cbb1be302</t>
  </si>
  <si>
    <t>foam glass</t>
  </si>
  <si>
    <t>e0b59b4c-31bc-4151-b5b3-7bb5e1641ded</t>
  </si>
  <si>
    <t>foam glass factory</t>
  </si>
  <si>
    <t>647b5113-e166-4005-bf9d-7da63d54977c</t>
  </si>
  <si>
    <t>foam glass, electricity from renewable energy products</t>
  </si>
  <si>
    <t>699f15e5-d6b7-4bf2-aca6-364178e11377</t>
  </si>
  <si>
    <t>foaming agent</t>
  </si>
  <si>
    <t>dcd549ef-071e-4eb7-9f2c-2cd908f16701</t>
  </si>
  <si>
    <t>fodder beet seed, for sowing</t>
  </si>
  <si>
    <t>b242fc59-f8b6-4716-be3d-15c3cf9e32ad</t>
  </si>
  <si>
    <t>fodder beet, Swiss integrated production</t>
  </si>
  <si>
    <t>15bffc4c-1799-4608-a982-1def4c1a8eb3</t>
  </si>
  <si>
    <t>fodder loading, by self-loading trailer</t>
  </si>
  <si>
    <t>92b3c2d6-e5bf-4b2e-b2ac-1352d6640b58</t>
  </si>
  <si>
    <t>fodder yeast</t>
  </si>
  <si>
    <t>d52c8167-e8d4-4b0b-92f5-decc91a1b522</t>
  </si>
  <si>
    <t>folding boxboard carton</t>
  </si>
  <si>
    <t>b0ba5ada-4b2a-4a29-b383-bdd78d6bbad6</t>
  </si>
  <si>
    <t>folpet</t>
  </si>
  <si>
    <t>5a13a9b6-f11e-4e2f-b963-160045b95e6d</t>
  </si>
  <si>
    <t>forestry harvester</t>
  </si>
  <si>
    <t>d156e9e5-9799-4f88-82cd-60d88ac4c285</t>
  </si>
  <si>
    <t>forging, steel</t>
  </si>
  <si>
    <t>fe95f2c3-b749-489d-ae35-6900865e6a48</t>
  </si>
  <si>
    <t>formaldehyde</t>
  </si>
  <si>
    <t>ab2d6d49-c4a9-48b1-bddc-0ccb6b84e022</t>
  </si>
  <si>
    <t>formic acid</t>
  </si>
  <si>
    <t>118a9202-6b68-44aa-82b5-2c2bf5bc02cf</t>
  </si>
  <si>
    <t>forwarder</t>
  </si>
  <si>
    <t>4b490425-799f-4e3c-ba86-258734ca0b29</t>
  </si>
  <si>
    <t>forwarding, forwarder</t>
  </si>
  <si>
    <t>746fcd09-118b-4e91-87be-64b0883ff04f</t>
  </si>
  <si>
    <t>fosetyl-Al</t>
  </si>
  <si>
    <t>44278391-1519-465e-85ef-93fcb5773cb7</t>
  </si>
  <si>
    <t>fraction 1 from naphtha separation</t>
  </si>
  <si>
    <t>200b1a32-6da4-4afc-82ce-03d12ec8c44d</t>
  </si>
  <si>
    <t>fraction 7 from naphtha separation</t>
  </si>
  <si>
    <t>4cf8fef9-7874-49bc-a4d6-e4091dc5a121</t>
  </si>
  <si>
    <t>fraction 8 from naphtha separation</t>
  </si>
  <si>
    <t>727655b9-e3e3-4420-81e2-e59e8d0421b8</t>
  </si>
  <si>
    <t>frit, for cathode ray tube display</t>
  </si>
  <si>
    <t>b0e729a7-6db6-4adc-8ad6-bb85026bd1de</t>
  </si>
  <si>
    <t>frit, for ceramic tile</t>
  </si>
  <si>
    <t>3519531f-1346-44b9-bba3-c45f52009d70</t>
  </si>
  <si>
    <t>frozen fish sticks, hake</t>
  </si>
  <si>
    <t>c5d2f044-1ca4-4876-b0d9-7baac36ab6eb</t>
  </si>
  <si>
    <t>1075:Manufacture of prepared meals and dishes</t>
  </si>
  <si>
    <t>fruit tree seedling, for planting</t>
  </si>
  <si>
    <t>8f817492-39ba-42a3-a710-5f85a1f26379</t>
  </si>
  <si>
    <t>fuel cell, polymer electrolyte membrane, 2kW electrical, future</t>
  </si>
  <si>
    <t>45b3791f-0b00-4600-9c07-3aafb1f29663</t>
  </si>
  <si>
    <t>fuel cell, solid oxide, 125kW electrical, future</t>
  </si>
  <si>
    <t>e38adb33-e7d3-46f9-8f46-d4caf9363f04</t>
  </si>
  <si>
    <t>fuel cell, solid oxide, with micro gas turbine, 180kW electrical, future</t>
  </si>
  <si>
    <t>77ab9d43-1562-49e6-b42e-faa4e9f69e2b</t>
  </si>
  <si>
    <t>fuel cell, stack polymer electrolyte membrane, 2kW electrical, future</t>
  </si>
  <si>
    <t>60de37c6-15cf-4e4c-ab79-11deb3731de4</t>
  </si>
  <si>
    <t>fuel cell, stack solid oxide, 125kW electrical, future</t>
  </si>
  <si>
    <t>c1124b0d-32c9-42f4-a123-b48e6ebd2dc5</t>
  </si>
  <si>
    <t>funnel glass, for cathode ray tube display</t>
  </si>
  <si>
    <t>4ec72d7d-71e1-4373-9444-bf7748b61b0a</t>
  </si>
  <si>
    <t>furnace, logs, 30kW</t>
  </si>
  <si>
    <t>f6b85c5d-6f61-4c49-b490-43d85496bd2a</t>
  </si>
  <si>
    <t>furnace, logs, 6kW</t>
  </si>
  <si>
    <t>880b839e-a744-48ff-ba0e-c9139aa6f7ac</t>
  </si>
  <si>
    <t>furnace, logs, average storage area, 100kW</t>
  </si>
  <si>
    <t>5216b96b-ccef-404a-bc56-c463b63f5c29</t>
  </si>
  <si>
    <t>furnace, logs, average storage area, 30kW</t>
  </si>
  <si>
    <t>6a94ce53-731b-431e-8a2d-2c442447c5bb</t>
  </si>
  <si>
    <t>furnace, logs, average storage area, 6kW</t>
  </si>
  <si>
    <t>8cfe7d7c-f0f3-410e-8bbb-b5cb3e994313</t>
  </si>
  <si>
    <t>furnace, logs, hardwood storage area, 100kW</t>
  </si>
  <si>
    <t>7f902692-a425-4c90-ad39-8ac409de309a</t>
  </si>
  <si>
    <t>furnace, logs, hardwood storage area, 30kW</t>
  </si>
  <si>
    <t>af9351f4-34ee-48a2-a1df-da7ffa2875b5</t>
  </si>
  <si>
    <t>furnace, logs, hardwood storage area, 6kW</t>
  </si>
  <si>
    <t>55dbb48f-1749-4545-9fc7-1900c96b91f1</t>
  </si>
  <si>
    <t>furnace, logs, softwood storage area, 100kW</t>
  </si>
  <si>
    <t>1e27a902-25f3-449e-bf0f-ffe5192c0c81</t>
  </si>
  <si>
    <t>furnace, logs, softwood storage area, 30kW</t>
  </si>
  <si>
    <t>28b6be29-d852-4229-819e-b8c6afc0b605</t>
  </si>
  <si>
    <t>furnace, logs, softwood storage area, 6kW</t>
  </si>
  <si>
    <t>0b0128c1-4593-4ebd-abd4-84c2e4f1fa5e</t>
  </si>
  <si>
    <t>furnace, pellet, 15kW</t>
  </si>
  <si>
    <t>f93666bf-718f-4f42-b89f-89bcf5b486e9</t>
  </si>
  <si>
    <t>furnace, pellet, 50kW</t>
  </si>
  <si>
    <t>e0e21fc2-075e-403b-8a87-b4732663579b</t>
  </si>
  <si>
    <t>furnace, pellets, 25kW</t>
  </si>
  <si>
    <t>44ae95b1-0c6d-4e23-aa34-d80c2526c5ad</t>
  </si>
  <si>
    <t>furnace, pellets, 9kW</t>
  </si>
  <si>
    <t>ee470011-1939-48de-b1b9-246ec780476a</t>
  </si>
  <si>
    <t>furnace, pellets, with silo, 300kW</t>
  </si>
  <si>
    <t>60ad272b-1b67-4ab6-b1c6-07ed7a4ee27e</t>
  </si>
  <si>
    <t>furnace, wood chips, average storage area, 1000kW</t>
  </si>
  <si>
    <t>842e3faf-8de9-47a3-bfac-606edc0adbd3</t>
  </si>
  <si>
    <t>furnace, wood chips, average storage area, 300kW</t>
  </si>
  <si>
    <t>2eadbf57-e7eb-48ca-b2ea-e7dbae79391f</t>
  </si>
  <si>
    <t>furnace, wood chips, average storage area, 50kW</t>
  </si>
  <si>
    <t>879bc816-ead6-4d8d-a5fd-0aa6c97ad710</t>
  </si>
  <si>
    <t>furnace, wood chips, hardwood storage area, 1000kW</t>
  </si>
  <si>
    <t>805d6951-9567-4e1c-aa34-7a753567990e</t>
  </si>
  <si>
    <t>furnace, wood chips, hardwood storage area, 300kW</t>
  </si>
  <si>
    <t>b153d366-7214-4fc5-ab10-2aa77ee8b715</t>
  </si>
  <si>
    <t>furnace, wood chips, hardwood storage area, 50kW</t>
  </si>
  <si>
    <t>9079d3b0-b45a-487f-bc09-640d7065bfe2</t>
  </si>
  <si>
    <t>furnace, wood chips, softwood storage area, 1000kW</t>
  </si>
  <si>
    <t>d22ed976-d4b2-427f-b0c6-208215557870</t>
  </si>
  <si>
    <t>furnace, wood chips, softwood storage area, 300kW</t>
  </si>
  <si>
    <t>c0f029c8-f94e-4d95-81c7-6eb9fc8d6103</t>
  </si>
  <si>
    <t>furnace, wood chips, softwood storage area, 50kW</t>
  </si>
  <si>
    <t>a738eaef-a082-4a4e-80b6-f32bd4b1deb9</t>
  </si>
  <si>
    <t>furnace, wood chips, with silo, 1000kW</t>
  </si>
  <si>
    <t>c2b1c30d-cde3-4d27-b91e-0a48326b8464</t>
  </si>
  <si>
    <t>furnace, wood chips, with silo, 300kW</t>
  </si>
  <si>
    <t>6dcab80d-e475-4bf1-a6de-3e6465a84d66</t>
  </si>
  <si>
    <t>furnace, wood chips, with silo, 5000kW</t>
  </si>
  <si>
    <t>eb97e5d1-f30a-473b-b86b-5a46e5a4a1f6</t>
  </si>
  <si>
    <t>furnace, wood chips, with silo, 50kW</t>
  </si>
  <si>
    <t>26958061-6355-4692-8a4c-01ef664270a3</t>
  </si>
  <si>
    <t>furniture, wooden</t>
  </si>
  <si>
    <t>436edb09-864e-42b1-9a06-a017cb24099a</t>
  </si>
  <si>
    <t>3100:Manufacture of furniture</t>
  </si>
  <si>
    <t>furrow covering, sugarcane</t>
  </si>
  <si>
    <t>abf37a77-c385-41b8-b983-13d4c0fdfe52</t>
  </si>
  <si>
    <t>furrowing, sugarcane</t>
  </si>
  <si>
    <t>f76cdd78-e05a-48ac-a7c3-e29abca59fa9</t>
  </si>
  <si>
    <t>gadolinium oxide</t>
  </si>
  <si>
    <t>90542231-d3f9-53df-ba02-2adbecf59e9c</t>
  </si>
  <si>
    <t>gallium, in Bayer liquor from aluminium production</t>
  </si>
  <si>
    <t>b14d767b-e563-4b91-9ddd-d78089c32e89</t>
  </si>
  <si>
    <t>gallium, semiconductor-grade</t>
  </si>
  <si>
    <t>0e2551ac-9a5e-4883-96a1-52f1e5a4d556</t>
  </si>
  <si>
    <t>garage, wood, non-insulated, fire-protected</t>
  </si>
  <si>
    <t>90055e28-2463-4a3f-bf50-f6f408085b8e</t>
  </si>
  <si>
    <t>gas boiler</t>
  </si>
  <si>
    <t>452bed59-1574-4aed-b984-6eb96f7b1b10</t>
  </si>
  <si>
    <t>gas motor, 206kW</t>
  </si>
  <si>
    <t>f31b56c1-49dc-425d-936e-6539a4e740ad</t>
  </si>
  <si>
    <t>gas motor, mini CHP plant</t>
  </si>
  <si>
    <t>014b2a3a-5685-44b8-89b7-34fb4a8d387c</t>
  </si>
  <si>
    <t>gas power plant, 100MW electrical</t>
  </si>
  <si>
    <t>f89244f2-c60e-455b-ba2a-6ed369955d60</t>
  </si>
  <si>
    <t>gas power plant, 300MW electrical</t>
  </si>
  <si>
    <t>f456aceb-2c05-484d-afde-180ef35c0eec</t>
  </si>
  <si>
    <t>gas power plant, combined cycle, 400MW electrical</t>
  </si>
  <si>
    <t>0d2bd2c3-e60f-4e7f-8541-2aac412259ba</t>
  </si>
  <si>
    <t>gas turbine, 10MW electrical</t>
  </si>
  <si>
    <t>6c241831-a858-4ad1-a683-3971dd131fd3</t>
  </si>
  <si>
    <t>gas turbine, 80MW, for compressed air energy storage</t>
  </si>
  <si>
    <t>d82a7a9e-b302-46d4-8e06-8fd92473500a</t>
  </si>
  <si>
    <t>generator, 200kW electrical</t>
  </si>
  <si>
    <t>93489043-5b66-476f-ac88-ad72054f9154</t>
  </si>
  <si>
    <t>generator, mini CHP plant</t>
  </si>
  <si>
    <t>ee8b9319-f0d0-4713-9478-0a0fd0596095</t>
  </si>
  <si>
    <t>geothermal power plant, 5.5MWel</t>
  </si>
  <si>
    <t>e349df37-4d2f-4654-bd54-6c68e03b6197</t>
  </si>
  <si>
    <t>geothermal power plant, Hot-Dry-Rock</t>
  </si>
  <si>
    <t>7b86fd17-874f-493b-bf2b-c8f8364d753a</t>
  </si>
  <si>
    <t>geothermal power plant, undefined type</t>
  </si>
  <si>
    <t>6ffed02b-f0ff-410f-85ff-2bfe051a8134</t>
  </si>
  <si>
    <t>glass cullet, for Saint-Gobain ISOVER SA</t>
  </si>
  <si>
    <t>b2146f9b-f130-4b43-be21-b8397b9117a4</t>
  </si>
  <si>
    <t>3811:Collection of non-hazardous waste</t>
  </si>
  <si>
    <t>glass cullet, sorted</t>
  </si>
  <si>
    <t>0a6c7524-9e23-41b8-ac7b-b0489ed4681c</t>
  </si>
  <si>
    <t>glass etching factory</t>
  </si>
  <si>
    <t>b35296a0-5be1-4095-9b9b-ac629f3f0920</t>
  </si>
  <si>
    <t>glass fibre</t>
  </si>
  <si>
    <t>102d2161-b570-42cd-b646-1c44e47d23c5</t>
  </si>
  <si>
    <t>glass fibre reinforced plastic, polyamide, injection moulded</t>
  </si>
  <si>
    <t>0798a5d1-6713-4c82-8ec9-c40ac2548279</t>
  </si>
  <si>
    <t>glass fibre reinforced plastic, polyester resin, hand lay-up</t>
  </si>
  <si>
    <t>fa6f1b55-8b52-4052-a2c8-0a0ba7a22d17</t>
  </si>
  <si>
    <t>glass tube factory</t>
  </si>
  <si>
    <t>ada9b1d0-1ba2-4e81-8a5b-a352ed052fec</t>
  </si>
  <si>
    <t>glass tube, borosilicate</t>
  </si>
  <si>
    <t>de2715c2-36f5-433f-9aa1-0f1177c37690</t>
  </si>
  <si>
    <t>glass wool mat</t>
  </si>
  <si>
    <t>a6ec2991-f0f9-42fe-b71c-995e50838b9b</t>
  </si>
  <si>
    <t>glass wool mat, uncoated, Saint-Gobain ISOVER SA</t>
  </si>
  <si>
    <t>0e60e563-e650-4204-acd4-778dadcb7f4b</t>
  </si>
  <si>
    <t>glass, for liquid crystal display</t>
  </si>
  <si>
    <t>3080a9dc-6699-4f25-916e-79f0d4705d76</t>
  </si>
  <si>
    <t>glazing, double, U&lt;1.1 W/m2K</t>
  </si>
  <si>
    <t>a4f0ee0e-89aa-4754-964c-b950034eb2a1</t>
  </si>
  <si>
    <t>glazing, double, U&lt;1.1 W/m2K, laminated safety glass</t>
  </si>
  <si>
    <t>923b53aa-9ea9-42f7-be62-c548d7889a5d</t>
  </si>
  <si>
    <t>glazing, triple, U&lt;0.5 W/m2K</t>
  </si>
  <si>
    <t>8b54f6c4-5a2c-4816-8691-7941b290407a</t>
  </si>
  <si>
    <t>glider, for electric scooter</t>
  </si>
  <si>
    <t>2f59d2ff-3591-4993-b5c3-8311033b6773</t>
  </si>
  <si>
    <t>glider, passenger car</t>
  </si>
  <si>
    <t>7785d094-3029-46c4-a592-a639174858df</t>
  </si>
  <si>
    <t>glucose</t>
  </si>
  <si>
    <t>fde9ca6e-daef-4963-a975-e8128d2bf92f</t>
  </si>
  <si>
    <t>1062:Manufacture of starches and starch products</t>
  </si>
  <si>
    <t>glued laminated timber, average glue mix</t>
  </si>
  <si>
    <t>d16a46cf-4cbd-592c-8b46-f91333d63b5d</t>
  </si>
  <si>
    <t>glued laminated timber, MUF-glue</t>
  </si>
  <si>
    <t>84925dd9-d7ca-50b6-950e-0bbb739e0109</t>
  </si>
  <si>
    <t>glued laminated timber, PUR-glue</t>
  </si>
  <si>
    <t>6eabd178-3f87-5399-a0e9-1875d44bfe28</t>
  </si>
  <si>
    <t>glued solid timber</t>
  </si>
  <si>
    <t>9240ddac-1698-5fec-a4f5-c70cd009c2cf</t>
  </si>
  <si>
    <t>gluing mill</t>
  </si>
  <si>
    <t>ef27b642-5afe-52be-a9d0-0d6a0febcdd6</t>
  </si>
  <si>
    <t>glycerin distillate bottom</t>
  </si>
  <si>
    <t>349c8ac6-ae0a-401e-9134-622b1a3be0ff</t>
  </si>
  <si>
    <t>glycerine</t>
  </si>
  <si>
    <t>3d3268fa-3c9e-43e0-be88-3dfd53718719</t>
  </si>
  <si>
    <t>glycine</t>
  </si>
  <si>
    <t>a054bea9-7ac1-4df3-874d-5432979488ff</t>
  </si>
  <si>
    <t>glyoxal</t>
  </si>
  <si>
    <t>7e94cd56-6eec-417d-a54e-39b07fdd8d4c</t>
  </si>
  <si>
    <t>glyphosate</t>
  </si>
  <si>
    <t>b3b67831-8d80-4fbb-afe8-99db667f7426</t>
  </si>
  <si>
    <t>gold</t>
  </si>
  <si>
    <t>e09971fb-f77e-48a3-99a8-4feba6a59bb4</t>
  </si>
  <si>
    <t>gold, unrefined</t>
  </si>
  <si>
    <t>aa2a40b9-2752-4ecb-a5ed-901f0aa19797</t>
  </si>
  <si>
    <t>gold-silver, ingot</t>
  </si>
  <si>
    <t>2a1ff7f1-dbb0-48eb-b5a2-c04054380bdf</t>
  </si>
  <si>
    <t>goods wagon</t>
  </si>
  <si>
    <t>aaa12bd8-0c97-4a13-9a58-a731207527bc</t>
  </si>
  <si>
    <t>3020:Manufacture of railway locomotives and rolling stock</t>
  </si>
  <si>
    <t>granulated blast furnace slag</t>
  </si>
  <si>
    <t>908ee5e9-b25e-4f56-8a41-d9856a5bd39e</t>
  </si>
  <si>
    <t>grape</t>
  </si>
  <si>
    <t>685944f8-452b-4ad4-a01a-863924792f27</t>
  </si>
  <si>
    <t>0121:Growing of grapes</t>
  </si>
  <si>
    <t>graphic paper, 100% recycled</t>
  </si>
  <si>
    <t>e4478b33-83cb-40fb-aae6-3888f13ad5c6</t>
  </si>
  <si>
    <t>graphite</t>
  </si>
  <si>
    <t>6326adcd-063f-4c42-ae99-973bd21cbb20</t>
  </si>
  <si>
    <t>graphite, battery grade</t>
  </si>
  <si>
    <t>6d225696-1251-46d4-bd99-8ee6679fe3e2</t>
  </si>
  <si>
    <t>grass fibre</t>
  </si>
  <si>
    <t>69b7861d-cda8-4fbc-b485-0e70b10841a7</t>
  </si>
  <si>
    <t>grass seed, organic, for sowing</t>
  </si>
  <si>
    <t>50d03570-2a14-438c-a21d-2a01f15d4c60</t>
  </si>
  <si>
    <t>grass seed, Swiss integrated production, at farm</t>
  </si>
  <si>
    <t>e97b71f8-b3e5-4e04-ad90-e34619b41643</t>
  </si>
  <si>
    <t>grass seed, Swiss integrated production, for sowing</t>
  </si>
  <si>
    <t>995688a0-00f6-41ca-88c6-677b66b7627d</t>
  </si>
  <si>
    <t>grass silage, organic</t>
  </si>
  <si>
    <t>e1012215-c834-41dc-885d-ec3f7b9f37c6</t>
  </si>
  <si>
    <t>grass silage, Swiss integrated production</t>
  </si>
  <si>
    <t>7aea487a-198a-4b63-9f6e-91b7e73052da</t>
  </si>
  <si>
    <t>grass, organic</t>
  </si>
  <si>
    <t>d61f00fa-82f3-4437-9dcf-0ce97ab1eaf0</t>
  </si>
  <si>
    <t>grass, Swiss integrated production</t>
  </si>
  <si>
    <t>9841f758-6561-44de-8f7f-95b82575528b</t>
  </si>
  <si>
    <t>gravel, crushed</t>
  </si>
  <si>
    <t>37eceabd-b33f-4757-a4b9-5c51dee1710d</t>
  </si>
  <si>
    <t>gravel, round</t>
  </si>
  <si>
    <t>fd3ee522-16db-41e4-967f-8bffe0b0ea87</t>
  </si>
  <si>
    <t>gravel/sand quarry infrastructure</t>
  </si>
  <si>
    <t>a7dee235-cd6e-415d-843e-db3eb8440071</t>
  </si>
  <si>
    <t>green asparagus</t>
  </si>
  <si>
    <t>f772b470-588c-4427-ade3-c4dad207f66b</t>
  </si>
  <si>
    <t>green manure, organic, until April</t>
  </si>
  <si>
    <t>66850689-b6dd-4d74-848f-f2ba57ddc9ab</t>
  </si>
  <si>
    <t>green manure, organic, until February</t>
  </si>
  <si>
    <t>4bd0ac5a-1248-4c82-8dc6-a6fc31a9ec12</t>
  </si>
  <si>
    <t>green manure, organic, until January</t>
  </si>
  <si>
    <t>8d1d8ac4-6019-4426-ac5f-ddc0238b7742</t>
  </si>
  <si>
    <t>green manure, organic, until March</t>
  </si>
  <si>
    <t>55b748b9-8640-4c2b-aade-97e6bfc4a6f1</t>
  </si>
  <si>
    <t>green manure, Swiss integrated production, until April</t>
  </si>
  <si>
    <t>b2775498-5d2d-47db-8bc9-26e25a5ae971</t>
  </si>
  <si>
    <t>green manure, Swiss integrated production, until February</t>
  </si>
  <si>
    <t>8d53f85d-4fd8-4861-9f64-5799ac3906a6</t>
  </si>
  <si>
    <t>green manure, Swiss integrated production, until January</t>
  </si>
  <si>
    <t>86247d21-f010-4ce3-a76d-0050837ddfc0</t>
  </si>
  <si>
    <t>green manure, Swiss integrated production, until March</t>
  </si>
  <si>
    <t>616a71f5-a74c-4245-b821-704e2ea15a3f</t>
  </si>
  <si>
    <t>greenhouse, glass walls and roof</t>
  </si>
  <si>
    <t>ca28222f-2bef-4c4f-b966-6a3e8932fa46</t>
  </si>
  <si>
    <t>m2*a</t>
  </si>
  <si>
    <t>Units of area*time</t>
  </si>
  <si>
    <t>Area*time</t>
  </si>
  <si>
    <t>greenhouse, plastic walls and roof</t>
  </si>
  <si>
    <t>794ea6cc-787f-4993-b8ef-e4b626ae0dcd</t>
  </si>
  <si>
    <t>ground granulated blast furnace slag</t>
  </si>
  <si>
    <t>038ddb3a-1e4b-45f3-bcb9-5e37a69f42b0</t>
  </si>
  <si>
    <t>239:Manufacture of non-metallic mineral products n.e.c.</t>
  </si>
  <si>
    <t>gypsum fibreboard</t>
  </si>
  <si>
    <t>c19931b7-1e62-4628-a0b5-f23ffa6ad5b4</t>
  </si>
  <si>
    <t>gypsum plasterboard</t>
  </si>
  <si>
    <t>38dfe915-58e3-4ca4-921f-e6dfcf82c84f</t>
  </si>
  <si>
    <t>gypsum, mineral</t>
  </si>
  <si>
    <t>dd0cbafd-b176-4ba4-860a-25a2e0663d14</t>
  </si>
  <si>
    <t>hair dryer</t>
  </si>
  <si>
    <t>d2de5207-e959-4f99-a8a3-6bdf31c6d6be</t>
  </si>
  <si>
    <t>hard chromium coat, electroplating, steel substrate, 0.14 mm thickness</t>
  </si>
  <si>
    <t>4cd803b7-4365-4561-8c0d-9a31e1b9abe2</t>
  </si>
  <si>
    <t>hard coal</t>
  </si>
  <si>
    <t>0d3eda5a-4601-4573-9549-0701c459ab88</t>
  </si>
  <si>
    <t>0510:Mining of hard coal</t>
  </si>
  <si>
    <t>hard coal briquettes</t>
  </si>
  <si>
    <t>e1b213d0-3e18-470d-845b-8b336dd4950f</t>
  </si>
  <si>
    <t>hard coal briquettes factory</t>
  </si>
  <si>
    <t>6f7f29f3-58b8-4685-89a8-fa4eb9fd4bc5</t>
  </si>
  <si>
    <t>hard coal coke factory</t>
  </si>
  <si>
    <t>841043ee-70f6-4d8c-9fc9-90d118954821</t>
  </si>
  <si>
    <t>hard coal power plant</t>
  </si>
  <si>
    <t>59bd8156-c8de-4992-909e-c0ff39d0329a</t>
  </si>
  <si>
    <t>hard coal preparation plant</t>
  </si>
  <si>
    <t>f48b45d4-0aee-4ceb-996f-1b631b9bd6c0</t>
  </si>
  <si>
    <t>hard coal, run-of-mine</t>
  </si>
  <si>
    <t>3cffc0cb-7f0f-41f1-b467-1a7f40fc45ec</t>
  </si>
  <si>
    <t>hard disk drive, for desktop computer</t>
  </si>
  <si>
    <t>1ef81230-4984-4825-8ef3-5733e2581659</t>
  </si>
  <si>
    <t>hard disk drive, for laptop computer</t>
  </si>
  <si>
    <t>1a428ad6-fbf4-4606-8396-2dd197d55ba9</t>
  </si>
  <si>
    <t>harvester</t>
  </si>
  <si>
    <t>89c7b45d-490c-4877-8893-e097b0723fc6</t>
  </si>
  <si>
    <t>harvesting, by complete harvester, beets</t>
  </si>
  <si>
    <t>3fdcbdaa-e8d2-46fc-8632-268b89a29ba0</t>
  </si>
  <si>
    <t>harvesting, by complete harvester, ground crops</t>
  </si>
  <si>
    <t>962ca2fc-7e62-4902-8ea9-9e15b1884fde</t>
  </si>
  <si>
    <t>harvesting, forestry harvester</t>
  </si>
  <si>
    <t>b90634dc-b7d5-4c1c-98dc-7cb18fccaa1f</t>
  </si>
  <si>
    <t>harvesting, sugarcane</t>
  </si>
  <si>
    <t>09d47825-c403-465a-9ef0-1925e3599298</t>
  </si>
  <si>
    <t>harvesting/bundling, energy wood harvester</t>
  </si>
  <si>
    <t>26757bd3-f265-4105-8a2a-9c6c52c05d70</t>
  </si>
  <si>
    <t>hay</t>
  </si>
  <si>
    <t>5a0006c6-0f12-4bb1-9ba6-b5276dac947d</t>
  </si>
  <si>
    <t>hay, organic, intensive</t>
  </si>
  <si>
    <t>c3925989-d5ba-46fb-92e7-e7475663613e</t>
  </si>
  <si>
    <t>hay, Swiss integrated production, extensive</t>
  </si>
  <si>
    <t>e3a6edfe-9288-4fbc-a101-42f8af37afff</t>
  </si>
  <si>
    <t>hay, Swiss integrated production, intensive</t>
  </si>
  <si>
    <t>63bcaff0-9b57-4162-9e64-e4615d9ad6a5</t>
  </si>
  <si>
    <t>haying, by rotary tedder</t>
  </si>
  <si>
    <t>68850e7f-0daf-4744-a87d-146555861f30</t>
  </si>
  <si>
    <t>hazardous waste incineration facility</t>
  </si>
  <si>
    <t>babbfb13-a047-4b0d-80ee-0fb67d0305a9</t>
  </si>
  <si>
    <t>heat and power co-generation unit, 160kW electrical, common components for heat+electricity</t>
  </si>
  <si>
    <t>4d5465b8-4e4a-4920-8200-9d79044d2d4a</t>
  </si>
  <si>
    <t>heat and power co-generation unit, 160kW electrical, components for electricity only</t>
  </si>
  <si>
    <t>c5d96d5d-ba53-42b6-9dc5-7a21d1608af7</t>
  </si>
  <si>
    <t>heat and power co-generation unit, 160kW electrical, components for heat only</t>
  </si>
  <si>
    <t>6b10e00e-917b-4db0-b05f-c8601965c50a</t>
  </si>
  <si>
    <t>heat and power co-generation unit, 1MW electrical, common components for heat+electricity</t>
  </si>
  <si>
    <t>35d71a36-81ec-472a-9b8b-0caed4295802</t>
  </si>
  <si>
    <t>heat and power co-generation unit, 1MW electrical, components for electricity only</t>
  </si>
  <si>
    <t>bc835410-f608-4bc1-90f6-811fab8c5b0d</t>
  </si>
  <si>
    <t>heat and power co-generation unit, 1MW electrical, components for heat only</t>
  </si>
  <si>
    <t>16896db0-0ac3-48fa-9c12-88fea3ae322e</t>
  </si>
  <si>
    <t>heat and power co-generation unit, 1MWel, 6.4MWth</t>
  </si>
  <si>
    <t>00d5b850-ada6-4636-9672-e72e43d620f3</t>
  </si>
  <si>
    <t>heat and power co-generation unit, 200kW electrical, common components for heat+electricity</t>
  </si>
  <si>
    <t>cbf6147e-dceb-4865-b66f-bc61670e4159</t>
  </si>
  <si>
    <t>heat and power co-generation unit, 200kW electrical, components for electricity only</t>
  </si>
  <si>
    <t>c0d1f278-c0fb-49f1-8dbb-7dbd602b94a4</t>
  </si>
  <si>
    <t>heat and power co-generation unit, 200kW electrical, components for heat only</t>
  </si>
  <si>
    <t>e12a8b57-7223-4aff-8ef3-dc9836e2c7c4</t>
  </si>
  <si>
    <t>heat and power co-generation unit, 200kW electrical, diesel SCR, common components for heat+electricity</t>
  </si>
  <si>
    <t>b51b1bd2-f1f7-4562-bc27-47c42f0c8fce</t>
  </si>
  <si>
    <t>heat and power co-generation unit, 200kW electrical, diesel SCR, components for electricity only</t>
  </si>
  <si>
    <t>1f5ef0f3-229e-40de-b957-8e0b7eddc3f6</t>
  </si>
  <si>
    <t>heat and power co-generation unit, 200kW electrical, diesel SCR, components for heat only</t>
  </si>
  <si>
    <t>87967b5e-0e94-44b6-b9e0-328c747bd329</t>
  </si>
  <si>
    <t>heat and power co-generation unit, 500kW electrical, common components for heat+electricity</t>
  </si>
  <si>
    <t>4368f712-afae-485f-8b12-10ec1aa34239</t>
  </si>
  <si>
    <t>heat and power co-generation unit, 500kW electrical, components for electricity only</t>
  </si>
  <si>
    <t>b02f8b6e-79c9-46f4-b3c3-fa2f2b89e6ab</t>
  </si>
  <si>
    <t>heat and power co-generation unit, 500kW electrical, components for heat only</t>
  </si>
  <si>
    <t>73b696b4-b3e3-4f6c-ab3f-3251783d4cdb</t>
  </si>
  <si>
    <t>heat and power co-generation unit, 50kW electrical, common components for heat+electricity</t>
  </si>
  <si>
    <t>5819c006-2162-4984-b821-924282b1309d</t>
  </si>
  <si>
    <t>heat and power co-generation unit, 50kW electrical, components for electricity only</t>
  </si>
  <si>
    <t>69946df8-bdf7-41fa-b5e6-17fb3a23d68b</t>
  </si>
  <si>
    <t>heat and power co-generation unit, 50kW electrical, components for heat only</t>
  </si>
  <si>
    <t>664d801c-b167-427e-93c4-dbae3b604f83</t>
  </si>
  <si>
    <t>heat and power co-generation unit, 6400kW thermal, building</t>
  </si>
  <si>
    <t>9eaf7702-839a-4a6a-a5c6-9a6f6b6d6651</t>
  </si>
  <si>
    <t>heat and power co-generation unit, 6400kW thermal, common components for heat+electricity</t>
  </si>
  <si>
    <t>80c1687a-d027-48da-b3d1-7181dd58beed</t>
  </si>
  <si>
    <t>heat and power co-generation unit, 6400kW thermal, components for electricity only</t>
  </si>
  <si>
    <t>b963f477-4957-46ca-a791-a83e0883cf51</t>
  </si>
  <si>
    <t>heat and power co-generation unit, organic Rankine cycle, 1000kW electrical</t>
  </si>
  <si>
    <t>309473ca-5ff1-447a-8739-9ab58de415d6</t>
  </si>
  <si>
    <t>heat and power co-generation unit, organic Rankine cycle, 1400kW thermal, building</t>
  </si>
  <si>
    <t>bdf5e532-d552-455e-8d83-c1c32ebec475</t>
  </si>
  <si>
    <t>heat and power co-generation unit, organic Rankine cycle, 1400kW thermal, common components, heat+electricity</t>
  </si>
  <si>
    <t>9a3915d9-3514-414b-8dcf-5ebe05595c38</t>
  </si>
  <si>
    <t>heat and power co-generation unit, organic Rankine cycle, 1400kW thermal, components for electricity only</t>
  </si>
  <si>
    <t>a55c9d7d-0ebe-4f48-80c8-77c63c326fe8</t>
  </si>
  <si>
    <t>heat and power co-generation unit, organic Rankine cycle, 1MWe, 6.4 MWth</t>
  </si>
  <si>
    <t>8837b0f4-b83c-4bdb-9bab-2d01a0aeecff</t>
  </si>
  <si>
    <t>heat and power co-generation unit, organic Rankine cycle, 200kW electrical</t>
  </si>
  <si>
    <t>45b641f7-e903-4fa3-94ec-84ca4c567c32</t>
  </si>
  <si>
    <t>heat and power co-generation unit, organic Rankine cycle, 3MW electrical</t>
  </si>
  <si>
    <t>e9f3d81d-43dc-484c-9b16-2934618d8724</t>
  </si>
  <si>
    <t>heat distribution equipment, hydronic radiant floor heating, 150m2</t>
  </si>
  <si>
    <t>3ecd769f-d8fe-4fb2-952d-0f6b8514baf9</t>
  </si>
  <si>
    <t>heat pump, 30kW</t>
  </si>
  <si>
    <t>3c1d6702-1da8-4b97-818e-8ca011f168fa</t>
  </si>
  <si>
    <t>heat pump, brine-water, 10kW</t>
  </si>
  <si>
    <t>30f4a0f3-cd30-4c2d-81dc-b50105c320cf</t>
  </si>
  <si>
    <t>heat pump, diffusion absorption, 4kW, future</t>
  </si>
  <si>
    <t>d67fb6d4-5f87-4aab-920b-281c2fa03486</t>
  </si>
  <si>
    <t>heat pump, for mini CHP plant</t>
  </si>
  <si>
    <t>78ecf402-e457-4eac-8cc9-ebe5a05400bb</t>
  </si>
  <si>
    <t>heat pump, heat and power co-generation unit, 160kW electrical</t>
  </si>
  <si>
    <t>013d2a59-5d91-4d06-acfc-4ea125843c19</t>
  </si>
  <si>
    <t>heat storage, 2000l</t>
  </si>
  <si>
    <t>c9f27fe6-00f7-42f7-90db-d8248505815c</t>
  </si>
  <si>
    <t>heat transport fluid system, solar thermal parabolic trough, 50 MW</t>
  </si>
  <si>
    <t>b2c93044-6228-4950-833f-230346726d61</t>
  </si>
  <si>
    <t>heat, air-water heat pump 10kW</t>
  </si>
  <si>
    <t>983b90f3-5b19-4666-9fcc-40e6a8bcd1b3</t>
  </si>
  <si>
    <t>heat, brine-water heat pump 10kW</t>
  </si>
  <si>
    <t>32e60fbc-4778-470c-9653-feb859a3418f</t>
  </si>
  <si>
    <t>heat, central or small-scale, biomethane</t>
  </si>
  <si>
    <t>cf539ec8-6301-40d6-8a44-1c84f861fa90</t>
  </si>
  <si>
    <t>heat, central or small-scale, Jakobsberg</t>
  </si>
  <si>
    <t>f1349f22-f459-4472-90e8-c3d10c737dc5</t>
  </si>
  <si>
    <t>heat, central or small-scale, natural gas</t>
  </si>
  <si>
    <t>b3c58f5d-5815-487c-8b9c-4366e00d22dc</t>
  </si>
  <si>
    <t>heat, central or small-scale, natural gas and heat pump, Jakobsberg</t>
  </si>
  <si>
    <t>e4d1bc0f-29b5-4c41-8e80-7dc1938ad751</t>
  </si>
  <si>
    <t>heat, central or small-scale, natural gas, Jakobsberg</t>
  </si>
  <si>
    <t>7370867d-683c-4006-a16e-5fab6c633a89</t>
  </si>
  <si>
    <t>heat, central or small-scale, other than natural gas</t>
  </si>
  <si>
    <t>dd80f0f2-f4d5-40f0-9035-09c1a7f3f07b</t>
  </si>
  <si>
    <t>heat, diffusion absorption heat pump</t>
  </si>
  <si>
    <t>107d063e-9df6-42fb-8b6c-4f44159def11</t>
  </si>
  <si>
    <t>heat, district or industrial, natural gas</t>
  </si>
  <si>
    <t>1125e767-7b5d-442e-81d6-9b0d3e1919ac</t>
  </si>
  <si>
    <t>heat, district or industrial, other than natural gas</t>
  </si>
  <si>
    <t>71e2f1db-a2c5-44d0-8337-dfff15be974d</t>
  </si>
  <si>
    <t>heat, for reuse in municipal waste incineration only</t>
  </si>
  <si>
    <t>45fbbc41-7ae9-46cc-bb31-abfa11e69de0</t>
  </si>
  <si>
    <t>heat, from steam, in chemical industry</t>
  </si>
  <si>
    <t>63ead738-2005-498c-8359-7f65c134a1a4</t>
  </si>
  <si>
    <t>heat, future</t>
  </si>
  <si>
    <t>6e7624f7-2c91-48f7-a721-c4aa9fbffee9</t>
  </si>
  <si>
    <t>35:Electricity, gas, steam and air conditioning supply</t>
  </si>
  <si>
    <t>heat, solar+electric, multiple-dwelling, for hot water</t>
  </si>
  <si>
    <t>6b5fb027-5357-442a-bbe2-dbaf672fa9bb</t>
  </si>
  <si>
    <t>heat, solar+gas, multiple-dwelling, for hot water</t>
  </si>
  <si>
    <t>386915d8-286e-41f3-b448-a525344d873d</t>
  </si>
  <si>
    <t>heat, solar+gas, one-family house, for combined system</t>
  </si>
  <si>
    <t>c8fb0714-fd9c-4d82-b7b7-5fee0801c85c</t>
  </si>
  <si>
    <t>heat, solar+gas, one-family house, for hot water</t>
  </si>
  <si>
    <t>4392b2a9-e502-4e60-97b1-acd89472fc09</t>
  </si>
  <si>
    <t>heat, solar+wood, one-family house, for combined system</t>
  </si>
  <si>
    <t>0f04817c-859e-42e7-a4e3-2aa8bf257fc9</t>
  </si>
  <si>
    <t>heating and sanitary equipment, heat and power co-generation unit, 160kW electrical</t>
  </si>
  <si>
    <t>e603b934-62eb-4903-ae75-f123425ef5d9</t>
  </si>
  <si>
    <t>heating and sanitary equipment, mini CHP plant</t>
  </si>
  <si>
    <t>a03718f4-54a6-4431-aab3-5d470d58ec5a</t>
  </si>
  <si>
    <t>heavy fuel oil</t>
  </si>
  <si>
    <t>2966d161-5281-47d6-86d3-efbb0a4b2110</t>
  </si>
  <si>
    <t>heavy fuel oil, burned in refinery furnace</t>
  </si>
  <si>
    <t>b8e7c209-349c-4f20-956b-533119feab30</t>
  </si>
  <si>
    <t>heavy water</t>
  </si>
  <si>
    <t>0a00902d-0b1d-470e-a290-2be9bf0cef65</t>
  </si>
  <si>
    <t>helicopter</t>
  </si>
  <si>
    <t>fdc5597b-6520-401e-a4a4-f76dedf2a1c7</t>
  </si>
  <si>
    <t>helium</t>
  </si>
  <si>
    <t>afa2d64e-2106-4ed7-a40f-9145c88425a5</t>
  </si>
  <si>
    <t>helium, crude</t>
  </si>
  <si>
    <t>4f49e6ec-b4fe-45cd-80f2-1a9e5eaa96b9</t>
  </si>
  <si>
    <t>helium, crude stockpiling</t>
  </si>
  <si>
    <t>2f23f059-dd4a-4f4c-823f-e5b6c62dd799</t>
  </si>
  <si>
    <t>heptane</t>
  </si>
  <si>
    <t>7933f397-3db0-4aa1-abb0-5386ae0393d6</t>
  </si>
  <si>
    <t>hexafluoroethane</t>
  </si>
  <si>
    <t>6c8aaf28-0fe9-432b-b919-5f6faf9e313f</t>
  </si>
  <si>
    <t>hexamethyldisilazane</t>
  </si>
  <si>
    <t>1a7d7241-bf40-4310-ac79-e8d950ee7fd8</t>
  </si>
  <si>
    <t>hexane</t>
  </si>
  <si>
    <t>039d3944-e16b-4baf-8153-35752757a05d</t>
  </si>
  <si>
    <t>high voltage system, for Li-ion battery</t>
  </si>
  <si>
    <t>d7eb78bc-ed18-4080-95de-728ae6d73a73</t>
  </si>
  <si>
    <t>hoeing</t>
  </si>
  <si>
    <t>4cc48a86-dc1d-4c85-815c-8f1988326e97</t>
  </si>
  <si>
    <t>holmium oxide</t>
  </si>
  <si>
    <t>43df1b02-7f7b-5f66-9cc6-f93a64e4b0c3</t>
  </si>
  <si>
    <t>horn meal</t>
  </si>
  <si>
    <t>08c64e0a-dbf8-47a7-86dc-c281f357e9cd</t>
  </si>
  <si>
    <t>1010:Processing and preserving of meat</t>
  </si>
  <si>
    <t>horticultural fleece</t>
  </si>
  <si>
    <t>05b915cd-3cd5-4e98-aea0-ff231cd4f4b1</t>
  </si>
  <si>
    <t>hot rolling, steel</t>
  </si>
  <si>
    <t>b1e480cc-6707-4f7f-898d-a7dc46437d3b</t>
  </si>
  <si>
    <t>hot water tank factory</t>
  </si>
  <si>
    <t>2eedb087-ba97-45e2-a4d1-ccd79a2d4fd3</t>
  </si>
  <si>
    <t>hot water tank, 600l</t>
  </si>
  <si>
    <t>f273f526-f8c5-41cb-965b-c7ad173d8e67</t>
  </si>
  <si>
    <t>housing system, cattle, loose, per animal unit</t>
  </si>
  <si>
    <t>ebe77e58-a384-4b80-b92f-607928024c13</t>
  </si>
  <si>
    <t>housing system, cattle, tied, per animal unit</t>
  </si>
  <si>
    <t>c6486335-b555-43bb-a748-50a607a75d23</t>
  </si>
  <si>
    <t>housing system, pig, fully-slatted floor, per pig place</t>
  </si>
  <si>
    <t>623807b1-021b-4658-a6d8-edf65168b37f</t>
  </si>
  <si>
    <t>housing system, pig, per pig place, electricity from renewable energy products</t>
  </si>
  <si>
    <t>b3a9401c-1507-454e-aeca-47f71b51c1e4</t>
  </si>
  <si>
    <t>hydraulic digger</t>
  </si>
  <si>
    <t>1ad0b61c-f2b8-450c-b09b-445427a193f0</t>
  </si>
  <si>
    <t>hydraulic fracturing fluid</t>
  </si>
  <si>
    <t>5ac871f5-3e64-46ce-a0f1-a3bda33442f1</t>
  </si>
  <si>
    <t>hydrazine</t>
  </si>
  <si>
    <t>bc029dc2-d952-4f61-970b-193afe897d18</t>
  </si>
  <si>
    <t>hydrazine sulfate</t>
  </si>
  <si>
    <t>da17f9b2-420c-5f5b-8f1c-cd5f252d64c1</t>
  </si>
  <si>
    <t>hydrochloric acid, without water, in 30% solution state</t>
  </si>
  <si>
    <t>3ab60559-40d3-42e4-9cac-476a519098fa</t>
  </si>
  <si>
    <t>hydrogen cyanide</t>
  </si>
  <si>
    <t>090bf091-edba-4f7e-93dd-19eb43cb2123</t>
  </si>
  <si>
    <t>hydrogen fluoride</t>
  </si>
  <si>
    <t>39f50029-2aae-470f-87dc-5e24405df568</t>
  </si>
  <si>
    <t>hydrogen peroxide, without water, in 50% solution state</t>
  </si>
  <si>
    <t>26c92545-7995-491d-bcca-ee6d590ef194</t>
  </si>
  <si>
    <t>hydrogen sulfide</t>
  </si>
  <si>
    <t>b8ffb776-c1de-466f-91d6-b922b0cb8a1e</t>
  </si>
  <si>
    <t>hydrogen, gaseous</t>
  </si>
  <si>
    <t>d899ab8e-58d3-47fa-bf64-45989f7da5be</t>
  </si>
  <si>
    <t>hydrogen, liquid</t>
  </si>
  <si>
    <t>8d78a0dc-1489-48c1-8bc4-7c120f318216</t>
  </si>
  <si>
    <t>hydropower plant, reservoir</t>
  </si>
  <si>
    <t>bb6df298-3f43-4fa9-9359-0be51d35a1eb</t>
  </si>
  <si>
    <t>hydropower plant, reservoir, alpine region</t>
  </si>
  <si>
    <t>0a67114d-f9e5-4829-8330-fac6fa06fca2</t>
  </si>
  <si>
    <t>hydropower plant, reservoir, non-alpine regions</t>
  </si>
  <si>
    <t>53d60981-1d3c-4dc2-82c6-5351f9389001</t>
  </si>
  <si>
    <t>hydropower plant, run-of-river</t>
  </si>
  <si>
    <t>2d180733-aa7a-429b-90ef-c3f56f2252f0</t>
  </si>
  <si>
    <t>hydroquinone</t>
  </si>
  <si>
    <t>c918095d-30ff-4e4c-9243-7e69ee090cf3</t>
  </si>
  <si>
    <t>hydroxylamine</t>
  </si>
  <si>
    <t>fc0b4a39-f519-42f2-8e48-dc7c20ff97bb</t>
  </si>
  <si>
    <t>iceberg lettuce</t>
  </si>
  <si>
    <t>24f97b30-3d67-4365-9c84-341a83a053f1</t>
  </si>
  <si>
    <t>ilmenite, 54% titanium dioxide</t>
  </si>
  <si>
    <t>eff0389a-97da-4ce4-9365-1de4291ec8fb</t>
  </si>
  <si>
    <t>imidazole</t>
  </si>
  <si>
    <t>5e5650c3-530a-4946-be58-62e416f3e61e</t>
  </si>
  <si>
    <t>impact extrusion of aluminium, 1 stroke</t>
  </si>
  <si>
    <t>19e2686b-ad4b-4fd8-87ca-8622a7896528</t>
  </si>
  <si>
    <t>impact extrusion of aluminium, 2 strokes</t>
  </si>
  <si>
    <t>01d68191-e402-4a74-9049-15cc9635265b</t>
  </si>
  <si>
    <t>impact extrusion of aluminium, 3 strokes</t>
  </si>
  <si>
    <t>b10ae87f-0566-4203-b8c1-4f0b153f05f5</t>
  </si>
  <si>
    <t>impact extrusion of aluminium, 4 strokes</t>
  </si>
  <si>
    <t>aa0d7c65-0f57-49ed-a01e-01f2b4bc4ac4</t>
  </si>
  <si>
    <t>impact extrusion of aluminium, 5 strokes</t>
  </si>
  <si>
    <t>35c582e4-c1fb-45a0-9043-a7aa429b4104</t>
  </si>
  <si>
    <t>impact extrusion of aluminium, cold, initial surface treatment</t>
  </si>
  <si>
    <t>fc877de2-b705-4d81-93b0-024583739449</t>
  </si>
  <si>
    <t>impact extrusion of aluminium, cold, tempering</t>
  </si>
  <si>
    <t>61a79dec-2e5e-4d8c-b079-1eb1709d2b47</t>
  </si>
  <si>
    <t>impact extrusion of aluminium, deformation stroke</t>
  </si>
  <si>
    <t>8ee557e6-9141-4288-89c4-0a4dfe9f7773</t>
  </si>
  <si>
    <t>impact extrusion of steel, cold, 1 strokes</t>
  </si>
  <si>
    <t>9088e87e-fded-4dfe-bfd9-a28574daf748</t>
  </si>
  <si>
    <t>impact extrusion of steel, cold, 2 strokes</t>
  </si>
  <si>
    <t>397aa683-8e6b-4ec7-83e7-7366f9b03a5a</t>
  </si>
  <si>
    <t>impact extrusion of steel, cold, 3 strokes</t>
  </si>
  <si>
    <t>58b4780f-3f11-4c34-a25d-447aa7617351</t>
  </si>
  <si>
    <t>impact extrusion of steel, cold, 4 strokes</t>
  </si>
  <si>
    <t>ce368a31-e86a-4944-a785-319f36ff30bb</t>
  </si>
  <si>
    <t>impact extrusion of steel, cold, 5 strokes</t>
  </si>
  <si>
    <t>50c8cc23-d070-43b7-a9d6-edd9899d8fed</t>
  </si>
  <si>
    <t>impact extrusion of steel, cold, deformation stroke</t>
  </si>
  <si>
    <t>03d39191-fb1f-42b6-9432-8c64ca568423</t>
  </si>
  <si>
    <t>impact extrusion of steel, cold, initial surface treatment</t>
  </si>
  <si>
    <t>ae87300c-3f69-41bc-b6ff-a1b8cb755b11</t>
  </si>
  <si>
    <t>impact extrusion of steel, cold, tempering</t>
  </si>
  <si>
    <t>71b70f19-f5fe-4a04-b4c1-6a423ac7bd12</t>
  </si>
  <si>
    <t>impact extrusion of steel, hot, 1 strokes</t>
  </si>
  <si>
    <t>50e6bd6e-198b-4cf6-8e98-ed9e2cc03623</t>
  </si>
  <si>
    <t>impact extrusion of steel, hot, 2 strokes</t>
  </si>
  <si>
    <t>b39668da-f958-45eb-9870-87cc9394ad72</t>
  </si>
  <si>
    <t>impact extrusion of steel, hot, 3 strokes</t>
  </si>
  <si>
    <t>c4e3dad7-ac8a-479c-bc61-c667dd3ebffa</t>
  </si>
  <si>
    <t>impact extrusion of steel, hot, 4 strokes</t>
  </si>
  <si>
    <t>7f3ad9ce-38f9-4614-a763-04714a107adf</t>
  </si>
  <si>
    <t>impact extrusion of steel, hot, 5 strokes</t>
  </si>
  <si>
    <t>2f99f6c8-a96d-40bc-8e36-1c582a6aaa02</t>
  </si>
  <si>
    <t>impact extrusion of steel, hot, deformation stroke</t>
  </si>
  <si>
    <t>267c6637-2ba7-40dc-b17d-9d5eaa4f0fe5</t>
  </si>
  <si>
    <t>impact extrusion of steel, hot, initial warming</t>
  </si>
  <si>
    <t>7d332b90-1178-44af-bc85-2cbea91d20e0</t>
  </si>
  <si>
    <t>impact extrusion of steel, hot, tempering</t>
  </si>
  <si>
    <t>4d61cb2c-dfb3-4e61-9824-f4ca595d21e8</t>
  </si>
  <si>
    <t>impact extrusion of steel, warm, 1 strokes</t>
  </si>
  <si>
    <t>54db2e3a-ff7f-43df-bcc1-92ac1c82410a</t>
  </si>
  <si>
    <t>impact extrusion of steel, warm, 2 strokes</t>
  </si>
  <si>
    <t>01211f39-f29c-4c55-9918-1e6bc2386ae4</t>
  </si>
  <si>
    <t>impact extrusion of steel, warm, 3 strokes</t>
  </si>
  <si>
    <t>d77dfa1e-10fa-4fcd-9164-3ee5771598d8</t>
  </si>
  <si>
    <t>impact extrusion of steel, warm, 4 strokes</t>
  </si>
  <si>
    <t>7a2ec781-6849-4167-8a9a-3e1221f3f543</t>
  </si>
  <si>
    <t>impact extrusion of steel, warm, 5 strokes</t>
  </si>
  <si>
    <t>cffec88a-57ad-47de-89d7-6955eb21361a</t>
  </si>
  <si>
    <t>impact extrusion of steel, warm, deformation stroke</t>
  </si>
  <si>
    <t>360ead90-c4b3-4103-9e8f-3e0055506985</t>
  </si>
  <si>
    <t>impact extrusion of steel, warm, initial warming</t>
  </si>
  <si>
    <t>e5fb2187-c16c-42b6-b5d2-114412467245</t>
  </si>
  <si>
    <t>indium</t>
  </si>
  <si>
    <t>5f56b73e-6bbd-4ba4-99e5-d5163b9b9271</t>
  </si>
  <si>
    <t>indium rich leaching residues, from zinc production</t>
  </si>
  <si>
    <t>78acb00f-79bf-486e-98bd-8d68ac7e51a2</t>
  </si>
  <si>
    <t>indium rich leaching residues, from zinc production stockpiling</t>
  </si>
  <si>
    <t>86cacbf8-b1a0-42ad-b7de-d2df65bd3a57</t>
  </si>
  <si>
    <t>indium tin oxide powder, nanoscale, for sputtering target</t>
  </si>
  <si>
    <t>e27cd3c5-3a3c-4743-a18f-2426152d6148</t>
  </si>
  <si>
    <t>inductor, auxilliaries and energy use</t>
  </si>
  <si>
    <t>34406503-5ce7-4da4-870a-98902e48c873</t>
  </si>
  <si>
    <t>inductor, low value multilayer chip</t>
  </si>
  <si>
    <t>736906f7-164e-4155-9fb4-894177303917</t>
  </si>
  <si>
    <t>inductor, miniature radio frequency chip</t>
  </si>
  <si>
    <t>8774b1a7-9b9b-4f1b-a6c8-a9ab4f33cfa1</t>
  </si>
  <si>
    <t>inductor, ring core choke type</t>
  </si>
  <si>
    <t>3c3632b8-ce5b-4957-ac59-54e931ccd247</t>
  </si>
  <si>
    <t>industrial furnace, 1MW, oil</t>
  </si>
  <si>
    <t>971337d4-7826-4ec6-bfef-5e5c6dd517be</t>
  </si>
  <si>
    <t>industrial furnace, coal, 1-10MW</t>
  </si>
  <si>
    <t>528b3e64-8ac5-4358-bfee-c8d9276bb235</t>
  </si>
  <si>
    <t>industrial furnace, natural gas</t>
  </si>
  <si>
    <t>a6561030-4d71-4786-9afc-bcf1df2f0994</t>
  </si>
  <si>
    <t>industrial machine, heavy, unspecified</t>
  </si>
  <si>
    <t>4cc87eb6-20a4-4968-ab90-6d344d46755d</t>
  </si>
  <si>
    <t>inert filler</t>
  </si>
  <si>
    <t>54894ebe-5eae-4fd7-8d35-f715e15c673b</t>
  </si>
  <si>
    <t>inert gas for discharge lamps</t>
  </si>
  <si>
    <t>a9a664b0-8b9e-4ff4-994a-02f54003e9ff</t>
  </si>
  <si>
    <t>inert material landfill</t>
  </si>
  <si>
    <t>89ba6228-30ad-45ee-80f0-63ba92ef35a4</t>
  </si>
  <si>
    <t>infrastructure, for regional distribution of oil product</t>
  </si>
  <si>
    <t>54d3412f-bf58-44be-8a75-f4b35480f24e</t>
  </si>
  <si>
    <t>injection moulding</t>
  </si>
  <si>
    <t>68d6dfcf-2089-4586-9bbf-ad75591105cf</t>
  </si>
  <si>
    <t>inorganic nitrogen fertiliser, as N</t>
  </si>
  <si>
    <t>f5707bdf-f7e2-479b-b3ea-99c04de8a927</t>
  </si>
  <si>
    <t>inorganic phosphorus fertiliser, as P2O5</t>
  </si>
  <si>
    <t>5321a299-0c03-4bfc-9dda-d020456f6b2e</t>
  </si>
  <si>
    <t>inorganic potassium fertiliser, as K2O</t>
  </si>
  <si>
    <t>7c4dafff-fe18-45c0-92e4-857950032abb</t>
  </si>
  <si>
    <t>insulated gate bipolar transistor, electric vehicle application</t>
  </si>
  <si>
    <t>4c5db6d0-a23c-4794-a259-3f63b780d853</t>
  </si>
  <si>
    <t>insulation spiral-seam duct, rockwool, DN 400, 30 mm</t>
  </si>
  <si>
    <t>d98efea6-b076-4cb6-893a-17f54893be5a</t>
  </si>
  <si>
    <t>integrated battery interface system, for Li-ion battery</t>
  </si>
  <si>
    <t>87107b53-bed1-4bbf-acc4-477a5136f286</t>
  </si>
  <si>
    <t>integrated circuit, logic type</t>
  </si>
  <si>
    <t>ad2a5d44-4e6d-430d-873b-0068ea24b9d5</t>
  </si>
  <si>
    <t>integrated circuit, memory type</t>
  </si>
  <si>
    <t>64aceba0-b835-4edd-8437-f194e0b95eb2</t>
  </si>
  <si>
    <t>intermodal shipping container, 20-foot</t>
  </si>
  <si>
    <t>35e80885-5578-4bd6-a60f-f16c95a8d615</t>
  </si>
  <si>
    <t>2920:Manufacture of bodies (coachwork) for motor vehicles; manufacture of traile</t>
  </si>
  <si>
    <t>intermodal shipping container, 40-foot</t>
  </si>
  <si>
    <t>06fc5e3f-af81-4f32-baf6-8cf962397bc3</t>
  </si>
  <si>
    <t>intermodal shipping container, 40-foot, high-cube</t>
  </si>
  <si>
    <t>5ecef96a-aecb-4816-9dfa-2355281e7dbf</t>
  </si>
  <si>
    <t>intermodal shipping container, 45-foot, high-cube</t>
  </si>
  <si>
    <t>98b67b63-0c19-4f6e-9b36-c2cc10e6cc18</t>
  </si>
  <si>
    <t>internal combustion engine, passenger car</t>
  </si>
  <si>
    <t>b8095283-0271-4ecc-8b71-4d4fd6ef08a9</t>
  </si>
  <si>
    <t>internet access equipment</t>
  </si>
  <si>
    <t>b245e321-06fa-4431-9be6-4995be5af258</t>
  </si>
  <si>
    <t>internet access, videoconference, 0.7 Mbit/s</t>
  </si>
  <si>
    <t>b940f2cb-0916-477f-9d15-916e96347330</t>
  </si>
  <si>
    <t>6110:Wired telecommunications activities</t>
  </si>
  <si>
    <t>internet access, work, 0.2 Mbit/s</t>
  </si>
  <si>
    <t>0c661ff9-48db-411f-992a-63fc8ab4ae04</t>
  </si>
  <si>
    <t>intral</t>
  </si>
  <si>
    <t>fe971074-1d55-46f3-88e1-b5cb56fd6317</t>
  </si>
  <si>
    <t>inverter, 0.5kW</t>
  </si>
  <si>
    <t>19447cec-29de-4cd0-b84a-5c093487aef5</t>
  </si>
  <si>
    <t>inverter, 2.5kW</t>
  </si>
  <si>
    <t>9c2e054a-76af-4265-978b-8364099903db</t>
  </si>
  <si>
    <t>inverter, 500kW</t>
  </si>
  <si>
    <t>00ee5180-a19a-4441-bfba-7087532d13a4</t>
  </si>
  <si>
    <t>inverter, for electric passenger car</t>
  </si>
  <si>
    <t>05eee2a3-27c1-40ea-8236-75a2407a0ba8</t>
  </si>
  <si>
    <t>iodine</t>
  </si>
  <si>
    <t>d64abd75-0e28-4d4b-92ed-d6442798d377</t>
  </si>
  <si>
    <t>ion-exchanger for water treatment</t>
  </si>
  <si>
    <t>0a3a87a4-d431-4a83-a811-8eca3e1919f0</t>
  </si>
  <si>
    <t>iron (III) chloride, without water, in 40% solution state</t>
  </si>
  <si>
    <t>51202bed-5f41-4b96-a788-9f6649dcb3c8</t>
  </si>
  <si>
    <t>iron ore concentrate</t>
  </si>
  <si>
    <t>cb262c3c-a7c7-4781-82e6-e1e90dd92b65</t>
  </si>
  <si>
    <t>iron ore, crude ore, 46% Fe</t>
  </si>
  <si>
    <t>686827fc-1f4c-44a4-a361-3ba77f0bc855</t>
  </si>
  <si>
    <t>0710:Mining of iron ores</t>
  </si>
  <si>
    <t>iron ore, crude ore, 63% Fe</t>
  </si>
  <si>
    <t>e9d62932-4f38-41b4-95ea-4bf77569fcc8</t>
  </si>
  <si>
    <t>iron pellet</t>
  </si>
  <si>
    <t>3da25df2-438a-4e27-9141-4393f3b6f86f</t>
  </si>
  <si>
    <t>iron scrap, sorted, pressed</t>
  </si>
  <si>
    <t>4f312355-ac65-4635-8fb2-006dba64ce60</t>
  </si>
  <si>
    <t>iron scrap, unsorted</t>
  </si>
  <si>
    <t>d7432632-40dc-4af8-8125-cb70dd9742c5</t>
  </si>
  <si>
    <t>iron sinter</t>
  </si>
  <si>
    <t>d4591183-a1ce-4c6d-80fa-761edfb78aec</t>
  </si>
  <si>
    <t>iron sulfate</t>
  </si>
  <si>
    <t>c614ee4a-ee63-4b51-b129-8a18a5e458fe</t>
  </si>
  <si>
    <t>iron(II) chloride</t>
  </si>
  <si>
    <t>3b856644-1564-48e5-892f-e8d17beae815</t>
  </si>
  <si>
    <t>iron(III) chloride, without water, in 14% iron solution state</t>
  </si>
  <si>
    <t>b4ad5cda-b0ec-49ae-a032-a15388e71455</t>
  </si>
  <si>
    <t>iron(III) chloride, without water, in a 12% iron solution state</t>
  </si>
  <si>
    <t>b8f9a782-d4ee-4477-be28-ee3ff2997cf6</t>
  </si>
  <si>
    <t>iron(III) sulfate, without water, in 12.5% iron solution state</t>
  </si>
  <si>
    <t>1211687f-b185-4e5d-9620-41515a66a390</t>
  </si>
  <si>
    <t>iron-nickel-chromium alloy</t>
  </si>
  <si>
    <t>55cd1ee7-9869-4248-8800-1be2f66267aa</t>
  </si>
  <si>
    <t>irrigation</t>
  </si>
  <si>
    <t>3f5f5aef-3833-43d4-8b81-44123105afd7</t>
  </si>
  <si>
    <t>isobutane</t>
  </si>
  <si>
    <t>8a107433-7284-4997-9d3b-17a04e0eb00e</t>
  </si>
  <si>
    <t>isobutanol</t>
  </si>
  <si>
    <t>938af061-8c13-47af-a3ba-d8454aec9893</t>
  </si>
  <si>
    <t>isobutyl acetate</t>
  </si>
  <si>
    <t>b90e6a07-a2ae-487a-a671-cedcbc6b6da2</t>
  </si>
  <si>
    <t>isohexane</t>
  </si>
  <si>
    <t>2a1573b0-ab2e-4126-b931-a4c8b240a97c</t>
  </si>
  <si>
    <t>isophthalic acid based unsaturated polyester resin</t>
  </si>
  <si>
    <t>ffa87882-6302-430b-a4c2-45426a006ed7</t>
  </si>
  <si>
    <t>isopropanol</t>
  </si>
  <si>
    <t>a755ae96-2e6b-4ce2-ae2a-8f36682c1f6e</t>
  </si>
  <si>
    <t>isopropyl acetate</t>
  </si>
  <si>
    <t>0639ab9a-43bd-48b8-b8d9-99c50aa022fd</t>
  </si>
  <si>
    <t>isopropylamine</t>
  </si>
  <si>
    <t>d335f16b-b126-4a15-84e6-5fd50eab80e1</t>
  </si>
  <si>
    <t>isoproturon</t>
  </si>
  <si>
    <t>3d455af5-1a55-4ac3-a685-4cb13e1d2097</t>
  </si>
  <si>
    <t>jatropha seed</t>
  </si>
  <si>
    <t>e4c082c9-dec1-41d1-8fca-0457c8f630e7</t>
  </si>
  <si>
    <t>joist, engineered wood</t>
  </si>
  <si>
    <t>5c8dda35-ca22-40d1-a317-a0962ee217c3</t>
  </si>
  <si>
    <t>jute plant, harvested</t>
  </si>
  <si>
    <t>2031e628-f866-412c-84bb-539a81b0c19d</t>
  </si>
  <si>
    <t>kaolin</t>
  </si>
  <si>
    <t>593c0a1c-d1ba-4e22-b456-6d2f5d2962e4</t>
  </si>
  <si>
    <t>kenaf plant, harvested</t>
  </si>
  <si>
    <t>89b2490c-d8f3-44e5-99b4-bd45e946cea4</t>
  </si>
  <si>
    <t>kerosene</t>
  </si>
  <si>
    <t>3990b197-a303-4c36-ae1c-c2ddebaad744</t>
  </si>
  <si>
    <t>keyboard</t>
  </si>
  <si>
    <t>258f8045-3c9c-42fc-81f1-ebce679ca09f</t>
  </si>
  <si>
    <t>kiwi</t>
  </si>
  <si>
    <t>d76976c2-548a-4898-b468-4a477b7f88d0</t>
  </si>
  <si>
    <t>kraft paper</t>
  </si>
  <si>
    <t>8ef02d68-0b80-4c12-81ee-3dd678d2915b</t>
  </si>
  <si>
    <t>krypton, gaseous</t>
  </si>
  <si>
    <t>4ec33358-7145-4997-b07c-90254af81601</t>
  </si>
  <si>
    <t>lactic acid</t>
  </si>
  <si>
    <t>daca7a28-505a-4cc4-8b6a-7d470261f58a</t>
  </si>
  <si>
    <t>laminated timber element, transversally prestressed, for outdoor use</t>
  </si>
  <si>
    <t>8c9502ff-e974-4d81-9293-b6d52de1bdd1</t>
  </si>
  <si>
    <t>laminating service, foil, with acrylic binder</t>
  </si>
  <si>
    <t>45d92845-1234-4ab6-8401-2e2c0018d13a</t>
  </si>
  <si>
    <t>1812:Service activities related to printing</t>
  </si>
  <si>
    <t>land tenure, arable land, measured as carbon net primary productivity, annual crop</t>
  </si>
  <si>
    <t>4c2bb0f0-422d-4fb3-bcfe-a36ef1b55874</t>
  </si>
  <si>
    <t>land tenure, arable land, measured as carbon net primary productivity, forest, intensive</t>
  </si>
  <si>
    <t>69b3d58f-ddde-59c4-a78d-2ededd641aab</t>
  </si>
  <si>
    <t>land tenure, arable land, measured as carbon net primary productivity, pasture, man made</t>
  </si>
  <si>
    <t>8931016e-3e07-5c9a-91a6-cd85b90a2aaa</t>
  </si>
  <si>
    <t>0162:Support activities for animal production</t>
  </si>
  <si>
    <t>land tenure, arable land, measured as carbon net primary productivity, perennial crop</t>
  </si>
  <si>
    <t>9b9edcf3-0539-4642-9516-0df642a5c41a</t>
  </si>
  <si>
    <t>land use change, annual crop</t>
  </si>
  <si>
    <t>1d32b849-121f-4d23-853c-fa2bf55c42e9</t>
  </si>
  <si>
    <t>land use change, forest, intensive</t>
  </si>
  <si>
    <t>75edc073-be76-5bc1-82a1-7be1ce500aaa</t>
  </si>
  <si>
    <t>land use change, paddy rice</t>
  </si>
  <si>
    <t>78a89eea-d172-4c76-b7fb-727af1e394a4</t>
  </si>
  <si>
    <t>land use change, pasture, man made</t>
  </si>
  <si>
    <t>85086b85-ef0a-55c6-be1f-66e45e7aeaaa</t>
  </si>
  <si>
    <t>land use change, perennial crop</t>
  </si>
  <si>
    <t>f372d4c2-7310-4fb9-8bb6-bee214fd08d1</t>
  </si>
  <si>
    <t>landed anchovy by-catch, fresh</t>
  </si>
  <si>
    <t>e5af955f-8ace-49b6-89b2-60fafd55e9d9</t>
  </si>
  <si>
    <t>landed anchovy, fresh</t>
  </si>
  <si>
    <t>9c563baa-b91f-4f34-a0c4-9303ffa71870</t>
  </si>
  <si>
    <t>landed hake, fresh</t>
  </si>
  <si>
    <t>6fa1844e-cf02-4c04-b543-666653211d38</t>
  </si>
  <si>
    <t>landed tuna, frozen, EPO</t>
  </si>
  <si>
    <t>06409b90-2c57-437d-8111-8a6dc1051df1</t>
  </si>
  <si>
    <t>lanthanum oxide</t>
  </si>
  <si>
    <t>cfbc8873-47d4-4411-a18e-578ef35ab871</t>
  </si>
  <si>
    <t>lanthanum-cerium oxide</t>
  </si>
  <si>
    <t>ab725f8d-72c5-5564-b71e-132585f0bf32</t>
  </si>
  <si>
    <t>laser machining, metal, with CO2-laser, 2000W power</t>
  </si>
  <si>
    <t>404074c5-9468-4ecb-8b65-bbc53783fcda</t>
  </si>
  <si>
    <t>laser machining, metal, with CO2-laser, 2700W power</t>
  </si>
  <si>
    <t>8dbc8c43-7edb-4b94-b202-0eb010909276</t>
  </si>
  <si>
    <t>laser machining, metal, with CO2-laser, 3200W power</t>
  </si>
  <si>
    <t>8f7f787b-119e-481a-a2fa-e3ee86bcf5c8</t>
  </si>
  <si>
    <t>laser machining, metal, with CO2-laser, 4000W power</t>
  </si>
  <si>
    <t>7f8897c9-3e4c-461c-ac99-48b7ee5b87a8</t>
  </si>
  <si>
    <t>laser machining, metal, with CO2-laser, 5000W power</t>
  </si>
  <si>
    <t>978cf29a-1caf-4d3b-8195-9912a082c86f</t>
  </si>
  <si>
    <t>laser machining, metal, with CO2-laser, 6000W power</t>
  </si>
  <si>
    <t>bdfd256b-43c3-4b77-82e3-4191323564ea</t>
  </si>
  <si>
    <t>laser machining, metal, with YAG-laser, 120W power</t>
  </si>
  <si>
    <t>d0d14ac8-629d-4234-bfeb-f82e6fd79788</t>
  </si>
  <si>
    <t>laser machining, metal, with YAG-laser, 200W power</t>
  </si>
  <si>
    <t>693fe460-8cf2-46e3-b362-e24e13a1a489</t>
  </si>
  <si>
    <t>laser machining, metal, with YAG-laser, 30W power</t>
  </si>
  <si>
    <t>1db6c3dc-aa85-473c-ac8b-06832af0b1ba</t>
  </si>
  <si>
    <t>laser machining, metal, with YAG-laser, 330W power</t>
  </si>
  <si>
    <t>442ac1c0-03bd-41f5-b1b5-4e41b419a1cd</t>
  </si>
  <si>
    <t>laser machining, metal, with YAG-laser, 40W power</t>
  </si>
  <si>
    <t>58ccc768-107d-420b-9206-e47f333feeca</t>
  </si>
  <si>
    <t>laser machining, metal, with YAG-laser, 500W power</t>
  </si>
  <si>
    <t>f6503135-81f4-4291-a643-14f92f05797a</t>
  </si>
  <si>
    <t>laser machining, metal, with YAG-laser, 50W power</t>
  </si>
  <si>
    <t>325592d0-d9d7-4d62-8cb4-b58761da37d7</t>
  </si>
  <si>
    <t>laser machining, metal, with YAG-laser, 60W power</t>
  </si>
  <si>
    <t>def118a0-432e-41c8-aa67-3e0e5124dee3</t>
  </si>
  <si>
    <t>laterite, mineral</t>
  </si>
  <si>
    <t>518565e9-8537-42b5-869b-2df9bcfbb849</t>
  </si>
  <si>
    <t>latex</t>
  </si>
  <si>
    <t>b0cd6c3d-d1b6-42f4-8e58-ca6d4d6c3e18</t>
  </si>
  <si>
    <t>layered sodium silicate, SKS-6, powder</t>
  </si>
  <si>
    <t>d51e2ebb-24d6-4e5e-b1cb-edc92d8126eb</t>
  </si>
  <si>
    <t>lead</t>
  </si>
  <si>
    <t>237b35c6-69e1-49c4-8e99-0be6c1b1806e</t>
  </si>
  <si>
    <t>lead concentrate</t>
  </si>
  <si>
    <t>d5f3fdb3-44b1-4f40-a9b8-207c0552c552</t>
  </si>
  <si>
    <t>lead concentrate stockpiling</t>
  </si>
  <si>
    <t>db9e356b-f056-4ddd-b766-e65d1f69dfb4</t>
  </si>
  <si>
    <t>lean concrete</t>
  </si>
  <si>
    <t>3c729202-245e-4585-a517-c053ca62f074</t>
  </si>
  <si>
    <t>lemon</t>
  </si>
  <si>
    <t>9891d347-28f8-434d-896a-84a19a4c68a6</t>
  </si>
  <si>
    <t>0123:Growing of citrus fruits</t>
  </si>
  <si>
    <t>lentil</t>
  </si>
  <si>
    <t>4783e92c-7b3b-5227-8270-18e215988fcc</t>
  </si>
  <si>
    <t>lentil seed, for sowing</t>
  </si>
  <si>
    <t>6fea6eaf-02a4-5783-a79e-10c93c891212</t>
  </si>
  <si>
    <t>lettuce</t>
  </si>
  <si>
    <t>d252a802-6a2c-4ac2-8be7-d8fe9250be97</t>
  </si>
  <si>
    <t>light clay brick</t>
  </si>
  <si>
    <t>a8532e01-f16d-4cec-b6a6-694a6149862c</t>
  </si>
  <si>
    <t>light commercial vehicle</t>
  </si>
  <si>
    <t>6ee08e0a-4762-44f5-ac35-20289c48b970</t>
  </si>
  <si>
    <t>light emitting diode</t>
  </si>
  <si>
    <t>084469ca-e2a7-4951-8753-60629e461823</t>
  </si>
  <si>
    <t>light fuel oil</t>
  </si>
  <si>
    <t>b89dadb0-75e9-44fd-8d41-1ec8dcce23b6</t>
  </si>
  <si>
    <t>light mortar</t>
  </si>
  <si>
    <t>6e316745-6534-470e-9a69-3e20f2a54173</t>
  </si>
  <si>
    <t>lightweight concrete block, expanded clay</t>
  </si>
  <si>
    <t>d3ed2316-27eb-4d4f-91d1-b379b4c6ead1</t>
  </si>
  <si>
    <t>lightweight concrete block, expanded perlite</t>
  </si>
  <si>
    <t>59775542-59e4-4ac4-a9f3-6fa1f86f49cf</t>
  </si>
  <si>
    <t>lightweight concrete block, expanded vermiculite</t>
  </si>
  <si>
    <t>b7e6ae77-c484-4807-ac8f-7ae89f29c02a</t>
  </si>
  <si>
    <t>lightweight concrete block, polystyrene</t>
  </si>
  <si>
    <t>27064b22-328b-4578-9739-933b87b94abb</t>
  </si>
  <si>
    <t>lightweight concrete block, pumice</t>
  </si>
  <si>
    <t>906b050f-69fc-4c54-9069-e8672a669b10</t>
  </si>
  <si>
    <t>lignite</t>
  </si>
  <si>
    <t>1456f165-52a4-47f3-a5c3-e13dfb13626d</t>
  </si>
  <si>
    <t>0520:Mining of lignite</t>
  </si>
  <si>
    <t>lignite briquettes</t>
  </si>
  <si>
    <t>ae1d776c-5278-46c3-b80a-0c5dcc182c0f</t>
  </si>
  <si>
    <t>lignite briquettes factory</t>
  </si>
  <si>
    <t>71d505f8-8f08-41c4-be5c-0f3344c5adc7</t>
  </si>
  <si>
    <t>lignite dust factory</t>
  </si>
  <si>
    <t>3a587723-2f68-4a9f-88bb-7ff78b08c42b</t>
  </si>
  <si>
    <t>lignite power plant</t>
  </si>
  <si>
    <t>91fa7330-6eda-4832-a45f-9ab769c8c53a</t>
  </si>
  <si>
    <t>lime</t>
  </si>
  <si>
    <t>a00b7e35-1bc7-4b73-9df8-05f3dd07ffdb</t>
  </si>
  <si>
    <t>lime mortar</t>
  </si>
  <si>
    <t>54c5d36f-9e67-4aa5-b252-63472eab115d</t>
  </si>
  <si>
    <t>lime, hydrated, loose weight</t>
  </si>
  <si>
    <t>e40cb987-863a-4eb1-9e2d-f6e78320288f</t>
  </si>
  <si>
    <t>lime, hydrated, packed</t>
  </si>
  <si>
    <t>b055cb73-3656-4bb2-b53c-928352e1e8ac</t>
  </si>
  <si>
    <t>lime, hydraulic</t>
  </si>
  <si>
    <t>7b8b6416-68c0-4f2d-ad8a-f1177a132064</t>
  </si>
  <si>
    <t>lime, packed</t>
  </si>
  <si>
    <t>9394b900-bc1b-40b4-b9f0-90c5c9d6b734</t>
  </si>
  <si>
    <t>limestone and gypsum application, by spreader</t>
  </si>
  <si>
    <t>f054b1e6-24cd-4d22-a001-1271cfa17a83</t>
  </si>
  <si>
    <t>limestone quarry infrastructure</t>
  </si>
  <si>
    <t>1e278342-7e3b-426d-b000-58eab8104573</t>
  </si>
  <si>
    <t>limestone, crushed, for mill</t>
  </si>
  <si>
    <t>6dff6412-4b37-4689-8187-f07be186feef</t>
  </si>
  <si>
    <t>limestone, crushed, washed</t>
  </si>
  <si>
    <t>64cea105-f89a-4f95-ae44-84ff904a28fc</t>
  </si>
  <si>
    <t>limestone, unprocessed</t>
  </si>
  <si>
    <t>cf8c95e1-aa88-4d23-9d83-065a935387d3</t>
  </si>
  <si>
    <t>linseed</t>
  </si>
  <si>
    <t>9d858a25-0611-42a3-a3ec-716d50d7a774</t>
  </si>
  <si>
    <t>linseed seed, at farm</t>
  </si>
  <si>
    <t>8f9224c9-e27d-4426-aaea-6ecbe5d91059</t>
  </si>
  <si>
    <t>linseed seed, for sowing</t>
  </si>
  <si>
    <t>1186b5ec-21f3-490a-b913-75589c6ab500</t>
  </si>
  <si>
    <t>liquefied petroleum gas</t>
  </si>
  <si>
    <t>9d447e1a-a41a-43ac-b374-d0fc6dcb61df</t>
  </si>
  <si>
    <t>liquid crystal display, minor components, auxilliaries and assembly effort</t>
  </si>
  <si>
    <t>de1a4768-f570-4882-a0ef-3315a5aa3fdc</t>
  </si>
  <si>
    <t>liquid crystal display, unmounted</t>
  </si>
  <si>
    <t>ecbc2b9a-4f18-46c9-ad88-89b903e6f699</t>
  </si>
  <si>
    <t>liquid crystal display, unmounted, mobile device</t>
  </si>
  <si>
    <t>194d960e-34dc-532f-9a04-2197659f24ca</t>
  </si>
  <si>
    <t>liquid manure spreading, by vacuum tanker</t>
  </si>
  <si>
    <t>a2193d6a-1c79-42de-aa16-355543601b4e</t>
  </si>
  <si>
    <t>liquid manure storage and processing facility</t>
  </si>
  <si>
    <t>b4f996b6-e48a-4558-9392-870006b8f521</t>
  </si>
  <si>
    <t>liquid manure tank trailer</t>
  </si>
  <si>
    <t>6523c63f-40e2-4944-a5c7-16d9ed7b27f6</t>
  </si>
  <si>
    <t>liquid packaging board</t>
  </si>
  <si>
    <t>da32bb23-2d5e-4c85-9886-bb5a8cee78c4</t>
  </si>
  <si>
    <t>liquid packaging board container</t>
  </si>
  <si>
    <t>5048f36a-990d-4188-9834-7792f51cad69</t>
  </si>
  <si>
    <t>liquid storage tank, chemicals, organics</t>
  </si>
  <si>
    <t>d70a78f3-59d1-4a4f-8c5f-a3d0366e510a</t>
  </si>
  <si>
    <t>lithium</t>
  </si>
  <si>
    <t>787e03e9-2909-4799-9df3-010d7c3f3fbf</t>
  </si>
  <si>
    <t>lithium brine, 6.7 % Li</t>
  </si>
  <si>
    <t>33a2a10c-d509-4fbb-beac-594f370b239e</t>
  </si>
  <si>
    <t>lithium carbonate</t>
  </si>
  <si>
    <t>2ffc27c3-c08c-4d6e-a91d-98cf4765e065</t>
  </si>
  <si>
    <t>lithium chloride</t>
  </si>
  <si>
    <t>075b8c5b-9971-4507-a2c1-10007c232a14</t>
  </si>
  <si>
    <t>lithium fluoride</t>
  </si>
  <si>
    <t>9d95f182-a0b7-4c34-a617-6d05dee99486</t>
  </si>
  <si>
    <t>lithium hexafluorophosphate</t>
  </si>
  <si>
    <t>3410b185-400e-4ffe-8843-c7bdc88124b9</t>
  </si>
  <si>
    <t>lithium hydroxide</t>
  </si>
  <si>
    <t>a7660432-3c81-4bf5-a639-dfc1300136e8</t>
  </si>
  <si>
    <t>lithium manganese oxide</t>
  </si>
  <si>
    <t>18a6365f-6659-46d3-8e04-85235c2109cb</t>
  </si>
  <si>
    <t>locomotive</t>
  </si>
  <si>
    <t>8fd36c21-4d56-4f8d-b2d2-0cbe7dc9b619</t>
  </si>
  <si>
    <t>long liner maintenance, steel</t>
  </si>
  <si>
    <t>bc72b420-b5a0-4f3a-93e8-c3002fdca6dd</t>
  </si>
  <si>
    <t>long liner, steel</t>
  </si>
  <si>
    <t>ca6f1ac4-edb1-417c-a56d-aecd7d9fb0ae</t>
  </si>
  <si>
    <t>lorry with refrigeration machine, carbon dioxide, liquid as refrigerant, 16 metric ton</t>
  </si>
  <si>
    <t>0e9aeb91-fcd9-4e80-9952-878268e885cf</t>
  </si>
  <si>
    <t>lorry with refrigeration machine, R134a as refrigerant, 16 metric ton</t>
  </si>
  <si>
    <t>48853019-3acd-40ac-9685-b7bb308e2e2a</t>
  </si>
  <si>
    <t>lorry, 16 metric ton</t>
  </si>
  <si>
    <t>1603f6f1-73ff-47f5-a984-e8c1f888400b</t>
  </si>
  <si>
    <t>lorry, 28 metric ton</t>
  </si>
  <si>
    <t>703d4093-582b-40f5-9ff6-58d533120fec</t>
  </si>
  <si>
    <t>lorry, 40 metric ton</t>
  </si>
  <si>
    <t>3db648b2-8b8a-46c4-8e69-4ab60453b65f</t>
  </si>
  <si>
    <t>low voltage system, for Li-ion battery</t>
  </si>
  <si>
    <t>0cd164f3-86b7-46e5-aab9-5192d7be6303</t>
  </si>
  <si>
    <t>lubricating oil</t>
  </si>
  <si>
    <t>ea75b944-c676-4a13-85b8-2bea98f765a4</t>
  </si>
  <si>
    <t>lutetium oxide</t>
  </si>
  <si>
    <t>770a59c7-501a-56a8-988a-86d8a2d8f309</t>
  </si>
  <si>
    <t>machine operation, diesel, &lt; 18.64 kW, generators</t>
  </si>
  <si>
    <t>637b1880-31ae-4205-ad16-064b9069a97c</t>
  </si>
  <si>
    <t>machine operation, diesel, &lt; 18.64 kW, high load factor</t>
  </si>
  <si>
    <t>77f87b3f-c9f9-4693-b611-a1fe6011994a</t>
  </si>
  <si>
    <t>machine operation, diesel, &lt; 18.64 kW, low load factor</t>
  </si>
  <si>
    <t>4ded4b10-8c5a-41bf-9098-0194fc46b639</t>
  </si>
  <si>
    <t>machine operation, diesel, &lt; 18.64 kW, steady-state</t>
  </si>
  <si>
    <t>6fd6b3c8-1ee7-4a23-8291-e3f0f22f22a7</t>
  </si>
  <si>
    <t>machine operation, diesel, &lt; 18.64 kW, underground mining</t>
  </si>
  <si>
    <t>bfc12aad-8c6e-42de-a21a-3a12c7d0ca1d</t>
  </si>
  <si>
    <t>machine operation, diesel, &gt;= 18.64 kW and &lt; 74.57 kW, generators</t>
  </si>
  <si>
    <t>ade045ad-e180-490f-8257-d18e19a04185</t>
  </si>
  <si>
    <t>machine operation, diesel, &gt;= 18.64 kW and &lt; 74.57 kW, high load factor</t>
  </si>
  <si>
    <t>08fee6e0-0099-4c24-accb-6091eab79734</t>
  </si>
  <si>
    <t>machine operation, diesel, &gt;= 18.64 kW and &lt; 74.57 kW, low load factor</t>
  </si>
  <si>
    <t>ccc0dc40-fff9-4ff8-9573-bf5d210ab6fa</t>
  </si>
  <si>
    <t>machine operation, diesel, &gt;= 18.64 kW and &lt; 74.57 kW, steady-state</t>
  </si>
  <si>
    <t>030944cf-3547-4c0a-9966-43e937518207</t>
  </si>
  <si>
    <t>machine operation, diesel, &gt;= 18.64 kW and &lt; 74.57 kW, underground mining</t>
  </si>
  <si>
    <t>ab0f60cf-75ca-4b4a-85a9-41ab9cf836b5</t>
  </si>
  <si>
    <t>machine operation, diesel, &gt;= 74.57 kW, generators</t>
  </si>
  <si>
    <t>f6c1a87c-550f-41eb-91b4-173b45e8a952</t>
  </si>
  <si>
    <t>machine operation, diesel, &gt;= 74.57 kW, high load factor</t>
  </si>
  <si>
    <t>02c2d195-aace-48ca-87ce-5c29315465ab</t>
  </si>
  <si>
    <t>machine operation, diesel, &gt;= 74.57 kW, low load factor</t>
  </si>
  <si>
    <t>d5863802-d93f-4c5e-a028-bc34668ef3c5</t>
  </si>
  <si>
    <t>machine operation, diesel, &gt;= 74.57 kW, steady-state</t>
  </si>
  <si>
    <t>1e5f6bc5-c1aa-43e2-8ae0-50aa17a6a88a</t>
  </si>
  <si>
    <t>machine operation, diesel, &gt;= 74.57, underground mining</t>
  </si>
  <si>
    <t>5784188e-2165-4f47-9926-06735ab10e2d</t>
  </si>
  <si>
    <t>machine, for treatment of waste electric and electronic equipment</t>
  </si>
  <si>
    <t>e979b45b-6fca-4015-b6dd-c3fc01e8338f</t>
  </si>
  <si>
    <t>magnesium</t>
  </si>
  <si>
    <t>1d344632-354d-4d3f-9f6c-da038a3bd491</t>
  </si>
  <si>
    <t>magnesium chloride, from titanium sponge production</t>
  </si>
  <si>
    <t>27406b61-9f47-4647-bf10-c3f60c69ee91</t>
  </si>
  <si>
    <t>magnesium factory</t>
  </si>
  <si>
    <t>531504af-294f-4b4e-b935-783ed2c616d1</t>
  </si>
  <si>
    <t>magnesium oxide</t>
  </si>
  <si>
    <t>dd70763b-fb75-4d80-a469-03e3c9cee9cb</t>
  </si>
  <si>
    <t>magnesium sulfate</t>
  </si>
  <si>
    <t>0b9fafd6-2b18-4ec6-a155-26ce0685cffc</t>
  </si>
  <si>
    <t>magnesium, for reuse in titanium sponge production</t>
  </si>
  <si>
    <t>bef7d0b3-c9d9-46db-a67d-2c9e550f2c12</t>
  </si>
  <si>
    <t>magnesium-alloy, AZ91</t>
  </si>
  <si>
    <t>0df59074-806a-4246-aed7-4962db009117</t>
  </si>
  <si>
    <t>magnesium-alloy, AZ91, diecast</t>
  </si>
  <si>
    <t>b77c44e6-9d76-47c3-8f45-4e68ebf7dfff</t>
  </si>
  <si>
    <t>magnetite</t>
  </si>
  <si>
    <t>bb73c354-cfef-4666-8d3d-195a5b7e5436</t>
  </si>
  <si>
    <t>maintenance, barge</t>
  </si>
  <si>
    <t>8fda3621-abdb-4d90-bec5-87ced6183e4f</t>
  </si>
  <si>
    <t>3315:Repair of transport equipment, except motor vehicles</t>
  </si>
  <si>
    <t>maintenance, bicycle</t>
  </si>
  <si>
    <t>4550c693-37f5-465b-99d1-3f3497380dfb</t>
  </si>
  <si>
    <t>9529:Repair of other personal and household goods</t>
  </si>
  <si>
    <t>maintenance, bulk carrier, for dry goods</t>
  </si>
  <si>
    <t>8ac15e74-9686-4581-92f0-6d92c374ec36</t>
  </si>
  <si>
    <t>maintenance, bus</t>
  </si>
  <si>
    <t>8aaef912-67db-46e5-ae88-e6e8350aadf5</t>
  </si>
  <si>
    <t>4520:Maintenance and repair of motor vehicles</t>
  </si>
  <si>
    <t>maintenance, container ship</t>
  </si>
  <si>
    <t>1b4ebfef-d9b6-4e3b-bf86-10b5b1a85819</t>
  </si>
  <si>
    <t>maintenance, electric bicycle</t>
  </si>
  <si>
    <t>9040b422-91d3-4210-aa55-80d5fceab582</t>
  </si>
  <si>
    <t>4540:Sale, maintenance and repair of motorcycles and related parts and accessori</t>
  </si>
  <si>
    <t>maintenance, electric scooter, without battery</t>
  </si>
  <si>
    <t>90c3c146-16ab-4e66-9cb5-424629767a3b</t>
  </si>
  <si>
    <t>maintenance, ferry</t>
  </si>
  <si>
    <t>c3a39147-180b-465a-bf4e-85e942b0528b</t>
  </si>
  <si>
    <t>maintenance, goods wagon</t>
  </si>
  <si>
    <t>60868859-3e43-4bec-99f4-c704995ac437</t>
  </si>
  <si>
    <t>maintenance, heat and power co-generation unit, 160kW electrical</t>
  </si>
  <si>
    <t>975eca2c-0129-41cc-b920-2394b205994f</t>
  </si>
  <si>
    <t>3314:Repair of electrical equipment</t>
  </si>
  <si>
    <t>maintenance, intermodal shipping container, 20-foot</t>
  </si>
  <si>
    <t>5f0fa58f-ce17-47de-8e77-88f2d81a0a58</t>
  </si>
  <si>
    <t>maintenance, intermodal shipping container, 40-foot</t>
  </si>
  <si>
    <t>a2432f6a-e9c4-45b8-a9d9-090b3fa3fd4c</t>
  </si>
  <si>
    <t>maintenance, intermodal shipping container, 40-foot, high-cube</t>
  </si>
  <si>
    <t>a760d18f-3523-499e-be13-1aea7a6a1508</t>
  </si>
  <si>
    <t>maintenance, intermodal shipping container, 45-foot, high-cube</t>
  </si>
  <si>
    <t>16136a19-dd80-4dfd-92df-3fb0299cf344</t>
  </si>
  <si>
    <t>maintenance, light commercial vehicle</t>
  </si>
  <si>
    <t>eea4367a-96f1-46ca-8c58-8857714fc670</t>
  </si>
  <si>
    <t>maintenance, locomotive</t>
  </si>
  <si>
    <t>936fda7f-9042-4cb5-8094-c79c951529f9</t>
  </si>
  <si>
    <t>maintenance, lorry 16 metric ton</t>
  </si>
  <si>
    <t>ee9dfb6d-f51c-46b9-bb98-84e173127957</t>
  </si>
  <si>
    <t>maintenance, lorry 28 metric ton</t>
  </si>
  <si>
    <t>66cb9d31-9dcf-4b71-9ccb-5b3b282a48c6</t>
  </si>
  <si>
    <t>maintenance, lorry 40 metric ton</t>
  </si>
  <si>
    <t>cfbe1a0b-5451-4fc0-981c-c9f08cecb2fa</t>
  </si>
  <si>
    <t>maintenance, micro gas turbine, 100kW electrical</t>
  </si>
  <si>
    <t>ab174bb8-0dd0-4d99-8e15-dd786894f664</t>
  </si>
  <si>
    <t>maintenance, mini CHP plant</t>
  </si>
  <si>
    <t>8c6447d2-fbe1-49dd-8a29-8b3c843e719f</t>
  </si>
  <si>
    <t>maintenance, motor scooter</t>
  </si>
  <si>
    <t>47db64ec-c8e9-4979-b22e-9f0c380966f5</t>
  </si>
  <si>
    <t>maintenance, passenger car, electric, without battery</t>
  </si>
  <si>
    <t>f5944d71-0b10-4275-b5e3-850cc72edcb8</t>
  </si>
  <si>
    <t>maintenance, polymer electrolyte membrane fuel cell, 2kW electrical</t>
  </si>
  <si>
    <t>4eba3611-b4c8-493c-b67f-ba98c9c23ad0</t>
  </si>
  <si>
    <t>maintenance, reefer, intermodal shipping container, 40-foot, high-cube</t>
  </si>
  <si>
    <t>45e70a1c-003a-4255-bc50-30e2507a4245</t>
  </si>
  <si>
    <t>maintenance, refrigeration machine</t>
  </si>
  <si>
    <t>9871ec46-7f23-4cf6-8e57-6250d3b2835e</t>
  </si>
  <si>
    <t>maintenance, solid oxide fuel cell, 125kW electrical, future</t>
  </si>
  <si>
    <t>a09f846f-9ebe-4c3e-aad2-dc411a40a27d</t>
  </si>
  <si>
    <t>maintenance, solid oxide fuel cell, with micro gas turbine, 180kW electrical, future</t>
  </si>
  <si>
    <t>f789bd15-b658-4ec2-b4ea-48ad0d6a94a1</t>
  </si>
  <si>
    <t>maintenance, stirling heat and power co-generation unit, 3kW electrical, wood pellet, future</t>
  </si>
  <si>
    <t>c2c0d6bb-e4dd-436f-b4f5-bb7771ebe964</t>
  </si>
  <si>
    <t>maintenance, tanker for liquid goods other than petroleum and liquefied natural gas</t>
  </si>
  <si>
    <t>c40ec699-325c-4c15-939c-cccf5a424673</t>
  </si>
  <si>
    <t>maintenance, tanker, for liquefied natural gas</t>
  </si>
  <si>
    <t>8aebcdc1-ce3d-4a7d-a2fd-7a6d653b924d</t>
  </si>
  <si>
    <t>maintenance, tanker, for petroleum</t>
  </si>
  <si>
    <t>a6f8b356-8096-4597-8d3a-0e8733d14c6a</t>
  </si>
  <si>
    <t>maintenance, train, passenger, high-speed</t>
  </si>
  <si>
    <t>3c7c79f6-f850-44f5-bf8d-b434adeff91b</t>
  </si>
  <si>
    <t>maintenance, train, passenger, long distance</t>
  </si>
  <si>
    <t>2433f36d-f23c-4232-8078-6e5a91ee90e1</t>
  </si>
  <si>
    <t>maintenance, train, passenger, regional</t>
  </si>
  <si>
    <t>77ad4afc-8c88-4eff-b97a-196070f0137a</t>
  </si>
  <si>
    <t>maintenance, tram</t>
  </si>
  <si>
    <t>f62f9230-918a-4876-b361-94f17166d5fd</t>
  </si>
  <si>
    <t>maize chop</t>
  </si>
  <si>
    <t>e44c925e-8055-4a03-9c62-4622612d3b58</t>
  </si>
  <si>
    <t>maize flour</t>
  </si>
  <si>
    <t>5e5e458a-c9d5-4bce-80d2-3633fb8fd0c7</t>
  </si>
  <si>
    <t>maize grain</t>
  </si>
  <si>
    <t>dadc7057-9041-4fae-893c-20aba9725f29</t>
  </si>
  <si>
    <t>maize grain, feed</t>
  </si>
  <si>
    <t>aefadd6b-01e9-48ff-b4a1-2c3c8e0d79ca</t>
  </si>
  <si>
    <t>maize grain, feed, organic</t>
  </si>
  <si>
    <t>b33c0cdb-486f-4421-9056-30c5ea6111b0</t>
  </si>
  <si>
    <t>maize grain, feed, Swiss integrated production</t>
  </si>
  <si>
    <t>4d5f8ab4-0fc9-4eeb-b7db-e4ba74d6ee72</t>
  </si>
  <si>
    <t>maize grain, organic</t>
  </si>
  <si>
    <t>cdccd54d-18bc-4d6c-989e-655ca82ed390</t>
  </si>
  <si>
    <t>maize grain, Swiss integrated production</t>
  </si>
  <si>
    <t>bf1e3419-4be1-4ff9-8923-36216d587c0b</t>
  </si>
  <si>
    <t>maize seed, at farm</t>
  </si>
  <si>
    <t>472284bd-85de-4dd1-9bc4-56d360d0dd5d</t>
  </si>
  <si>
    <t>maize seed, for sowing</t>
  </si>
  <si>
    <t>cff23b42-5fa8-471b-b6fb-8a2cca249ca8</t>
  </si>
  <si>
    <t>maize seed, organic, at farm</t>
  </si>
  <si>
    <t>c538baa8-11c9-4064-b3e2-9faba21c6a9b</t>
  </si>
  <si>
    <t>maize seed, organic, for sowing</t>
  </si>
  <si>
    <t>ae2656f5-6d14-462d-972a-4c598951a405</t>
  </si>
  <si>
    <t>maize seed, Swiss integrated production, at farm</t>
  </si>
  <si>
    <t>92230601-ebf2-49ec-a12d-6da72af41b55</t>
  </si>
  <si>
    <t>maize seed, Swiss integrated production, for sowing</t>
  </si>
  <si>
    <t>148605cd-f12e-4e7f-86f9-8464138d456d</t>
  </si>
  <si>
    <t>maize silage</t>
  </si>
  <si>
    <t>ff843823-88e5-4020-aff6-2e33dcfc0983</t>
  </si>
  <si>
    <t>maize silage, organic</t>
  </si>
  <si>
    <t>4a99e09a-1048-4a38-b2b3-15f4b0899e3d</t>
  </si>
  <si>
    <t>maize silage, Swiss integrated production</t>
  </si>
  <si>
    <t>f68e14fa-daa3-4f77-b92e-ea115200544e</t>
  </si>
  <si>
    <t>maize starch</t>
  </si>
  <si>
    <t>c4ed73ce-ed64-4823-96d9-5661c11c6941</t>
  </si>
  <si>
    <t>maleic anhydride</t>
  </si>
  <si>
    <t>4c2b6470-79f6-40e4-b6c0-08a769c9ab04</t>
  </si>
  <si>
    <t>maleic unsaturated polyester resin</t>
  </si>
  <si>
    <t>5c57b4dd-48da-4182-b43a-18b99419efd0</t>
  </si>
  <si>
    <t>malusil</t>
  </si>
  <si>
    <t>6091f125-619d-40df-b73e-a7b8c6692380</t>
  </si>
  <si>
    <t>mancozeb</t>
  </si>
  <si>
    <t>0589d085-d626-4d8a-9282-6792572007d4</t>
  </si>
  <si>
    <t>mandarin</t>
  </si>
  <si>
    <t>9c6b672a-661e-40c3-a9a0-902b33cc6871</t>
  </si>
  <si>
    <t>mandarin, fresh grade</t>
  </si>
  <si>
    <t>0b588bb3-b211-420e-80ed-f6f4fba01f8a</t>
  </si>
  <si>
    <t>mandarin, processing grade</t>
  </si>
  <si>
    <t>ec4fd0d0-b3f5-4585-a2f9-98240429eac3</t>
  </si>
  <si>
    <t>manganese</t>
  </si>
  <si>
    <t>f42f6024-a63f-4cf7-9f70-4f40380a062e</t>
  </si>
  <si>
    <t>manganese concentrate</t>
  </si>
  <si>
    <t>03de3d31-34fb-4ed9-872d-4acd5ebd7a92</t>
  </si>
  <si>
    <t>manganese dioxide</t>
  </si>
  <si>
    <t>d446ae6b-d959-46d3-9aed-d49975de7750</t>
  </si>
  <si>
    <t>manganese sulfate</t>
  </si>
  <si>
    <t>773ddd01-c21c-416a-b314-e7af97aa0abd</t>
  </si>
  <si>
    <t>manganese(III) oxide</t>
  </si>
  <si>
    <t>9acb5363-c38a-4f1e-888a-8ce593349224</t>
  </si>
  <si>
    <t>mango</t>
  </si>
  <si>
    <t>bbe8bc6e-c638-4b6a-9cb7-4c5baae9f32d</t>
  </si>
  <si>
    <t>mango seedling, for planting</t>
  </si>
  <si>
    <t>5060225e-6ea5-4842-90d0-a1971c92dfc5</t>
  </si>
  <si>
    <t>mango, conditioned</t>
  </si>
  <si>
    <t>ad203eea-c27a-4232-94aa-f0a5418de3a5</t>
  </si>
  <si>
    <t>manual dismantling of electric scooter</t>
  </si>
  <si>
    <t>bcea7f64-3e42-4970-88d5-7b4790cedb6c</t>
  </si>
  <si>
    <t>manual dismantling of used electric passenger car</t>
  </si>
  <si>
    <t>86a4e7b0-1fe2-4079-bfc6-5a6649ab48b9</t>
  </si>
  <si>
    <t>manual dismantling of used passenger car with internal combustion engine</t>
  </si>
  <si>
    <t>2ebacd8f-d089-443d-a84c-c2dbd254d3c7</t>
  </si>
  <si>
    <t>manual treatment facility, waste electric and electronic equipment</t>
  </si>
  <si>
    <t>02d701b2-585f-4c5d-9c7c-31ad3a4438c5</t>
  </si>
  <si>
    <t>manure, liquid, cattle</t>
  </si>
  <si>
    <t>ad551fe0-84c5-471a-9acf-b7d2204fdb65</t>
  </si>
  <si>
    <t>manure, liquid, swine</t>
  </si>
  <si>
    <t>6c50f204-1e98-422e-b20c-70088087f505</t>
  </si>
  <si>
    <t>manure, solid, cattle</t>
  </si>
  <si>
    <t>ed56bc72-4186-40ab-a961-b8c0b49b64c8</t>
  </si>
  <si>
    <t>marine electric motor</t>
  </si>
  <si>
    <t>5a0f1c80-32cf-4b93-804c-d36df2cbd10d</t>
  </si>
  <si>
    <t>marine engine</t>
  </si>
  <si>
    <t>8eea8087-3f23-44e6-8acf-c15f2f21a528</t>
  </si>
  <si>
    <t>marine fish</t>
  </si>
  <si>
    <t>a459eea1-4e62-4daf-9135-1aea9805aa90</t>
  </si>
  <si>
    <t>mastic asphalt</t>
  </si>
  <si>
    <t>f2c644de-0c8d-4194-83fb-02e1e83d04ab</t>
  </si>
  <si>
    <t>mattress</t>
  </si>
  <si>
    <t>0600b4a8-f284-47d9-87d8-3a18c3f3da1b</t>
  </si>
  <si>
    <t>meat and bone meal</t>
  </si>
  <si>
    <t>9e36204d-dec9-4fb1-98d6-d84febd5df2c</t>
  </si>
  <si>
    <t>mechanical treatment facility, waste electric and electronic equipment</t>
  </si>
  <si>
    <t>5b8f9aa6-d6f1-4db4-9831-77a3eac665c2</t>
  </si>
  <si>
    <t>mecoprop</t>
  </si>
  <si>
    <t>1725bc7a-ae6b-4584-bd36-7dfbf52a0b3b</t>
  </si>
  <si>
    <t>medium density fibreboard</t>
  </si>
  <si>
    <t>84ba8ece-ce7e-4578-aa57-902aef866ea5</t>
  </si>
  <si>
    <t>melamine</t>
  </si>
  <si>
    <t>29f1bd80-fd37-4539-b779-372eb00fd5c6</t>
  </si>
  <si>
    <t>melamine formaldehyde resin</t>
  </si>
  <si>
    <t>10d65b66-177a-4c93-a984-ef986f6a8fe4</t>
  </si>
  <si>
    <t>melamine urea formaldehyde adhesive</t>
  </si>
  <si>
    <t>3b1ed771-fa76-4ee0-9e45-813909cd5538</t>
  </si>
  <si>
    <t>melon</t>
  </si>
  <si>
    <t>9ad7f2d2-18aa-45e1-9798-8cf8c26ea2ac</t>
  </si>
  <si>
    <t>mercerizing, textile</t>
  </si>
  <si>
    <t>bef3be43-1038-4afc-9879-0f1d647c77f4</t>
  </si>
  <si>
    <t>mercury</t>
  </si>
  <si>
    <t>ae88c1ea-eafe-4a5c-b49d-181f059058e4</t>
  </si>
  <si>
    <t>metal catalyst for catalytic converter</t>
  </si>
  <si>
    <t>4b59aa3a-7916-4a31-9008-eddcdd7b9e0d</t>
  </si>
  <si>
    <t>metal coating facility</t>
  </si>
  <si>
    <t>88d505a1-3996-4b69-941c-ba500a9f0ee5</t>
  </si>
  <si>
    <t>metal part of electronics scrap, in copper, anode</t>
  </si>
  <si>
    <t>df9c0823-333f-4d7e-992f-f238d38a783b</t>
  </si>
  <si>
    <t>metal working factory</t>
  </si>
  <si>
    <t>f5bfce90-cc98-41d4-b49a-e82d57550d38</t>
  </si>
  <si>
    <t>metal working machine, unspecified</t>
  </si>
  <si>
    <t>254f15c9-25c1-4f01-a416-5c1359124d97</t>
  </si>
  <si>
    <t>2822:Manufacture of metal-forming machinery and machine tools</t>
  </si>
  <si>
    <t>metal working, average for aluminium product manufacturing</t>
  </si>
  <si>
    <t>8c3b8032-b310-4dfe-9a9b-93fbd369142d</t>
  </si>
  <si>
    <t>metal working, average for chromium steel product manufacturing</t>
  </si>
  <si>
    <t>a5fc651b-3ee2-405f-b2f0-d035c8132be1</t>
  </si>
  <si>
    <t>metal working, average for copper product manufacturing</t>
  </si>
  <si>
    <t>ec161f58-adae-4afc-ba38-14659925b080</t>
  </si>
  <si>
    <t>metal working, average for metal product manufacturing</t>
  </si>
  <si>
    <t>a95983e3-7f9d-49aa-934a-0ce56b0d2cfc</t>
  </si>
  <si>
    <t>metal working, average for steel product manufacturing</t>
  </si>
  <si>
    <t>79632c4b-f876-4c89-bf27-b864b30566be</t>
  </si>
  <si>
    <t>metaldehyde</t>
  </si>
  <si>
    <t>634aa463-5085-4064-9e0c-a3fedcacedb8</t>
  </si>
  <si>
    <t>metalliferous hydroxide sludge</t>
  </si>
  <si>
    <t>5ef99ef1-ca53-43b8-bdf3-ecdc75c75cea</t>
  </si>
  <si>
    <t>metallization paste, back side</t>
  </si>
  <si>
    <t>cbe1833b-7077-4f2e-b2a6-813367d7d5ce</t>
  </si>
  <si>
    <t>metallization paste, back side, aluminium</t>
  </si>
  <si>
    <t>23a54f87-5cde-48c8-baf2-08bc90cafacd</t>
  </si>
  <si>
    <t>metallization paste, front side</t>
  </si>
  <si>
    <t>5deae761-b26c-4c35-98f8-bacc517cebbb</t>
  </si>
  <si>
    <t>metamitron</t>
  </si>
  <si>
    <t>b47b9c9a-6a79-4a66-a5ac-0ff98a618084</t>
  </si>
  <si>
    <t>meta-phenylene diamine</t>
  </si>
  <si>
    <t>b5b00348-27aa-4e3d-ba64-1e7ac45b903e</t>
  </si>
  <si>
    <t>methacrylic acid</t>
  </si>
  <si>
    <t>bb40c6e9-0cb7-4b82-9b90-114a9cd2b725</t>
  </si>
  <si>
    <t>methane sulfonic acid</t>
  </si>
  <si>
    <t>0dbbb96b-d94e-4596-8a63-7d8340ac45b5</t>
  </si>
  <si>
    <t>methanol</t>
  </si>
  <si>
    <t>4a0b47d3-c643-4b67-841b-b5689787f7a1</t>
  </si>
  <si>
    <t>methanol factory</t>
  </si>
  <si>
    <t>e72d8476-375c-4dfc-91b3-1ec2caf9595d</t>
  </si>
  <si>
    <t>methanol, from biomass</t>
  </si>
  <si>
    <t>cd76f468-9b44-410f-a4e1-908b90e7bd81</t>
  </si>
  <si>
    <t>methyl acetate</t>
  </si>
  <si>
    <t>bd9f3f8b-c561-4604-b683-4e53f704bd02</t>
  </si>
  <si>
    <t>methyl acrylate</t>
  </si>
  <si>
    <t>815e3069-9ab7-4706-8402-48c22c72c688</t>
  </si>
  <si>
    <t>methyl ethyl ketone</t>
  </si>
  <si>
    <t>86e1bf02-e86a-479b-9051-710271dbd745</t>
  </si>
  <si>
    <t>methyl formate</t>
  </si>
  <si>
    <t>4c02e7e3-bfb1-4a9a-aaca-0d628305cdce</t>
  </si>
  <si>
    <t>methyl iodide</t>
  </si>
  <si>
    <t>1c38240e-a51d-4a2a-ac56-93637c1076c4</t>
  </si>
  <si>
    <t>methyl methacrylate</t>
  </si>
  <si>
    <t>20683f58-5507-405c-b466-33d6cfd8623c</t>
  </si>
  <si>
    <t>methyl tert-butyl ether</t>
  </si>
  <si>
    <t>e5ea965e-b329-45d1-8466-3b84b7be37fc</t>
  </si>
  <si>
    <t>methyl-3-methoxypropionate</t>
  </si>
  <si>
    <t>6a26760c-c3e0-471a-b212-aba328dbe3b2</t>
  </si>
  <si>
    <t>methylamine</t>
  </si>
  <si>
    <t>d5b53970-1acf-4175-9ecc-efa4002d09f2</t>
  </si>
  <si>
    <t>methylchloride</t>
  </si>
  <si>
    <t>07a9af51-381d-46b0-8ee1-1a494950a39a</t>
  </si>
  <si>
    <t>methylcyclohexane</t>
  </si>
  <si>
    <t>6fca1ede-045a-4395-827b-98f2e43ddef9</t>
  </si>
  <si>
    <t>methylcyclopentane</t>
  </si>
  <si>
    <t>3acc9da7-359e-47d1-978a-4640bd971436</t>
  </si>
  <si>
    <t>methylene diphenyl diisocyanate</t>
  </si>
  <si>
    <t>2ad4ce24-d7b3-4563-af94-911dd6c992b1</t>
  </si>
  <si>
    <t>metolachlor</t>
  </si>
  <si>
    <t>6fd2896a-5454-4651-a604-0b443424fbdb</t>
  </si>
  <si>
    <t>micro gas turbine, 100kW electrical</t>
  </si>
  <si>
    <t>93694de8-5f1b-461d-a223-f08025ec51d6</t>
  </si>
  <si>
    <t>microwave oven</t>
  </si>
  <si>
    <t>a90c5322-b943-44d1-8f95-bc7e31a72990</t>
  </si>
  <si>
    <t>milking</t>
  </si>
  <si>
    <t>83b9ad6d-7c88-4559-9012-a2e4fae07d59</t>
  </si>
  <si>
    <t>milking parlour</t>
  </si>
  <si>
    <t>e0224dd5-a071-4dae-ad9f-1bb93ad21a8f</t>
  </si>
  <si>
    <t>millet</t>
  </si>
  <si>
    <t>df2b8e39-d691-4f6b-8c9c-4c7a737d0b0b</t>
  </si>
  <si>
    <t>mine infrastructure, bauxite</t>
  </si>
  <si>
    <t>78b09546-7462-44dc-a6e4-0fb5ee027fa8</t>
  </si>
  <si>
    <t>mine infrastructure, gold</t>
  </si>
  <si>
    <t>515dd20c-c5ae-4beb-a5f8-0b67918c28d6</t>
  </si>
  <si>
    <t>mine infrastructure, gold and silver</t>
  </si>
  <si>
    <t>450d9dd6-4108-4f55-944e-87bc5bb0904e</t>
  </si>
  <si>
    <t>mine infrastructure, gold-silver-zinc-lead-copper</t>
  </si>
  <si>
    <t>8fe754b3-4475-431e-800f-1944ad7b25b6</t>
  </si>
  <si>
    <t>mine infrastructure, iron</t>
  </si>
  <si>
    <t>f7f51963-f414-4b75-8e23-f2d10707b8bb</t>
  </si>
  <si>
    <t>mine infrastructure, open cast, hard coal</t>
  </si>
  <si>
    <t>6895b410-8f47-4f65-be4f-b84bc193275b</t>
  </si>
  <si>
    <t>mine infrastructure, open cast, ilmenite from hard-rock ore</t>
  </si>
  <si>
    <t>3ae326bd-fb3a-432b-91f7-e50b0ca22d12</t>
  </si>
  <si>
    <t>mine infrastructure, open cast, lignite</t>
  </si>
  <si>
    <t>5b24ec04-17b1-45ef-8ef8-0c203296b608</t>
  </si>
  <si>
    <t>mine infrastructure, open cast, non-ferrous metal</t>
  </si>
  <si>
    <t>e39a7b45-96d1-4378-bd81-bc9306011535</t>
  </si>
  <si>
    <t>mine infrastructure, open cast, peat</t>
  </si>
  <si>
    <t>2950d93a-bd55-4449-ab91-c3ed613ea718</t>
  </si>
  <si>
    <t>0892:Extraction of peat</t>
  </si>
  <si>
    <t>mine infrastructure, open cast, uranium</t>
  </si>
  <si>
    <t>398a7f10-7d31-4fb4-9edb-2c859ff745f2</t>
  </si>
  <si>
    <t>0721:Mining of uranium and thorium ores</t>
  </si>
  <si>
    <t>mine infrastructure, phosphate rock</t>
  </si>
  <si>
    <t>ea514586-c3d1-430a-bb5e-fe15b8785085</t>
  </si>
  <si>
    <t>mine infrastructure, potash salt</t>
  </si>
  <si>
    <t>0bd7e3fc-8e16-4847-8a28-cdd87a81e0e5</t>
  </si>
  <si>
    <t>mine infrastructure, steatite</t>
  </si>
  <si>
    <t>9a590a5d-dd23-440f-881c-bbe66516c7b7</t>
  </si>
  <si>
    <t>mine infrastructure, treatment of sulfidic tailing, off-site, high gold content</t>
  </si>
  <si>
    <t>e87c04dc-0656-434a-8cbf-d4588950e227</t>
  </si>
  <si>
    <t>mine infrastructure, underground, hard coal</t>
  </si>
  <si>
    <t>cbb2faab-d09a-4de1-8f37-c4fdd5b27198</t>
  </si>
  <si>
    <t>mine infrastructure, underground, non-ferrous metal</t>
  </si>
  <si>
    <t>7473b8ec-7773-4af7-9547-bb1c31bf6877</t>
  </si>
  <si>
    <t>mine infrastructure, underground, uranium</t>
  </si>
  <si>
    <t>b1434945-2545-49f2-a6b4-1af59c98c0e5</t>
  </si>
  <si>
    <t>mine infrastructure, vermiculite</t>
  </si>
  <si>
    <t>86d59436-2abf-401a-a06a-540dda3392e0</t>
  </si>
  <si>
    <t>mineral supplement, for beef cattle</t>
  </si>
  <si>
    <t>fc458a34-8eed-427a-a5e0-c8e930422250</t>
  </si>
  <si>
    <t>mini CHP plant, common components for heat+electricity</t>
  </si>
  <si>
    <t>5a9a709b-5e05-4a46-8c71-510833c92d25</t>
  </si>
  <si>
    <t>mini CHP plant, components for electricity only</t>
  </si>
  <si>
    <t>f4ece674-b746-4776-8887-d1439a992156</t>
  </si>
  <si>
    <t>mini CHP plant, components for heat only</t>
  </si>
  <si>
    <t>bcdd52c5-3996-4cc4-8df1-d04e436e333a</t>
  </si>
  <si>
    <t>mint</t>
  </si>
  <si>
    <t>e4ba6d0a-c36e-47d3-8806-60337363393b</t>
  </si>
  <si>
    <t>mint seedling, for planting</t>
  </si>
  <si>
    <t>2bf774fd-4855-40e3-83f1-bbebd00557e2</t>
  </si>
  <si>
    <t>miscanthus rhizome, for planting</t>
  </si>
  <si>
    <t>d0c403f9-448c-4613-823d-ad280f96aaed</t>
  </si>
  <si>
    <t>miscanthus, chopped</t>
  </si>
  <si>
    <t>f1d341ae-3435-4f11-b13c-793634d849a4</t>
  </si>
  <si>
    <t>mischmetal</t>
  </si>
  <si>
    <t>474e7001-a158-4379-8793-e02f0c14bbfe</t>
  </si>
  <si>
    <t>mixed natural gas and biomethane, high pressure</t>
  </si>
  <si>
    <t>a1a4f552-de0b-43a4-9b78-a587ad989f68</t>
  </si>
  <si>
    <t>mobile cable yarder, trailer-mounted</t>
  </si>
  <si>
    <t>201f94da-f8fb-4832-91e2-51743b81de8b</t>
  </si>
  <si>
    <t>mobile cable yarder, truck-mounted, incl. processor</t>
  </si>
  <si>
    <t>adec03fd-9391-4604-8d30-1d1109b1d6e2</t>
  </si>
  <si>
    <t>molasses, from sugar beet</t>
  </si>
  <si>
    <t>26448127-c1ac-4f48-818a-5e8fd9cb1645</t>
  </si>
  <si>
    <t>molybdenite</t>
  </si>
  <si>
    <t>759783e0-89c4-486e-970a-5dcb2de165de</t>
  </si>
  <si>
    <t>molybdenum</t>
  </si>
  <si>
    <t>a9933f96-aeab-449a-9731-558b24af2d94</t>
  </si>
  <si>
    <t>molybdenum trioxide</t>
  </si>
  <si>
    <t>d7a15d6e-8959-4841-8404-b2094db330a7</t>
  </si>
  <si>
    <t>monoammonium phosphate</t>
  </si>
  <si>
    <t>d1567df0-6921-5a69-adb0-71cacf11683c</t>
  </si>
  <si>
    <t>monochlorobenzene</t>
  </si>
  <si>
    <t>0f04185b-5bd5-47c6-b259-c101f5ff47b5</t>
  </si>
  <si>
    <t>monochloropentafluoroethane</t>
  </si>
  <si>
    <t>0b33b0ad-73e3-421e-aca7-4838dac66977</t>
  </si>
  <si>
    <t>monoethanolamine</t>
  </si>
  <si>
    <t>ee245ab5-9f8d-4fe3-a739-ec656bbf9118</t>
  </si>
  <si>
    <t>morpholine</t>
  </si>
  <si>
    <t>b7e17d7a-3e05-524d-a27f-487a86f78949</t>
  </si>
  <si>
    <t>motor scooter, 50 cubic cm engine</t>
  </si>
  <si>
    <t>93a276cb-c88c-4fd2-81be-1005c720e285</t>
  </si>
  <si>
    <t>mounting, surface mount technology, Pb-containing solder</t>
  </si>
  <si>
    <t>7faf9733-74da-421c-b3b1-d3b7cba1e3ef</t>
  </si>
  <si>
    <t>mounting, surface mount technology, Pb-free solder</t>
  </si>
  <si>
    <t>ca2b5076-f230-473d-9272-da1a678b4f93</t>
  </si>
  <si>
    <t>mounting, through-hole technology, Pb-containing solder</t>
  </si>
  <si>
    <t>aca66a0c-0a30-4da2-b1a0-1c77bc60d1d9</t>
  </si>
  <si>
    <t>mounting, through-hole technology, Pb-free solder</t>
  </si>
  <si>
    <t>66084f92-4bed-46cb-931e-7ea8300c0972</t>
  </si>
  <si>
    <t>mowing, by motor mower</t>
  </si>
  <si>
    <t>0157f851-9e24-4d37-b8b0-4f688d3331d7</t>
  </si>
  <si>
    <t>mowing, by rotary mower</t>
  </si>
  <si>
    <t>479ce50b-7465-4ee0-ada2-81418055c725</t>
  </si>
  <si>
    <t>MOX fuel element, for light water reactor</t>
  </si>
  <si>
    <t>b1efaf6a-5552-4de0-bc1d-b65796d9fb30</t>
  </si>
  <si>
    <t>mulberry leaves</t>
  </si>
  <si>
    <t>1c48620b-9172-5e85-90ae-e2a0b73dbf6f</t>
  </si>
  <si>
    <t>mulching</t>
  </si>
  <si>
    <t>acbdd8f0-1d54-43c1-8b3c-f130160ebc08</t>
  </si>
  <si>
    <t>multi-Si wafer</t>
  </si>
  <si>
    <t>29ceec7a-ef32-4917-acae-092fab0ffee2</t>
  </si>
  <si>
    <t>multi-Si wafer, ribbon</t>
  </si>
  <si>
    <t>055fef90-cc32-43a7-9532-72ea77dd12a3</t>
  </si>
  <si>
    <t>municipal waste collection service by 21 metric ton lorry</t>
  </si>
  <si>
    <t>53705574-11eb-4007-80f7-790ebd91374a</t>
  </si>
  <si>
    <t>t*km</t>
  </si>
  <si>
    <t>Units of mass*length</t>
  </si>
  <si>
    <t>Goods transport (mass*distance)</t>
  </si>
  <si>
    <t>municipal waste incineration facility</t>
  </si>
  <si>
    <t>a0e53510-b90b-43ba-80cc-7600f5da004f</t>
  </si>
  <si>
    <t>mustard</t>
  </si>
  <si>
    <t>315e2112-33e3-431d-891c-58a24fee409f</t>
  </si>
  <si>
    <t>N,N-dimethylformamide</t>
  </si>
  <si>
    <t>16303e09-077e-4532-98c2-95fae1eb66fb</t>
  </si>
  <si>
    <t>naphtha</t>
  </si>
  <si>
    <t>27a3ac7b-e31a-48da-84f5-8dbdcb96e565</t>
  </si>
  <si>
    <t>naphthalene sulfonic acid</t>
  </si>
  <si>
    <t>08342471-1d67-4cb8-b89a-e7f686900079</t>
  </si>
  <si>
    <t>napropamide</t>
  </si>
  <si>
    <t>7184e4fa-479d-43a3-8140-17c80f1dd2fa</t>
  </si>
  <si>
    <t>natural gas liquids</t>
  </si>
  <si>
    <t>895b9704-1eef-4395-a880-cb5ca0001bba</t>
  </si>
  <si>
    <t>natural gas processing plant</t>
  </si>
  <si>
    <t>4da7438b-1508-4eb9-b58b-9e85fcf26801</t>
  </si>
  <si>
    <t>natural gas service station</t>
  </si>
  <si>
    <t>777f2fb7-39e4-490d-973f-10ac241af3da</t>
  </si>
  <si>
    <t>natural gas, burned in gas motor, for storage</t>
  </si>
  <si>
    <t>f641be92-9d7b-4880-9fcf-ab5a24ea2dad</t>
  </si>
  <si>
    <t>natural gas, high pressure</t>
  </si>
  <si>
    <t>a9007f10-7e39-4d50-8f4a-d6d03ce3d673</t>
  </si>
  <si>
    <t>natural gas, high pressure, vehicle grade</t>
  </si>
  <si>
    <t>f56d1311-8d94-40ca-a6ed-86dfb2dc63ea</t>
  </si>
  <si>
    <t>natural gas, liquefied</t>
  </si>
  <si>
    <t>1570a766-fe08-427f-94cb-6947995117ec</t>
  </si>
  <si>
    <t>natural gas, low pressure</t>
  </si>
  <si>
    <t>609fae33-2e89-4b99-8129-b1f80a6dda33</t>
  </si>
  <si>
    <t>natural gas, low pressure, vehicle grade</t>
  </si>
  <si>
    <t>11ff8303-778e-430d-a108-f714c99d47af</t>
  </si>
  <si>
    <t>natural gas, medium pressure, vehicle grade</t>
  </si>
  <si>
    <t>485b4fc4-90b7-4c36-9bb4-fd116ad34538</t>
  </si>
  <si>
    <t>natural gas, unprocessed, at extraction</t>
  </si>
  <si>
    <t>1138be18-2a09-45c2-8eeb-28cf53c3fc0b</t>
  </si>
  <si>
    <t>natural gas, vented</t>
  </si>
  <si>
    <t>24915790-23b1-4900-86ac-3b025be19c06</t>
  </si>
  <si>
    <t>0610:Extraction of crude petroleum</t>
  </si>
  <si>
    <t>natural stone plate, cut</t>
  </si>
  <si>
    <t>830c9ca4-7d7f-4380-ad45-1a1c154708f4</t>
  </si>
  <si>
    <t>2396:Cutting, shaping and finishing of stone</t>
  </si>
  <si>
    <t>natural stone plate, grounded</t>
  </si>
  <si>
    <t>2a609c28-8598-4480-9171-31df2a3491a9</t>
  </si>
  <si>
    <t>natural stone plate, polished</t>
  </si>
  <si>
    <t>fa18a7ed-8078-4d8b-8bd6-3d9a94ab0a5f</t>
  </si>
  <si>
    <t>NCA hydroxide</t>
  </si>
  <si>
    <t>e71acee2-c894-4b95-a52c-8bd06f6262d0</t>
  </si>
  <si>
    <t>NCA oxide</t>
  </si>
  <si>
    <t>89e28693-8517-48b2-b6bd-e5dbda067dfc</t>
  </si>
  <si>
    <t>neodymium oxide</t>
  </si>
  <si>
    <t>361e78e0-0094-48d2-b9a2-2c70921e5c1e</t>
  </si>
  <si>
    <t>neutralising agent, sodium hydroxide-equivalent</t>
  </si>
  <si>
    <t>5694c7ed-a76c-4b16-9a73-6fa48237423c</t>
  </si>
  <si>
    <t>nickel concentrate, 16% Ni</t>
  </si>
  <si>
    <t>a95b9d49-4114-40c6-9929-0c6c79db22d1</t>
  </si>
  <si>
    <t>nickel concentrate, 7% Ni</t>
  </si>
  <si>
    <t>8be1b6bc-2fc3-5489-91dc-5861064039c6</t>
  </si>
  <si>
    <t>nickel sulfate</t>
  </si>
  <si>
    <t>d1c50e71-41bf-40ea-a259-0fc490c8e0c5</t>
  </si>
  <si>
    <t>nickel, class 1</t>
  </si>
  <si>
    <t>23fccced-e1e5-421d-9abe-5b59c51a862e</t>
  </si>
  <si>
    <t>nickel-rich materials</t>
  </si>
  <si>
    <t>475e90d0-9d93-4baa-b5ac-c30966c74554</t>
  </si>
  <si>
    <t>nitrate salts, for solar power application</t>
  </si>
  <si>
    <t>e40669db-1c25-4340-8976-5db555ea8f6d</t>
  </si>
  <si>
    <t>nitric acid, without water, in 50% solution state</t>
  </si>
  <si>
    <t>68db7412-ba35-488b-8a45-9a9f48448522</t>
  </si>
  <si>
    <t>nitric oxide</t>
  </si>
  <si>
    <t>d68ff014-fb83-4ac7-a312-641b085a3a08</t>
  </si>
  <si>
    <t>nitrile-compound</t>
  </si>
  <si>
    <t>3ab1ad80-ee03-483d-8722-81c3c3c28bd3</t>
  </si>
  <si>
    <t>nitrobenzene</t>
  </si>
  <si>
    <t>8c7dd9ee-4962-4ae3-9c3a-8fb58def93ae</t>
  </si>
  <si>
    <t>nitro-compound</t>
  </si>
  <si>
    <t>d442b624-ea63-4d09-8440-28a41232989f</t>
  </si>
  <si>
    <t>nitrogen, liquid</t>
  </si>
  <si>
    <t>159edf36-233e-4e2c-aec0-b0ac0d49f528</t>
  </si>
  <si>
    <t>nitrous dioxide</t>
  </si>
  <si>
    <t>fb26f56d-86cd-43c4-90c4-3d9fef66b820</t>
  </si>
  <si>
    <t>nitrous oxide</t>
  </si>
  <si>
    <t>61c1d37e-ad50-4159-b379-cfe3976720bf</t>
  </si>
  <si>
    <t>NMC111 hydroxide</t>
  </si>
  <si>
    <t>3ca954ab-d833-4ca4-85d5-e53afa21a1c8</t>
  </si>
  <si>
    <t>NMC111 oxide</t>
  </si>
  <si>
    <t>fa61e123-954d-4c67-a47a-215cc17a7f00</t>
  </si>
  <si>
    <t>NMC811 hydroxide</t>
  </si>
  <si>
    <t>d58b2ab4-8d9f-4be7-9cba-d02bbb8da1df</t>
  </si>
  <si>
    <t>NMC811 oxide</t>
  </si>
  <si>
    <t>16492d65-da65-41ea-9c2f-acf7f938b5ab</t>
  </si>
  <si>
    <t>N-methyl-2-pyrrolidone</t>
  </si>
  <si>
    <t>5625ac3e-8ca9-43d4-84a7-a643738095e6</t>
  </si>
  <si>
    <t>n-olefins</t>
  </si>
  <si>
    <t>0e99b6e3-a3e1-47a2-8fb5-5ced89ddd778</t>
  </si>
  <si>
    <t>non-ferrous metal smelter</t>
  </si>
  <si>
    <t>22349afc-bb0b-4b87-9a17-96f4c83eea80</t>
  </si>
  <si>
    <t>2823:Manufacture of machinery for metallurgy</t>
  </si>
  <si>
    <t>non-ionic surfactant</t>
  </si>
  <si>
    <t>3fc068d9-71cf-5f55-8e15-1675bbc38caf</t>
  </si>
  <si>
    <t>NOx retained, by selective catalytic reduction</t>
  </si>
  <si>
    <t>c9641dad-17a0-4d81-a9ee-85890945c39d</t>
  </si>
  <si>
    <t>NPK (15-15-15) fertiliser</t>
  </si>
  <si>
    <t>aa0f0057-073d-55b7-918d-e4d6bed420f3</t>
  </si>
  <si>
    <t>NPK (26-15-15) fertiliser</t>
  </si>
  <si>
    <t>7e04560f-3d56-57a7-9a92-04237f3014c9</t>
  </si>
  <si>
    <t>nuclear fuel element, for boiling water reactor, UO2 4.0% &amp; MOX</t>
  </si>
  <si>
    <t>a2883a53-5764-489d-964b-58e5c2354915</t>
  </si>
  <si>
    <t>nuclear fuel element, for pressure water reactor, UO2 3.8% &amp; MOX</t>
  </si>
  <si>
    <t>f6ba241a-2732-47fb-bff3-ca4a3e30faa3</t>
  </si>
  <si>
    <t>nuclear fuel element, for pressure water reactor, UO2 3.9% &amp; MOX</t>
  </si>
  <si>
    <t>90157bc6-e4bc-42ac-822f-a915477a42a3</t>
  </si>
  <si>
    <t>nuclear fuel element, for pressure water reactor, UO2 4.0% &amp; MOX</t>
  </si>
  <si>
    <t>eb9320da-b68b-4034-a28f-91071dacf43e</t>
  </si>
  <si>
    <t>nuclear fuel element, for pressure water reactor, UO2 4.2% &amp; MOX</t>
  </si>
  <si>
    <t>2a03306d-baf8-4ab1-b8a5-d12a2a41adc3</t>
  </si>
  <si>
    <t>nuclear fuel element, for pressure water reactor, UO2 4.2% centrifuge &amp; MOX</t>
  </si>
  <si>
    <t>c44ed73c-3991-452d-8a32-7e3ef63c6a1f</t>
  </si>
  <si>
    <t>nuclear fuel factory</t>
  </si>
  <si>
    <t>318fcdc0-6832-4819-99b9-4f14a9b9a4be</t>
  </si>
  <si>
    <t>nuclear power plant, boiling water reactor 1000MW</t>
  </si>
  <si>
    <t>ae530eaa-1edd-49a7-915c-65d74a4554d7</t>
  </si>
  <si>
    <t>nuclear power plant, pressure water reactor, 1000MW</t>
  </si>
  <si>
    <t>14bf310d-069a-4d84-a98e-da3a7b1a6cde</t>
  </si>
  <si>
    <t>nuclear power plant, pressure water reactor, 650MW</t>
  </si>
  <si>
    <t>1a088221-61a8-48d3-acb5-ef1fa5ddcfe8</t>
  </si>
  <si>
    <t>nuclear spent fuel conditioning facility</t>
  </si>
  <si>
    <t>6e18e1d7-32f3-4cf1-a031-4ec384e79ec5</t>
  </si>
  <si>
    <t>nuclear spent fuel reprocessing facility</t>
  </si>
  <si>
    <t>f40a9f3c-c6e1-4033-b644-2403290ecd5a</t>
  </si>
  <si>
    <t>nuclear waste storage, final repository for high level radioactive waste</t>
  </si>
  <si>
    <t>b953d2a9-af53-4029-a628-b40038605e47</t>
  </si>
  <si>
    <t>nuclear waste storage, final repository for low level radioactive waste</t>
  </si>
  <si>
    <t>662f0acf-01a6-42ff-9c20-e3b603f4d157</t>
  </si>
  <si>
    <t>nuclear waste storage, interim, for high level radioactive waste before final repository</t>
  </si>
  <si>
    <t>2e807730-f799-4ace-9bb3-794608662be3</t>
  </si>
  <si>
    <t>nuclear waste storage, interim, for low level radioactive waste before final repository</t>
  </si>
  <si>
    <t>1e58575c-5c0b-4ddd-86e5-3946aec16da4</t>
  </si>
  <si>
    <t>nylon 6</t>
  </si>
  <si>
    <t>d16b5d3f-b5e4-45b6-9a04-23cde05220c0</t>
  </si>
  <si>
    <t>nylon 6, glass-filled</t>
  </si>
  <si>
    <t>6af79823-cba0-4b75-96eb-e7c161eed14e</t>
  </si>
  <si>
    <t>nylon 6-6</t>
  </si>
  <si>
    <t>b167bcef-715e-4136-a743-2fae79a086d3</t>
  </si>
  <si>
    <t>nylon 6-6, glass-filled</t>
  </si>
  <si>
    <t>6826a703-2476-42f3-bb7c-4f32594ab030</t>
  </si>
  <si>
    <t>o-aminophenol</t>
  </si>
  <si>
    <t>c4756c70-abaf-41bf-a341-b33fc8221ac7</t>
  </si>
  <si>
    <t>oat grain</t>
  </si>
  <si>
    <t>396098c0-2dd0-4987-84e3-cd12a3b521b7</t>
  </si>
  <si>
    <t>oat grain, feed</t>
  </si>
  <si>
    <t>f86bd437-bfa8-49e3-8510-2645851808a8</t>
  </si>
  <si>
    <t>oat seed, for sowing</t>
  </si>
  <si>
    <t>41df1492-7d1a-46ae-b71b-b2d21793e27f</t>
  </si>
  <si>
    <t>oat seed, Swiss integrated production, at farm</t>
  </si>
  <si>
    <t>25947b2e-6672-468e-85ae-e1bedc291380</t>
  </si>
  <si>
    <t>o-chlorobenzaldehyde</t>
  </si>
  <si>
    <t>d59ef400-fa7c-49e3-9a83-d88fa2047f95</t>
  </si>
  <si>
    <t>o-chlorotoluene</t>
  </si>
  <si>
    <t>e8df64cf-359b-4900-a713-9909ea426fa3</t>
  </si>
  <si>
    <t>o-cresol</t>
  </si>
  <si>
    <t>79347dfd-7aff-4ddf-95df-b0b21c629d4b</t>
  </si>
  <si>
    <t>octabenzone</t>
  </si>
  <si>
    <t>b69bf868-eeaf-56e2-87e6-e0f31c700621</t>
  </si>
  <si>
    <t>o-dichlorobenzene</t>
  </si>
  <si>
    <t>c4ea317c-5719-4f10-9e04-7da3e328a0c4</t>
  </si>
  <si>
    <t>offshore platform, natural gas</t>
  </si>
  <si>
    <t>10a3a0b8-4424-40a6-84f6-b3ce1c78e198</t>
  </si>
  <si>
    <t>offshore platform, petroleum</t>
  </si>
  <si>
    <t>3fed725e-1a21-4eb9-ae3b-36e9a18b3204</t>
  </si>
  <si>
    <t>offshore well, oil/gas</t>
  </si>
  <si>
    <t>3bce6a00-0e69-48c4-8fec-f3081bc61a3f</t>
  </si>
  <si>
    <t>0910:Support activities for petroleum and natural gas extraction</t>
  </si>
  <si>
    <t>oil boiler, 100kW</t>
  </si>
  <si>
    <t>81080eb5-68db-4ba3-b75a-de1d4eb65158</t>
  </si>
  <si>
    <t>oil boiler, 10kW</t>
  </si>
  <si>
    <t>5e60f8eb-afd3-4dbd-a12a-a5c022835449</t>
  </si>
  <si>
    <t>oil mill</t>
  </si>
  <si>
    <t>3f7cf9ef-4608-4f6b-b628-071bcdb69f3a</t>
  </si>
  <si>
    <t>oil power plant, 500MW</t>
  </si>
  <si>
    <t>9aecb33f-2000-44eb-8d87-724bd1b8f1c6</t>
  </si>
  <si>
    <t>oil storage, 3000l</t>
  </si>
  <si>
    <t>9eb12779-1ac9-4b9a-8545-3dc3b14761ed</t>
  </si>
  <si>
    <t>olive</t>
  </si>
  <si>
    <t>e580a34c-42e2-460d-ac2e-a49bcf0583f2</t>
  </si>
  <si>
    <t>onion</t>
  </si>
  <si>
    <t>1945897f-c0a2-4dbf-8397-9fd93e6a9445</t>
  </si>
  <si>
    <t>onion seedling, for planting</t>
  </si>
  <si>
    <t>95252e42-3fc2-4677-a4ee-9bc01a3b489c</t>
  </si>
  <si>
    <t>o-nitrophenol</t>
  </si>
  <si>
    <t>e7d9edbf-64cc-434e-8bdc-90ecc8d2813c</t>
  </si>
  <si>
    <t>onshore natural gas field infrastructure</t>
  </si>
  <si>
    <t>50eda3e7-3e72-4185-813e-4e11b723129e</t>
  </si>
  <si>
    <t>onshore petroleum field infrastructure</t>
  </si>
  <si>
    <t>9af7da3d-b2d0-4b76-bda0-3ab410542b8a</t>
  </si>
  <si>
    <t>onshore well, oil/gas</t>
  </si>
  <si>
    <t>02dfba07-7533-4d54-a1f3-478ae9314a09</t>
  </si>
  <si>
    <t>operation, computer, desktop, home use</t>
  </si>
  <si>
    <t>46f4775b-0dee-4e49-8669-7108147c5f41</t>
  </si>
  <si>
    <t>8219:Photocopying, document preparation and other specialized office support act</t>
  </si>
  <si>
    <t>operation, computer, desktop, office use</t>
  </si>
  <si>
    <t>08b50381-c9ae-49ae-b279-5495b9f8f14a</t>
  </si>
  <si>
    <t>operation, computer, desktop, with cathode ray tube display, active mode</t>
  </si>
  <si>
    <t>1b269b5c-9561-4809-b905-ec321866f3ce</t>
  </si>
  <si>
    <t>operation, computer, desktop, with cathode ray tube display, off mode</t>
  </si>
  <si>
    <t>479205fc-ee9f-45ec-9859-0f05b803147f</t>
  </si>
  <si>
    <t>operation, computer, desktop, with cathode ray tube display, standby mode</t>
  </si>
  <si>
    <t>fe6ef4d7-6328-4b53-874e-3a5fb5fac61d</t>
  </si>
  <si>
    <t>operation, computer, desktop, with liquid crystal display, active mode</t>
  </si>
  <si>
    <t>89e97ec2-ee6d-4d5e-9dec-254f3aa01848</t>
  </si>
  <si>
    <t>operation, computer, desktop, with liquid crystal display, off mode</t>
  </si>
  <si>
    <t>cf237b63-46c5-4567-b705-84bdac0a8ac6</t>
  </si>
  <si>
    <t>operation, computer, desktop, with liquid crystal display, standby mode</t>
  </si>
  <si>
    <t>fbce5f8a-db27-46c2-8975-fc3d7dd9ff58</t>
  </si>
  <si>
    <t>operation, computer, laptop, 23% active work</t>
  </si>
  <si>
    <t>7d38f12e-e109-4cdf-8100-1b985a44cff2</t>
  </si>
  <si>
    <t>operation, computer, laptop, 68% active work</t>
  </si>
  <si>
    <t>91ca277e-bd29-4777-ba5e-e6fe052f0913</t>
  </si>
  <si>
    <t>operation, computer, laptop, 68% active work with internet access 0.2 Mbit/s</t>
  </si>
  <si>
    <t>2d180269-4aff-42c5-b606-7efa1e580732</t>
  </si>
  <si>
    <t>operation, computer, laptop, 68% active work with internet access 0.2 Mbit/s, electricity from renewable energy products</t>
  </si>
  <si>
    <t>5c2ac275-7882-41b2-b00f-7d2d76c9652d</t>
  </si>
  <si>
    <t>operation, computer, laptop, 68% active work, electricity from renewable energy products</t>
  </si>
  <si>
    <t>65b4ca5d-b35a-4cc1-8645-1064505e5303</t>
  </si>
  <si>
    <t>operation, computer, laptop, active mode</t>
  </si>
  <si>
    <t>c2019cb4-7797-4efd-b9fa-67925d5dea61</t>
  </si>
  <si>
    <t>operation, computer, laptop, off mode</t>
  </si>
  <si>
    <t>159ebab4-dc26-448a-a3d7-5c0f28ed883a</t>
  </si>
  <si>
    <t>operation, computer, laptop, standby/sleep mode</t>
  </si>
  <si>
    <t>c5e93711-09a6-4244-9bfd-8bf809246bca</t>
  </si>
  <si>
    <t>operation, computer, laptop, video mode</t>
  </si>
  <si>
    <t>1df9e7e1-a5ed-4e11-b259-507f60a39d80</t>
  </si>
  <si>
    <t>operation, computer, laptop, video mode, electricity from renewable energy products</t>
  </si>
  <si>
    <t>b3267d1c-5db7-4925-a915-d6bc19561d1b</t>
  </si>
  <si>
    <t>operation, computer, laptop, videoconference</t>
  </si>
  <si>
    <t>ff7958eb-3b53-4955-8ca8-464218e0fb10</t>
  </si>
  <si>
    <t>operation, computer, laptop, videoconference, electricity from renewable energy products</t>
  </si>
  <si>
    <t>8b4c7efb-aca1-413c-9efb-2c6a06864a40</t>
  </si>
  <si>
    <t>operation, dried roughage store, air dried, solar</t>
  </si>
  <si>
    <t>43edbd86-ddc0-4934-9a4f-776bdf2c6406</t>
  </si>
  <si>
    <t>operation, dried roughage store, cold-air dried, conventional</t>
  </si>
  <si>
    <t>2a88d06a-8d72-483a-b47c-04b4a7c95b09</t>
  </si>
  <si>
    <t>operation, dried roughage store, non ventilated</t>
  </si>
  <si>
    <t>2741f2b1-96a3-4458-bcd5-85d85bbfa463</t>
  </si>
  <si>
    <t>operation, housing system, cattle, loose, per animal unit</t>
  </si>
  <si>
    <t>ab75f8c2-4cc6-48da-b71b-2a7da2986b39</t>
  </si>
  <si>
    <t>operation, housing system, cattle, tied, per animal unit</t>
  </si>
  <si>
    <t>729005c5-811f-42a1-b599-fac315af9f3a</t>
  </si>
  <si>
    <t>operation, housing system, pig, fully-slatted floor, per pig place</t>
  </si>
  <si>
    <t>e5edf2bc-acf4-4fe0-8b49-b215d9802ca9</t>
  </si>
  <si>
    <t>0145:Raising of swine/pigs</t>
  </si>
  <si>
    <t>operation, housing system, pig, per pig place, electricity from renewable energy products</t>
  </si>
  <si>
    <t>433dda9a-3540-45fb-9b72-29ffe0ed9a13</t>
  </si>
  <si>
    <t>operation, intermodal shipping container</t>
  </si>
  <si>
    <t>014c37a3-5f80-4754-8272-55b5c2051d7a</t>
  </si>
  <si>
    <t>5229:Other transportation support activities</t>
  </si>
  <si>
    <t>kg*a</t>
  </si>
  <si>
    <t>Units of mass*time</t>
  </si>
  <si>
    <t>Mass*time</t>
  </si>
  <si>
    <t>operation, internet access equipment</t>
  </si>
  <si>
    <t>f7115764-80ce-425e-9f80-5f034aac4c60</t>
  </si>
  <si>
    <t>operation, internet access equipment, electricity from renewable energy products</t>
  </si>
  <si>
    <t>dffd820b-dbdb-499c-a9b5-4b70c53063b5</t>
  </si>
  <si>
    <t>operation, liquid manure storage and processing facility</t>
  </si>
  <si>
    <t>fcc7bd41-5fc3-47a4-bb35-9c2ab43014bb</t>
  </si>
  <si>
    <t>operation, reefer, cooling</t>
  </si>
  <si>
    <t>12beeeef-5f97-45c3-89ae-6174be37eb41</t>
  </si>
  <si>
    <t>operation, reefer, freezing</t>
  </si>
  <si>
    <t>a40ce634-bd84-41fa-81e7-1cf02630df8c</t>
  </si>
  <si>
    <t>optical brighteners, for paper production</t>
  </si>
  <si>
    <t>62d5ea7c-fa1a-4977-abd0-e7906e874016</t>
  </si>
  <si>
    <t>orange, fresh grade</t>
  </si>
  <si>
    <t>1f7bbd3e-fcd1-412d-8608-035b855ea735</t>
  </si>
  <si>
    <t>orange, processing grade</t>
  </si>
  <si>
    <t>01d3bb5a-645e-485c-9661-cdcebf93385c</t>
  </si>
  <si>
    <t>orbencarb</t>
  </si>
  <si>
    <t>9888cbd6-aceb-4782-b174-36a91dd0e404</t>
  </si>
  <si>
    <t>organic nitrogen fertiliser, as N</t>
  </si>
  <si>
    <t>60e40c5e-8a0e-52f7-8c7f-2664ac536903</t>
  </si>
  <si>
    <t>organic phosphorus fertiliser, as P2O5</t>
  </si>
  <si>
    <t>6dbeade5-eb8e-5666-b681-f479757cfd86</t>
  </si>
  <si>
    <t>organic potassium fertiliser, as K2O</t>
  </si>
  <si>
    <t>318bc688-5b2f-56fa-8bab-3c071c0f52bb</t>
  </si>
  <si>
    <t>organo-mineral nitrogen fertiliser, as N</t>
  </si>
  <si>
    <t>105707e8-7b2d-58a5-aa54-a6a298327688</t>
  </si>
  <si>
    <t>organo-mineral phosphorus fertiliser, as P2O5</t>
  </si>
  <si>
    <t>2724f46c-50b2-5845-ad70-d260699a3dc0</t>
  </si>
  <si>
    <t>organo-mineral potassium fertiliser, as K2O</t>
  </si>
  <si>
    <t>38e5cc37-454c-501b-953b-c7b2125b3c00</t>
  </si>
  <si>
    <t>organo-mineral sludge</t>
  </si>
  <si>
    <t>5537836a-8650-559e-ab26-4fadf5886911</t>
  </si>
  <si>
    <t>organophosphorus-compound, unspecified</t>
  </si>
  <si>
    <t>0711bf2e-a106-404b-abab-7f42cf5ad3c4</t>
  </si>
  <si>
    <t>oriented strand board</t>
  </si>
  <si>
    <t>888353c6-711d-4ba3-95eb-0368b6592c66</t>
  </si>
  <si>
    <t>ortho-phenylene diamine</t>
  </si>
  <si>
    <t>7d9b9b58-ad5a-464b-b283-b129ffe58011</t>
  </si>
  <si>
    <t>orthophthalic acid based unsaturated polyester resin</t>
  </si>
  <si>
    <t>e28d7a4d-fb38-4f5e-aac0-359ecef77b45</t>
  </si>
  <si>
    <t>outside air intake, stainless steel, DN 370</t>
  </si>
  <si>
    <t>ac4287ce-8352-4889-8f60-488be406a45f</t>
  </si>
  <si>
    <t>oxalic acid</t>
  </si>
  <si>
    <t>5839ffb0-438f-4a27-b082-06b0240cf020</t>
  </si>
  <si>
    <t>oxygen, liquid</t>
  </si>
  <si>
    <t>28c2473e-1e11-4078-9a76-de9550553adc</t>
  </si>
  <si>
    <t>ozone, liquid</t>
  </si>
  <si>
    <t>c6152f98-be4e-4565-a943-4c99144a3d6a</t>
  </si>
  <si>
    <t>packaging box factory</t>
  </si>
  <si>
    <t>cc6a23f6-7ba6-4355-a557-d92fbfb9602f</t>
  </si>
  <si>
    <t>packaging film, low density polyethylene</t>
  </si>
  <si>
    <t>3ce1a817-4ae8-4edc-bf8b-cb1b5d853410</t>
  </si>
  <si>
    <t>packaging glass factory</t>
  </si>
  <si>
    <t>278fc668-2f99-4348-a0da-a71581d3ced8</t>
  </si>
  <si>
    <t>packaging glass sorting facility</t>
  </si>
  <si>
    <t>b9dfeb7a-9897-4ae4-9653-cb7ad8c6cd6b</t>
  </si>
  <si>
    <t>packaging glass, brown</t>
  </si>
  <si>
    <t>af6ea19f-be19-49fb-ad31-129d4e761a3a</t>
  </si>
  <si>
    <t>packaging glass, green</t>
  </si>
  <si>
    <t>44ab3c7a-66d6-45b1-8e1b-17c9f225d2b6</t>
  </si>
  <si>
    <t>packaging glass, white</t>
  </si>
  <si>
    <t>c3fd9530-3e9b-44b5-8833-9e544937a6e9</t>
  </si>
  <si>
    <t>packaging, for fertilisers</t>
  </si>
  <si>
    <t>7b6256cb-08bf-4a0b-886f-fc14039419c1</t>
  </si>
  <si>
    <t>packaging, for fertilisers or pesticides</t>
  </si>
  <si>
    <t>9cbe46b4-9041-4727-9f73-61138c1c7a0d</t>
  </si>
  <si>
    <t>packaging, for pesticides</t>
  </si>
  <si>
    <t>567c1e2d-b33a-4bf5-b4ad-d69926ce2f89</t>
  </si>
  <si>
    <t>packing, cement</t>
  </si>
  <si>
    <t>620a1f8e-81f8-466c-924f-e4597dabd21a</t>
  </si>
  <si>
    <t>8292:Packaging activities</t>
  </si>
  <si>
    <t>packing, clay product</t>
  </si>
  <si>
    <t>1576e293-dab0-42c9-a87b-74d001c1aae9</t>
  </si>
  <si>
    <t>packing, fibre cement product</t>
  </si>
  <si>
    <t>8691615f-9152-44db-b3a1-98d7f87ae7a1</t>
  </si>
  <si>
    <t>packing, lime product</t>
  </si>
  <si>
    <t>7c2f8db1-1d7f-4528-a232-8203587d4a4d</t>
  </si>
  <si>
    <t>palladium</t>
  </si>
  <si>
    <t>1d6a1b9e-c272-48f9-81b3-7057c2955688</t>
  </si>
  <si>
    <t>palm date</t>
  </si>
  <si>
    <t>25b971b6-ecd6-400f-b264-a69139298477</t>
  </si>
  <si>
    <t>palm date, conditioned and dried</t>
  </si>
  <si>
    <t>35c6a539-d74e-4615-94ce-9c76a33d47ed</t>
  </si>
  <si>
    <t>1030:Processing and preserving of fruit and vegetables</t>
  </si>
  <si>
    <t>palm date, conditioned and dried, organic</t>
  </si>
  <si>
    <t>01748c69-a881-414d-a0e7-b74aea686ed0</t>
  </si>
  <si>
    <t>palm date, organic</t>
  </si>
  <si>
    <t>4a626f1a-99f1-4d8e-9b80-dfdceb39a782</t>
  </si>
  <si>
    <t>palm fruit bunch</t>
  </si>
  <si>
    <t>6dc2a920-b5e0-414c-9693-87b95f60d062</t>
  </si>
  <si>
    <t>palm kernel meal</t>
  </si>
  <si>
    <t>6e4b5116-b180-45f9-ad9b-d750dadffb0e</t>
  </si>
  <si>
    <t>palm kernel oil, crude</t>
  </si>
  <si>
    <t>adad6cb6-eef9-4869-b743-8bd5be3c7c7a</t>
  </si>
  <si>
    <t>palm oil, crude</t>
  </si>
  <si>
    <t>17e163ef-4e16-4368-83f3-9d6faaf6ae3b</t>
  </si>
  <si>
    <t>palm oil, refined</t>
  </si>
  <si>
    <t>a007939f-f418-4ec7-89ee-bd64967e2f83</t>
  </si>
  <si>
    <t>panel glass, for cathode ray tube display</t>
  </si>
  <si>
    <t>0ca3ff6f-4931-4a88-96ce-ba5102b3024f</t>
  </si>
  <si>
    <t>papaya</t>
  </si>
  <si>
    <t>7f758dea-2473-4400-a8ed-349bc95e2deb</t>
  </si>
  <si>
    <t>paper machine</t>
  </si>
  <si>
    <t>9c67682b-ff8a-4de9-b491-44ee73760ab0</t>
  </si>
  <si>
    <t>paper mill, integrated</t>
  </si>
  <si>
    <t>76730140-7a50-4f70-9149-14955181310e</t>
  </si>
  <si>
    <t>paper mill, non-integrated</t>
  </si>
  <si>
    <t>0d3c67a6-3b18-4010-9703-47da3569fbc7</t>
  </si>
  <si>
    <t>paper sack</t>
  </si>
  <si>
    <t>c5aaaecc-4f0f-50c0-85d7-9dd4c29bf269</t>
  </si>
  <si>
    <t>paper, melamine impregnated</t>
  </si>
  <si>
    <t>1f8dc77c-ae32-4ccc-8bb8-052288a46f9a</t>
  </si>
  <si>
    <t>paper, newsprint</t>
  </si>
  <si>
    <t>4495d57c-84f9-48e3-bb76-15ebc2b61d51</t>
  </si>
  <si>
    <t>paper, woodcontaining, lightweight coated</t>
  </si>
  <si>
    <t>af9fc27e-0952-4636-95ea-a36ea7f54475</t>
  </si>
  <si>
    <t>paper, woodcontaining, supercalendered</t>
  </si>
  <si>
    <t>d67dd10d-a233-433b-9111-76df6834074b</t>
  </si>
  <si>
    <t>paper, woodfree, coated</t>
  </si>
  <si>
    <t>931288b5-8b40-4393-8421-f715faf39712</t>
  </si>
  <si>
    <t>paper, woodfree, uncoated</t>
  </si>
  <si>
    <t>198f9bb6-4268-4609-b85f-3f90f0d26d6d</t>
  </si>
  <si>
    <t>paraffin</t>
  </si>
  <si>
    <t>cf82552d-9740-4f5c-8df1-844cc9486547</t>
  </si>
  <si>
    <t>para-phenylene diamine</t>
  </si>
  <si>
    <t>c49db5ac-422c-4a14-bcec-d208f225196c</t>
  </si>
  <si>
    <t>paris market carrot</t>
  </si>
  <si>
    <t>e2abb158-bf1a-4dd9-932d-1b321e3813e6</t>
  </si>
  <si>
    <t>particleboard, cement bonded</t>
  </si>
  <si>
    <t>f0994392-5748-4bf9-87e3-da2d5e356817</t>
  </si>
  <si>
    <t>particleboard, uncoated</t>
  </si>
  <si>
    <t>48e808be-14ac-4991-9338-2a4782fd1bbe</t>
  </si>
  <si>
    <t>passenger car maintenance</t>
  </si>
  <si>
    <t>32b92bba-6384-4d3e-9d19-d64be49c3c56</t>
  </si>
  <si>
    <t>passenger car, diesel</t>
  </si>
  <si>
    <t>37eae845-9707-41ee-acf1-3c9b9f81e454</t>
  </si>
  <si>
    <t>passenger car, electric, without battery</t>
  </si>
  <si>
    <t>dc983030-0544-4718-a910-dbc6f52d09e7</t>
  </si>
  <si>
    <t>passenger car, petrol/natural gas</t>
  </si>
  <si>
    <t>0f26d3c7-c362-4f36-bd45-250bcdf1825e</t>
  </si>
  <si>
    <t>p-chlorophenol</t>
  </si>
  <si>
    <t>82b0ddee-083e-4ede-8b4e-bfd3b93a8ec6</t>
  </si>
  <si>
    <t>p-dichlorobenzene</t>
  </si>
  <si>
    <t>b2651a4d-dbb8-4fb9-b5eb-457193dc543d</t>
  </si>
  <si>
    <t>pea seed, for sowing</t>
  </si>
  <si>
    <t>fbf29074-ba90-49aa-9216-93c5dd3aba4e</t>
  </si>
  <si>
    <t>pea seed, organic, for sowing</t>
  </si>
  <si>
    <t>f0347014-5771-4658-bcca-65a327ae34db</t>
  </si>
  <si>
    <t>peach</t>
  </si>
  <si>
    <t>30df3cb7-d389-4007-a172-ad89e98c3270</t>
  </si>
  <si>
    <t>peanut</t>
  </si>
  <si>
    <t>a578a3e7-fcbb-4662-8e6b-85b05fe8e310</t>
  </si>
  <si>
    <t>peanut seed, at farm</t>
  </si>
  <si>
    <t>4b60b7d1-1f63-444f-83b7-f922bff8254b</t>
  </si>
  <si>
    <t>peanut seed, for sowing</t>
  </si>
  <si>
    <t>1b590204-1448-4659-964d-d80f577d460e</t>
  </si>
  <si>
    <t>pear</t>
  </si>
  <si>
    <t>fb2a172f-2a59-4990-b362-64dd4825550f</t>
  </si>
  <si>
    <t>peat</t>
  </si>
  <si>
    <t>ecec59b7-367f-421e-8258-c809111a9923</t>
  </si>
  <si>
    <t>peat moss</t>
  </si>
  <si>
    <t>a7e1dd79-7f97-4f06-86f7-8965e13db3db</t>
  </si>
  <si>
    <t>pendimethalin</t>
  </si>
  <si>
    <t>fbf87b1b-6462-4557-b412-1a7f79b12efc</t>
  </si>
  <si>
    <t>pentaerythritol</t>
  </si>
  <si>
    <t>3226b077-8dac-4ee6-9679-90969920b69d</t>
  </si>
  <si>
    <t>pentane</t>
  </si>
  <si>
    <t>a300dfb2-454a-4bb1-aabc-257cc84994c3</t>
  </si>
  <si>
    <t>perfluoropentane</t>
  </si>
  <si>
    <t>870d64eb-d488-4e2d-81fc-3a62fcafc20a</t>
  </si>
  <si>
    <t>perlite</t>
  </si>
  <si>
    <t>1f1eca90-d90c-40ea-bcbb-1c821e3bfa0d</t>
  </si>
  <si>
    <t>permanent magnet, for electric motor</t>
  </si>
  <si>
    <t>787cf1f4-ff36-4548-8a99-9adb6c4f8f23</t>
  </si>
  <si>
    <t>pesticide, unspecified</t>
  </si>
  <si>
    <t>fb76d2b4-16bb-4373-bcdf-03545f362b83</t>
  </si>
  <si>
    <t>petrol, 15% ETBE additive by volume, with ethanol from biomass</t>
  </si>
  <si>
    <t>7b0f3487-1bfa-4c7b-a654-448c9acc31e1</t>
  </si>
  <si>
    <t>petrol, 4% ETBE additive by volume, with ethanol from biomass</t>
  </si>
  <si>
    <t>55e9ffc8-235e-4938-8ef9-b902b4358fdc</t>
  </si>
  <si>
    <t>petrol, 5% ethanol by volume from biomass</t>
  </si>
  <si>
    <t>7805ee60-8cdd-4e8b-9d35-217e0318f955</t>
  </si>
  <si>
    <t>petrol, 85% ethanol by volume from biomass</t>
  </si>
  <si>
    <t>2a49f01f-1411-42fb-b5c3-7e3c148e02d3</t>
  </si>
  <si>
    <t>petrol, low-sulfur</t>
  </si>
  <si>
    <t>894c4486-e821-4d6c-b99f-7e3f63d4a083</t>
  </si>
  <si>
    <t>petrol, two-stroke blend</t>
  </si>
  <si>
    <t>b6f623c7-3362-46ea-b0a6-ee15925936e2</t>
  </si>
  <si>
    <t>petrol, unleaded</t>
  </si>
  <si>
    <t>e180c07f-fa94-4f7c-8a2f-32cb78f52bd6</t>
  </si>
  <si>
    <t>petrol, unleaded, burned in machinery</t>
  </si>
  <si>
    <t>b4e0b7c5-87b9-490e-971f-9ddc8c2b08d8</t>
  </si>
  <si>
    <t>petroleum</t>
  </si>
  <si>
    <t>e6aad2de-0b1b-49c3-a0c4-797ba34d87e5</t>
  </si>
  <si>
    <t>petroleum coke</t>
  </si>
  <si>
    <t>eb6b5a9a-c482-4c75-9ade-bbf8d89234fe</t>
  </si>
  <si>
    <t>petroleum combustion, in drilling tests</t>
  </si>
  <si>
    <t>7c65ea22-94ec-466d-9e23-a130bd72b807</t>
  </si>
  <si>
    <t>petroleum refinery</t>
  </si>
  <si>
    <t>16c82be7-a974-4cfa-9e30-4ebec1c64cdf</t>
  </si>
  <si>
    <t>petroleum slack wax</t>
  </si>
  <si>
    <t>68982c18-158b-4166-a54a-8321bfb0cc24</t>
  </si>
  <si>
    <t>phacelia silage</t>
  </si>
  <si>
    <t>da261f84-8650-410c-ba19-7867b121a399</t>
  </si>
  <si>
    <t>phenol</t>
  </si>
  <si>
    <t>55b66789-289c-4f21-8d9b-3236e726b933</t>
  </si>
  <si>
    <t>phenolic resin</t>
  </si>
  <si>
    <t>0d84cdfe-bcf2-4821-8f34-d93b9f611c11</t>
  </si>
  <si>
    <t>phenoxy-compound</t>
  </si>
  <si>
    <t>9f2fdfd0-e173-47e9-812f-2bee762d9d39</t>
  </si>
  <si>
    <t>phenyl acetic acid</t>
  </si>
  <si>
    <t>b8557d0c-4cb3-4466-844f-74fb020ff616</t>
  </si>
  <si>
    <t>phenyl isocyanate</t>
  </si>
  <si>
    <t>3b8e0bce-4ca3-4487-bfe5-51fdfae57af3</t>
  </si>
  <si>
    <t>phosgene, liquid</t>
  </si>
  <si>
    <t>a130dd45-8367-4e4e-b78d-5901d9259fd0</t>
  </si>
  <si>
    <t>phosphane</t>
  </si>
  <si>
    <t>55c9955a-88d5-4954-9703-b7db1d7d04d6</t>
  </si>
  <si>
    <t>phosphate rock, beneficiated</t>
  </si>
  <si>
    <t>6dc5955e-e2a6-4fd5-845d-63df2e29ecaa</t>
  </si>
  <si>
    <t>phosphoric acid factory, fertiliser grade</t>
  </si>
  <si>
    <t>6abd94ee-c078-4163-8ba0-acbc45aa9423</t>
  </si>
  <si>
    <t>phosphoric acid, fertiliser grade, without water, in 70% solution state</t>
  </si>
  <si>
    <t>319ab25e-8c69-47bc-baeb-e22971136dfe</t>
  </si>
  <si>
    <t>phosphoric acid, industrial grade, without water, in 85% solution state</t>
  </si>
  <si>
    <t>f4feb7e2-19a8-40af-84e0-9cd7c7142777</t>
  </si>
  <si>
    <t>phosphorous chloride</t>
  </si>
  <si>
    <t>1b0de015-ab20-4633-ac0e-715445cb88a6</t>
  </si>
  <si>
    <t>phosphorus oxychloride</t>
  </si>
  <si>
    <t>8ec90e1a-7f94-5546-9792-254d08000ccc</t>
  </si>
  <si>
    <t>phosphorus pentachloride</t>
  </si>
  <si>
    <t>b2a4e23e-4a1a-4def-890f-e08adee40333</t>
  </si>
  <si>
    <t>phosphorus trichloride</t>
  </si>
  <si>
    <t>f83172e9-3aac-50f1-965f-8eae38b5fea5</t>
  </si>
  <si>
    <t>phosphorus, white, liquid</t>
  </si>
  <si>
    <t>228ed64c-e628-4457-8885-fb7184cf95a2</t>
  </si>
  <si>
    <t>photovoltaic cell factory</t>
  </si>
  <si>
    <t>33c391ff-079b-4082-9ec5-a57a34a950f6</t>
  </si>
  <si>
    <t>photovoltaic cell, multi-Si wafer</t>
  </si>
  <si>
    <t>e856bce7-25be-431c-83fc-32c94a1e74bd</t>
  </si>
  <si>
    <t>photovoltaic cell, ribbon-Si</t>
  </si>
  <si>
    <t>1c4115fb-700a-47b4-b472-d3650e78e8aa</t>
  </si>
  <si>
    <t>photovoltaic cell, single-Si wafer</t>
  </si>
  <si>
    <t>93880249-2fea-4042-ab23-7b3a75a185d9</t>
  </si>
  <si>
    <t>photovoltaic facade installation, 3kWp, multi-Si, laminated, integrated, at building</t>
  </si>
  <si>
    <t>7848da46-98e4-4c33-a734-dd4ba79bdf6a</t>
  </si>
  <si>
    <t>3320:Installation of industrial machinery and equipment</t>
  </si>
  <si>
    <t>photovoltaic facade installation, 3kWp, multi-Si, panel, mounted, at building</t>
  </si>
  <si>
    <t>8f4ffa67-3167-47ca-8355-f8d1a5030615</t>
  </si>
  <si>
    <t>photovoltaic facade installation, 3kWp, single-Si, laminated, integrated, at building</t>
  </si>
  <si>
    <t>09c949e6-dd20-40d4-9adb-b46a01366b72</t>
  </si>
  <si>
    <t>photovoltaic facade installation, 3kWp, single-Si, panel, mounted, at building</t>
  </si>
  <si>
    <t>5a8da568-602c-44c5-8a99-77092f642f57</t>
  </si>
  <si>
    <t>photovoltaic flat-roof installation, 3kWp, multi-Si, on roof</t>
  </si>
  <si>
    <t>81bc88fb-1dcc-4fef-a420-51351f8b5220</t>
  </si>
  <si>
    <t>photovoltaic flat-roof installation, 3kWp, single-Si, on roof</t>
  </si>
  <si>
    <t>94e76ec7-dd3c-44f2-acec-8d6ec2907e75</t>
  </si>
  <si>
    <t>photovoltaic laminate, a-Si</t>
  </si>
  <si>
    <t>8eef05bd-936d-4ec7-ac2f-5e1892b590c9</t>
  </si>
  <si>
    <t>photovoltaic laminate, CdTe</t>
  </si>
  <si>
    <t>40789064-abc0-477f-a0f8-46a16781da55</t>
  </si>
  <si>
    <t>photovoltaic laminate, CIS</t>
  </si>
  <si>
    <t>97ee3bfa-7894-4353-9208-c2bf1ae1dce1</t>
  </si>
  <si>
    <t>photovoltaic laminate, multi-Si wafer</t>
  </si>
  <si>
    <t>855dbb71-f4e8-4819-ae28-aa2913c0939d</t>
  </si>
  <si>
    <t>photovoltaic laminate, ribbon-Si</t>
  </si>
  <si>
    <t>2ea2d6fc-4e17-4da4-9156-be70f4f938cb</t>
  </si>
  <si>
    <t>photovoltaic laminate, single-Si wafer</t>
  </si>
  <si>
    <t>3b6460f4-647a-483b-b67f-f912bef7e6fc</t>
  </si>
  <si>
    <t>photovoltaic module, building-integrated, for facade installation</t>
  </si>
  <si>
    <t>3cebe0c0-f87c-4d6d-ab00-9866862dbf7b</t>
  </si>
  <si>
    <t>photovoltaic module, building-integrated, for slanted-roof installation</t>
  </si>
  <si>
    <t>66f18588-4db0-4060-89cc-d6841a0b5dac</t>
  </si>
  <si>
    <t>photovoltaic mounting system, for 570kWp open ground module</t>
  </si>
  <si>
    <t>cbcd0e88-5e08-4e2a-8353-ae6a4ba53ce2</t>
  </si>
  <si>
    <t>photovoltaic mounting system, for facade installation</t>
  </si>
  <si>
    <t>f1ee225e-a4bf-4af6-963a-ac44d7fd29cf</t>
  </si>
  <si>
    <t>photovoltaic mounting system, for flat-roof installation</t>
  </si>
  <si>
    <t>86e5e95e-f2eb-4a4c-a32d-936f179e676e</t>
  </si>
  <si>
    <t>photovoltaic mounting system, for slanted-roof installation</t>
  </si>
  <si>
    <t>a873567a-d299-40bd-a8a7-640b31921c11</t>
  </si>
  <si>
    <t>photovoltaic panel factory</t>
  </si>
  <si>
    <t>70dc5ba7-241b-41dc-9f44-66ff7592aadc</t>
  </si>
  <si>
    <t>photovoltaic panel, a-Si</t>
  </si>
  <si>
    <t>475bbaab-49df-4a93-ac06-b8d34b2d17dc</t>
  </si>
  <si>
    <t>photovoltaic panel, CIS</t>
  </si>
  <si>
    <t>f31d1245-8beb-4427-8693-7a68b34f96ee</t>
  </si>
  <si>
    <t>photovoltaic panel, multi-Si wafer</t>
  </si>
  <si>
    <t>09df7ca2-d6df-443a-b414-45dd2f22bb8d</t>
  </si>
  <si>
    <t>photovoltaic panel, ribbon-Si</t>
  </si>
  <si>
    <t>59086abb-dc67-457c-87a9-4759469a3751</t>
  </si>
  <si>
    <t>photovoltaic panel, single-Si wafer</t>
  </si>
  <si>
    <t>98556c18-39ab-4d83-b9b9-cf9ae41566a9</t>
  </si>
  <si>
    <t>photovoltaic plant, 570kWp, multi-Si, on open ground</t>
  </si>
  <si>
    <t>d19b729a-0fea-4d72-aea9-0a5f0dadaaba</t>
  </si>
  <si>
    <t>photovoltaic slanted-roof installation, 3kWp, a-Si, laminated, integrated, on roof</t>
  </si>
  <si>
    <t>63e906ac-68d2-4ecd-a452-2115bd1c4d56</t>
  </si>
  <si>
    <t>photovoltaic slanted-roof installation, 3kWp, a-Si, panel, mounted, on roof</t>
  </si>
  <si>
    <t>837d51ac-633a-4081-a707-bb90a69dadde</t>
  </si>
  <si>
    <t>photovoltaic slanted-roof installation, 3kWp, CdTe, laminated, integrated, on roof</t>
  </si>
  <si>
    <t>0b25c2b3-9ff3-4d0d-a637-65b0ea0e285a</t>
  </si>
  <si>
    <t>photovoltaic slanted-roof installation, 3kWp, CIS, panel, mounted, on roof</t>
  </si>
  <si>
    <t>39a36901-8f0b-402b-bfbd-8f88a325afc9</t>
  </si>
  <si>
    <t>photovoltaic slanted-roof installation, 3kWp, multi-Si, laminated, integrated, on roof</t>
  </si>
  <si>
    <t>1f071fe9-5c43-41e3-9a16-ec48e28e21f0</t>
  </si>
  <si>
    <t>photovoltaic slanted-roof installation, 3kWp, multi-Si, panel, mounted, on roof</t>
  </si>
  <si>
    <t>df39a019-ca9d-43a7-a49e-083b3cb118a4</t>
  </si>
  <si>
    <t>photovoltaic slanted-roof installation, 3kWp, ribbon-Si, laminated, integrated, on roof</t>
  </si>
  <si>
    <t>d262464c-5e85-433e-877d-c7e787ace057</t>
  </si>
  <si>
    <t>photovoltaic slanted-roof installation, 3kWp, ribbon-Si, panel, mounted, on roof</t>
  </si>
  <si>
    <t>404ec799-3c68-4a8e-9c0a-3329abd905db</t>
  </si>
  <si>
    <t>photovoltaic slanted-roof installation, 3kWp, single-Si, laminated, integrated, on roof</t>
  </si>
  <si>
    <t>0d4b2b9d-33d3-4c67-b91d-c2064357970d</t>
  </si>
  <si>
    <t>photovoltaic slanted-roof installation, 3kWp, single-Si, panel, mounted, on roof</t>
  </si>
  <si>
    <t>845b9f66-4a29-45f9-85d0-8b7fc8df73e4</t>
  </si>
  <si>
    <t>photovoltaics, electric installation for 3kWp module, at building</t>
  </si>
  <si>
    <t>ca439928-3048-44a5-9ec3-9cf32b52bdce</t>
  </si>
  <si>
    <t>photovoltaics, electric installation for 570kWp module, open ground</t>
  </si>
  <si>
    <t>10fa54e6-6b88-4093-aaab-0d4b27ba5382</t>
  </si>
  <si>
    <t>phthalic anhydride</t>
  </si>
  <si>
    <t>aa3de575-58a6-418c-9968-1bfea04a78b8</t>
  </si>
  <si>
    <t>phthalimide</t>
  </si>
  <si>
    <t>e90a4d0e-9dd1-4031-84ca-30edcb6049c6</t>
  </si>
  <si>
    <t>phthalimide-compound</t>
  </si>
  <si>
    <t>4529a299-0cb4-4e18-90d1-5fd8c2f82727</t>
  </si>
  <si>
    <t>pig iron</t>
  </si>
  <si>
    <t>a636ed9e-f90a-48cb-a180-c75b1fc92cf1</t>
  </si>
  <si>
    <t>pineapple</t>
  </si>
  <si>
    <t>596ca18d-28a7-46db-bf11-2064b03879d2</t>
  </si>
  <si>
    <t>pipeline, liquid manure</t>
  </si>
  <si>
    <t>bd960959-a3a3-4694-9ff7-d43750f512eb</t>
  </si>
  <si>
    <t>pipeline, natural gas, high pressure distribution network</t>
  </si>
  <si>
    <t>e35c5939-e217-4469-a09c-0c72ecb3b1cb</t>
  </si>
  <si>
    <t>pipeline, natural gas, long distance, high capacity, offshore</t>
  </si>
  <si>
    <t>307d6449-1d90-434e-9042-2d6bd61d60d9</t>
  </si>
  <si>
    <t>pipeline, natural gas, long distance, high capacity, onshore</t>
  </si>
  <si>
    <t>a38bc59d-71aa-4953-bcfd-503ee77626fc</t>
  </si>
  <si>
    <t>pipeline, natural gas, long distance, low capacity, onshore</t>
  </si>
  <si>
    <t>24e0c6bd-f875-4ec7-a615-05db8cb3115f</t>
  </si>
  <si>
    <t>pipeline, natural gas, low pressure distribution network</t>
  </si>
  <si>
    <t>5f5a720f-df9c-4317-949a-8ceeefca4055</t>
  </si>
  <si>
    <t>pipeline, petroleum</t>
  </si>
  <si>
    <t>e45a29f8-34d6-4aac-bf03-b8d729b0099b</t>
  </si>
  <si>
    <t>pipeline, petroleum, offshore</t>
  </si>
  <si>
    <t>7eb2252c-321f-44f6-ab30-4867cac13cc2</t>
  </si>
  <si>
    <t>piperidine</t>
  </si>
  <si>
    <t>ee1e4fe1-c71c-48e4-85da-8be4527474ba</t>
  </si>
  <si>
    <t>pitch</t>
  </si>
  <si>
    <t>e7a17355-8575-4be4-8c51-85e38b19b3f3</t>
  </si>
  <si>
    <t>pitch despergents, in paper production</t>
  </si>
  <si>
    <t>f932591b-3558-4593-9071-e901333e7596</t>
  </si>
  <si>
    <t>planing mill</t>
  </si>
  <si>
    <t>0bf862ad-34a0-4740-bd63-b58bf7e5aed8</t>
  </si>
  <si>
    <t>planning, cogen unit mini CHP plant</t>
  </si>
  <si>
    <t>0d92ed61-850c-424f-82f8-2f99f8fac07e</t>
  </si>
  <si>
    <t>7110:Architectural and engineering activities and related technical consultancy</t>
  </si>
  <si>
    <t>planning, heat and power co-generation unit, 160kW electrical</t>
  </si>
  <si>
    <t>e9390e9e-2ddf-4c53-a102-f1a9961dc7be</t>
  </si>
  <si>
    <t>planting</t>
  </si>
  <si>
    <t>56945618-6269-4b32-8a1a-23deb440d203</t>
  </si>
  <si>
    <t>planting tree</t>
  </si>
  <si>
    <t>0a2e68db-e3d3-406f-8347-9aab9793db55</t>
  </si>
  <si>
    <t>planting with starter fertiliser, by no till planter</t>
  </si>
  <si>
    <t>f66846ab-83a7-41ec-8139-d879268bada0</t>
  </si>
  <si>
    <t>planting, sugarcane</t>
  </si>
  <si>
    <t>1a496c03-c02a-485a-af78-ac6564bf51cd</t>
  </si>
  <si>
    <t>plaster mixing</t>
  </si>
  <si>
    <t>872b2b1c-c1b6-4782-b03f-0d0b0409b297</t>
  </si>
  <si>
    <t>plastic flake, consumer electronics, for recycling</t>
  </si>
  <si>
    <t>a9b2fe27-bc40-4a22-a2c8-e320425c0086</t>
  </si>
  <si>
    <t>plastic granulate, unspecified, recycled</t>
  </si>
  <si>
    <t>577e08c9-53b2-41f4-a806-df09274d85e9</t>
  </si>
  <si>
    <t>plastic processing factory</t>
  </si>
  <si>
    <t>6a73e410-becb-4f8b-84a5-c2e5cce463de</t>
  </si>
  <si>
    <t>plastic tunnel</t>
  </si>
  <si>
    <t>df447983-7eff-40d8-b811-3db5d08d4587</t>
  </si>
  <si>
    <t>plasticiser, for concrete, based on sulfonated melamine formaldehyde</t>
  </si>
  <si>
    <t>46cb9cd6-9a86-4f77-bec3-3f946ed5e32f</t>
  </si>
  <si>
    <t>platinum</t>
  </si>
  <si>
    <t>f81a0beb-c567-4e68-8d1a-cf96d707b573</t>
  </si>
  <si>
    <t>platinum group metal concentrate</t>
  </si>
  <si>
    <t>c388d470-e83c-4f6f-93ec-3861dd53db5b</t>
  </si>
  <si>
    <t>plug, inlet and outlet, for computer cable</t>
  </si>
  <si>
    <t>b15da1e4-2d96-4388-bcdd-b02b17cf0ea4</t>
  </si>
  <si>
    <t>plug, inlet and outlet, for network cable</t>
  </si>
  <si>
    <t>7bb73649-4ca6-43fa-bad0-93be1f6ac9d4</t>
  </si>
  <si>
    <t>plug, inlet and outlet, for printer cable</t>
  </si>
  <si>
    <t>d52287cc-5068-44eb-8f18-93974f93b1b5</t>
  </si>
  <si>
    <t>plywood</t>
  </si>
  <si>
    <t>ac346633-b838-5e28-b494-0581f963e68d</t>
  </si>
  <si>
    <t>p-nitrophenol</t>
  </si>
  <si>
    <t>aacb0553-a291-44e4-a073-81760d409712</t>
  </si>
  <si>
    <t>p-nitrotoluene</t>
  </si>
  <si>
    <t>58965072-1cd7-4e84-b8cf-b9b6494cce9f</t>
  </si>
  <si>
    <t>pointing device, optical mouse, with cable</t>
  </si>
  <si>
    <t>c19cb6b8-d0e2-44f9-b782-920f91babe0a</t>
  </si>
  <si>
    <t>polar fleece production, energy use only</t>
  </si>
  <si>
    <t>1f54e81e-a5bb-482d-b50e-51018d16909d</t>
  </si>
  <si>
    <t>polarizer, liquid crystals and colour filters, for liquid crystal display</t>
  </si>
  <si>
    <t>ea568ca7-8e4f-471a-b71d-44c3c5f13e62</t>
  </si>
  <si>
    <t>polyacrylamide</t>
  </si>
  <si>
    <t>29f75a6a-e5cd-40f6-8f84-797deb0ef98c</t>
  </si>
  <si>
    <t>polyaluminium chloride</t>
  </si>
  <si>
    <t>f2482f81-8982-531b-8e49-ffa38a6f01eb</t>
  </si>
  <si>
    <t>polybutadiene</t>
  </si>
  <si>
    <t>d6ec2fa7-9885-4c36-afb9-1d336d86c3dd</t>
  </si>
  <si>
    <t>polycarbonate</t>
  </si>
  <si>
    <t>e0d6f217-d1e3-4d5d-8b8a-b13c846d4ad6</t>
  </si>
  <si>
    <t>polycarboxylates, 40% active substance</t>
  </si>
  <si>
    <t>3e859b49-2810-46cf-b7ff-f78027dc63ac</t>
  </si>
  <si>
    <t>polydimethylsiloxane</t>
  </si>
  <si>
    <t>0dc25044-d414-5564-b7f3-998ef6732374</t>
  </si>
  <si>
    <t>polyester resin, unsaturated</t>
  </si>
  <si>
    <t>4bf60736-bc87-4e3d-8d34-ea8bcc46f551</t>
  </si>
  <si>
    <t>polyester-complexed starch biopolymer</t>
  </si>
  <si>
    <t>ff36e6af-aa19-4944-8040-181006c9c335</t>
  </si>
  <si>
    <t>polyethylene pipe, corrugated, DN 75</t>
  </si>
  <si>
    <t>84c43f30-36fe-47a4-a9c7-848e057f65d2</t>
  </si>
  <si>
    <t>polyethylene pipe, DN 200, SDR 41</t>
  </si>
  <si>
    <t>692bfb68-02ed-4bde-9818-8c946d713c42</t>
  </si>
  <si>
    <t>polyethylene terephthalate, granulate, amorphous</t>
  </si>
  <si>
    <t>d585421f-a3a1-45bc-bd94-188f65865b9c</t>
  </si>
  <si>
    <t>polyethylene terephthalate, granulate, amorphous, recycled</t>
  </si>
  <si>
    <t>d8e28290-070a-5c59-becf-e7c25f7c7f2c</t>
  </si>
  <si>
    <t>polyethylene terephthalate, granulate, bottle grade</t>
  </si>
  <si>
    <t>19bacec1-aff8-4398-a7bd-d125b48505b7</t>
  </si>
  <si>
    <t>polyethylene terephthalate, granulate, bottle grade, recycled</t>
  </si>
  <si>
    <t>f01a5ba9-4444-5a15-84f0-2a1dbda685a6</t>
  </si>
  <si>
    <t>polyethylene, high density, granulate</t>
  </si>
  <si>
    <t>b685192a-e033-421e-9074-8fe7cb176046</t>
  </si>
  <si>
    <t>polyethylene, high density, granulate, recycled</t>
  </si>
  <si>
    <t>f3a6095a-d689-5bcf-8bd9-6ae701313632</t>
  </si>
  <si>
    <t>polyethylene, linear low density, granulate</t>
  </si>
  <si>
    <t>ff4734a5-a4a6-4960-bfbd-febae7a64f65</t>
  </si>
  <si>
    <t>polyethylene, low density, granulate</t>
  </si>
  <si>
    <t>947a85fa-114e-4d9e-b36c-3293e48ea5ae</t>
  </si>
  <si>
    <t>polylactide, granulate</t>
  </si>
  <si>
    <t>34a3b6f1-6004-4e47-a1d1-3a3f6372b167</t>
  </si>
  <si>
    <t>polymer foaming</t>
  </si>
  <si>
    <t>e6c4c508-f95f-42e0-b0a7-78c703326f9c</t>
  </si>
  <si>
    <t>polymethyl methacrylate, beads</t>
  </si>
  <si>
    <t>2c48066b-6b23-43cc-950f-ec6e89d4d838</t>
  </si>
  <si>
    <t>polymethyl methacrylate, sheet</t>
  </si>
  <si>
    <t>f8257971-f691-4192-a882-9b923df961d8</t>
  </si>
  <si>
    <t>polyol</t>
  </si>
  <si>
    <t>9be88de4-3a75-4915-b2ab-40451b05b6ee</t>
  </si>
  <si>
    <t>polyphenylene sulfide</t>
  </si>
  <si>
    <t>c3416676-694e-475d-8374-c6f458078a69</t>
  </si>
  <si>
    <t>polypropylene, granulate</t>
  </si>
  <si>
    <t>66ca2f38-5e51-4546-83c0-d7cef0c55c7c</t>
  </si>
  <si>
    <t>polystyrene foam slab</t>
  </si>
  <si>
    <t>5806d08f-343d-42a0-a2c8-185b7cad5830</t>
  </si>
  <si>
    <t>polystyrene foam slab for perimeter insulation</t>
  </si>
  <si>
    <t>d11b6468-c23b-4139-bd97-2dd8542a7ead</t>
  </si>
  <si>
    <t>polystyrene foam slab with graphite, 6% recycled</t>
  </si>
  <si>
    <t>54a54c5d-2e3d-4948-a48c-fc92f940b489</t>
  </si>
  <si>
    <t>polystyrene foam slab, 10% recycled</t>
  </si>
  <si>
    <t>9611236b-e75a-4622-90b2-308d9e4f4503</t>
  </si>
  <si>
    <t>polystyrene scrap, post-consumer</t>
  </si>
  <si>
    <t>7b9793d7-a5c9-4a18-8100-ee52d7ce51c3</t>
  </si>
  <si>
    <t>polystyrene, expandable</t>
  </si>
  <si>
    <t>5c21b18e-e32d-4c76-8d16-2238632163c2</t>
  </si>
  <si>
    <t>polystyrene, extruded</t>
  </si>
  <si>
    <t>0930efae-d130-40c6-95bf-8e4966913dc8</t>
  </si>
  <si>
    <t>polystyrene, general purpose</t>
  </si>
  <si>
    <t>a71a3671-f294-46ad-8adb-885e61d6ae4e</t>
  </si>
  <si>
    <t>polystyrene, high impact</t>
  </si>
  <si>
    <t>14a9fc00-5a28-40f3-9cbe-527a40212577</t>
  </si>
  <si>
    <t>polysulfide, sealing compound</t>
  </si>
  <si>
    <t>3d0a8c4e-af1f-4164-9961-40d201fa5645</t>
  </si>
  <si>
    <t>polysulfone</t>
  </si>
  <si>
    <t>a1f426d3-41a4-48d7-acc9-e275965ee44a</t>
  </si>
  <si>
    <t>polyurethane adhesive</t>
  </si>
  <si>
    <t>8701d690-28c4-4a84-b79d-0320e90b1a50</t>
  </si>
  <si>
    <t>polyurethane, flexible foam</t>
  </si>
  <si>
    <t>ff002d3b-b2e9-45f0-b34e-0130ffbbcf3c</t>
  </si>
  <si>
    <t>polyurethane, flexible foam, flame retardant</t>
  </si>
  <si>
    <t>dc4f5bdc-928b-4385-9d64-27ca55354247</t>
  </si>
  <si>
    <t>polyurethane, rigid foam</t>
  </si>
  <si>
    <t>47e8f15f-6a0b-4ec5-be7d-8965ce014081</t>
  </si>
  <si>
    <t>polyvinylchloride, bulk polymerised</t>
  </si>
  <si>
    <t>1768722c-0cb1-4b0b-9183-2ff16919120e</t>
  </si>
  <si>
    <t>polyvinylchloride, emulsion polymerised</t>
  </si>
  <si>
    <t>fd45a910-a95c-4742-90a5-473e86d16486</t>
  </si>
  <si>
    <t>polyvinylchloride, suspension polymerised</t>
  </si>
  <si>
    <t>e69cca3a-6e2a-4638-b9e7-09927dcf1c95</t>
  </si>
  <si>
    <t>polyvinylfluoride</t>
  </si>
  <si>
    <t>3b2a8b24-0f2e-4e35-a10c-98e1be81c80b</t>
  </si>
  <si>
    <t>polyvinylfluoride, dispersion</t>
  </si>
  <si>
    <t>09e83e96-9e71-422d-812b-631387b22a20</t>
  </si>
  <si>
    <t>polyvinylfluoride, film</t>
  </si>
  <si>
    <t>6534b875-82f0-4714-b31e-58214929b0a9</t>
  </si>
  <si>
    <t>polyvinylidenchloride, granulate</t>
  </si>
  <si>
    <t>f891d553-f8e5-4990-a56f-d032d9ec87f0</t>
  </si>
  <si>
    <t>pomegranate</t>
  </si>
  <si>
    <t>5023fbde-32f5-48c9-9e0d-bc1b370591b5</t>
  </si>
  <si>
    <t>port facilities</t>
  </si>
  <si>
    <t>e9e0a5ae-daf6-4466-9258-e8ea4104d26a</t>
  </si>
  <si>
    <t>portachrom</t>
  </si>
  <si>
    <t>b01d21a0-f206-446e-b416-68787a77693e</t>
  </si>
  <si>
    <t>portafer</t>
  </si>
  <si>
    <t>ebac5860-dbf9-4748-9563-6e21ace5f14a</t>
  </si>
  <si>
    <t>potash salt</t>
  </si>
  <si>
    <t>eadd8b3b-9c5d-5166-a244-4f4e46914133</t>
  </si>
  <si>
    <t>potassium carbonate</t>
  </si>
  <si>
    <t>b1508998-ac7e-4921-b3d8-a6c3aafa41ab</t>
  </si>
  <si>
    <t>potassium chloride</t>
  </si>
  <si>
    <t>f9c6e4e7-e45c-423e-b48e-f7e140efb38e</t>
  </si>
  <si>
    <t>potassium chloride sludge</t>
  </si>
  <si>
    <t>ddf3bfbd-ab01-4b0e-8a57-9d8d759dad5e</t>
  </si>
  <si>
    <t>potassium chloride, industrial grade</t>
  </si>
  <si>
    <t>87100d3b-3c80-4027-bb1b-64731ed611c2</t>
  </si>
  <si>
    <t>potassium hydroxide</t>
  </si>
  <si>
    <t>56190f78-7eaa-434a-b949-fc4bcbd4b8a8</t>
  </si>
  <si>
    <t>potassium nitrate</t>
  </si>
  <si>
    <t>2f6880f1-d79c-436d-9fe2-5a589d0e504b</t>
  </si>
  <si>
    <t>potassium nitrate, agricultural grade</t>
  </si>
  <si>
    <t>97c03bf4-867b-44c4-93fe-f090be5bddcc</t>
  </si>
  <si>
    <t>potassium nitrate, industrial grade</t>
  </si>
  <si>
    <t>1cdcf546-a3be-4539-8808-4c0a885a0816</t>
  </si>
  <si>
    <t>potassium nitrate, technical grade</t>
  </si>
  <si>
    <t>04e9e80f-8b7f-4dc0-ba94-73fbede1069f</t>
  </si>
  <si>
    <t>potassium perchlorate</t>
  </si>
  <si>
    <t>0c16d27e-bc20-458c-a2d0-e704cdac7869</t>
  </si>
  <si>
    <t>potassium permanganate</t>
  </si>
  <si>
    <t>004f81b0-dd66-4146-a292-c2caa4353971</t>
  </si>
  <si>
    <t>potassium sulfate</t>
  </si>
  <si>
    <t>db8488c0-a49f-4550-8bae-f2356ce1de64</t>
  </si>
  <si>
    <t>potato</t>
  </si>
  <si>
    <t>155158d0-d566-487e-bfae-fff465d5dc52</t>
  </si>
  <si>
    <t>potato grading</t>
  </si>
  <si>
    <t>cfc197ab-2e3a-400d-9c3b-880f5a3908c4</t>
  </si>
  <si>
    <t>potato haulm cutting</t>
  </si>
  <si>
    <t>c17bc9a6-70c2-49c3-ad5e-16840fa81178</t>
  </si>
  <si>
    <t>potato planting</t>
  </si>
  <si>
    <t>1933bbc7-2732-496e-ab58-5437df0da5f9</t>
  </si>
  <si>
    <t>potato seed, at farm</t>
  </si>
  <si>
    <t>213ec740-73fd-4e70-a086-ceb61e7405b2</t>
  </si>
  <si>
    <t>potato seed, for setting</t>
  </si>
  <si>
    <t>1f69b3bf-b3b1-41b2-9441-7efbc55f58bb</t>
  </si>
  <si>
    <t>potato seed, organic, at farm</t>
  </si>
  <si>
    <t>dc36f6d4-125b-4554-b43e-8e518757d859</t>
  </si>
  <si>
    <t>potato seed, organic, for setting</t>
  </si>
  <si>
    <t>994082a3-1fed-43f0-a510-6d9c151c8350</t>
  </si>
  <si>
    <t>potato seed, Swiss integrated production, at farm</t>
  </si>
  <si>
    <t>4ca0a33b-7bf2-4469-8586-8c8e05cc4741</t>
  </si>
  <si>
    <t>potato seed, Swiss integrated production, for setting</t>
  </si>
  <si>
    <t>5368a408-6be2-40f6-8068-903b3dfbda73</t>
  </si>
  <si>
    <t>potato starch</t>
  </si>
  <si>
    <t>463fad24-d1d2-4a5d-9bb4-029d5b553d65</t>
  </si>
  <si>
    <t>potato, organic</t>
  </si>
  <si>
    <t>77e10ba2-d1cc-49eb-95a0-84e852bfa03b</t>
  </si>
  <si>
    <t>potato, Swiss integrated production</t>
  </si>
  <si>
    <t>308b5159-49ed-4608-bee8-404d32ef05a2</t>
  </si>
  <si>
    <t>potentiometer, unspecified</t>
  </si>
  <si>
    <t>dc1f2d8a-56cc-4a23-a2f3-d7931bca55ce</t>
  </si>
  <si>
    <t>poultry manure, dried</t>
  </si>
  <si>
    <t>e0d21df5-c3c7-4421-9861-5fb9a614b576</t>
  </si>
  <si>
    <t>poultry manure, fresh</t>
  </si>
  <si>
    <t>4aeb622f-8675-4449-889b-bca8bbb3d44a</t>
  </si>
  <si>
    <t>powder coat, aluminium sheet</t>
  </si>
  <si>
    <t>95dec2c2-ddd6-4c04-8b60-a780dc03b222</t>
  </si>
  <si>
    <t>powder coat, steel</t>
  </si>
  <si>
    <t>d187adaf-a08d-4f75-a1ba-bb46c4597f45</t>
  </si>
  <si>
    <t>power adapter, for laptop</t>
  </si>
  <si>
    <t>fc5ea80c-8e1b-4e88-aece-8b52a1816cff</t>
  </si>
  <si>
    <t>power adapter, for smartphone</t>
  </si>
  <si>
    <t>3094db58-4ba5-5a4a-a549-56533c6e5985</t>
  </si>
  <si>
    <t>power block, solar thermal parabolic trough, 50 MW</t>
  </si>
  <si>
    <t>99714f4c-72ca-4ad8-8998-9564f8c35bea</t>
  </si>
  <si>
    <t>power block, solar tower power plant, 20 MW</t>
  </si>
  <si>
    <t>884c48fb-56c9-44e5-a18e-b400b40cb2c4</t>
  </si>
  <si>
    <t>power distribution unit, for electric passenger car</t>
  </si>
  <si>
    <t>50c810aa-10bb-42a9-ab7f-b179493b58ac</t>
  </si>
  <si>
    <t>power saw, with catalytic converter</t>
  </si>
  <si>
    <t>3018d5b5-c836-4154-9604-0a3181f31d64</t>
  </si>
  <si>
    <t>2818:Manufacture of power-driven hand tools</t>
  </si>
  <si>
    <t>power saw, without catalytic converter</t>
  </si>
  <si>
    <t>99e47244-0ecd-4d45-8d79-f4e3cb384d05</t>
  </si>
  <si>
    <t>power sawing, with catalytic converter</t>
  </si>
  <si>
    <t>472aa122-5d2c-45c0-9950-1c85af36eb30</t>
  </si>
  <si>
    <t>power sawing, without catalytic converter</t>
  </si>
  <si>
    <t>8578a99c-e6ff-412c-a829-9e53f8890e5a</t>
  </si>
  <si>
    <t>power supply unit, for desktop computer</t>
  </si>
  <si>
    <t>1f2c710e-6c7a-43f1-b3b4-aa905fe1dafd</t>
  </si>
  <si>
    <t>powertrain, for electric passenger car</t>
  </si>
  <si>
    <t>9fdc557e-85d0-4b26-8cfb-24c7205f6f3a</t>
  </si>
  <si>
    <t>powertrain, for electric scooter</t>
  </si>
  <si>
    <t>8f5d26e5-ea22-432f-93e5-362a6df5ec66</t>
  </si>
  <si>
    <t>praseodymium oxide</t>
  </si>
  <si>
    <t>e1126956-dc57-4837-849f-57fb25c8effa</t>
  </si>
  <si>
    <t>praseodymium-neodymium oxide</t>
  </si>
  <si>
    <t>9668470a-28c8-55ed-a2fd-8a6f1aeb3d68</t>
  </si>
  <si>
    <t>precious metal from electronics scrap, in anode slime</t>
  </si>
  <si>
    <t>7101abbb-e136-4f29-99e9-e4e89f9266ab</t>
  </si>
  <si>
    <t>precious metal refinery</t>
  </si>
  <si>
    <t>a56c49fd-0157-492e-ae84-5f0726c7058b</t>
  </si>
  <si>
    <t>printed paper</t>
  </si>
  <si>
    <t>d86d6656-4906-400c-a980-836dba269b37</t>
  </si>
  <si>
    <t>printed paper, offset</t>
  </si>
  <si>
    <t>fbc37f1d-6f28-4b37-9d7e-82695f151db3</t>
  </si>
  <si>
    <t>1811:Printing</t>
  </si>
  <si>
    <t>printed wiring board mounting facility</t>
  </si>
  <si>
    <t>4fe1df48-36c3-43d7-a2f6-97cb3a8cfc71</t>
  </si>
  <si>
    <t>printed wiring board mounting facility, surface mounting line</t>
  </si>
  <si>
    <t>61627325-4a8f-4405-946c-1a9f1d19521f</t>
  </si>
  <si>
    <t>printed wiring board mounting facility, through-hole mounting line</t>
  </si>
  <si>
    <t>1420606e-a2b3-460e-b199-2af9389762b6</t>
  </si>
  <si>
    <t>printed wiring board, for power supply unit, desktop computer, Pb containing</t>
  </si>
  <si>
    <t>1753f592-1686-4ccd-a522-3fce6687572e</t>
  </si>
  <si>
    <t>printed wiring board, for power supply unit, desktop computer, Pb free</t>
  </si>
  <si>
    <t>c8e0343b-d1e9-4850-b235-2f3e931b01e6</t>
  </si>
  <si>
    <t>printed wiring board, for surface mounting, Pb containing surface</t>
  </si>
  <si>
    <t>283b675b-2407-49f1-bd80-a833940fee39</t>
  </si>
  <si>
    <t>printed wiring board, for surface mounting, Pb free surface</t>
  </si>
  <si>
    <t>65cf8186-2a0d-4271-b7ee-62c9f5d5100c</t>
  </si>
  <si>
    <t>printed wiring board, for through-hole mounting, Pb containing surface</t>
  </si>
  <si>
    <t>5ad2c6c9-1ff6-4bb0-bae1-40f8adc42b1c</t>
  </si>
  <si>
    <t>printed wiring board, for through-hole mounting, Pb free surface</t>
  </si>
  <si>
    <t>cf11031f-462b-48ce-857b-f36ed83e0095</t>
  </si>
  <si>
    <t>printed wiring board, mounted mainboard, desktop computer, Pb containing</t>
  </si>
  <si>
    <t>4550dc89-f2bb-45d5-ba33-7cd7d8d50e2d</t>
  </si>
  <si>
    <t>printed wiring board, mounted mainboard, desktop computer, Pb free</t>
  </si>
  <si>
    <t>15c3e723-ae09-4f1c-8e54-515c27fab3ce</t>
  </si>
  <si>
    <t>printed wiring board, mounted mainboard, laptop computer, Pb containing</t>
  </si>
  <si>
    <t>01754257-af2c-4779-9a1b-b51e4e1e4031</t>
  </si>
  <si>
    <t>printed wiring board, mounted mainboard, laptop computer, Pb free</t>
  </si>
  <si>
    <t>0bd87d38-42ee-4029-8a5e-ba6b932e9ea2</t>
  </si>
  <si>
    <t>printed wiring board, mounted mainboard, mobile device, double-sided, Pb free</t>
  </si>
  <si>
    <t>264d4f81-259d-4304-aeed-c6bc484a79a8</t>
  </si>
  <si>
    <t>printed wiring board, surface mounted, unspecified, Pb containing</t>
  </si>
  <si>
    <t>b2fa2d26-3e11-43c8-aa62-ad15665dac59</t>
  </si>
  <si>
    <t>printed wiring board, surface mounted, unspecified, Pb free</t>
  </si>
  <si>
    <t>8598208b-dcea-4d29-8bdf-74958b7178c4</t>
  </si>
  <si>
    <t>printed wiring board, through-hole mounted, unspecified, Pb containing</t>
  </si>
  <si>
    <t>40521328-bdae-4fc3-9034-cd8bea5c7fa2</t>
  </si>
  <si>
    <t>printed wiring board, through-hole mounted, unspecified, Pb free</t>
  </si>
  <si>
    <t>2b8a9ea3-5dea-47c1-9c37-e98a1dd9f2d0</t>
  </si>
  <si>
    <t>printer, laser, black/white</t>
  </si>
  <si>
    <t>ec993957-9d4e-490a-aec8-3d147124e98f</t>
  </si>
  <si>
    <t>printer, laser, colour</t>
  </si>
  <si>
    <t>3cadb0c2-4e16-4007-8f05-b5d48b7ea47c</t>
  </si>
  <si>
    <t>printing ink, offset, without solvent, in 47.5% solution state</t>
  </si>
  <si>
    <t>13f4bda2-1e95-40e5-9f1e-97feb2142cd0</t>
  </si>
  <si>
    <t>printing ink, rotogravure, without solvent, in 55% toluene solution state</t>
  </si>
  <si>
    <t>3368a0a2-0afa-4d18-aacd-7761dabc7112</t>
  </si>
  <si>
    <t>process-specific burdens, hazardous waste incineration plant</t>
  </si>
  <si>
    <t>1d2e10bf-8b43-4dbe-bdff-959e26f4607d</t>
  </si>
  <si>
    <t>3822:Treatment and disposal of hazardous waste</t>
  </si>
  <si>
    <t>process-specific burdens, import of copper to Switzerland</t>
  </si>
  <si>
    <t>c8073467-777a-4eee-ab21-5008a9b46e19</t>
  </si>
  <si>
    <t>process-specific burdens, inert material landfill</t>
  </si>
  <si>
    <t>34e08b94-8441-4260-b73a-83047ea6c25b</t>
  </si>
  <si>
    <t>process-specific burdens, municipal waste incineration</t>
  </si>
  <si>
    <t>c6dd4cd2-cacd-40ed-b2b5-9c54cc21cee6</t>
  </si>
  <si>
    <t>process-specific burdens, residual material landfill</t>
  </si>
  <si>
    <t>0efdaa40-18e9-4c35-b443-7123307fb358</t>
  </si>
  <si>
    <t>process-specific burdens, sanitary landfill</t>
  </si>
  <si>
    <t>4a2aeb6d-125d-4473-8df7-310d98da3e2d</t>
  </si>
  <si>
    <t>process-specific burdens, slag landfill</t>
  </si>
  <si>
    <t>092689fc-3f10-47fe-abbd-9ffaf77f3013</t>
  </si>
  <si>
    <t>propanal</t>
  </si>
  <si>
    <t>ffcacf17-64fd-441b-a948-d11c3a5d0993</t>
  </si>
  <si>
    <t>propane</t>
  </si>
  <si>
    <t>28a32250-3ba9-4556-9505-8841cff28aa2</t>
  </si>
  <si>
    <t>propane, burned in building machine</t>
  </si>
  <si>
    <t>705f483c-0d06-4f1c-9be9-7d54b88c4015</t>
  </si>
  <si>
    <t>propionic acid</t>
  </si>
  <si>
    <t>93325850-98a2-49a1-be7c-1ccf715f38ce</t>
  </si>
  <si>
    <t>propyl amine</t>
  </si>
  <si>
    <t>f2c50dcd-6418-4d9e-a807-4bd5c6be89b2</t>
  </si>
  <si>
    <t>propylene</t>
  </si>
  <si>
    <t>b658a402-79b9-4a02-a818-f6090adb13f1</t>
  </si>
  <si>
    <t>propylene glycol, liquid</t>
  </si>
  <si>
    <t>dc1ed0ff-fbaa-47a1-8962-4faff492788f</t>
  </si>
  <si>
    <t>propylene oxide, liquid</t>
  </si>
  <si>
    <t>fc5128d5-4221-4229-a1da-903943ca83c2</t>
  </si>
  <si>
    <t>propylene, pipeline system</t>
  </si>
  <si>
    <t>359d6943-6e60-416b-93dc-9c58398b0179</t>
  </si>
  <si>
    <t>prosulfocarb</t>
  </si>
  <si>
    <t>72d94cff-d13f-4653-9bab-e1fd5f3c0e69</t>
  </si>
  <si>
    <t>protein feed, 100% crude</t>
  </si>
  <si>
    <t>8b2dfb58-660d-44eb-b83f-5d9e28e467db</t>
  </si>
  <si>
    <t>protein pea</t>
  </si>
  <si>
    <t>0dab73c6-b214-4e9c-8c38-ab49d608637b</t>
  </si>
  <si>
    <t>protein pea, feed, Swiss integrated production</t>
  </si>
  <si>
    <t>06affe58-e750-4345-8725-8218d54352f7</t>
  </si>
  <si>
    <t>protein pea, organic</t>
  </si>
  <si>
    <t>fa8fdaec-627a-4055-b2e9-49b238cf166f</t>
  </si>
  <si>
    <t>protein pea, Swiss integrated production</t>
  </si>
  <si>
    <t>510a8fef-7075-4da2-9984-8936ba08c89f</t>
  </si>
  <si>
    <t>pulp factory</t>
  </si>
  <si>
    <t>aef9a6fa-55d2-4492-b559-06a2811b6017</t>
  </si>
  <si>
    <t>pulpwood, hardwood, measured as solid wood under bark</t>
  </si>
  <si>
    <t>aed42e37-62bc-4f3f-a527-b92f5187c0e8</t>
  </si>
  <si>
    <t>pulpwood, softwood, measured as solid wood under bark</t>
  </si>
  <si>
    <t>6eb408db-980a-4b9e-82a8-b6dca183ec35</t>
  </si>
  <si>
    <t>pulverised lignite</t>
  </si>
  <si>
    <t>206eb3c4-8d19-4ed6-bd25-44d11b7fa624</t>
  </si>
  <si>
    <t>pumice</t>
  </si>
  <si>
    <t>c20abae4-7760-45ef-922d-1591dd98e12c</t>
  </si>
  <si>
    <t>pump station</t>
  </si>
  <si>
    <t>c76478d2-32a3-45ed-a4e1-12ef9d60883f</t>
  </si>
  <si>
    <t>pump, 40W</t>
  </si>
  <si>
    <t>c5a44929-73b7-4ee2-a5da-7806cc094d77</t>
  </si>
  <si>
    <t>2812:Manufacture of fluid power equipment</t>
  </si>
  <si>
    <t>purge gas, rich in sodium nitrate</t>
  </si>
  <si>
    <t>c9c7df16-c138-4687-9ff7-257aad65276d</t>
  </si>
  <si>
    <t>purified terephthalic acid</t>
  </si>
  <si>
    <t>d479404a-f180-41cc-a587-4425b64e4a00</t>
  </si>
  <si>
    <t>purse seiner maintenance, steel</t>
  </si>
  <si>
    <t>d4cd817b-9864-4671-a95a-fcb3e2721bf1</t>
  </si>
  <si>
    <t>purse seiner maintenance, wood</t>
  </si>
  <si>
    <t>894067ef-403f-4e39-9852-e399a84afa21</t>
  </si>
  <si>
    <t>purse seiner, steel</t>
  </si>
  <si>
    <t>d22df548-aa91-4659-9fbd-2a66c3c34a05</t>
  </si>
  <si>
    <t>purse seiner, wood</t>
  </si>
  <si>
    <t>46058084-c56a-4d89-9169-c44ccbbbdcfd</t>
  </si>
  <si>
    <t>pyrazole</t>
  </si>
  <si>
    <t>6119f30b-32d1-43dc-bc2e-9f0b3320af15</t>
  </si>
  <si>
    <t>pyrethroid-compound</t>
  </si>
  <si>
    <t>2552d148-587a-4fcf-be94-991383a8160e</t>
  </si>
  <si>
    <t>pyridazine-compound</t>
  </si>
  <si>
    <t>fd71fda7-6bc6-4020-bfd7-205ef2b560aa</t>
  </si>
  <si>
    <t>pyridine</t>
  </si>
  <si>
    <t>c35d04b9-fc6e-4033-9144-af61a3c68526</t>
  </si>
  <si>
    <t>pyridine-compound</t>
  </si>
  <si>
    <t>f4141823-5779-4464-aa75-6ba5e014fa62</t>
  </si>
  <si>
    <t>pyrochlore concentrate</t>
  </si>
  <si>
    <t>539dc0e7-1de1-401c-8a32-b92b00e63abd</t>
  </si>
  <si>
    <t>quicklime, in pieces, loose</t>
  </si>
  <si>
    <t>e79575a7-0b20-46d5-94b2-99d1916105db</t>
  </si>
  <si>
    <t>quicklime, milled, loose</t>
  </si>
  <si>
    <t>d76a43a4-17da-4713-b4d7-569804af59ab</t>
  </si>
  <si>
    <t>quicklime, milled, packed</t>
  </si>
  <si>
    <t>2a478bad-9f24-4208-a86c-3683f9b69610</t>
  </si>
  <si>
    <t>radish</t>
  </si>
  <si>
    <t>c13cf756-e56c-4542-8cf9-06ddb0669efa</t>
  </si>
  <si>
    <t>railway track</t>
  </si>
  <si>
    <t>cb388ab7-cbc9-412f-ab11-811c808a8004</t>
  </si>
  <si>
    <t>railway track, for high-speed train</t>
  </si>
  <si>
    <t>e793625e-34eb-42c6-a9c7-dd9056ea86f3</t>
  </si>
  <si>
    <t>rape meal</t>
  </si>
  <si>
    <t>3719fbf0-0ae5-4e1d-9668-e5f2cecf9a43</t>
  </si>
  <si>
    <t>rape oil, crude</t>
  </si>
  <si>
    <t>1ef8a081-f479-4c8e-bba3-aba6d37de904</t>
  </si>
  <si>
    <t>rape seed</t>
  </si>
  <si>
    <t>cb09bcae-b469-4f41-84a6-cdd1e958e027</t>
  </si>
  <si>
    <t>rape seed, for sowing</t>
  </si>
  <si>
    <t>7f28aedf-805b-4d2d-92e5-eb011b4f099e</t>
  </si>
  <si>
    <t>rape seed, organic</t>
  </si>
  <si>
    <t>80df7587-0686-45b1-af7c-38ee267c2525</t>
  </si>
  <si>
    <t>rape seed, organic, for sowing</t>
  </si>
  <si>
    <t>bf56bcc1-aecc-4c4f-aec3-9a35e967ae8a</t>
  </si>
  <si>
    <t>rape seed, Swiss integrated production</t>
  </si>
  <si>
    <t>44519c79-bf77-4775-a69e-182d26b1f7d5</t>
  </si>
  <si>
    <t>rare earth carbonate concentrate</t>
  </si>
  <si>
    <t>d2069bd3-fb92-5bf2-af34-5c4b38003c9d</t>
  </si>
  <si>
    <t>rare earth oxide concentrate, 50% REO</t>
  </si>
  <si>
    <t>beb1b4ef-e2ad-40e3-934f-10a2c0006eed</t>
  </si>
  <si>
    <t>rare earth oxide concentrate, 70% REO</t>
  </si>
  <si>
    <t>d85221ba-1d0f-4545-bf95-a2cbf51402dd</t>
  </si>
  <si>
    <t>rare earth tailings, from bastnaesite and monazite ore</t>
  </si>
  <si>
    <t>d6d75409-e561-4ee7-9bcb-709c55bd12fb</t>
  </si>
  <si>
    <t>receiver system, solar tower power plant, 20 MW</t>
  </si>
  <si>
    <t>0b6f10dc-7e07-4eba-96bc-9fe0c7e634a4</t>
  </si>
  <si>
    <t>recultivation, bauxite mine</t>
  </si>
  <si>
    <t>44ea8a61-e589-4693-9d8c-03c5d7aa08f7</t>
  </si>
  <si>
    <t>3900:Remediation activities and other waste management services</t>
  </si>
  <si>
    <t>recultivation, bentonite mine</t>
  </si>
  <si>
    <t>a07b5d4c-ab45-4bb6-927a-ab3dee053ec1</t>
  </si>
  <si>
    <t>recultivation, dolomite mine</t>
  </si>
  <si>
    <t>a043c4ad-20b9-41ed-8438-d099b495fa32</t>
  </si>
  <si>
    <t>recultivation, ilmenite mine</t>
  </si>
  <si>
    <t>70994166-77bb-4fcc-9bbd-725478ee4761</t>
  </si>
  <si>
    <t>recultivation, iron mine</t>
  </si>
  <si>
    <t>eb134880-3c15-4a18-af4c-e1e521b4101f</t>
  </si>
  <si>
    <t>recultivation, limestone mine</t>
  </si>
  <si>
    <t>64258a0a-b069-431d-839f-3e47c1a4d9c4</t>
  </si>
  <si>
    <t>recultivation, potash salt mine</t>
  </si>
  <si>
    <t>27165bf9-3339-4a23-bf05-74ba099c6a3c</t>
  </si>
  <si>
    <t>recultivation, shale quarry</t>
  </si>
  <si>
    <t>b92d0439-97e3-4a11-a228-754146fb3781</t>
  </si>
  <si>
    <t>red meat, live weight</t>
  </si>
  <si>
    <t>2c9ff48f-b3da-440d-8502-15b14bfbb150</t>
  </si>
  <si>
    <t>reefer, intermodal shipping container, 40-foot, high-cube, carbon dioxide, liquid as refrigerant</t>
  </si>
  <si>
    <t>3ba2c4e1-5133-4a09-aa56-755cb2072dae</t>
  </si>
  <si>
    <t>reefer, intermodal shipping container, 40-foot, high-cube, R134a as refrigerant</t>
  </si>
  <si>
    <t>b19c8d4b-4bfe-4b53-90a9-adf93ac82f3f</t>
  </si>
  <si>
    <t>reeled raw silk hank</t>
  </si>
  <si>
    <t>96cc310d-77ba-4e30-841d-aeb885fe27fb</t>
  </si>
  <si>
    <t>refinery gas</t>
  </si>
  <si>
    <t>6d423844-bec8-46c9-b905-dc609e79aa61</t>
  </si>
  <si>
    <t>reformate</t>
  </si>
  <si>
    <t>3d487da6-6c72-5e31-bdf6-e4ec12cafac3</t>
  </si>
  <si>
    <t>refractory material, acid</t>
  </si>
  <si>
    <t>ddf1bc4e-ac9c-4a37-824c-b5dee2dc2d98</t>
  </si>
  <si>
    <t>2391:Manufacture of refractory products</t>
  </si>
  <si>
    <t>refractory, basic, packed</t>
  </si>
  <si>
    <t>17c72eaf-0185-42dc-87d4-4882e550ba09</t>
  </si>
  <si>
    <t>refractory, fireclay, packed</t>
  </si>
  <si>
    <t>d3e019ee-edbe-4774-a4a6-9701cf293d05</t>
  </si>
  <si>
    <t>refractory, high aluminium oxide, packed</t>
  </si>
  <si>
    <t>b230aa6e-cc36-4b60-bed5-1775d3fdc677</t>
  </si>
  <si>
    <t>refrigerant R134a</t>
  </si>
  <si>
    <t>8a309022-83ff-455f-a0bd-17edef16b064</t>
  </si>
  <si>
    <t>refrigeration machine, carbon dioxide, liquid as refrigerant</t>
  </si>
  <si>
    <t>2ab55669-4fa5-41ad-b0cb-d8b519b5d0c5</t>
  </si>
  <si>
    <t>refrigeration machine, R134a as refrigerant</t>
  </si>
  <si>
    <t>2677ef49-b019-4da3-bc8e-ffa396bad75f</t>
  </si>
  <si>
    <t>refrigerator</t>
  </si>
  <si>
    <t>8fe05e0c-037b-4a27-9f9c-1e3fe9326b36</t>
  </si>
  <si>
    <t>reinforcing steel</t>
  </si>
  <si>
    <t>9ba48284-0f03-4fec-800d-de77833b12f6</t>
  </si>
  <si>
    <t>residential sewer grid, 0.087 km</t>
  </si>
  <si>
    <t>aead8a1b-872e-4d15-a3d6-1deb68c89b49</t>
  </si>
  <si>
    <t>residual hardwood, wet</t>
  </si>
  <si>
    <t>bded6c5a-4dca-497e-bdd9-fcd343012087</t>
  </si>
  <si>
    <t>residual material landfill</t>
  </si>
  <si>
    <t>3cc30fa4-8564-443b-9849-8c7b98c60ec8</t>
  </si>
  <si>
    <t>residual softwood, wet</t>
  </si>
  <si>
    <t>6205fbc0-d3ad-46e2-9426-09c6293c417c</t>
  </si>
  <si>
    <t>residual wood, dry</t>
  </si>
  <si>
    <t>019600be-f3ce-4399-9e31-19cdc087ed5f</t>
  </si>
  <si>
    <t>resistor, auxilliaries and energy use</t>
  </si>
  <si>
    <t>baa9ecd3-1613-4c53-a9f1-dd9f4653b1fa</t>
  </si>
  <si>
    <t>resistor, metal film type, through-hole mounting</t>
  </si>
  <si>
    <t>92d9032c-7554-43a7-87b7-59ced4c2516a</t>
  </si>
  <si>
    <t>resistor, surface-mounted</t>
  </si>
  <si>
    <t>b826a1ab-8be4-41bf-80ad-a6665ec8f9b8</t>
  </si>
  <si>
    <t>resistor, wirewound, through-hole mounting</t>
  </si>
  <si>
    <t>db1c2047-0778-4de6-a5ce-2e1714278d34</t>
  </si>
  <si>
    <t>retention aid, for paper production</t>
  </si>
  <si>
    <t>ac21a604-4cf8-4b71-8900-03c2d3aa6694</t>
  </si>
  <si>
    <t>rhodium</t>
  </si>
  <si>
    <t>4cfe813a-b653-4fce-bf8b-52f493545820</t>
  </si>
  <si>
    <t>rice seed, for sowing</t>
  </si>
  <si>
    <t>c1b67381-05bf-4bf0-a3a3-2b3289ac32e3</t>
  </si>
  <si>
    <t>rice, basmati</t>
  </si>
  <si>
    <t>f2711295-b251-4171-8316-516c3526b8ff</t>
  </si>
  <si>
    <t>0112:Growing of rice</t>
  </si>
  <si>
    <t>rice, non-basmati</t>
  </si>
  <si>
    <t>922db745-4df5-4b82-bbb6-98e81e4007d1</t>
  </si>
  <si>
    <t>road</t>
  </si>
  <si>
    <t>350765c0-a00b-41ef-b824-c603077e82d2</t>
  </si>
  <si>
    <t>road maintenance</t>
  </si>
  <si>
    <t>c6deb1b3-386b-4c16-8399-29d0283d2673</t>
  </si>
  <si>
    <t>road vehicle factory</t>
  </si>
  <si>
    <t>a57d2939-1c24-4862-a213-e36319eebad3</t>
  </si>
  <si>
    <t>road, company, internal</t>
  </si>
  <si>
    <t>5911b1c9-b3ad-4e6e-893a-137262ad4f95</t>
  </si>
  <si>
    <t>rock crushing</t>
  </si>
  <si>
    <t>ecaff1a6-6df6-4733-b8cf-9a9206230287</t>
  </si>
  <si>
    <t>rolling mill</t>
  </si>
  <si>
    <t>2044879b-7d88-43d4-8525-8cb0a9ba62b7</t>
  </si>
  <si>
    <t>roof tile</t>
  </si>
  <si>
    <t>2742d7a4-b620-422c-8518-03d27356ea70</t>
  </si>
  <si>
    <t>room-connecting overflow element, steel, approx. 40 m3/h</t>
  </si>
  <si>
    <t>f3c51e03-d161-4493-a430-03ac72a4706a</t>
  </si>
  <si>
    <t>rosin size, for paper production</t>
  </si>
  <si>
    <t>0793f6d6-802f-40de-9a18-1f6bc0f351e5</t>
  </si>
  <si>
    <t>router, internet</t>
  </si>
  <si>
    <t>bfe6c58b-7566-4ed0-8440-7567f591c31f</t>
  </si>
  <si>
    <t>rutile, 95% titanium dioxide</t>
  </si>
  <si>
    <t>cad59ac2-7c38-4f39-a477-f142baa4e203</t>
  </si>
  <si>
    <t>rye grain</t>
  </si>
  <si>
    <t>edb81938-8dd6-48fc-9f24-b567992f3ecb</t>
  </si>
  <si>
    <t>rye grain, feed, organic</t>
  </si>
  <si>
    <t>4276548b-8ebb-4c71-ab21-1e65a55cb875</t>
  </si>
  <si>
    <t>rye grain, feed, Swiss integrated production</t>
  </si>
  <si>
    <t>31ada85a-050c-45b9-b09d-51397f5d2c0c</t>
  </si>
  <si>
    <t>rye grain, organic</t>
  </si>
  <si>
    <t>ea995b09-8d6d-4c53-bdcb-c57a88ec4019</t>
  </si>
  <si>
    <t>rye grain, Swiss integrated production</t>
  </si>
  <si>
    <t>51d1c30d-6648-4d9f-a374-062d5faf0af6</t>
  </si>
  <si>
    <t>rye seed, for sowing</t>
  </si>
  <si>
    <t>29a43d36-47b0-4e87-8b94-0166be17bb4d</t>
  </si>
  <si>
    <t>rye seed, organic, for sowing</t>
  </si>
  <si>
    <t>2b17042b-64a9-425a-acfa-782a52baf82f</t>
  </si>
  <si>
    <t>rye seed, Swiss integrated production, for sowing</t>
  </si>
  <si>
    <t>895fcf82-5804-4a39-84a8-6e57d1d71fe0</t>
  </si>
  <si>
    <t>ryegrass silage</t>
  </si>
  <si>
    <t>f1efe0d9-811f-4bf7-af7b-81aff81f5568</t>
  </si>
  <si>
    <t>ryegrass-Egyptian&amp;Persian clover-mixture silage</t>
  </si>
  <si>
    <t>f5cd462b-275e-4c4a-8f9d-3dac1c772791</t>
  </si>
  <si>
    <t>ryegrass-red&amp;Egyptian clover-mixture silage</t>
  </si>
  <si>
    <t>46f10d01-11e9-4e24-b68e-920100c4878f</t>
  </si>
  <si>
    <t>salicylic acid</t>
  </si>
  <si>
    <t>1397abbf-0e09-5ea5-a1fa-288d3cc2fb76</t>
  </si>
  <si>
    <t>salt</t>
  </si>
  <si>
    <t>93015ba0-863d-4535-be49-8a1b16b71782</t>
  </si>
  <si>
    <t>0893:Extraction of salt</t>
  </si>
  <si>
    <t>samarium oxide</t>
  </si>
  <si>
    <t>5152317a-00c9-5492-8c22-26e8f133626e</t>
  </si>
  <si>
    <t>samarium-europium-gadolinium oxide</t>
  </si>
  <si>
    <t>3a9b33f8-d1b1-4bea-9df7-7db6846c6df6</t>
  </si>
  <si>
    <t>sand</t>
  </si>
  <si>
    <t>f51d7ccf-0bee-430d-98a3-8334adbe39fc</t>
  </si>
  <si>
    <t>sand-lime brick</t>
  </si>
  <si>
    <t>5d08c003-7cfd-4271-bb99-8a9dcd2a40bf</t>
  </si>
  <si>
    <t>sanforizing, textile</t>
  </si>
  <si>
    <t>b7625af8-f021-48af-aeaf-3d19971c687a</t>
  </si>
  <si>
    <t>sanitary ceramics</t>
  </si>
  <si>
    <t>1d53b5b2-8bd1-4936-8a5b-a130bf812db0</t>
  </si>
  <si>
    <t>sanitary landfill facility</t>
  </si>
  <si>
    <t>b3b9ef80-e096-4d20-9d1a-c1002e24362f</t>
  </si>
  <si>
    <t>sawdust, loose, wet, measured as dry mass</t>
  </si>
  <si>
    <t>a514c9f2-0d4d-4ce2-809b-de4c29e74709</t>
  </si>
  <si>
    <t>sawdust, wet, measured as dry mass</t>
  </si>
  <si>
    <t>dfaef357-a79e-4846-aabc-848b1ab59fbb</t>
  </si>
  <si>
    <t>sawlog and veneer log, azobe, debarked, measured as solid wood</t>
  </si>
  <si>
    <t>9fc5b274-096c-4764-ac8f-8ca080cffeb0</t>
  </si>
  <si>
    <t>sawlog and veneer log, azobe, measured as solid wood under bark</t>
  </si>
  <si>
    <t>4cd00539-d72f-43b8-be94-3f83407afd3d</t>
  </si>
  <si>
    <t>sawlog and veneer log, eucalyptus ssp., measured as solid wood under bark</t>
  </si>
  <si>
    <t>3473bca6-5172-44d2-bda1-1f681e891ca8</t>
  </si>
  <si>
    <t>sawlog and veneer log, hardwood, measured as solid wood under bark</t>
  </si>
  <si>
    <t>c00cac00-a885-42b0-88f5-fb5dce2a9a6f</t>
  </si>
  <si>
    <t>sawlog and veneer log, meranti, debarked, measured as solid wood</t>
  </si>
  <si>
    <t>f245d8fa-864f-4b3f-b35e-7c8f9ce76a4b</t>
  </si>
  <si>
    <t>sawlog and veneer log, meranti, measured as solid wood under bark</t>
  </si>
  <si>
    <t>044c33a8-4bd8-4334-9948-c41b96cfb314</t>
  </si>
  <si>
    <t>sawlog and veneer log, paraná pine, measured as solid wood under bark</t>
  </si>
  <si>
    <t>175c29e0-09a0-43ed-a6da-c5f8fc47953f</t>
  </si>
  <si>
    <t>sawlog and veneer log, softwood, debarked, measured as solid wood</t>
  </si>
  <si>
    <t>e76d8fdf-fbea-4ae3-85d6-ea1e6d5c21c5</t>
  </si>
  <si>
    <t>sawlog and veneer log, softwood, measured as solid wood under bark</t>
  </si>
  <si>
    <t>42a1bdfc-883d-41f0-b83a-1c5527e34de7</t>
  </si>
  <si>
    <t>sawmill</t>
  </si>
  <si>
    <t>ec8fb345-3751-4db5-a67a-fddc6c72a183</t>
  </si>
  <si>
    <t>sawnwood, azobe, dried (u=15%), planed</t>
  </si>
  <si>
    <t>148b552a-c50b-465e-84f7-367bda16f04a</t>
  </si>
  <si>
    <t>sawnwood, beam, hardwood, dried (u=10%), planed</t>
  </si>
  <si>
    <t>7d3727dc-44fe-4aa4-88cc-1f25c550e7d2</t>
  </si>
  <si>
    <t>sawnwood, beam, hardwood, dried (u=20%), planed</t>
  </si>
  <si>
    <t>314b0de3-1b1b-41c2-894b-884066781eae</t>
  </si>
  <si>
    <t>sawnwood, beam, hardwood, raw, dried (u=10%)</t>
  </si>
  <si>
    <t>b701e14a-c19d-4685-8b9d-6630f1b9dde4</t>
  </si>
  <si>
    <t>sawnwood, beam, hardwood, raw, dried (u=20%)</t>
  </si>
  <si>
    <t>137e2c15-2e4a-4bf4-a1e4-a630a87b2cb7</t>
  </si>
  <si>
    <t>sawnwood, beam, softwood, dried (u=10%), planed</t>
  </si>
  <si>
    <t>50998c77-fa60-4504-b53d-65f3c47eb96c</t>
  </si>
  <si>
    <t>sawnwood, beam, softwood, dried (u=20%), planed</t>
  </si>
  <si>
    <t>69164e77-5f8e-4ee0-be80-13a933def7c2</t>
  </si>
  <si>
    <t>sawnwood, beam, softwood, raw, dried (u=10%)</t>
  </si>
  <si>
    <t>4d99bc33-b641-4573-ada2-12a788afbbd5</t>
  </si>
  <si>
    <t>sawnwood, beam, softwood, raw, dried (u=20%)</t>
  </si>
  <si>
    <t>a1a4300c-8440-4eed-8205-24042aad6df7</t>
  </si>
  <si>
    <t>sawnwood, board, hardwood, dried (u=10%), planed</t>
  </si>
  <si>
    <t>631a00c8-e830-482f-846b-2114eb7f46e7</t>
  </si>
  <si>
    <t>sawnwood, board, hardwood, dried (u=20%), planed</t>
  </si>
  <si>
    <t>c1d67007-4d6c-49c3-b662-b640065bc57e</t>
  </si>
  <si>
    <t>sawnwood, board, hardwood, raw, dried (u=10%)</t>
  </si>
  <si>
    <t>8f082e64-e307-450f-ba63-d07e65ab4954</t>
  </si>
  <si>
    <t>sawnwood, board, hardwood, raw, dried (u=20%)</t>
  </si>
  <si>
    <t>0ad254ff-fb5c-4cd6-b657-4980bcbb7e6e</t>
  </si>
  <si>
    <t>sawnwood, board, softwood, dried (u=10%), planed</t>
  </si>
  <si>
    <t>0e1ea7dd-8c8b-476e-aef9-c3b68b2753ed</t>
  </si>
  <si>
    <t>sawnwood, board, softwood, dried (u=20%), planed</t>
  </si>
  <si>
    <t>fcbf6c72-3a99-453b-b384-658e3423b0dc</t>
  </si>
  <si>
    <t>sawnwood, board, softwood, raw, dried (u=10%)</t>
  </si>
  <si>
    <t>d0429b67-63a9-4b9a-bcd5-1877637146fd</t>
  </si>
  <si>
    <t>sawnwood, board, softwood, raw, dried (u=20%)</t>
  </si>
  <si>
    <t>0083557d-e51d-4a48-9de8-4a57be6b1fa5</t>
  </si>
  <si>
    <t>sawnwood, hardwood, dried (u=10%), planed</t>
  </si>
  <si>
    <t>96ca17ef-cd4b-410f-b50e-d00d58dd8b94</t>
  </si>
  <si>
    <t>sawnwood, hardwood, dried (u=20%), planed</t>
  </si>
  <si>
    <t>4f37e12c-0980-4d0f-bd36-0f24516c9d89</t>
  </si>
  <si>
    <t>sawnwood, hardwood, raw</t>
  </si>
  <si>
    <t>4ebb2775-2992-43f5-8cc3-053982b40822</t>
  </si>
  <si>
    <t>sawnwood, hardwood, raw, dried (u=10%)</t>
  </si>
  <si>
    <t>85baf90a-61f7-4b5c-aba7-116b889513ed</t>
  </si>
  <si>
    <t>sawnwood, hardwood, raw, dried (u=20%)</t>
  </si>
  <si>
    <t>0ff2e270-7b95-4442-8198-40f472ae5dc8</t>
  </si>
  <si>
    <t>sawnwood, lath, hardwood, dried (u=10%), planed</t>
  </si>
  <si>
    <t>9e3d1adf-2aef-43b4-a1d5-a3b59c8e86d5</t>
  </si>
  <si>
    <t>sawnwood, lath, hardwood, dried (u=20%), planed</t>
  </si>
  <si>
    <t>414ad0d7-302c-4b4f-a204-38b20993ea43</t>
  </si>
  <si>
    <t>sawnwood, lath, hardwood, raw, dried (u=10%)</t>
  </si>
  <si>
    <t>9c82f193-c34c-4765-abc3-996c68d1df8c</t>
  </si>
  <si>
    <t>sawnwood, lath, hardwood, raw, dried (u=20%)</t>
  </si>
  <si>
    <t>45c9c99d-a8e1-43f7-afab-7610034ad887</t>
  </si>
  <si>
    <t>sawnwood, lath, softwood, dried (u=10%), planed</t>
  </si>
  <si>
    <t>dc30fae5-c1a6-4d04-83bd-a3112a397b88</t>
  </si>
  <si>
    <t>sawnwood, lath, softwood, dried (u=20%), planed</t>
  </si>
  <si>
    <t>bf633ec7-acbf-46a8-b490-042e9557eda8</t>
  </si>
  <si>
    <t>sawnwood, lath, softwood, raw, dried (u=10%)</t>
  </si>
  <si>
    <t>2c3a5ee5-59d7-4b44-8403-9045dbf5d105</t>
  </si>
  <si>
    <t>sawnwood, lath, softwood, raw, dried (u=20%)</t>
  </si>
  <si>
    <t>1458c180-5333-475e-88d2-7886d76e779e</t>
  </si>
  <si>
    <t>sawnwood, paraná pine, dried (u=10%)</t>
  </si>
  <si>
    <t>239eca69-2df8-4065-ae2c-9d92585acebd</t>
  </si>
  <si>
    <t>sawnwood, softwood, dried (u=10%), planed</t>
  </si>
  <si>
    <t>9d7bbcc8-687c-4675-ba32-134d3fcc2bcf</t>
  </si>
  <si>
    <t>sawnwood, softwood, dried (u=20%), planed</t>
  </si>
  <si>
    <t>2669baa0-c363-4ba4-bb4d-6c7cff61d241</t>
  </si>
  <si>
    <t>sawnwood, softwood, raw</t>
  </si>
  <si>
    <t>86f41749-d313-4e4a-ab11-67af97ee0e4a</t>
  </si>
  <si>
    <t>sawnwood, softwood, raw, dried (u=10%)</t>
  </si>
  <si>
    <t>b5a81719-8174-482a-af3d-1c5456de14b1</t>
  </si>
  <si>
    <t>sawnwood, softwood, raw, dried (u=20%)</t>
  </si>
  <si>
    <t>4a7cb413-a6f1-4b74-b366-c8ef7a781026</t>
  </si>
  <si>
    <t>scandium oxide</t>
  </si>
  <si>
    <t>3861f979-d753-5af1-81c6-54a5cb1fdd88</t>
  </si>
  <si>
    <t>scrap lead acid battery</t>
  </si>
  <si>
    <t>23ee4d75-9e07-43ca-98f4-ee291dd9744f</t>
  </si>
  <si>
    <t>scrap preparation facility</t>
  </si>
  <si>
    <t>309513c0-4791-4124-86ff-ce975b0b39ce</t>
  </si>
  <si>
    <t>seal, natural rubber based</t>
  </si>
  <si>
    <t>136f89b3-af52-4826-97f7-cc35f80f226f</t>
  </si>
  <si>
    <t>sealing tape, aluminium/PE, 50 mm wide</t>
  </si>
  <si>
    <t>888e7520-545c-4857-a07a-094575afe6ca</t>
  </si>
  <si>
    <t>seawater reverse osmosis module</t>
  </si>
  <si>
    <t>6b08f3b4-b76f-48b2-b73c-a115f1d14357</t>
  </si>
  <si>
    <t>3600:Water collection, treatment and supply</t>
  </si>
  <si>
    <t>section bar extrusion, aluminium</t>
  </si>
  <si>
    <t>b397787f-c69d-45a6-876c-ffc8a6be4fc6</t>
  </si>
  <si>
    <t>section bar rolling, steel</t>
  </si>
  <si>
    <t>8aa5cd19-c1ca-49f1-8efb-c7a28f5ad71f</t>
  </si>
  <si>
    <t>seed-cotton</t>
  </si>
  <si>
    <t>9c7b5686-2bf5-406d-ba68-b536c61ecba6</t>
  </si>
  <si>
    <t>seed-cotton, organic</t>
  </si>
  <si>
    <t>cc817426-edff-406f-8f48-e88ba216204c</t>
  </si>
  <si>
    <t>selective coat, aluminium sheet, nickel pigmented aluminium oxide</t>
  </si>
  <si>
    <t>76a51aff-b909-4c6e-9b62-5ede0886add1</t>
  </si>
  <si>
    <t>selective coat, copper sheet, black chrome</t>
  </si>
  <si>
    <t>9485f4e8-b73b-47cd-b262-73a4f37a922e</t>
  </si>
  <si>
    <t>selective coat, copper sheet, black majic</t>
  </si>
  <si>
    <t>6eea8d09-131f-4533-b09d-ed304bb3cd4b</t>
  </si>
  <si>
    <t>selective coat, copper sheet, physical vapour deposition</t>
  </si>
  <si>
    <t>6a593531-0c2e-4bf0-8306-a128958eba2d</t>
  </si>
  <si>
    <t>selective coat, copper sheet, sputter deposition</t>
  </si>
  <si>
    <t>935053ea-5f2d-47cc-9ae6-a59fce36c3d3</t>
  </si>
  <si>
    <t>selective coat, stainless steel sheet, black chrome</t>
  </si>
  <si>
    <t>a8589610-539f-422d-98ca-0bdfa21be469</t>
  </si>
  <si>
    <t>selenium</t>
  </si>
  <si>
    <t>f773f952-e87c-4b4b-baea-321530e31714</t>
  </si>
  <si>
    <t>sesame seed</t>
  </si>
  <si>
    <t>493461ac-622e-4fe6-81b9-c429f42982b7</t>
  </si>
  <si>
    <t>sewer grid, 1.1E10l/year, 242 km</t>
  </si>
  <si>
    <t>69ca254b-a068-4782-8fc4-e82aec2d1582</t>
  </si>
  <si>
    <t>sewer grid, 1.6E8l/year, 6 km</t>
  </si>
  <si>
    <t>a6088246-5e29-4cad-a15d-ba7a26a7b656</t>
  </si>
  <si>
    <t>sewer grid, 1E9l/year, 30 km</t>
  </si>
  <si>
    <t>9d23fe2a-b3f8-4ee2-9dcb-5f5cede20bd6</t>
  </si>
  <si>
    <t>sewer grid, 4.7E10l/year, 583 km</t>
  </si>
  <si>
    <t>35aaa820-f658-46a1-bbef-01add21fec97</t>
  </si>
  <si>
    <t>sewer grid, 5E9l/year, 110 km</t>
  </si>
  <si>
    <t>4b7caf07-335d-4479-a3dc-08b87c156cd0</t>
  </si>
  <si>
    <t>shale</t>
  </si>
  <si>
    <t>e61aa011-136e-404f-ab3b-7b2462d85e35</t>
  </si>
  <si>
    <t>shale brick</t>
  </si>
  <si>
    <t>2f20213d-143e-49ce-adb0-026f00c3e622</t>
  </si>
  <si>
    <t>shavings, hardwood, loose, measured as dry mass</t>
  </si>
  <si>
    <t>c5651546-a49e-4c1d-b856-1cf358ab466a</t>
  </si>
  <si>
    <t>shavings, hardwood, measured as dry mass</t>
  </si>
  <si>
    <t>525254ec-0119-4003-b3ae-a700eefff925</t>
  </si>
  <si>
    <t>shavings, softwood, loose, measured as dry mass</t>
  </si>
  <si>
    <t>aa447135-9cc5-4f34-9385-ca2a0ae70d3c</t>
  </si>
  <si>
    <t>shavings, softwood, measured as dry mass</t>
  </si>
  <si>
    <t>ff7a13da-3665-469e-a211-4ab06801c7ea</t>
  </si>
  <si>
    <t>shed</t>
  </si>
  <si>
    <t>24eb302a-2bd7-485c-be95-15a34af3311d</t>
  </si>
  <si>
    <t>shed, large, wood, non-insulated, fire-unprotected</t>
  </si>
  <si>
    <t>e2ccc500-255f-448c-8c88-ed25177993df</t>
  </si>
  <si>
    <t>sheep fleece in the grease</t>
  </si>
  <si>
    <t>11362314-6c2d-4619-80bc-391ec12ddeb5</t>
  </si>
  <si>
    <t>0144:Raising of sheep and goats</t>
  </si>
  <si>
    <t>sheep for slaughtering, live weight</t>
  </si>
  <si>
    <t>2a80aed2-53c0-4eaa-bae1-829394a7cb32</t>
  </si>
  <si>
    <t>sheet rolling, aluminium</t>
  </si>
  <si>
    <t>a5309c08-cc71-402e-b870-163a09ee0742</t>
  </si>
  <si>
    <t>sheet rolling, chromium steel</t>
  </si>
  <si>
    <t>68b4fdd4-d341-4ac5-9dbc-59eb34653dab</t>
  </si>
  <si>
    <t>sheet rolling, copper</t>
  </si>
  <si>
    <t>dfbdd39b-2541-4069-9b87-ab61ef6fbc0c</t>
  </si>
  <si>
    <t>sheet rolling, steel</t>
  </si>
  <si>
    <t>e2f62697-57d4-42fe-95bf-c85fd32a9cf0</t>
  </si>
  <si>
    <t>silencer, steel, DN 125</t>
  </si>
  <si>
    <t>cf9b55af-2e87-4898-958a-b789dd66d5fa</t>
  </si>
  <si>
    <t>silencer, steel, DN 315, 50 mm</t>
  </si>
  <si>
    <t>3df267a6-223c-4633-bbb3-a6924e26c551</t>
  </si>
  <si>
    <t>silica fume, densified</t>
  </si>
  <si>
    <t>a950e420-5f94-4a19-b24c-70ac0ef35693</t>
  </si>
  <si>
    <t>silica sand</t>
  </si>
  <si>
    <t>c4842286-21e6-4142-bc35-f2c36f1d68a2</t>
  </si>
  <si>
    <t>silicon carbide</t>
  </si>
  <si>
    <t>626d96ee-f1a6-444d-9b67-f8e6f8e29d22</t>
  </si>
  <si>
    <t>silicon tetrachloride</t>
  </si>
  <si>
    <t>c5dc418f-3f77-43e6-8725-5032e6c99c8c</t>
  </si>
  <si>
    <t>silicon tetrahydride</t>
  </si>
  <si>
    <t>5ab6bfdc-32e9-4061-82b6-ac18962a7885</t>
  </si>
  <si>
    <t>silicon, electronics grade</t>
  </si>
  <si>
    <t>9026eea7-3dee-436a-8d49-c3e2385f2d62</t>
  </si>
  <si>
    <t>silicon, metallurgical grade</t>
  </si>
  <si>
    <t>da4a421e-2d42-4537-bfcd-162fe38ec8a9</t>
  </si>
  <si>
    <t>silicon, multi-Si, casted</t>
  </si>
  <si>
    <t>1f61a047-2cac-4f60-91c0-e60fb6b865a6</t>
  </si>
  <si>
    <t>silicon, single crystal, Czochralski process, electronics</t>
  </si>
  <si>
    <t>fb553b5b-bed9-4fab-a99f-0f046d20b36c</t>
  </si>
  <si>
    <t>silicon, single crystal, Czochralski process, photovoltaics</t>
  </si>
  <si>
    <t>27ceda8d-f3ba-4093-8c65-36c7d507c1d3</t>
  </si>
  <si>
    <t>silicon, solar grade</t>
  </si>
  <si>
    <t>80eda5b6-76c9-41f1-9abc-de1d06482d7a</t>
  </si>
  <si>
    <t>silicone factory</t>
  </si>
  <si>
    <t>13e34793-c48c-4eb4-b750-8dd8ff59d3b9</t>
  </si>
  <si>
    <t>silicone product</t>
  </si>
  <si>
    <t>a8f9b840-05ff-4dad-b11e-dd4b1342655d</t>
  </si>
  <si>
    <t>silky fibre</t>
  </si>
  <si>
    <t>11abe8cc-f8e7-4747-a8b5-9b0b644c169b</t>
  </si>
  <si>
    <t>silver</t>
  </si>
  <si>
    <t>9a7e6cdc-79c0-4872-840d-a8a2fd723189</t>
  </si>
  <si>
    <t>silver, unrefined</t>
  </si>
  <si>
    <t>ac607c93-afd8-42a0-87d7-c6e4dc3cb1e0</t>
  </si>
  <si>
    <t>single superphosphate</t>
  </si>
  <si>
    <t>3fbcb3ea-30d6-5459-8ac1-955fb642e67f</t>
  </si>
  <si>
    <t>single-Si wafer, for electronics</t>
  </si>
  <si>
    <t>60e87177-8843-4b86-a999-cbd9162beca9</t>
  </si>
  <si>
    <t>single-Si wafer, photovoltaic</t>
  </si>
  <si>
    <t>94ab86ed-adfd-4d9a-9991-c9390b1cc817</t>
  </si>
  <si>
    <t>skidder</t>
  </si>
  <si>
    <t>960bec1c-d3f1-496a-86d8-f8168245e465</t>
  </si>
  <si>
    <t>skidding, skidder</t>
  </si>
  <si>
    <t>d7d5b411-031a-4735-acee-3f9658cf74c4</t>
  </si>
  <si>
    <t>skimmed milk, from cow milk</t>
  </si>
  <si>
    <t>cfa3fc19-0f05-4c57-b4d0-3fc5988375ff</t>
  </si>
  <si>
    <t>slab and siding, hardwood, wet, measured as dry mass</t>
  </si>
  <si>
    <t>ec25a8e0-8a4a-4fb7-ad61-8302b7744a82</t>
  </si>
  <si>
    <t>slab and siding, softwood, wet, measured as dry mass</t>
  </si>
  <si>
    <t>4829414d-5ec4-4f42-9c2c-b86dbb59d721</t>
  </si>
  <si>
    <t>slag landfill</t>
  </si>
  <si>
    <t>1d32d9ef-8f9d-4b72-9d72-ab08b08fa52c</t>
  </si>
  <si>
    <t>small pelagic fish, fresh</t>
  </si>
  <si>
    <t>1547e66c-1458-4db1-928f-5dbdf2cd1764</t>
  </si>
  <si>
    <t>soap</t>
  </si>
  <si>
    <t>3372cdea-bef5-4186-9ae6-b67a016aa67d</t>
  </si>
  <si>
    <t>soda ash, dense</t>
  </si>
  <si>
    <t>278cf104-dd4f-4dc9-8160-cdc97d2da7a2</t>
  </si>
  <si>
    <t>soda ash, light, crystalline, heptahydrate</t>
  </si>
  <si>
    <t>9e6f12d8-b727-4aef-94e3-c8278e3661d7</t>
  </si>
  <si>
    <t>sodium</t>
  </si>
  <si>
    <t>da30ab35-9777-428e-aa03-1b8ae9149ef7</t>
  </si>
  <si>
    <t>sodium aluminate, powder</t>
  </si>
  <si>
    <t>fa626da2-499e-4259-ba0a-c4e8f34927a5</t>
  </si>
  <si>
    <t>sodium amide</t>
  </si>
  <si>
    <t>e6adc2f9-dcda-4dc8-aa4e-24a79f5f02be</t>
  </si>
  <si>
    <t>sodium arsenide</t>
  </si>
  <si>
    <t>41603a25-69fd-4114-bf48-9fca55d1c9d2</t>
  </si>
  <si>
    <t>sodium bicarbonate</t>
  </si>
  <si>
    <t>033be19b-ca83-4d9e-8dd6-476ef15203cd</t>
  </si>
  <si>
    <t>sodium borates</t>
  </si>
  <si>
    <t>1fdf8b27-d732-4eed-b008-d186ae3dc8b5</t>
  </si>
  <si>
    <t>sodium chlorate, powder</t>
  </si>
  <si>
    <t>6c9cf309-10ae-4fde-8f55-d2debd3103c2</t>
  </si>
  <si>
    <t>sodium chloride, brine solution</t>
  </si>
  <si>
    <t>dae62135-2e34-4b47-bed2-e2ea1e137cd8</t>
  </si>
  <si>
    <t>sodium chloride, powder</t>
  </si>
  <si>
    <t>edcfa83a-363a-4b2d-8d6a-612e32dfcdfc</t>
  </si>
  <si>
    <t>sodium chloroacetate</t>
  </si>
  <si>
    <t>2ee9192f-e5d4-5c95-b83d-656a6da4b61d</t>
  </si>
  <si>
    <t>sodium cumenesulphonate</t>
  </si>
  <si>
    <t>d91d02b8-f42f-5810-9c24-2d0c89d33f95</t>
  </si>
  <si>
    <t>sodium cyanide</t>
  </si>
  <si>
    <t>8b87cd0e-b9cc-482b-9584-9fe6bf805ac6</t>
  </si>
  <si>
    <t>sodium dichromate</t>
  </si>
  <si>
    <t>606ce42e-0f6b-43b2-8f08-273f1728d48d</t>
  </si>
  <si>
    <t>sodium dithionite, anhydrous</t>
  </si>
  <si>
    <t>4cea5cea-49c2-4065-a851-02e75e561ec4</t>
  </si>
  <si>
    <t>sodium ethoxide</t>
  </si>
  <si>
    <t>27dcdc02-ec8a-4ed9-acbe-32bfec727ccc</t>
  </si>
  <si>
    <t>sodium fluoride</t>
  </si>
  <si>
    <t>74c658d6-e983-46b2-91f6-f93565ebafc7</t>
  </si>
  <si>
    <t>sodium formate</t>
  </si>
  <si>
    <t>c38bc109-9347-463e-b539-2833c7c066d8</t>
  </si>
  <si>
    <t>sodium hydrogen sulfate</t>
  </si>
  <si>
    <t>4f7d61bf-7489-5f91-9a40-cf8a849d3103</t>
  </si>
  <si>
    <t>sodium hydrogen sulfite</t>
  </si>
  <si>
    <t>9548417c-f3ce-4c10-97dd-8c5046eaa504</t>
  </si>
  <si>
    <t>sodium hydrosulfide</t>
  </si>
  <si>
    <t>0be611ea-83bc-4f62-8a0f-a4fea6027faf</t>
  </si>
  <si>
    <t>sodium hydroxide, without water, in 50% solution state</t>
  </si>
  <si>
    <t>61396bcb-bf35-411a-a6a6-8543ccef83e8</t>
  </si>
  <si>
    <t>sodium hypochlorite, without water, in 15% solution state</t>
  </si>
  <si>
    <t>96501bb6-a68f-41f5-a067-92137e816e05</t>
  </si>
  <si>
    <t>sodium metasilicate pentahydrate, 58% active substance, powder</t>
  </si>
  <si>
    <t>e202b6e0-ec3d-4df1-923e-3cdc76dbd028</t>
  </si>
  <si>
    <t>sodium methoxide</t>
  </si>
  <si>
    <t>0d1d6886-5798-4fc9-a6f4-f2dd358c4d34</t>
  </si>
  <si>
    <t>sodium nitrate</t>
  </si>
  <si>
    <t>e25b10b0-7ff3-4e34-991d-6ad1848bef30</t>
  </si>
  <si>
    <t>sodium nitrate, technical grade</t>
  </si>
  <si>
    <t>adfdf7b4-035c-470c-909c-8d2ae488799e</t>
  </si>
  <si>
    <t>sodium nitrate, unrefined</t>
  </si>
  <si>
    <t>ed63dc57-ee1a-4a0f-8896-4d022b6700ab</t>
  </si>
  <si>
    <t>sodium nitrite</t>
  </si>
  <si>
    <t>2b25eb95-acc8-43bb-8235-67f4d82b32cb</t>
  </si>
  <si>
    <t>sodium oxide</t>
  </si>
  <si>
    <t>b9516ad1-d0ab-5e5d-9be4-2efe48bb82b4</t>
  </si>
  <si>
    <t>sodium perborate, monohydrate, powder</t>
  </si>
  <si>
    <t>de97cdc6-2141-426e-aab2-70b4afbc2e5b</t>
  </si>
  <si>
    <t>sodium perborate, tetrahydrate, powder</t>
  </si>
  <si>
    <t>cee58461-b57e-4c42-a674-36731e9a5b63</t>
  </si>
  <si>
    <t>sodium percarbonate, powder</t>
  </si>
  <si>
    <t>8e265e9a-93c4-40e8-9a08-0763758bcf70</t>
  </si>
  <si>
    <t>sodium perchlorate</t>
  </si>
  <si>
    <t>f5e266fc-4b6a-4514-812c-605cc74f3d35</t>
  </si>
  <si>
    <t>sodium persulfate</t>
  </si>
  <si>
    <t>dd0a1308-9620-491d-9780-10a752211c97</t>
  </si>
  <si>
    <t>sodium phenolate</t>
  </si>
  <si>
    <t>7ea592df-7f46-4f29-9056-874760d3f37c</t>
  </si>
  <si>
    <t>sodium phosphate</t>
  </si>
  <si>
    <t>2fc288b5-3414-4086-9658-84fd71ebf6ac</t>
  </si>
  <si>
    <t>sodium pyrophosphate</t>
  </si>
  <si>
    <t>315929c0-c33a-4811-999c-0c677d6d1c29</t>
  </si>
  <si>
    <t>sodium silicate, solid</t>
  </si>
  <si>
    <t>77e110eb-c54c-4210-8c49-38aff74dac63</t>
  </si>
  <si>
    <t>sodium silicate, spray powder, 80%</t>
  </si>
  <si>
    <t>fb79e3cf-4466-4999-9478-3f06a1260f7f</t>
  </si>
  <si>
    <t>sodium silicate, without water, in 37% solution state</t>
  </si>
  <si>
    <t>38d493e9-6feb-4c66-86eb-2253ef8ee54d</t>
  </si>
  <si>
    <t>sodium silicate, without water, in 48% solution state</t>
  </si>
  <si>
    <t>e6f2d687-e015-44e2-ad5f-8f6b02481ab1</t>
  </si>
  <si>
    <t>sodium sulfate, anhydrite</t>
  </si>
  <si>
    <t>2cfef82e-cb0d-4864-8163-9651fc6c25eb</t>
  </si>
  <si>
    <t>sodium sulfide</t>
  </si>
  <si>
    <t>59465644-756c-4ab8-b892-63eb6e0f3ce8</t>
  </si>
  <si>
    <t>sodium sulfite</t>
  </si>
  <si>
    <t>b21c5bf0-60da-4095-a5b4-cc8b8a3b2668</t>
  </si>
  <si>
    <t>sodium tetrafluoroborate</t>
  </si>
  <si>
    <t>a8033ccc-615f-4e9a-b51f-c483991942ef</t>
  </si>
  <si>
    <t>sodium tetrahydridoborate</t>
  </si>
  <si>
    <t>8fba72dd-5eec-4081-ac50-680bd7550a9b</t>
  </si>
  <si>
    <t>sodium tripolyphosphate</t>
  </si>
  <si>
    <t>14ae7ab5-cdbe-44c4-bab6-2532ca77890f</t>
  </si>
  <si>
    <t>soft solder, Sn97Cu3</t>
  </si>
  <si>
    <t>1678381e-9cce-4a4a-abea-18bcb08bb9f8</t>
  </si>
  <si>
    <t>soil pH raising agent, as CaCO3</t>
  </si>
  <si>
    <t>d44b978c-a85e-49d3-9130-2e5908b22fc2</t>
  </si>
  <si>
    <t>solar collector factory</t>
  </si>
  <si>
    <t>f045b62a-272e-4c8d-85c1-3a17dbabf69d</t>
  </si>
  <si>
    <t>solar collector glass tube, with silver mirror</t>
  </si>
  <si>
    <t>961c7ee8-824d-45bc-a176-a6cb8dcbf96c</t>
  </si>
  <si>
    <t>solar collector system, Cu flat plate collector, multiple dwelling, hot water</t>
  </si>
  <si>
    <t>06d66cdc-9495-4fe0-9e71-d79d09c36cc6</t>
  </si>
  <si>
    <t>solar collector system, Cu flat plate collector, one-family house, combined system</t>
  </si>
  <si>
    <t>328b464a-a284-41c6-908c-ea6df8370512</t>
  </si>
  <si>
    <t>solar collector system, Cu flat plate collector, one-family house, hot water</t>
  </si>
  <si>
    <t>7384da24-3c18-4621-8346-a595129352d9</t>
  </si>
  <si>
    <t>solar collector system, with evacuated tube collector, one-family house, combined system</t>
  </si>
  <si>
    <t>775234b1-0e93-4cdb-9cd2-db60577e1a5a</t>
  </si>
  <si>
    <t>solar glass, low-iron</t>
  </si>
  <si>
    <t>f8f07d35-1b09-4391-9f20-eb8263d43c15</t>
  </si>
  <si>
    <t>solder factory</t>
  </si>
  <si>
    <t>3797bd74-2728-4531-94c2-b62fdd97c114</t>
  </si>
  <si>
    <t>solder, bar, Sn63Pb37, for electronics industry</t>
  </si>
  <si>
    <t>6f255afe-7bf4-455e-bdfb-dedf87d9c9cb</t>
  </si>
  <si>
    <t>solder, bar, Sn95.5Ag3.9Cu0.6, for electronics industry</t>
  </si>
  <si>
    <t>d40545d1-597c-45e6-a38f-6ef3b7d356c1</t>
  </si>
  <si>
    <t>solder, paste, Sn63Pb37, for electronics industry</t>
  </si>
  <si>
    <t>a10f5557-e5fa-4ed3-bd71-1326c2271cf5</t>
  </si>
  <si>
    <t>solder, paste, Sn95.5Ag3.9Cu0.6, for electronics industry</t>
  </si>
  <si>
    <t>6501d9f8-a260-42c4-a11f-e3ecc85d4caa</t>
  </si>
  <si>
    <t>solid bleached and unbleached board carton</t>
  </si>
  <si>
    <t>43c831c7-8759-4b40-94b4-b6e0f05087a7</t>
  </si>
  <si>
    <t>solid manure loading and spreading, by hydraulic loader and spreader</t>
  </si>
  <si>
    <t>aeb1ebef-7095-4956-91da-8c4017df556d</t>
  </si>
  <si>
    <t>solvent for chromatography analysis</t>
  </si>
  <si>
    <t>c52e25ea-33ba-4df1-8f49-e5f6a7f7c7a7</t>
  </si>
  <si>
    <t>solvent for paint</t>
  </si>
  <si>
    <t>c8f690ff-9611-4d67-85fa-c1ce5b5f8e20</t>
  </si>
  <si>
    <t>solvent, organic</t>
  </si>
  <si>
    <t>c6c77fb4-9850-4849-be9e-71fc9656bc03</t>
  </si>
  <si>
    <t>sorting facility, for construction waste</t>
  </si>
  <si>
    <t>0c40ca99-666f-43fd-bf25-4dcd9a5d4fcc</t>
  </si>
  <si>
    <t>sound insulation, heat and power co-generation unit, 160kW electrical</t>
  </si>
  <si>
    <t>b4100a1f-4f86-4652-abf0-b877046c8f48</t>
  </si>
  <si>
    <t>sour gas, burned in gas turbine</t>
  </si>
  <si>
    <t>f9a99959-0ebf-43d7-b70a-3e311c524d7e</t>
  </si>
  <si>
    <t>sowing</t>
  </si>
  <si>
    <t>6c365ae3-f8cb-4aff-8709-afea7fbf0a40</t>
  </si>
  <si>
    <t>SOx retained, in hard coal flue gas desulfurisation</t>
  </si>
  <si>
    <t>6ada853f-7787-4880-b159-826651fadee5</t>
  </si>
  <si>
    <t>SOx retained, in lignite flue gas desulfurisation</t>
  </si>
  <si>
    <t>87511127-88e4-4ba4-8a22-711768510342</t>
  </si>
  <si>
    <t>soybean</t>
  </si>
  <si>
    <t>deb4f70c-bf2a-4cd3-bc3b-c71af8820da3</t>
  </si>
  <si>
    <t>soybean beverage</t>
  </si>
  <si>
    <t>5ee7638a-fd4c-4290-a7eb-8fb7821d891e</t>
  </si>
  <si>
    <t>soybean meal</t>
  </si>
  <si>
    <t>22cdac63-419a-4980-ad99-5c0caff0a614</t>
  </si>
  <si>
    <t>soybean oil, crude</t>
  </si>
  <si>
    <t>a139bc38-bdfb-471d-8a42-97bc8939ee82</t>
  </si>
  <si>
    <t>soybean oil, refined</t>
  </si>
  <si>
    <t>866c37d6-052b-44d7-bb65-d9eb4e96191d</t>
  </si>
  <si>
    <t>soybean seed, for sowing</t>
  </si>
  <si>
    <t>d3debd6d-2e09-4291-accc-f2dfd748aee9</t>
  </si>
  <si>
    <t>soybean seed, organic, for sowing</t>
  </si>
  <si>
    <t>42785907-2fa1-4895-a060-ea6fb826c5c9</t>
  </si>
  <si>
    <t>soybean, feed</t>
  </si>
  <si>
    <t>4f3726cc-4fdd-4511-8122-9c6c264ae12c</t>
  </si>
  <si>
    <t>soybean, organic</t>
  </si>
  <si>
    <t>addf8f7a-3cac-4200-9f07-4da911f307ee</t>
  </si>
  <si>
    <t>soybean, Swiss integrated production</t>
  </si>
  <si>
    <t>f9d0ebe8-3cdc-472a-93bf-57aa52a10421</t>
  </si>
  <si>
    <t>spent activated carbon, granular</t>
  </si>
  <si>
    <t>a1397712-3d0c-4154-b563-7b2fddfa27f9</t>
  </si>
  <si>
    <t>spent automobile catalyst</t>
  </si>
  <si>
    <t>564fbf47-961b-4d9b-b338-7bd5ec6518bf</t>
  </si>
  <si>
    <t>spinach</t>
  </si>
  <si>
    <t>a47ddfcf-af07-4c1a-9914-1e30c941cd19</t>
  </si>
  <si>
    <t>spiral-seam duct, steel, DN 125</t>
  </si>
  <si>
    <t>f18ec5cb-751d-4d1b-8699-7130c830c577</t>
  </si>
  <si>
    <t>spiral-seam duct, steel, DN 400</t>
  </si>
  <si>
    <t>7d7595a5-2e53-41d6-a5c8-98523945c0b3</t>
  </si>
  <si>
    <t>spodumene</t>
  </si>
  <si>
    <t>dde6fe33-8b8e-419e-b797-a3977e781a4a</t>
  </si>
  <si>
    <t>sponge iron</t>
  </si>
  <si>
    <t>c4887e58-90c3-4e95-b9ab-f0d082b05e3a</t>
  </si>
  <si>
    <t>spray-drying of milk</t>
  </si>
  <si>
    <t>b80e26ff-c7bf-4c73-be42-6c29d2eac69c</t>
  </si>
  <si>
    <t>sputtering target, sintered, indium tin oxide</t>
  </si>
  <si>
    <t>6300d56d-9a47-462c-8171-dd53f3f7bb8b</t>
  </si>
  <si>
    <t>sputtering, indium tin oxide, for liquid crystal display</t>
  </si>
  <si>
    <t>c59a5976-9a34-40b7-8874-f62b300c21e8</t>
  </si>
  <si>
    <t>stalk</t>
  </si>
  <si>
    <t>6f13ac10-76f1-42c1-a46e-7dabda411274</t>
  </si>
  <si>
    <t>start-up, heat and power co-generation unit, 160kW electrical</t>
  </si>
  <si>
    <t>c4f7fc5e-1e0a-4ced-b431-76c8c539d95e</t>
  </si>
  <si>
    <t>steam generation system, solar tower power plant, 20 MW</t>
  </si>
  <si>
    <t>e32f8491-2435-4bbf-90c3-a762ce33e153</t>
  </si>
  <si>
    <t>steam, in chemical industry</t>
  </si>
  <si>
    <t>bd20be8e-9b7a-4391-980f-4ecf8f2867be</t>
  </si>
  <si>
    <t>stearic acid</t>
  </si>
  <si>
    <t>b9516ad1-d0ab-5e5d-9be4-2efe48bb8444</t>
  </si>
  <si>
    <t>steatite</t>
  </si>
  <si>
    <t>cb95c7af-1829-4783-87a9-7c7d2b7d9765</t>
  </si>
  <si>
    <t>steel removed by drilling, computer numerical controlled</t>
  </si>
  <si>
    <t>220a83de-4afd-41d6-b9cf-58c839614e5b</t>
  </si>
  <si>
    <t>steel removed by drilling, conventional</t>
  </si>
  <si>
    <t>20ad63da-2f25-4737-8241-580ef0f1fd96</t>
  </si>
  <si>
    <t>steel removed by milling, average</t>
  </si>
  <si>
    <t>d8649ed8-daa1-43e2-976b-aa0e15f5680d</t>
  </si>
  <si>
    <t>steel removed by milling, dressing</t>
  </si>
  <si>
    <t>2c05646d-138c-4d6c-a33d-99b8e6194328</t>
  </si>
  <si>
    <t>steel removed by milling, large parts</t>
  </si>
  <si>
    <t>925337ba-f57d-4ada-8ef3-41c16179f413</t>
  </si>
  <si>
    <t>steel removed by milling, small parts</t>
  </si>
  <si>
    <t>a1de1103-7e58-4fe9-bd26-b86ebd3211b3</t>
  </si>
  <si>
    <t>steel removed by turning, average, computer numerical controlled</t>
  </si>
  <si>
    <t>9a63d81f-e922-4b53-85ff-d1074882d61e</t>
  </si>
  <si>
    <t>steel removed by turning, average, conventional</t>
  </si>
  <si>
    <t>2b59fad8-8845-4187-bcf1-a25af7fff32d</t>
  </si>
  <si>
    <t>steel removed by turning, primarily dressing, computer numerical controlled</t>
  </si>
  <si>
    <t>b4d3bf0b-4192-4c37-b639-c85ace435c13</t>
  </si>
  <si>
    <t>steel removed by turning, primarily dressing, conventional</t>
  </si>
  <si>
    <t>847fc02f-9cc3-4d7b-8297-65897dc9db05</t>
  </si>
  <si>
    <t>steel removed by turning, primarily roughing, computer numerical controlled</t>
  </si>
  <si>
    <t>60accf98-93cd-478f-afbf-6d9c4df9af9a</t>
  </si>
  <si>
    <t>steel removed by turning, primarily roughing, conventional</t>
  </si>
  <si>
    <t>dc4f7e30-5436-4f74-af37-2c7164239032</t>
  </si>
  <si>
    <t>steel, chromium steel 18/8</t>
  </si>
  <si>
    <t>c33b5236-001e-49b5-aa3d-810c0214f9ce</t>
  </si>
  <si>
    <t>steel, chromium steel 18/8, hot rolled</t>
  </si>
  <si>
    <t>c5246dbb-0abd-4bee-8dda-d52a1b202322</t>
  </si>
  <si>
    <t>steel, low-alloyed</t>
  </si>
  <si>
    <t>817c3650-4fed-4ef2-b9b6-404a198834e6</t>
  </si>
  <si>
    <t>steel, low-alloyed, hot rolled</t>
  </si>
  <si>
    <t>8cb650d5-8a48-4719-81b1-2080b3b4387f</t>
  </si>
  <si>
    <t>steel, unalloyed</t>
  </si>
  <si>
    <t>a2fd8c95-f2db-436a-9f24-f33b17f7975b</t>
  </si>
  <si>
    <t>stibnite ore, 70% stibnite</t>
  </si>
  <si>
    <t>8cb6c7f7-c5c7-4507-91ea-8094de0dcfe8</t>
  </si>
  <si>
    <t>stimulation, deep well</t>
  </si>
  <si>
    <t>ebe3552b-2fda-4ac8-b164-f918f951cf98</t>
  </si>
  <si>
    <t>stirling heat and power co-generation unit, 3kW electrical, wood pellet, future</t>
  </si>
  <si>
    <t>56179069-a600-44f6-8403-9de4a908fd82</t>
  </si>
  <si>
    <t>stockpiling of anode slime from electrorefining of copper, anode</t>
  </si>
  <si>
    <t>2c4f118d-30ea-4698-a0e3-8afb9161f2f6</t>
  </si>
  <si>
    <t>stone groundwood pulp</t>
  </si>
  <si>
    <t>42b4f874-08e6-466b-84db-7837960e245b</t>
  </si>
  <si>
    <t>stone meal</t>
  </si>
  <si>
    <t>1c2b2eb7-cdc9-4375-9fee-feb975ba4f64</t>
  </si>
  <si>
    <t>stone wool</t>
  </si>
  <si>
    <t>9e0e1511-492a-4ea4-a88a-50564b29805b</t>
  </si>
  <si>
    <t>stone wool factory</t>
  </si>
  <si>
    <t>e6db6324-2df1-4563-b99d-6b051aca5201</t>
  </si>
  <si>
    <t>stone wool, packed</t>
  </si>
  <si>
    <t>751b5ee2-aa63-456c-8d7d-1af517fb7032</t>
  </si>
  <si>
    <t>storage building, chemicals, solid</t>
  </si>
  <si>
    <t>d5d26aca-7e11-4b01-8d4e-967d3f89457c</t>
  </si>
  <si>
    <t>storage, 10'000 l</t>
  </si>
  <si>
    <t>61ba3c6c-4ccb-478c-9348-b035f7e48913</t>
  </si>
  <si>
    <t>storage, 650 l mini CHP plant</t>
  </si>
  <si>
    <t>ed94e344-3d3e-42c9-af38-9108af8c27e0</t>
  </si>
  <si>
    <t>straw</t>
  </si>
  <si>
    <t>d7f544d6-c372-4fc3-81ae-44aa3614c9fc</t>
  </si>
  <si>
    <t>straw, organic</t>
  </si>
  <si>
    <t>692b4f7e-9e79-4f69-b22f-b66f68f2f9cc</t>
  </si>
  <si>
    <t>straw, stand-alone production</t>
  </si>
  <si>
    <t>b5af62bc-efea-42c5-8dce-3b83b66a14dc</t>
  </si>
  <si>
    <t>strawberry</t>
  </si>
  <si>
    <t>48df8170-d31a-4d9f-856c-91a1529a0a69</t>
  </si>
  <si>
    <t>strawberry seedling, for planting</t>
  </si>
  <si>
    <t>a9f48e9a-2cea-4ef5-9d8f-90e001b4ee09</t>
  </si>
  <si>
    <t>stretch blow moulding</t>
  </si>
  <si>
    <t>1e16715e-6aa4-4649-92bd-304400d6c246</t>
  </si>
  <si>
    <t>strontium carbonate</t>
  </si>
  <si>
    <t>1dab8eca-9aeb-4f34-8d9a-4fa001fa88d0</t>
  </si>
  <si>
    <t>strontium sulfate, 90% SrSO4</t>
  </si>
  <si>
    <t>ba0676c3-a315-4a6a-84e5-17472054edb1</t>
  </si>
  <si>
    <t>structural timber</t>
  </si>
  <si>
    <t>92292ccd-ecbb-5ae6-8141-03114dd9c07c</t>
  </si>
  <si>
    <t>stucco</t>
  </si>
  <si>
    <t>a437eaa8-7560-4075-a24d-dd8534517845</t>
  </si>
  <si>
    <t>styrene</t>
  </si>
  <si>
    <t>0df0db82-8e1d-4053-8cfc-5019470a86a7</t>
  </si>
  <si>
    <t>styrene-acrylonitrile copolymer</t>
  </si>
  <si>
    <t>7338d72b-9db1-44cd-9047-ad82aa557730</t>
  </si>
  <si>
    <t>succinic acid</t>
  </si>
  <si>
    <t>c0c2439d-115d-5846-b0dc-7fc716f3862e</t>
  </si>
  <si>
    <t>sugar beet</t>
  </si>
  <si>
    <t>560e69eb-413e-49db-8796-3dd103ae8888</t>
  </si>
  <si>
    <t>sugar beet pulp</t>
  </si>
  <si>
    <t>e98c4987-0c27-4ad8-aa06-568bea573460</t>
  </si>
  <si>
    <t>sugar beet seed, for sowing</t>
  </si>
  <si>
    <t>af729e94-ad8b-4c25-859c-e2f6aba1de16</t>
  </si>
  <si>
    <t>sugar refinery</t>
  </si>
  <si>
    <t>93ee89ba-ff0b-4c4b-a333-af78bda8a9c4</t>
  </si>
  <si>
    <t>sugar, from sugar beet</t>
  </si>
  <si>
    <t>8e583c86-9411-4087-a357-490a05d6b928</t>
  </si>
  <si>
    <t>sugar, from sugarcane</t>
  </si>
  <si>
    <t>601aa448-72b2-4c2c-a05a-e185516d62a1</t>
  </si>
  <si>
    <t>sugarcane</t>
  </si>
  <si>
    <t>e31efe33-e07e-4f56-ab66-08b13bd19d37</t>
  </si>
  <si>
    <t>0114:Growing of sugar cane</t>
  </si>
  <si>
    <t>sugarcane loading, by loader</t>
  </si>
  <si>
    <t>c8e90fe9-16f0-4235-b0ad-551813787ae8</t>
  </si>
  <si>
    <t>sugarcane transfer, by dump cart</t>
  </si>
  <si>
    <t>3e803adf-71e1-4bf6-b16b-ef6b9189edbb</t>
  </si>
  <si>
    <t>sugarcane vinasse application, by wheel reel irrigation</t>
  </si>
  <si>
    <t>b9c8013b-204a-42f9-b73c-7400452fed97</t>
  </si>
  <si>
    <t>sulfamic acid</t>
  </si>
  <si>
    <t>fcc9ea85-a718-5c23-89ae-7af3b2584dcc</t>
  </si>
  <si>
    <t>sulfate pulp, bleached</t>
  </si>
  <si>
    <t>2540e7b1-583b-49c3-a53f-db748f92f730</t>
  </si>
  <si>
    <t>sulfate pulp, unbleached</t>
  </si>
  <si>
    <t>63b67766-9ed6-4037-bb45-eb4f88fdd76b</t>
  </si>
  <si>
    <t>sulfidic tailing, off-site, high gold content</t>
  </si>
  <si>
    <t>8d625863-c5b3-4d35-9881-551a40be00cd</t>
  </si>
  <si>
    <t>sulfite</t>
  </si>
  <si>
    <t>d489bb71-b54d-4bbe-8bce-15aa0d1bc608</t>
  </si>
  <si>
    <t>sulfite pulp, bleached</t>
  </si>
  <si>
    <t>23ff52d3-06a2-4d3a-8039-cfeb12f7cb9a</t>
  </si>
  <si>
    <t>sulfur</t>
  </si>
  <si>
    <t>fe8e025f-14c8-4abd-86df-1797ab26d3db</t>
  </si>
  <si>
    <t>sulfur dichloride</t>
  </si>
  <si>
    <t>20687320-0a88-4ecb-85d7-67ebdaa33465</t>
  </si>
  <si>
    <t>sulfur dioxide, liquid</t>
  </si>
  <si>
    <t>8234f6bf-7046-4ef2-bc74-958ceb01b56c</t>
  </si>
  <si>
    <t>sulfur hexafluoride, liquid</t>
  </si>
  <si>
    <t>ab5dcfa8-e8f9-4923-84d4-51b25a898fa1</t>
  </si>
  <si>
    <t>sulfur stockpiling</t>
  </si>
  <si>
    <t>85483e6b-ba9c-4de1-bb02-331ff8f87456</t>
  </si>
  <si>
    <t>sulfur trioxide</t>
  </si>
  <si>
    <t>610c39dc-6f93-4889-91c8-bbed6ed78552</t>
  </si>
  <si>
    <t>sulfuric acid</t>
  </si>
  <si>
    <t>9d63da75-8289-4b96-a900-67ec3bd40a16</t>
  </si>
  <si>
    <t>sulfuryl chloride</t>
  </si>
  <si>
    <t>9af10290-ff20-4593-a87f-e2f60f9f7bef</t>
  </si>
  <si>
    <t>sunflower seed</t>
  </si>
  <si>
    <t>20d649c2-db6b-4c9a-b529-409c9d43748e</t>
  </si>
  <si>
    <t>sunflower seed, for sowing</t>
  </si>
  <si>
    <t>b50f8fb8-4d3e-4790-a5be-6bd73e3ece4b</t>
  </si>
  <si>
    <t>sunflower seed, Swiss integrated production</t>
  </si>
  <si>
    <t>5a2e2911-c8f0-4927-957b-b869a10bcf8b</t>
  </si>
  <si>
    <t>sunflower silage</t>
  </si>
  <si>
    <t>7cb00a21-30f1-4f9f-b2e4-48ee9170c8d1</t>
  </si>
  <si>
    <t>sunn hemp plant, harvested</t>
  </si>
  <si>
    <t>9762d282-1cda-51de-b928-cbae23175458</t>
  </si>
  <si>
    <t>supplementary cementitious materials</t>
  </si>
  <si>
    <t>dc763799-ba2f-46a0-9b15-9cbd9d61139d</t>
  </si>
  <si>
    <t>supply air inlet, steel/SS, DN 75</t>
  </si>
  <si>
    <t>b05be3af-ecb2-4749-b132-9debb94e8bed</t>
  </si>
  <si>
    <t>swath, by rotary windrower</t>
  </si>
  <si>
    <t>ba4b94f3-797f-4724-af8c-21ec8fed9c2e</t>
  </si>
  <si>
    <t>sweet corn</t>
  </si>
  <si>
    <t>d86548c8-a433-44a0-91ba-073c2227b627</t>
  </si>
  <si>
    <t>sweet gas, burned in gas turbine</t>
  </si>
  <si>
    <t>7f8a51d3-2d37-4535-a185-3c2351aea9e6</t>
  </si>
  <si>
    <t>sweet sorghum grain</t>
  </si>
  <si>
    <t>693d6795-b325-4ac0-af34-9ceda82a44fe</t>
  </si>
  <si>
    <t>sweet sorghum stem</t>
  </si>
  <si>
    <t>2b042e37-55b1-4be4-ad69-66757582b706</t>
  </si>
  <si>
    <t>sweetening, natural gas</t>
  </si>
  <si>
    <t>52858e96-f7e8-4a24-b431-916fbb3d4c7b</t>
  </si>
  <si>
    <t>swine for slaughtering, live weight</t>
  </si>
  <si>
    <t>b458d873-946b-468f-b6bf-cdfdf6e0164f</t>
  </si>
  <si>
    <t>switch, toggle type</t>
  </si>
  <si>
    <t>eb736a32-322d-46be-9ccb-eb61a07119be</t>
  </si>
  <si>
    <t>synthetic gas</t>
  </si>
  <si>
    <t>795369c8-09eb-439f-9321-15c0d3be6a6f</t>
  </si>
  <si>
    <t>synthetic gas factory</t>
  </si>
  <si>
    <t>6bdc51d3-de17-403f-9fb7-4664b1708a5e</t>
  </si>
  <si>
    <t>synthetic graphite, battery grade</t>
  </si>
  <si>
    <t>69cbcb81-5233-4753-adbe-fd3275500901</t>
  </si>
  <si>
    <t>synthetic rubber</t>
  </si>
  <si>
    <t>0da5307e-df93-4bc2-b5bc-6cda3cb55e8c</t>
  </si>
  <si>
    <t>tall oil, crude</t>
  </si>
  <si>
    <t>acfc9f7e-a0d7-4120-af03-a1bf03311db0</t>
  </si>
  <si>
    <t>tallow, unrefined</t>
  </si>
  <si>
    <t>8f5d2384-9122-448e-9930-f052284441ff</t>
  </si>
  <si>
    <t>tanker, for liquefied natural gas</t>
  </si>
  <si>
    <t>50116d0e-a143-464e-9eae-d2ae2d036125</t>
  </si>
  <si>
    <t>tanker, for liquid goods other than petroleum and liquefied natural gas</t>
  </si>
  <si>
    <t>b57004ed-e9d5-4d59-ac10-257cd925e4d4</t>
  </si>
  <si>
    <t>tanker, for petroleum</t>
  </si>
  <si>
    <t>ac334b0b-1cc3-43bd-b8ad-246918082e02</t>
  </si>
  <si>
    <t>tantalum concentrate, 30% Ta2O5</t>
  </si>
  <si>
    <t>c108213f-ae8f-4b3d-9b79-be6eac0bad62</t>
  </si>
  <si>
    <t>tantalum powder, capacitor-grade</t>
  </si>
  <si>
    <t>9795973a-54b4-43e2-879d-9291e235e4a4</t>
  </si>
  <si>
    <t>tap water</t>
  </si>
  <si>
    <t>c5adb1fb-872e-4446-a3bb-c4b61aa4bd45</t>
  </si>
  <si>
    <t>tea, dried</t>
  </si>
  <si>
    <t>1942f3d1-fad9-43da-a657-d5920c804cd6</t>
  </si>
  <si>
    <t>technical wood drying facility</t>
  </si>
  <si>
    <t>d7c09d5a-06c8-4f5c-9f85-fcb472109ac2</t>
  </si>
  <si>
    <t>television</t>
  </si>
  <si>
    <t>efccec02-11ea-40fb-8ca9-0d4afcff3777</t>
  </si>
  <si>
    <t>tellurium, semiconductor-grade</t>
  </si>
  <si>
    <t>985d3352-c275-48a6-a99c-b0a5d28b7a24</t>
  </si>
  <si>
    <t>tempering, flat glass</t>
  </si>
  <si>
    <t>e805d959-7903-47b0-9401-47d1f5ce6b3a</t>
  </si>
  <si>
    <t>terbium oxide</t>
  </si>
  <si>
    <t>7495e6d0-60ec-5d30-9686-4dba467f8634</t>
  </si>
  <si>
    <t>terbium-dysprosium oxide</t>
  </si>
  <si>
    <t>1a4fe76f-06a8-5cac-8f30-cb90f71d5163</t>
  </si>
  <si>
    <t>terrain chipper on forwarder</t>
  </si>
  <si>
    <t>a20316af-08ff-4e90-b56d-9a99b716ba97</t>
  </si>
  <si>
    <t>tert-butyl amine</t>
  </si>
  <si>
    <t>b90c480d-790e-4d23-8aa0-6e128211e4fe</t>
  </si>
  <si>
    <t>tetrachloroethylene</t>
  </si>
  <si>
    <t>abd02c30-27d3-4f52-9244-578e13b634b7</t>
  </si>
  <si>
    <t>tetraethyl orthosilicate</t>
  </si>
  <si>
    <t>ddfe295c-68b2-4cba-b778-12c1e042b53a</t>
  </si>
  <si>
    <t>tetrafluoroethane</t>
  </si>
  <si>
    <t>fe162227-e04d-442f-bd71-e225f6b21ea9</t>
  </si>
  <si>
    <t>tetrafluoroethylene</t>
  </si>
  <si>
    <t>874ae709-1968-4ef3-a4e8-4cefbe22c11e</t>
  </si>
  <si>
    <t>tetrafluoroethylene film, on glass</t>
  </si>
  <si>
    <t>1acfcf43-232f-493d-a2f0-1d71e308d967</t>
  </si>
  <si>
    <t>tetrahydrofuran</t>
  </si>
  <si>
    <t>f75d6f52-d4fa-4c96-b48e-1ec2f4115f27</t>
  </si>
  <si>
    <t>textile, jute</t>
  </si>
  <si>
    <t>009fee5f-7288-4ff4-bb41-343a6d532774</t>
  </si>
  <si>
    <t>1312:Weaving of textiles</t>
  </si>
  <si>
    <t>textile, kenaf</t>
  </si>
  <si>
    <t>a4c116d8-b097-4845-a0d6-3d433e9ba3fa</t>
  </si>
  <si>
    <t>textile, knit cotton</t>
  </si>
  <si>
    <t>c4230712-ca79-435b-bb28-37041635b772</t>
  </si>
  <si>
    <t>1391:Manufacture of knitted and crocheted fabrics</t>
  </si>
  <si>
    <t>textile, nonwoven polyester</t>
  </si>
  <si>
    <t>328db9f7-c0d6-4598-b071-d67dd31974f8</t>
  </si>
  <si>
    <t>textile, nonwoven polypropylene</t>
  </si>
  <si>
    <t>44a35b54-ed4d-4e04-b822-9bc4b7e75952</t>
  </si>
  <si>
    <t>textile, silk</t>
  </si>
  <si>
    <t>a5a519f2-dd62-4359-a04e-7c7f80ff1a49</t>
  </si>
  <si>
    <t>textile, woven cotton</t>
  </si>
  <si>
    <t>f435211e-39e6-4f03-b7ee-b8ab915dbc52</t>
  </si>
  <si>
    <t>thermal energy storage, for adiabatic compressed air energy storage</t>
  </si>
  <si>
    <t>f66148b9-e37e-45be-b8ff-93830bc7bef0</t>
  </si>
  <si>
    <t>thermal plaster, outdoor</t>
  </si>
  <si>
    <t>f8088723-18f4-40f4-afd8-7bcb13c56021</t>
  </si>
  <si>
    <t>thermal storage system, solar thermal parabolic trough, 50 MW</t>
  </si>
  <si>
    <t>c31e712c-3536-476f-997b-6bca9b530651</t>
  </si>
  <si>
    <t>thermal storage system, solar tower power plant, 20 MW</t>
  </si>
  <si>
    <t>148bfe3e-5544-49e7-a393-3fc4c6b1df43</t>
  </si>
  <si>
    <t>thermoforming of plastic sheets</t>
  </si>
  <si>
    <t>c449e3b5-385c-454b-acba-e3e6f58c68e4</t>
  </si>
  <si>
    <t>thermoforming, with calendering</t>
  </si>
  <si>
    <t>239ebf12-7803-4577-8178-b63b249845da</t>
  </si>
  <si>
    <t>thermo-mechanical pulp</t>
  </si>
  <si>
    <t>7ec7cfb0-fca4-46aa-80c8-d8d2b674cd60</t>
  </si>
  <si>
    <t>thionyl chloride</t>
  </si>
  <si>
    <t>2b352195-5da6-4bdc-abf5-42f535534d60</t>
  </si>
  <si>
    <t>three and five layered board</t>
  </si>
  <si>
    <t>370f1309-8bde-5c3b-9bba-490d74e78568</t>
  </si>
  <si>
    <t>thulium oxide</t>
  </si>
  <si>
    <t>a392d309-fdfb-58be-93e4-8c0b843f548c</t>
  </si>
  <si>
    <t>tilapia</t>
  </si>
  <si>
    <t>3c9f65eb-b4c8-4c56-a2c1-5a8db94d2ccb</t>
  </si>
  <si>
    <t>0322:Freshwater aquaculture</t>
  </si>
  <si>
    <t>tilapia feed, 24-28% protein</t>
  </si>
  <si>
    <t>84a1e84e-a669-4f4f-83e7-1eef26ab7801</t>
  </si>
  <si>
    <t>tillage, cultivating, chiselling</t>
  </si>
  <si>
    <t>60cfe502-80f5-4a1e-9a97-48503466a802</t>
  </si>
  <si>
    <t>tillage, currying, by weeder</t>
  </si>
  <si>
    <t>1b4271d3-3426-4fbf-be9c-705e50c87f94</t>
  </si>
  <si>
    <t>tillage, harrowing, by offset disc harrow</t>
  </si>
  <si>
    <t>2f618520-1bd4-440c-84cd-045335db2e6c</t>
  </si>
  <si>
    <t>tillage, harrowing, by offset leveling disc harrow</t>
  </si>
  <si>
    <t>edcaa476-a810-42b5-bbf4-1220d8658c4a</t>
  </si>
  <si>
    <t>tillage, harrowing, by rotary harrow</t>
  </si>
  <si>
    <t>406c9ce9-fa6f-47b7-8659-386f0a54f2a8</t>
  </si>
  <si>
    <t>tillage, harrowing, by spring tine harrow</t>
  </si>
  <si>
    <t>1a444fb4-f931-4369-8683-2844944ebdba</t>
  </si>
  <si>
    <t>tillage, hoeing and earthing-up, potatoes</t>
  </si>
  <si>
    <t>77282160-5a7e-4a84-9ba1-b0d81e14f10a</t>
  </si>
  <si>
    <t>tillage, ploughing</t>
  </si>
  <si>
    <t>318df8f5-f490-436c-8f93-23ccfa15e60a</t>
  </si>
  <si>
    <t>tillage, rolling</t>
  </si>
  <si>
    <t>51d3e5e1-ebff-4b8c-b764-42bfe74434ea</t>
  </si>
  <si>
    <t>tillage, rotary cultivator</t>
  </si>
  <si>
    <t>8cf5de7a-4796-4cfc-bd53-9b7148841b20</t>
  </si>
  <si>
    <t>tillage, subsoiling, by subsoiler plow</t>
  </si>
  <si>
    <t>ccfff1e0-6deb-4aef-a0df-47be0bdc0176</t>
  </si>
  <si>
    <t>tin</t>
  </si>
  <si>
    <t>ad5a20dd-4c4d-499d-8dc1-254ebab8f3bf</t>
  </si>
  <si>
    <t>tin concentrate</t>
  </si>
  <si>
    <t>e9c18e3b-2479-44af-b865-8169d809b777</t>
  </si>
  <si>
    <t>tin dioxide</t>
  </si>
  <si>
    <t>9cf8ff38-4c1a-4e5a-aa3f-923bf062359f</t>
  </si>
  <si>
    <t>tin plated chromium steel sheet, 2 mm</t>
  </si>
  <si>
    <t>cb4737ad-692c-4006-9b99-853be76f6ad9</t>
  </si>
  <si>
    <t>tin plating, pieces</t>
  </si>
  <si>
    <t>1337f417-2fc5-4a6d-b08e-37ccfda2dddf</t>
  </si>
  <si>
    <t>tinplate scrap, sorted</t>
  </si>
  <si>
    <t>60fa2c28-1f8f-5486-aab5-da2e493250d4</t>
  </si>
  <si>
    <t>tinplate, in mixed metal scrap</t>
  </si>
  <si>
    <t>31c5bd1a-78b7-58bc-8929-6f686ce2e810</t>
  </si>
  <si>
    <t>tissue paper</t>
  </si>
  <si>
    <t>e04720d0-1b18-41bd-b729-93cfc5f862ab</t>
  </si>
  <si>
    <t>titania slag, 85% titanium dioxide</t>
  </si>
  <si>
    <t>aea832ee-4616-4207-b7cd-a4fe0a9ad641</t>
  </si>
  <si>
    <t>titania slag, 94% titanium dioxide</t>
  </si>
  <si>
    <t>50c6fdc4-c997-4a54-91fa-dd343bcfc2c9</t>
  </si>
  <si>
    <t>titanium</t>
  </si>
  <si>
    <t>a12a26ca-7adf-4ea0-83be-05fdc3c7fc33</t>
  </si>
  <si>
    <t>titanium dioxide</t>
  </si>
  <si>
    <t>b419e26a-249f-4286-a6f8-188e7dfba951</t>
  </si>
  <si>
    <t>titanium sponge</t>
  </si>
  <si>
    <t>7ff09d1a-1938-425a-b85f-a7a65bb5f0b5</t>
  </si>
  <si>
    <t>titanium tetrachloride</t>
  </si>
  <si>
    <t>aeaa3b03-0475-4c6a-9a5e-eb2323dc481a</t>
  </si>
  <si>
    <t>titanium zinc plate, without pre-weathering</t>
  </si>
  <si>
    <t>c003d45b-760f-4bbd-9a98-c471d4ce2184</t>
  </si>
  <si>
    <t>titanium, triple-melt</t>
  </si>
  <si>
    <t>a7987006-207b-42a5-b69e-489425b3c91f</t>
  </si>
  <si>
    <t>tofu</t>
  </si>
  <si>
    <t>880a4a66-9bfb-4830-9a5b-6a4502cbff78</t>
  </si>
  <si>
    <t>toluene diisocyanate</t>
  </si>
  <si>
    <t>76a3d3ad-ff04-4894-bbc3-e9f450795ef4</t>
  </si>
  <si>
    <t>toluene, liquid</t>
  </si>
  <si>
    <t>7856dace-7366-43e2-9f81-83d63e579efc</t>
  </si>
  <si>
    <t>tomato seedling, for planting</t>
  </si>
  <si>
    <t>aecd9597-ca42-49be-b98b-97ab87058f50</t>
  </si>
  <si>
    <t>tomato, fresh grade</t>
  </si>
  <si>
    <t>34967617-78b9-4120-9fbc-b8bf2d3c115b</t>
  </si>
  <si>
    <t>tomato, processing grade</t>
  </si>
  <si>
    <t>03cc9df9-29e5-4ee0-8bff-a70999caffbf</t>
  </si>
  <si>
    <t>toner module, laser printer, black/white</t>
  </si>
  <si>
    <t>fb26ec2f-f56b-4ded-bb3a-1cddfc627da2</t>
  </si>
  <si>
    <t>2817:Manufacture of office machinery and equipment (except computers and periphe</t>
  </si>
  <si>
    <t>toner module, laser printer, colour</t>
  </si>
  <si>
    <t>161c0aa4-08cb-4ecd-bef7-a222b221595d</t>
  </si>
  <si>
    <t>toner, black, powder</t>
  </si>
  <si>
    <t>58b17444-9524-4a28-8ff5-58b7d6328dd2</t>
  </si>
  <si>
    <t>toner, colour, powder</t>
  </si>
  <si>
    <t>779bed36-7f72-4921-b677-e92df06db499</t>
  </si>
  <si>
    <t>tower silo, plastic</t>
  </si>
  <si>
    <t>2581d7f7-59e3-411d-b12e-3cb653bf4e9f</t>
  </si>
  <si>
    <t>tractor, 4-wheel, agricultural</t>
  </si>
  <si>
    <t>6272e937-9524-463b-ae03-65d65f8ff6df</t>
  </si>
  <si>
    <t>train, passenger, high speed</t>
  </si>
  <si>
    <t>9ffca1fd-6373-4acc-ad91-7d9380fa8058</t>
  </si>
  <si>
    <t>train, passenger, long-distance</t>
  </si>
  <si>
    <t>8494fe8c-f388-49d9-8d6d-1e2e1717e330</t>
  </si>
  <si>
    <t>train, passenger, regional</t>
  </si>
  <si>
    <t>b18e8b58-e747-44ac-8864-76ab7994b6c6</t>
  </si>
  <si>
    <t>tram</t>
  </si>
  <si>
    <t>16107ec9-1f44-4871-b9aa-6841f8fe3992</t>
  </si>
  <si>
    <t>tram track</t>
  </si>
  <si>
    <t>b0ef6814-0419-4d44-b9da-ff2de672a064</t>
  </si>
  <si>
    <t>transformer, high voltage use</t>
  </si>
  <si>
    <t>9e2c266f-d04d-44bc-b277-b7f6a7e3dffa</t>
  </si>
  <si>
    <t>transformer, low voltage use</t>
  </si>
  <si>
    <t>0c7faf73-f5ea-4a3b-96ec-54d025cae6f4</t>
  </si>
  <si>
    <t>transistor, auxilliaries and energy use</t>
  </si>
  <si>
    <t>6facf9d3-01a6-453a-8b7b-cf72bcf04072</t>
  </si>
  <si>
    <t>transistor, surface-mounted</t>
  </si>
  <si>
    <t>3422a31d-cb51-4f19-a659-28798bf18e54</t>
  </si>
  <si>
    <t>transistor, wired, big size, through-hole mounting</t>
  </si>
  <si>
    <t>b88d0305-a1db-4575-abad-16cb9214b14d</t>
  </si>
  <si>
    <t>transistor, wired, small size, through-hole mounting</t>
  </si>
  <si>
    <t>233843d2-7fda-443f-8735-547f06711c6d</t>
  </si>
  <si>
    <t>transmission network, electricity, high voltage</t>
  </si>
  <si>
    <t>1e62439e-fa8d-4049-9460-e0c155d2ddbe</t>
  </si>
  <si>
    <t>transmission network, electricity, medium voltage</t>
  </si>
  <si>
    <t>46712f19-9f47-43d7-a13d-5fac729070ba</t>
  </si>
  <si>
    <t>transmission network, long-distance</t>
  </si>
  <si>
    <t>c975834b-76cd-431c-a458-98ff9fecb9e5</t>
  </si>
  <si>
    <t>transport, freight train</t>
  </si>
  <si>
    <t>0ace02fa-eca5-482d-a829-c18e46a52db4</t>
  </si>
  <si>
    <t>4912:Freight rail transport</t>
  </si>
  <si>
    <t>transport, freight, aircraft with reefer, cooling</t>
  </si>
  <si>
    <t>5bcb4640-2e25-4dc3-acc4-d89f308eb32c</t>
  </si>
  <si>
    <t>5120:Freight air transport</t>
  </si>
  <si>
    <t>transport, freight, aircraft with reefer, freezing</t>
  </si>
  <si>
    <t>4124c89b-fbf6-4320-a994-9f7d90447bd5</t>
  </si>
  <si>
    <t>transport, freight, aircraft, long haul</t>
  </si>
  <si>
    <t>3317126a-4dd7-4047-9ccf-163f94382c94</t>
  </si>
  <si>
    <t>5110:Passenger air transport</t>
  </si>
  <si>
    <t>transport, freight, aircraft, medium haul</t>
  </si>
  <si>
    <t>220fe333-5329-4a8d-b012-1db429f2383b</t>
  </si>
  <si>
    <t>transport, freight, aircraft, short haul</t>
  </si>
  <si>
    <t>07ad9bb5-f5d3-4e09-ac39-a6dcbb13a0ba</t>
  </si>
  <si>
    <t>transport, freight, aircraft, unspecified</t>
  </si>
  <si>
    <t>8795dc98-b6c7-4f09-be36-66739ea84900</t>
  </si>
  <si>
    <t>transport, freight, aircraft, very short haul</t>
  </si>
  <si>
    <t>02db23d4-0c70-4c90-98b6-2aa65ef4b268</t>
  </si>
  <si>
    <t>transport, freight, conveyor belt</t>
  </si>
  <si>
    <t>41e4ece5-6fd3-4183-8aa7-7054d3b3b6d4</t>
  </si>
  <si>
    <t>492:Other land transport</t>
  </si>
  <si>
    <t>transport, freight, inland waterways, barge</t>
  </si>
  <si>
    <t>068bf76a-bfaa-435c-85ed-3d2bb2c4bb4f</t>
  </si>
  <si>
    <t>5022:Inland freight water transport</t>
  </si>
  <si>
    <t>transport, freight, inland waterways, barge tanker</t>
  </si>
  <si>
    <t>57143a43-20ab-44a5-a4a2-26effbdfafd1</t>
  </si>
  <si>
    <t>transport, freight, inland waterways, barge with reefer, cooling</t>
  </si>
  <si>
    <t>aa6252cb-4154-42a5-8d03-6a345ee108b8</t>
  </si>
  <si>
    <t>transport, freight, inland waterways, barge with reefer, freezing</t>
  </si>
  <si>
    <t>71ea78cc-59a2-469a-bf4e-ac659ca0b32c</t>
  </si>
  <si>
    <t>transport, freight, light commercial vehicle</t>
  </si>
  <si>
    <t>090f56b8-6a83-48c1-ae26-234d04771e53</t>
  </si>
  <si>
    <t>4923:Freight transport by road</t>
  </si>
  <si>
    <t>transport, freight, light commercial vehicle, EURO1</t>
  </si>
  <si>
    <t>720d079e-242b-4d52-9268-bc9ffa6b5692</t>
  </si>
  <si>
    <t>transport, freight, light commercial vehicle, EURO2</t>
  </si>
  <si>
    <t>173bc101-dadb-4bd8-952b-41b1b6fe2d90</t>
  </si>
  <si>
    <t>transport, freight, light commercial vehicle, unregulated</t>
  </si>
  <si>
    <t>55b795a2-886f-419e-af38-fba1b83fa51b</t>
  </si>
  <si>
    <t>transport, freight, lorry &gt;32 metric ton, EURO1</t>
  </si>
  <si>
    <t>8ddc8009-4733-49e9-8a4e-a1081d05eb8b</t>
  </si>
  <si>
    <t>transport, freight, lorry &gt;32 metric ton, EURO2</t>
  </si>
  <si>
    <t>3a40db23-1aed-4b82-8117-32251e039134</t>
  </si>
  <si>
    <t>transport, freight, lorry &gt;32 metric ton, EURO3</t>
  </si>
  <si>
    <t>b909dee2-76bd-4eae-87d5-fc831390f99b</t>
  </si>
  <si>
    <t>transport, freight, lorry &gt;32 metric ton, EURO4</t>
  </si>
  <si>
    <t>fea783cd-1b3e-47ed-a4a1-346094ebc39a</t>
  </si>
  <si>
    <t>transport, freight, lorry &gt;32 metric ton, EURO5</t>
  </si>
  <si>
    <t>93afc03f-5832-4ec0-8d76-cf6e62efff26</t>
  </si>
  <si>
    <t>transport, freight, lorry &gt;32 metric ton, EURO6</t>
  </si>
  <si>
    <t>52a8f3c4-df5d-4f18-830b-985bcd8ac830</t>
  </si>
  <si>
    <t>transport, freight, lorry &gt;32 metric ton, unregulated</t>
  </si>
  <si>
    <t>eee5f6b0-7c73-473a-9e27-82d38ae3661b</t>
  </si>
  <si>
    <t>transport, freight, lorry 16-32 metric ton, EURO1</t>
  </si>
  <si>
    <t>4ecf1190-7028-4038-89b0-79adeb3e98cc</t>
  </si>
  <si>
    <t>transport, freight, lorry 16-32 metric ton, EURO2</t>
  </si>
  <si>
    <t>559d5695-102a-4beb-9f7f-3db334c9b51d</t>
  </si>
  <si>
    <t>transport, freight, lorry 16-32 metric ton, EURO3</t>
  </si>
  <si>
    <t>f9895e44-5657-47fc-8eec-a4985e2bce2e</t>
  </si>
  <si>
    <t>transport, freight, lorry 16-32 metric ton, EURO4</t>
  </si>
  <si>
    <t>fb655769-10d8-446b-87f8-44ca60e20ed9</t>
  </si>
  <si>
    <t>transport, freight, lorry 16-32 metric ton, EURO5</t>
  </si>
  <si>
    <t>f4e8b38b-d6c7-423b-bc9c-13b4a13d55f8</t>
  </si>
  <si>
    <t>transport, freight, lorry 16-32 metric ton, EURO6</t>
  </si>
  <si>
    <t>c691b775-a65a-4b77-a588-c8c6cd01c725</t>
  </si>
  <si>
    <t>transport, freight, lorry 16-32 metric ton, unregulated</t>
  </si>
  <si>
    <t>653ca70d-49a6-4c62-ae9c-56b3c00b647c</t>
  </si>
  <si>
    <t>transport, freight, lorry 28 metric ton, fatty acid methyl ester 100%</t>
  </si>
  <si>
    <t>2341598f-166d-4f0c-97d2-0077a191b11f</t>
  </si>
  <si>
    <t>transport, freight, lorry 3.5-7.5 metric ton, EURO1</t>
  </si>
  <si>
    <t>518404fc-5571-4fc8-80a0-67c099278772</t>
  </si>
  <si>
    <t>transport, freight, lorry 3.5-7.5 metric ton, EURO2</t>
  </si>
  <si>
    <t>bd061b71-270b-4644-9e14-6c59b2e4090d</t>
  </si>
  <si>
    <t>transport, freight, lorry 3.5-7.5 metric ton, EURO3</t>
  </si>
  <si>
    <t>c0a7ba59-f9b5-45b5-8e1d-6e4e40ba86df</t>
  </si>
  <si>
    <t>transport, freight, lorry 3.5-7.5 metric ton, EURO4</t>
  </si>
  <si>
    <t>03bf1369-1eec-49d0-bc4b-8b29efa826b9</t>
  </si>
  <si>
    <t>transport, freight, lorry 3.5-7.5 metric ton, EURO5</t>
  </si>
  <si>
    <t>99598921-d5df-489f-b96c-7dd4ba6b36a6</t>
  </si>
  <si>
    <t>transport, freight, lorry 3.5-7.5 metric ton, EURO6</t>
  </si>
  <si>
    <t>ccc1fbd3-3877-43b6-a845-0c2ed8359c29</t>
  </si>
  <si>
    <t>transport, freight, lorry 3.5-7.5 metric ton, unregulated</t>
  </si>
  <si>
    <t>cf34bfa7-b49b-4ca1-a94d-0eff5dbd23d8</t>
  </si>
  <si>
    <t>transport, freight, lorry 7.5-16 metric ton, EURO1</t>
  </si>
  <si>
    <t>da85af95-9191-4be6-aa68-e0a980c28785</t>
  </si>
  <si>
    <t>transport, freight, lorry 7.5-16 metric ton, EURO2</t>
  </si>
  <si>
    <t>999d5179-2235-493a-8bd8-d805bb71eee8</t>
  </si>
  <si>
    <t>transport, freight, lorry 7.5-16 metric ton, EURO3</t>
  </si>
  <si>
    <t>ae39ee61-d4d0-4cce-93b4-0745344da5fa</t>
  </si>
  <si>
    <t>transport, freight, lorry 7.5-16 metric ton, EURO4</t>
  </si>
  <si>
    <t>639dba7b-1762-4e9a-a95c-f30380e65d53</t>
  </si>
  <si>
    <t>transport, freight, lorry 7.5-16 metric ton, EURO5</t>
  </si>
  <si>
    <t>24f5a760-85ea-4ed7-a4f2-cff90141671b</t>
  </si>
  <si>
    <t>transport, freight, lorry 7.5-16 metric ton, EURO6</t>
  </si>
  <si>
    <t>73585052-b3e9-4cde-832d-2db3272d2ae5</t>
  </si>
  <si>
    <t>transport, freight, lorry 7.5-16 metric ton, unregulated</t>
  </si>
  <si>
    <t>a8523835-3905-4e3f-9e2f-ae1d8cad0317</t>
  </si>
  <si>
    <t>transport, freight, lorry with reefer, cooling</t>
  </si>
  <si>
    <t>3d793ffb-b1ef-42e3-a3ac-6894faf26264</t>
  </si>
  <si>
    <t>transport, freight, lorry with reefer, freezing</t>
  </si>
  <si>
    <t>3d8a88cb-02ca-48f4-857e-18e68995d78d</t>
  </si>
  <si>
    <t>transport, freight, lorry with refrigeration machine, 3.5-7.5 ton, EURO3, carbon dioxide, liquid refrigerant, cooling</t>
  </si>
  <si>
    <t>8b790fe4-8824-4e26-8615-2154b94ad8fb</t>
  </si>
  <si>
    <t>transport, freight, lorry with refrigeration machine, 3.5-7.5 ton, EURO3, carbon dioxide, liquid refrigerant, freezing</t>
  </si>
  <si>
    <t>2f874117-e51e-41c0-8cd5-dbb954b046d3</t>
  </si>
  <si>
    <t>transport, freight, lorry with refrigeration machine, 3.5-7.5 ton, EURO3, R134a refrigerant, cooling</t>
  </si>
  <si>
    <t>9c04fadb-8acc-4ec9-8430-e3013df33e7f</t>
  </si>
  <si>
    <t>transport, freight, lorry with refrigeration machine, 3.5-7.5 ton, EURO3, R134a refrigerant, freezing</t>
  </si>
  <si>
    <t>e06932cf-8d90-4eaf-acf5-091aa3ec885e</t>
  </si>
  <si>
    <t>transport, freight, lorry with refrigeration machine, 3.5-7.5 ton, EURO4, carbon dioxide, liquid refrigerant, cooling</t>
  </si>
  <si>
    <t>3e914ece-73a4-4769-9d14-eab87b6d1fc1</t>
  </si>
  <si>
    <t>transport, freight, lorry with refrigeration machine, 3.5-7.5 ton, EURO4, carbon dioxide, liquid refrigerant, freezing</t>
  </si>
  <si>
    <t>e8314641-35c6-40ef-a98c-182bcd6a0b30</t>
  </si>
  <si>
    <t>transport, freight, lorry with refrigeration machine, 3.5-7.5 ton, EURO4, R134a refrigerant, cooling</t>
  </si>
  <si>
    <t>cf895445-b47e-4ac3-ab5b-8940ce6acdac</t>
  </si>
  <si>
    <t>transport, freight, lorry with refrigeration machine, 3.5-7.5 ton, EURO4, R134a refrigerant, freezing</t>
  </si>
  <si>
    <t>ab80ba74-fe2d-4217-9ad9-064d6165d0e7</t>
  </si>
  <si>
    <t>transport, freight, lorry with refrigeration machine, 3.5-7.5 ton, EURO5, carbon dioxide, liquid refrigerant, cooling</t>
  </si>
  <si>
    <t>2cd1cdb7-e6f8-438c-bdfd-d9c81c319622</t>
  </si>
  <si>
    <t>transport, freight, lorry with refrigeration machine, 3.5-7.5 ton, EURO5, carbon dioxide, liquid refrigerant, freezing</t>
  </si>
  <si>
    <t>48d0dc93-d3ad-4fdd-b6a7-3b8f63023004</t>
  </si>
  <si>
    <t>transport, freight, lorry with refrigeration machine, 3.5-7.5 ton, EURO5, R134a refrigerant, cooling</t>
  </si>
  <si>
    <t>52d4639e-1341-4bfa-9090-dbefbee5d2aa</t>
  </si>
  <si>
    <t>transport, freight, lorry with refrigeration machine, 3.5-7.5 ton, EURO5, R134a refrigerant, freezing</t>
  </si>
  <si>
    <t>dddbb7f3-e026-41f8-b5d4-bbc2877a205c</t>
  </si>
  <si>
    <t>transport, freight, lorry with refrigeration machine, 3.5-7.5 ton, EURO6, carbon dioxide, liquid refrigerant, cooling</t>
  </si>
  <si>
    <t>c50eaa50-c893-4963-9abf-2fce5fa4863c</t>
  </si>
  <si>
    <t>transport, freight, lorry with refrigeration machine, 3.5-7.5 ton, EURO6, carbon dioxide, liquid refrigerant, freezing</t>
  </si>
  <si>
    <t>7ca92029-c7f2-4db1-bd24-3db5834a34f9</t>
  </si>
  <si>
    <t>transport, freight, lorry with refrigeration machine, 3.5-7.5 ton, EURO6, R134a refrigerant, cooling</t>
  </si>
  <si>
    <t>90cf748b-ae7c-4d87-a874-0e86a970440d</t>
  </si>
  <si>
    <t>transport, freight, lorry with refrigeration machine, 3.5-7.5 ton, EURO6, R134a refrigerant, freezing</t>
  </si>
  <si>
    <t>da12111e-ee1a-43c2-8cf8-dc38b7516e8e</t>
  </si>
  <si>
    <t>transport, freight, lorry with refrigeration machine, 7.5-16 ton, EURO3, carbon dioxide, liquid refrigerant, cooling</t>
  </si>
  <si>
    <t>7fd72cae-76cf-47b1-b0f7-92341b46ef7e</t>
  </si>
  <si>
    <t>transport, freight, lorry with refrigeration machine, 7.5-16 ton, EURO3, carbon dioxide, liquid refrigerant, freezing</t>
  </si>
  <si>
    <t>1470969d-cc06-4a55-812e-02dc367990ba</t>
  </si>
  <si>
    <t>transport, freight, lorry with refrigeration machine, 7.5-16 ton, EURO3, R134a refrigerant, cooling</t>
  </si>
  <si>
    <t>68e26a5f-ffa6-4222-bce0-c156fe562fe0</t>
  </si>
  <si>
    <t>transport, freight, lorry with refrigeration machine, 7.5-16 ton, EURO3, R134a refrigerant, freezing</t>
  </si>
  <si>
    <t>0826be50-8d6d-4f84-bcd4-6dad817586e6</t>
  </si>
  <si>
    <t>transport, freight, lorry with refrigeration machine, 7.5-16 ton, EURO4, carbon dioxide, liquid refrigerant, cooling</t>
  </si>
  <si>
    <t>339098d2-5fd3-44e9-bd2e-329b03f8cc92</t>
  </si>
  <si>
    <t>transport, freight, lorry with refrigeration machine, 7.5-16 ton, EURO4, carbon dioxide, liquid refrigerant, freezing</t>
  </si>
  <si>
    <t>581eb7c5-e0eb-4213-8512-81220c555c60</t>
  </si>
  <si>
    <t>transport, freight, lorry with refrigeration machine, 7.5-16 ton, EURO4, R134a refrigerant, cooling</t>
  </si>
  <si>
    <t>06624de7-a966-4d42-a3d6-3a81132363f8</t>
  </si>
  <si>
    <t>transport, freight, lorry with refrigeration machine, 7.5-16 ton, EURO4, R134a refrigerant, freezing</t>
  </si>
  <si>
    <t>01e89b47-20ab-49de-b205-f62664847cd7</t>
  </si>
  <si>
    <t>transport, freight, lorry with refrigeration machine, 7.5-16 ton, EURO5, carbon dioxide, liquid refrigerant, cooling</t>
  </si>
  <si>
    <t>6754150b-f7cd-4a19-a189-2d6f6e59672e</t>
  </si>
  <si>
    <t>transport, freight, lorry with refrigeration machine, 7.5-16 ton, EURO5, carbon dioxide, liquid refrigerant, freezing</t>
  </si>
  <si>
    <t>fddec70e-92df-47a8-8bf7-d8ca37b2708d</t>
  </si>
  <si>
    <t>transport, freight, lorry with refrigeration machine, 7.5-16 ton, EURO5, R134a refrigerant, cooling</t>
  </si>
  <si>
    <t>6b2100b5-c781-422a-ba0a-31594ab30d93</t>
  </si>
  <si>
    <t>transport, freight, lorry with refrigeration machine, 7.5-16 ton, EURO5, R134a refrigerant, freezing</t>
  </si>
  <si>
    <t>33bbc294-1d8e-46cf-acb8-2c8b409f685c</t>
  </si>
  <si>
    <t>transport, freight, lorry with refrigeration machine, 7.5-16 ton, EURO6, carbon dioxide, liquid refrigerant, cooling</t>
  </si>
  <si>
    <t>c20ffcb8-2b8f-47e7-a7b7-716b4f1446de</t>
  </si>
  <si>
    <t>transport, freight, lorry with refrigeration machine, 7.5-16 ton, EURO6, carbon dioxide, liquid refrigerant, freezing</t>
  </si>
  <si>
    <t>60469592-543b-49bb-8900-5051fff7b646</t>
  </si>
  <si>
    <t>transport, freight, lorry with refrigeration machine, 7.5-16 ton, EURO6, R134a refrigerant, cooling</t>
  </si>
  <si>
    <t>a6610283-876b-4f20-ac83-7cef68655ca3</t>
  </si>
  <si>
    <t>transport, freight, lorry with refrigeration machine, 7.5-16 ton, EURO6, R134a refrigerant, freezing</t>
  </si>
  <si>
    <t>62cc2ab5-003b-4931-b36e-5865100dd7a7</t>
  </si>
  <si>
    <t>transport, freight, lorry with refrigeration machine, cooling</t>
  </si>
  <si>
    <t>a8b337d2-72d7-4cec-a2ab-a105661011c1</t>
  </si>
  <si>
    <t>transport, freight, lorry with refrigeration machine, freezing</t>
  </si>
  <si>
    <t>c3c7fe25-71c0-4c57-bf6e-a7b781ee0a6c</t>
  </si>
  <si>
    <t>transport, freight, lorry, unspecified</t>
  </si>
  <si>
    <t>cfbce515-3f54-4411-ad9d-3d26b7faa15a</t>
  </si>
  <si>
    <t>transport, freight, sea, bulk carrier for dry goods</t>
  </si>
  <si>
    <t>eeb68c18-502b-4117-a033-a5daf24322fc</t>
  </si>
  <si>
    <t>5012:Sea and coastal freight water transport</t>
  </si>
  <si>
    <t>transport, freight, sea, container ship</t>
  </si>
  <si>
    <t>2741cea8-327f-4e0f-9401-b10858dc68f8</t>
  </si>
  <si>
    <t>transport, freight, sea, container ship with reefer, cooling</t>
  </si>
  <si>
    <t>01a057ac-2e84-43d3-8017-1af3a47b84c1</t>
  </si>
  <si>
    <t>transport, freight, sea, container ship with reefer, freezing</t>
  </si>
  <si>
    <t>e74ec890-d78d-4e4d-9112-39fe0fffbc6a</t>
  </si>
  <si>
    <t>transport, freight, sea, ferry</t>
  </si>
  <si>
    <t>82befb8d-fc52-4942-b53f-67b526eb0c25</t>
  </si>
  <si>
    <t>transport, freight, sea, tanker for liquefied natural gas</t>
  </si>
  <si>
    <t>1d5922a8-995b-4a05-81e4-dc50591de58f</t>
  </si>
  <si>
    <t>transport, freight, sea, tanker for liquid goods other than petroleum and liquefied natural gas</t>
  </si>
  <si>
    <t>b41ed270-f3f0-4126-b391-8c9ac9076d3b</t>
  </si>
  <si>
    <t>transport, freight, sea, tanker for petroleum</t>
  </si>
  <si>
    <t>774bc814-70cf-4389-8bf8-e6435174c72e</t>
  </si>
  <si>
    <t>transport, freight, train with reefer, cooling</t>
  </si>
  <si>
    <t>10f62b64-a635-40b7-841b-6e284601ae6d</t>
  </si>
  <si>
    <t>transport, freight, train with reefer, freezing</t>
  </si>
  <si>
    <t>7566f905-29c9-45d6-b2ff-65980f38e3a0</t>
  </si>
  <si>
    <t>transport, helicopter</t>
  </si>
  <si>
    <t>c784e421-2f79-47e4-8b6d-2c29fa41aad0</t>
  </si>
  <si>
    <t>transport, helicopter, LTO cycle</t>
  </si>
  <si>
    <t>cc7e810b-79d2-4c9c-96e6-60a3c739952c</t>
  </si>
  <si>
    <t>transport, passenger aircraft, long haul</t>
  </si>
  <si>
    <t>bc5bb983-c18d-4c7c-9035-850b88974d59</t>
  </si>
  <si>
    <t>p*km</t>
  </si>
  <si>
    <t>Units of person transport</t>
  </si>
  <si>
    <t>Person transport</t>
  </si>
  <si>
    <t>transport, passenger aircraft, medium haul</t>
  </si>
  <si>
    <t>923a8462-8631-4096-bf70-1aa37f90341b</t>
  </si>
  <si>
    <t>transport, passenger aircraft, short haul</t>
  </si>
  <si>
    <t>8e8b442a-da4e-42e1-9b6c-bd83619f8cb0</t>
  </si>
  <si>
    <t>transport, passenger aircraft, unspecified</t>
  </si>
  <si>
    <t>9e63b5ec-1147-4a34-84fd-697203242984</t>
  </si>
  <si>
    <t>transport, passenger aircraft, very short haul</t>
  </si>
  <si>
    <t>24423cba-455e-4dd1-a473-65f0e667397c</t>
  </si>
  <si>
    <t>transport, passenger car</t>
  </si>
  <si>
    <t>648bdb63-6ff5-45e5-bcb4-411296a22c3d</t>
  </si>
  <si>
    <t>transport, passenger car with internal combustion engine</t>
  </si>
  <si>
    <t>c7f4de9b-f58b-4189-976e-51586da634df</t>
  </si>
  <si>
    <t>transport, passenger car, electric</t>
  </si>
  <si>
    <t>6fcb39b4-3030-47b1-872e-a84c23dca79b</t>
  </si>
  <si>
    <t>4921:Urban and suburban passenger land transport</t>
  </si>
  <si>
    <t>transport, passenger car, EURO 3</t>
  </si>
  <si>
    <t>f49bd7fe-fef7-4d80-8f28-2ead540835b9</t>
  </si>
  <si>
    <t>transport, passenger car, EURO 4</t>
  </si>
  <si>
    <t>7d4a6b92-6675-429e-9f3f-b184973577f5</t>
  </si>
  <si>
    <t>transport, passenger car, EURO 5</t>
  </si>
  <si>
    <t>85e9e1e5-9aaa-48e7-ab3b-7597358317e8</t>
  </si>
  <si>
    <t>transport, passenger car, large size, diesel, EURO 3</t>
  </si>
  <si>
    <t>a34be1fd-b392-4901-9602-f7d25e46426d</t>
  </si>
  <si>
    <t>transport, passenger car, large size, diesel, EURO 4</t>
  </si>
  <si>
    <t>6bcb7d07-3c26-45c4-a87a-ead2ac75a66a</t>
  </si>
  <si>
    <t>transport, passenger car, large size, diesel, EURO 5</t>
  </si>
  <si>
    <t>8d950031-fee3-4f3c-9bc1-889f6be31ea9</t>
  </si>
  <si>
    <t>transport, passenger car, large size, natural gas, EURO 3</t>
  </si>
  <si>
    <t>1f4388f9-8a79-452d-8364-802a5bc5f548</t>
  </si>
  <si>
    <t>transport, passenger car, large size, natural gas, EURO 4</t>
  </si>
  <si>
    <t>095528f2-b554-4cfb-9dc8-764b50bcbd7b</t>
  </si>
  <si>
    <t>transport, passenger car, large size, natural gas, EURO 5</t>
  </si>
  <si>
    <t>7e02ffad-fa75-41ed-94f1-3d9c6f7e91bd</t>
  </si>
  <si>
    <t>transport, passenger car, large size, petrol, EURO 3</t>
  </si>
  <si>
    <t>4309fd1b-7875-491c-b158-65d8f5e2c663</t>
  </si>
  <si>
    <t>transport, passenger car, large size, petrol, EURO 4</t>
  </si>
  <si>
    <t>3f225a75-4661-454e-9671-1b3e893ba72d</t>
  </si>
  <si>
    <t>transport, passenger car, large size, petrol, EURO 5</t>
  </si>
  <si>
    <t>58f087c9-c348-4c55-bdc4-9805b5a0239a</t>
  </si>
  <si>
    <t>transport, passenger car, medium size, diesel, EURO 3</t>
  </si>
  <si>
    <t>ed65d3d9-349b-4e2c-870c-381209bc1484</t>
  </si>
  <si>
    <t>transport, passenger car, medium size, diesel, EURO 4</t>
  </si>
  <si>
    <t>1305164c-678e-426b-95ff-b41e03e68aac</t>
  </si>
  <si>
    <t>transport, passenger car, medium size, diesel, EURO 5</t>
  </si>
  <si>
    <t>85a9dd8c-769e-4528-9a1a-105ab3269262</t>
  </si>
  <si>
    <t>transport, passenger car, medium size, liquefied petroleum gas, EURO 5</t>
  </si>
  <si>
    <t>d710f3b0-f618-4627-83ed-bc53b82d26fc</t>
  </si>
  <si>
    <t>transport, passenger car, medium size, natural gas, EURO 3</t>
  </si>
  <si>
    <t>ef9d859f-c740-4c1f-8f76-d4faddda1f9f</t>
  </si>
  <si>
    <t>transport, passenger car, medium size, natural gas, EURO 4</t>
  </si>
  <si>
    <t>692784c6-00e8-4309-971d-3fd8441120f1</t>
  </si>
  <si>
    <t>transport, passenger car, medium size, natural gas, EURO 5</t>
  </si>
  <si>
    <t>9f2d5d73-1014-49ec-87ee-c6a6ed86b3d4</t>
  </si>
  <si>
    <t>transport, passenger car, medium size, petrol, EURO 3</t>
  </si>
  <si>
    <t>3bf68190-17bd-4506-84da-3ef2bcb1b624</t>
  </si>
  <si>
    <t>transport, passenger car, medium size, petrol, EURO 4</t>
  </si>
  <si>
    <t>bf2ab99f-4704-4e62-958d-ec8efd2e1c1f</t>
  </si>
  <si>
    <t>transport, passenger car, medium size, petrol, EURO 5</t>
  </si>
  <si>
    <t>e110266e-a20e-41ae-a5f6-7dbcf0935abd</t>
  </si>
  <si>
    <t>transport, passenger car, small size, diesel, EURO 3</t>
  </si>
  <si>
    <t>65e289a5-e378-41e7-9a41-bd51db029439</t>
  </si>
  <si>
    <t>transport, passenger car, small size, diesel, EURO 4</t>
  </si>
  <si>
    <t>e095e692-5ebc-4bc5-89bc-8379bbc181f8</t>
  </si>
  <si>
    <t>transport, passenger car, small size, diesel, EURO 5</t>
  </si>
  <si>
    <t>e6f8dc95-a570-4a09-91cf-47c046e669e9</t>
  </si>
  <si>
    <t>transport, passenger car, small size, natural gas, EURO 3</t>
  </si>
  <si>
    <t>93d5bc32-a832-4ac1-960a-6705cdfaddc2</t>
  </si>
  <si>
    <t>transport, passenger car, small size, natural gas, EURO 4</t>
  </si>
  <si>
    <t>8f99cbf5-83d9-4989-aaa6-65bcedd82df1</t>
  </si>
  <si>
    <t>transport, passenger car, small size, natural gas, EURO 5</t>
  </si>
  <si>
    <t>c91eabe2-800b-48a3-9bc3-c46bbcfbdd5f</t>
  </si>
  <si>
    <t>transport, passenger car, small size, petrol, EURO 3</t>
  </si>
  <si>
    <t>2496b794-9414-40bf-8545-5b84925b2f5f</t>
  </si>
  <si>
    <t>transport, passenger car, small size, petrol, EURO 4</t>
  </si>
  <si>
    <t>54397bee-f5a8-4164-a43e-5dff00da3b10</t>
  </si>
  <si>
    <t>transport, passenger car, small size, petrol, EURO 5</t>
  </si>
  <si>
    <t>ab08966c-085c-4cdf-9c2b-c137eee358c0</t>
  </si>
  <si>
    <t>transport, passenger coach</t>
  </si>
  <si>
    <t>36a8a484-d7c0-4bb3-a7c3-073bf3be3185</t>
  </si>
  <si>
    <t>transport, passenger train</t>
  </si>
  <si>
    <t>5d4272ad-9823-4d20-981a-d57f81cef653</t>
  </si>
  <si>
    <t>4911:Passenger rail transport, interurban</t>
  </si>
  <si>
    <t>transport, passenger, bicycle</t>
  </si>
  <si>
    <t>0cb846bf-bd46-4d1f-bdbd-c1f82e2b0688</t>
  </si>
  <si>
    <t>transport, passenger, electric bicycle</t>
  </si>
  <si>
    <t>e4072947-af96-4eb9-8fb6-2e5aa085d2a8</t>
  </si>
  <si>
    <t>transport, passenger, electric bicycle, electricity from renewable energy products</t>
  </si>
  <si>
    <t>63c4c66f-3371-41b6-b6b8-70dfa92d5c1d</t>
  </si>
  <si>
    <t>transport, passenger, electric scooter</t>
  </si>
  <si>
    <t>c32e8200-1800-4dd7-87ba-09dfabb64e3d</t>
  </si>
  <si>
    <t>transport, passenger, motor scooter</t>
  </si>
  <si>
    <t>c7bd9b85-63d3-481e-b51b-00435cbd54e8</t>
  </si>
  <si>
    <t>transport, pipeline, long distance, natural gas</t>
  </si>
  <si>
    <t>6e57739e-8655-4d87-8324-11ed616e3048</t>
  </si>
  <si>
    <t>4930:Transport via pipeline</t>
  </si>
  <si>
    <t>transport, pipeline, offshore, long distance, natural gas</t>
  </si>
  <si>
    <t>36dc50ef-017c-4d24-af51-f12ef802095e</t>
  </si>
  <si>
    <t>transport, pipeline, offshore, petroleum</t>
  </si>
  <si>
    <t>7e94d78f-75a1-4b47-8190-fd3ee6169731</t>
  </si>
  <si>
    <t>transport, pipeline, onshore, long distance, natural gas</t>
  </si>
  <si>
    <t>1f6c6d72-b328-4f8b-841b-5e0ecb494989</t>
  </si>
  <si>
    <t>transport, pipeline, onshore, petroleum</t>
  </si>
  <si>
    <t>659981bd-1a5f-4e8c-8208-6e0e7f935332</t>
  </si>
  <si>
    <t>transport, regular bus</t>
  </si>
  <si>
    <t>1363cd8b-ecb7-476c-a454-529acb788bb2</t>
  </si>
  <si>
    <t>transport, tractor and trailer, agricultural</t>
  </si>
  <si>
    <t>ba4b7781-39f2-465b-8d98-0bc1c4c82e61</t>
  </si>
  <si>
    <t>transport, tram</t>
  </si>
  <si>
    <t>45b74fc8-b5f3-4319-bcb1-76ba157b0ed4</t>
  </si>
  <si>
    <t>transport, trolleybus</t>
  </si>
  <si>
    <t>3a5e59f1-565d-4f30-bb16-c5f9be28f6d7</t>
  </si>
  <si>
    <t>trawler maintenance, steel</t>
  </si>
  <si>
    <t>42761d87-05d9-4877-b21e-001ecf0c747d</t>
  </si>
  <si>
    <t>trawler, steel</t>
  </si>
  <si>
    <t>a554cf7d-1ca9-479f-af21-14d11ca0f679</t>
  </si>
  <si>
    <t>tree seedling, for planting</t>
  </si>
  <si>
    <t>45de5067-49da-472e-8e49-cf79714646c0</t>
  </si>
  <si>
    <t>trellis system, wooden poles, soft wood, tar impregnated</t>
  </si>
  <si>
    <t>4bab1356-406d-4d1d-81d1-3e53e3bd505a</t>
  </si>
  <si>
    <t>triazine-compound, unspecified</t>
  </si>
  <si>
    <t>bab7524a-43df-40ff-ab5b-2a318758273d</t>
  </si>
  <si>
    <t>trichloroacetic acid</t>
  </si>
  <si>
    <t>7502366c-d1ac-46a9-9ae6-0f1b05fd6cb8</t>
  </si>
  <si>
    <t>trichloroborane</t>
  </si>
  <si>
    <t>2ed5aaa9-5c79-4693-b26b-b2532b82d7b7</t>
  </si>
  <si>
    <t>trichloroethylene</t>
  </si>
  <si>
    <t>e75cdc86-d8c5-4c8e-a7ca-7c48ebb764c0</t>
  </si>
  <si>
    <t>trichloromethane</t>
  </si>
  <si>
    <t>30766ef3-4fdb-4156-aacc-4824c216a0cd</t>
  </si>
  <si>
    <t>trichloropropane</t>
  </si>
  <si>
    <t>202081d5-a1a6-48a7-aec5-43fe4b6afa97</t>
  </si>
  <si>
    <t>triethanolamine</t>
  </si>
  <si>
    <t>b12e1f12-ad7f-42ca-b515-f5af34422656</t>
  </si>
  <si>
    <t>triethyl amine</t>
  </si>
  <si>
    <t>af6f0e39-5637-4468-9e83-850d772bd206</t>
  </si>
  <si>
    <t>triethylene glycol</t>
  </si>
  <si>
    <t>e53a275d-a2c3-40d4-8dc0-df01de6068c9</t>
  </si>
  <si>
    <t>trifluoroacetic acid</t>
  </si>
  <si>
    <t>5220eeec-91ed-43ee-99f0-3b29708705e2</t>
  </si>
  <si>
    <t>trifluoromethane</t>
  </si>
  <si>
    <t>28b3e3f2-6040-48bd-8558-9ff0d104b5e0</t>
  </si>
  <si>
    <t>trimesoyl chloride</t>
  </si>
  <si>
    <t>4c4abfc3-69f0-4b7c-ace0-2e9e720b6029</t>
  </si>
  <si>
    <t>trimethyl borate</t>
  </si>
  <si>
    <t>73ba2ae4-7316-43af-86f5-89675d660f40</t>
  </si>
  <si>
    <t>trimethylamine</t>
  </si>
  <si>
    <t>abb7adc8-c87d-4c4e-b91c-b23f88135a59</t>
  </si>
  <si>
    <t>triphenyl phosphate</t>
  </si>
  <si>
    <t>1e11ae72-917e-57e2-98e5-db021c65f2f3</t>
  </si>
  <si>
    <t>triple superphosphate</t>
  </si>
  <si>
    <t>8b637456-e860-5565-9052-47319e1ce3ae</t>
  </si>
  <si>
    <t>tris(2,4-ditert-butylphenyl) phosphite</t>
  </si>
  <si>
    <t>90860250-c429-51ab-8b72-3e32d0d672a2</t>
  </si>
  <si>
    <t>trisodium phosphate</t>
  </si>
  <si>
    <t>db7cf5d1-0418-566f-b7ff-02191643515a</t>
  </si>
  <si>
    <t>trout</t>
  </si>
  <si>
    <t>8349c9d1-7a60-46f6-98d8-ec0f48ae5310</t>
  </si>
  <si>
    <t>trout feed, 42% protein</t>
  </si>
  <si>
    <t>fc22c44f-f565-487a-a6ae-09b6e18a0e1c</t>
  </si>
  <si>
    <t>tube insulation factory</t>
  </si>
  <si>
    <t>e71e7473-edf6-41bc-b03d-e17d79234ed8</t>
  </si>
  <si>
    <t>tube insulation, elastomere</t>
  </si>
  <si>
    <t>a90c974c-4627-41c3-9a87-950444ea669d</t>
  </si>
  <si>
    <t>2219:Manufacture of other rubber products</t>
  </si>
  <si>
    <t>tubular particleboard</t>
  </si>
  <si>
    <t>5cee9505-17ca-55f9-9677-6edfbeb5edb4</t>
  </si>
  <si>
    <t>tungsten carbide powder</t>
  </si>
  <si>
    <t>3c859828-4123-49fc-b34a-7e9c5a285e39</t>
  </si>
  <si>
    <t>tungsten concentrate</t>
  </si>
  <si>
    <t>e83fddb2-9a6c-43a4-8ad1-43311d7d78b8</t>
  </si>
  <si>
    <t>turpentine</t>
  </si>
  <si>
    <t>43918f35-ec6f-4054-898b-c381aa071e93</t>
  </si>
  <si>
    <t>ultrafiltration module</t>
  </si>
  <si>
    <t>fa6301a4-5f34-493a-b1a0-0c989191b6a3</t>
  </si>
  <si>
    <t>ultraviolet lamp</t>
  </si>
  <si>
    <t>680ee615-a5e5-4404-a1d0-11618f02e440</t>
  </si>
  <si>
    <t>uranium conversion facility</t>
  </si>
  <si>
    <t>d8afdb35-66b5-4967-ad31-3c75984b852c</t>
  </si>
  <si>
    <t>uranium enrichment centrifuge facility</t>
  </si>
  <si>
    <t>b3d234e1-60ea-4136-af55-077fe4ec023e</t>
  </si>
  <si>
    <t>uranium enrichment diffusion facility</t>
  </si>
  <si>
    <t>75137e7d-0cdd-41a8-9a0d-8b926a27e5a5</t>
  </si>
  <si>
    <t>uranium hexafluoride</t>
  </si>
  <si>
    <t>dd0af955-5bc0-42fc-8ce1-5e697a1f2cd7</t>
  </si>
  <si>
    <t>uranium mill</t>
  </si>
  <si>
    <t>60e49368-8f1a-49a1-87bd-4e9cb932a8d3</t>
  </si>
  <si>
    <t>uranium ore, as U</t>
  </si>
  <si>
    <t>5664f63a-1998-4680-bf9d-608ca7360b2a</t>
  </si>
  <si>
    <t>uranium, enriched 3.0%, in fuel element for light water reactor</t>
  </si>
  <si>
    <t>3a941c40-94bc-402e-90f3-218ce67b6b81</t>
  </si>
  <si>
    <t>uranium, enriched 3.0%, per separative work unit</t>
  </si>
  <si>
    <t>85370dde-0a14-4c80-9025-035b3c44ac2f</t>
  </si>
  <si>
    <t>uranium, enriched 3.8%, in fuel element for light water reactor</t>
  </si>
  <si>
    <t>6b5638d8-0284-4a7f-b11b-d2fcce172896</t>
  </si>
  <si>
    <t>uranium, enriched 3.8%, per separative work unit</t>
  </si>
  <si>
    <t>d0123246-cb50-447f-8df1-74e1119a2114</t>
  </si>
  <si>
    <t>uranium, enriched 3.9%, in fuel element for light water reactor</t>
  </si>
  <si>
    <t>e4b9a2a1-b117-4367-a3ab-d742877fb740</t>
  </si>
  <si>
    <t>uranium, enriched 3.9%, per separative work unit</t>
  </si>
  <si>
    <t>9e2fbebe-7357-4057-b7c6-3c4d7cfa5285</t>
  </si>
  <si>
    <t>uranium, enriched 4%, in fuel element for light water reactor</t>
  </si>
  <si>
    <t>83fb3a46-38a1-4bda-a0b7-c5f9b3eefe19</t>
  </si>
  <si>
    <t>uranium, enriched 4.0%, per separative work unit</t>
  </si>
  <si>
    <t>5cb475d3-4cfa-432f-853b-c4b5254dc7e8</t>
  </si>
  <si>
    <t>uranium, enriched 4.2%, in fuel element for light water reactor</t>
  </si>
  <si>
    <t>2ca99875-6f3e-4958-8ed7-f6f1b80c97af</t>
  </si>
  <si>
    <t>uranium, enriched 4.2%, per separative work unit</t>
  </si>
  <si>
    <t>417c60d9-6bb9-4362-976c-4a70d25a46aa</t>
  </si>
  <si>
    <t>uranium, in yellowcake</t>
  </si>
  <si>
    <t>27d3a80f-62e5-4a81-a413-956987059fd9</t>
  </si>
  <si>
    <t>urea</t>
  </si>
  <si>
    <t>9e0c9c28-7d8f-4f18-a769-bff3a4c8c1e5</t>
  </si>
  <si>
    <t>urea ammonium nitrate mix</t>
  </si>
  <si>
    <t>8ce2c556-d2fa-54e4-8fc5-994fffe18c5b</t>
  </si>
  <si>
    <t>urea formaldehyde foam slab, hard</t>
  </si>
  <si>
    <t>b47dd9da-4a86-4962-aa65-b181cc94a32b</t>
  </si>
  <si>
    <t>urea formaldehyde foam, in situ foaming</t>
  </si>
  <si>
    <t>41428893-cbd6-4013-9066-a9347b976cb2</t>
  </si>
  <si>
    <t>urea formaldehyde resin</t>
  </si>
  <si>
    <t>064de167-b110-483c-8c4f-c9307417b2d1</t>
  </si>
  <si>
    <t>used beverage cans</t>
  </si>
  <si>
    <t>f4eed19a-f927-5017-a69d-fe505180bb7d</t>
  </si>
  <si>
    <t>used nitrate salts, for solar power application</t>
  </si>
  <si>
    <t>250f290a-d874-47b1-a81f-12e52a08f6bf</t>
  </si>
  <si>
    <t>used toner module, laser printer, black/white</t>
  </si>
  <si>
    <t>40e42c9a-a0cf-4ad1-ad58-72f4dcae58ea</t>
  </si>
  <si>
    <t>used toner module, laser printer, colour</t>
  </si>
  <si>
    <t>94b20f80-ad10-4d87-9077-bfaebfd9e512</t>
  </si>
  <si>
    <t>used vegetable cooking oil</t>
  </si>
  <si>
    <t>0b404a7a-c140-4b1b-a555-a7082a6012ef</t>
  </si>
  <si>
    <t>used vegetable cooking oil, purified</t>
  </si>
  <si>
    <t>e303fb73-b0e1-41ae-bddc-5e0e444eb3fb</t>
  </si>
  <si>
    <t>vacuum cleaner</t>
  </si>
  <si>
    <t>23c2e49a-1b1e-494a-a96a-945fdac9fa3b</t>
  </si>
  <si>
    <t>vanilla</t>
  </si>
  <si>
    <t>43fdfa7d-a9ad-4919-8368-e82a9142101b</t>
  </si>
  <si>
    <t>vanilla seedling, for planting</t>
  </si>
  <si>
    <t>c3da8588-3fab-4ec7-a850-330ed9825e2b</t>
  </si>
  <si>
    <t>vegetable oil esterification facility</t>
  </si>
  <si>
    <t>30061140-566d-45e5-834f-1c6a344dd315</t>
  </si>
  <si>
    <t>vegetable oil refinery</t>
  </si>
  <si>
    <t>ed20fcbb-1f89-4be6-815f-334830d5f368</t>
  </si>
  <si>
    <t>vegetable oil, refined</t>
  </si>
  <si>
    <t>d2184fe3-da8e-40d0-a15e-f35bc3624d26</t>
  </si>
  <si>
    <t>ventilation components factory</t>
  </si>
  <si>
    <t>c3691e51-97cb-49fe-b846-c18a204027e8</t>
  </si>
  <si>
    <t>ventilation control and wiring, central unit</t>
  </si>
  <si>
    <t>615086cf-7a30-4b14-a753-3cf8c6cfcfb4</t>
  </si>
  <si>
    <t>2651:Manufacture of measuring, testing, navigating and control equipment</t>
  </si>
  <si>
    <t>ventilation control and wiring, decentralized unit</t>
  </si>
  <si>
    <t>f869849f-8c20-4097-9819-c8f2e4515955</t>
  </si>
  <si>
    <t>ventilation duct, connection piece, steel, 100x50 mm</t>
  </si>
  <si>
    <t>b8f3120f-0268-4802-a324-5cfa4b148f50</t>
  </si>
  <si>
    <t>ventilation duct, elbow 90°, steel, 100x50 mm</t>
  </si>
  <si>
    <t>0d9ee50e-e44e-41d9-b0d4-748ce8b6def0</t>
  </si>
  <si>
    <t>ventilation duct, steel, 100x50 mm</t>
  </si>
  <si>
    <t>ccee034c-8b6c-40d6-ac36-4c70c4623efa</t>
  </si>
  <si>
    <t>ventilation of dwellings, central, 1 x 720 m3/h</t>
  </si>
  <si>
    <t>10789d56-1623-4564-81ec-e020e1651b3f</t>
  </si>
  <si>
    <t>ventilation of dwellings, decentralized, 6 x 120 m3/h</t>
  </si>
  <si>
    <t>60c21de1-a8e8-4f50-8949-78759bf96c62</t>
  </si>
  <si>
    <t>ventilation system, central, 1 x 720 m3/h, polyethylene ducts, with earth tube heat exchanger</t>
  </si>
  <si>
    <t>7afb71aa-116b-48d0-9f41-64ef1c95c831</t>
  </si>
  <si>
    <t>ventilation system, central, 1 x 720 m3/h, steel ducts, with earth tube heat exchanger</t>
  </si>
  <si>
    <t>0f2ea065-f26c-4356-a261-39ef2799aea4</t>
  </si>
  <si>
    <t>ventilation system, decentralized, 6 x 120 m3/h, polyethylene ducts</t>
  </si>
  <si>
    <t>2b1da5c4-4ee4-4054-b66b-123aa9ca1ddd</t>
  </si>
  <si>
    <t>ventilation system, decentralized, 6 x 120 m3/h, polyethylene ducts, with earth tube heat exchanger</t>
  </si>
  <si>
    <t>701f1faa-4ea9-4c01-afbb-c55dafe92762</t>
  </si>
  <si>
    <t>ventilation system, decentralized, 6 x 120 m3/h, steel ducts</t>
  </si>
  <si>
    <t>0bcd7c30-ccae-4dbf-a42c-ea26d982bd07</t>
  </si>
  <si>
    <t>ventilation system, decentralized, 6 x 120 m3/h, steel ducts, with earth tube heat exchanger</t>
  </si>
  <si>
    <t>b05f505a-6d13-43a7-a38c-5fc1ce792799</t>
  </si>
  <si>
    <t>venting of argon, crude, liquid</t>
  </si>
  <si>
    <t>ccde15d5-179a-4bf2-a323-17fb1e056261</t>
  </si>
  <si>
    <t>venting of nitrogen, liquid</t>
  </si>
  <si>
    <t>1adfc43f-187a-4153-996c-aced5301536a</t>
  </si>
  <si>
    <t>vermiculite</t>
  </si>
  <si>
    <t>4aa9233e-4b67-4f68-8e65-ec273fd1d052</t>
  </si>
  <si>
    <t>vinasse, from fermentation of sugar beet</t>
  </si>
  <si>
    <t>16f96475-57f7-4c90-b96a-e0a81f9bfdbe</t>
  </si>
  <si>
    <t>vinasse, from fermentation of sugar beet molasses</t>
  </si>
  <si>
    <t>7a7db01b-126b-42fa-b3cc-e2ed48081eca</t>
  </si>
  <si>
    <t>vinasse, from fermentation of sugarcane</t>
  </si>
  <si>
    <t>d86eb16e-0ecd-4234-9f4a-deede7b21d92</t>
  </si>
  <si>
    <t>vinasse, from fermentation of sweet sorghum</t>
  </si>
  <si>
    <t>443828cb-ec4e-4e12-9840-ee2adfedca11</t>
  </si>
  <si>
    <t>vinyl acetate</t>
  </si>
  <si>
    <t>dd65feb0-363f-4785-9084-9083e570451f</t>
  </si>
  <si>
    <t>vinyl carbonate</t>
  </si>
  <si>
    <t>bbd262fd-3c4a-474a-afbb-f77c84c67c10</t>
  </si>
  <si>
    <t>vinyl chloride</t>
  </si>
  <si>
    <t>e12623c0-bab9-4ed6-81f6-d0dbb086040a</t>
  </si>
  <si>
    <t>vinyl fluoride</t>
  </si>
  <si>
    <t>9298c81d-93e6-415e-9405-2872fc17ae0c</t>
  </si>
  <si>
    <t>wafer factory</t>
  </si>
  <si>
    <t>2e1d1b7d-eefc-4713-b9e5-0db3ed345ecd</t>
  </si>
  <si>
    <t>wafer, fabricated, for integrated circuit</t>
  </si>
  <si>
    <t>0d0598f0-f116-4d1b-9427-29fe7a0e7928</t>
  </si>
  <si>
    <t>washing machine</t>
  </si>
  <si>
    <t>8d220649-94e4-47e9-8e86-50e7e03c06dc</t>
  </si>
  <si>
    <t>washing, drying and finishing laundry</t>
  </si>
  <si>
    <t>98ab81fc-5bbf-40ba-ade0-e7ceae4ca463</t>
  </si>
  <si>
    <t>9601:Washing and (dry-) cleaning of textile and fur products</t>
  </si>
  <si>
    <t>waste collection lorry, 21 metric ton</t>
  </si>
  <si>
    <t>c5becf71-fc41-4921-9a9e-b6b700e0408b</t>
  </si>
  <si>
    <t>waste newspaper</t>
  </si>
  <si>
    <t>d31cf222-d287-4d63-8c04-f2f21f45dd45</t>
  </si>
  <si>
    <t>waste packaging glass, unsorted</t>
  </si>
  <si>
    <t>2d68cff7-c436-4c1b-8253-4260fd7330a8</t>
  </si>
  <si>
    <t>waste packaging paper</t>
  </si>
  <si>
    <t>8d7c013a-5aca-44d7-8fc4-193844d2953a</t>
  </si>
  <si>
    <t>waste paper sorting facility</t>
  </si>
  <si>
    <t>1cf35746-90ec-4584-9226-c5b979d90cda</t>
  </si>
  <si>
    <t>waste paper, sorted</t>
  </si>
  <si>
    <t>0baac448-32a1-4b9f-afec-69a9b9b203ac</t>
  </si>
  <si>
    <t>waste paper, unsorted</t>
  </si>
  <si>
    <t>f70c1877-6db5-4024-b260-69f50314b40c</t>
  </si>
  <si>
    <t>waste paperboard, sorted</t>
  </si>
  <si>
    <t>fd27af60-7b68-4549-bf35-022eacd74f93</t>
  </si>
  <si>
    <t>waste paperboard, unsorted</t>
  </si>
  <si>
    <t>ad38bbd2-e41c-4509-9dc3-c5c708a36606</t>
  </si>
  <si>
    <t>waste plastic, consumer electronics, sorted</t>
  </si>
  <si>
    <t>2cb0d6c6-349c-46fc-b31f-a036c847a267</t>
  </si>
  <si>
    <t>waste plastic, consumer electronics, unsorted</t>
  </si>
  <si>
    <t>ce165995-6d94-44a8-ac3b-d5860c2c7fdb</t>
  </si>
  <si>
    <t>waste polyethylene terephthalate, for recycling, sorted</t>
  </si>
  <si>
    <t>b3184435-d00c-5713-823d-5ff6741bfbbc</t>
  </si>
  <si>
    <t>waste polyethylene terephthalate, for recycling, unsorted</t>
  </si>
  <si>
    <t>d13ae29b-7d6a-55d2-8380-86343a80fed8</t>
  </si>
  <si>
    <t>waste polyethylene, for recycling, sorted</t>
  </si>
  <si>
    <t>ed25f589-c6c8-56a7-a518-b01dd3e8a453</t>
  </si>
  <si>
    <t>waste polyethylene, for recycling, unsorted</t>
  </si>
  <si>
    <t>101e55f2-2da0-528b-96fd-21687e242c1c</t>
  </si>
  <si>
    <t>waste preparation facility</t>
  </si>
  <si>
    <t>91ecda95-607d-54b4-ac43-91b892561678</t>
  </si>
  <si>
    <t>waste wood, post-consumer</t>
  </si>
  <si>
    <t>451550a8-d9e6-4396-9f9a-97e752111228</t>
  </si>
  <si>
    <t>wastewater treatment facility, capacity 1.1E10l/year</t>
  </si>
  <si>
    <t>e75d41fd-587d-471c-a7c4-04fe1e4c8851</t>
  </si>
  <si>
    <t>wastewater treatment facility, capacity 1.6E8l/year</t>
  </si>
  <si>
    <t>0ec7f55d-8bba-4887-a3e5-43100357f9af</t>
  </si>
  <si>
    <t>wastewater treatment facility, capacity 1E9l/year</t>
  </si>
  <si>
    <t>a08f56a6-8a65-42c0-94a0-73704de2fdb2</t>
  </si>
  <si>
    <t>wastewater treatment facility, capacity 4.7E10l/year</t>
  </si>
  <si>
    <t>9054b190-0e18-4e22-8323-e92a236acf62</t>
  </si>
  <si>
    <t>wastewater treatment facility, capacity 5E9l/year</t>
  </si>
  <si>
    <t>0d978369-c529-46f1-97b8-bdb539bf31ba</t>
  </si>
  <si>
    <t>water pump operation, diesel</t>
  </si>
  <si>
    <t>36d054aa-1fc1-46a5-9267-1575039b651b</t>
  </si>
  <si>
    <t>water pump operation, electric</t>
  </si>
  <si>
    <t>b0b26bf6-ed2c-4844-a0be-aa7cef435585</t>
  </si>
  <si>
    <t>water pump, 22kW</t>
  </si>
  <si>
    <t>ec483d90-1745-483a-ad01-d6ac63952615</t>
  </si>
  <si>
    <t>water storage</t>
  </si>
  <si>
    <t>29df5117-7c11-4755-845d-be70985cc5d9</t>
  </si>
  <si>
    <t>water supply network</t>
  </si>
  <si>
    <t>e90873b8-b258-4352-a8c5-0b0274604d60</t>
  </si>
  <si>
    <t>water works, capacity 1.1E10l/year</t>
  </si>
  <si>
    <t>18eadf40-089b-441a-b868-5d07e9449992</t>
  </si>
  <si>
    <t>water works, capacity 6.23E10l/year</t>
  </si>
  <si>
    <t>e9305292-a00b-4e9c-86a3-6117bce25751</t>
  </si>
  <si>
    <t>water, completely softened</t>
  </si>
  <si>
    <t>cfc90fee-20f0-451a-8e50-a5bd859d3feb</t>
  </si>
  <si>
    <t>water, decarbonised</t>
  </si>
  <si>
    <t>6ab2abde-801d-45a3-8ea3-455d0f01c3f4</t>
  </si>
  <si>
    <t>water, deionised</t>
  </si>
  <si>
    <t>360e2eb0-f81c-4e4b-ba6b-c7a690f31275</t>
  </si>
  <si>
    <t>water, harvested from rainwater</t>
  </si>
  <si>
    <t>dee1a118-12e5-47eb-8daa-f4cf683e4a5a</t>
  </si>
  <si>
    <t>water, ultrapure</t>
  </si>
  <si>
    <t>2f7ff1bc-5e10-4276-b365-af34a3654eb8</t>
  </si>
  <si>
    <t>wax, lost-wax casting</t>
  </si>
  <si>
    <t>4eeec3b3-48e8-410d-be38-63785564065e</t>
  </si>
  <si>
    <t>weaned calves, live weight</t>
  </si>
  <si>
    <t>5c5d0acc-fe59-4c21-ab51-6690a4bbae8a</t>
  </si>
  <si>
    <t>weaned heifers, live weight</t>
  </si>
  <si>
    <t>4a62806e-17d6-473e-95fc-394ac760261e</t>
  </si>
  <si>
    <t>weaving, synthetic fibre</t>
  </si>
  <si>
    <t>90b3a377-bf52-4200-b950-6b99cf3e384f</t>
  </si>
  <si>
    <t>weed control, by brush cutter, pasture</t>
  </si>
  <si>
    <t>5f281e36-7bea-464e-b77c-83befc5332ae</t>
  </si>
  <si>
    <t>welding, arc, aluminium</t>
  </si>
  <si>
    <t>9087eb5f-4662-4cb1-a524-f5cb80b1238a</t>
  </si>
  <si>
    <t>welding, arc, steel</t>
  </si>
  <si>
    <t>06194d2b-4c2b-44de-9a29-1a364616a1d2</t>
  </si>
  <si>
    <t>welding, gas, steel</t>
  </si>
  <si>
    <t>ee8d31fc-f67f-43b2-910d-172880730b28</t>
  </si>
  <si>
    <t>wheat bran</t>
  </si>
  <si>
    <t>eebb0924-cf1b-43a6-bdd4-c1a322ace5a0</t>
  </si>
  <si>
    <t>wheat flour</t>
  </si>
  <si>
    <t>c7b1f264-abe2-47c4-8fcf-db3229228485</t>
  </si>
  <si>
    <t>wheat flour mix</t>
  </si>
  <si>
    <t>b73c05e7-72a9-40af-b33e-771c6964f4ce</t>
  </si>
  <si>
    <t>wheat grain</t>
  </si>
  <si>
    <t>0201ee86-f71b-4457-8fe8-79f3ed720b07</t>
  </si>
  <si>
    <t>wheat grain, feed</t>
  </si>
  <si>
    <t>f34f8cab-8343-4e5b-89df-be2deada9b1f</t>
  </si>
  <si>
    <t>wheat grain, feed, organic</t>
  </si>
  <si>
    <t>52168d4e-8da9-4087-8c12-471f8fe3e2e3</t>
  </si>
  <si>
    <t>wheat grain, feed, Swiss integrated production</t>
  </si>
  <si>
    <t>dbd67036-571b-4af0-8143-c4de418df448</t>
  </si>
  <si>
    <t>wheat grain, organic</t>
  </si>
  <si>
    <t>f459d1d1-8aa9-42d2-8aba-6719daa39575</t>
  </si>
  <si>
    <t>wheat grain, Swiss integrated production</t>
  </si>
  <si>
    <t>599b9f57-a073-44f7-b840-19608e81783a</t>
  </si>
  <si>
    <t>wheat seed, for sowing</t>
  </si>
  <si>
    <t>b63145db-c34b-48c1-a0e8-85873b3b313c</t>
  </si>
  <si>
    <t>wheat seed, organic, for sowing</t>
  </si>
  <si>
    <t>1cfa7874-cef3-4ea2-9f13-b1b0c8dacc45</t>
  </si>
  <si>
    <t>wheat seed, Swiss integrated production, for sowing</t>
  </si>
  <si>
    <t>d0694438-aa88-45bc-9ddf-190edb11692c</t>
  </si>
  <si>
    <t>whey</t>
  </si>
  <si>
    <t>714ddb02-26ff-4e89-9648-a83aba628628</t>
  </si>
  <si>
    <t>white asparagus</t>
  </si>
  <si>
    <t>1adeb48a-d94d-47f9-9bf2-583ba5c24a91</t>
  </si>
  <si>
    <t>white lined chipboard carton</t>
  </si>
  <si>
    <t>b19e917c-7e52-4444-ada8-fea8fcfb1790</t>
  </si>
  <si>
    <t>white spirit</t>
  </si>
  <si>
    <t>5f855941-74ab-4d1d-9128-c52f680dc86e</t>
  </si>
  <si>
    <t>willow stem cutting, for planting</t>
  </si>
  <si>
    <t>d773e4cf-c13f-4ebb-966e-ea14b712ff62</t>
  </si>
  <si>
    <t>wind power plant, 2MW, offshore, fixed parts</t>
  </si>
  <si>
    <t>abc562d5-8dd7-4fad-81fa-64174ef0a16a</t>
  </si>
  <si>
    <t>wind power plant, 2MW, offshore, moving parts</t>
  </si>
  <si>
    <t>c6284fb0-4c59-4e1d-8dda-8993cd3356aa</t>
  </si>
  <si>
    <t>wind power plant, 800kW, fixed parts</t>
  </si>
  <si>
    <t>a7992562-3c34-4232-b599-315f568651bb</t>
  </si>
  <si>
    <t>wind power plant, 800kW, moving parts</t>
  </si>
  <si>
    <t>70491f84-cd91-4f4e-bf36-3938980cbf0d</t>
  </si>
  <si>
    <t>wind turbine network connection, 2MW, onshore</t>
  </si>
  <si>
    <t>d2392ff7-520d-42d6-8444-d792ffea296e</t>
  </si>
  <si>
    <t>wind turbine network connection, 4.5MW, onshore</t>
  </si>
  <si>
    <t>914f0d09-6e8c-409d-85aa-e0636247650a</t>
  </si>
  <si>
    <t>wind turbine network connection, 750kW, onshore</t>
  </si>
  <si>
    <t>5bcf4edb-a2c8-4a7c-bb10-db9c4e47f308</t>
  </si>
  <si>
    <t>wind turbine, 2.3MW, onshore</t>
  </si>
  <si>
    <t>fdda1ac2-2b57-49a4-a1df-d6849cdf7b38</t>
  </si>
  <si>
    <t>wind turbine, 2MW, onshore</t>
  </si>
  <si>
    <t>1692f537-b2ad-4143-bea3-226fc2fe9cf5</t>
  </si>
  <si>
    <t>wind turbine, 4.5MW, onshore</t>
  </si>
  <si>
    <t>c780fd77-25cf-487f-a1a8-1004dc273cb3</t>
  </si>
  <si>
    <t>wind turbine, 750kW, onshore</t>
  </si>
  <si>
    <t>2d8be244-88a5-4470-a0b9-41f5d83876fe</t>
  </si>
  <si>
    <t>window frame, aluminium, U=1.6 W/m2K</t>
  </si>
  <si>
    <t>1b7f1f4d-3af5-479b-9fcc-6f5be96f9791</t>
  </si>
  <si>
    <t>window frame, poly vinyl chloride, U=1.6 W/m2K</t>
  </si>
  <si>
    <t>883d5a49-8277-4f45-bdfb-e960aeb7776d</t>
  </si>
  <si>
    <t>window frame, wood, U=1.5 W/m2K</t>
  </si>
  <si>
    <t>96601c52-3d6a-4f6d-a657-5c4cc8c16453</t>
  </si>
  <si>
    <t>window frame, wood-metal, U=1.6 W/m2K</t>
  </si>
  <si>
    <t>05170dff-9f59-4269-bf68-5a913d633654</t>
  </si>
  <si>
    <t>wire drawing, copper</t>
  </si>
  <si>
    <t>cdb7b939-f508-49ed-80f3-b39f6137fe1c</t>
  </si>
  <si>
    <t>wire drawing, steel</t>
  </si>
  <si>
    <t>444d81a0-13e0-41a4-8f63-e691b0133c04</t>
  </si>
  <si>
    <t>wood chipping, chipper, mobile, diesel, at forest road</t>
  </si>
  <si>
    <t>9465d984-75e8-44d3-bfb0-297d9be64100</t>
  </si>
  <si>
    <t>wood chipping, forwarder with terrain chipper, in forest</t>
  </si>
  <si>
    <t>cfaded1c-5fdd-46e0-9ccf-634da6d5d8ae</t>
  </si>
  <si>
    <t>wood chipping, industrial residual wood, stationary electric chipper</t>
  </si>
  <si>
    <t>86cf2137-cb67-4ab6-8041-8e767c0579f0</t>
  </si>
  <si>
    <t>wood chips and particles, willow</t>
  </si>
  <si>
    <t>49aa5ec0-e042-47ef-a95a-8aa6182d4c17</t>
  </si>
  <si>
    <t>0129:Growing of other perennial crops</t>
  </si>
  <si>
    <t>wood chips, dry, measured as dry mass</t>
  </si>
  <si>
    <t>d47a4435-3089-4263-af99-8611eed2698c</t>
  </si>
  <si>
    <t>wood chips, from post-consumer wood, measured as dry mass</t>
  </si>
  <si>
    <t>bbae1509-eb89-42e9-81d8-70e5cae46488</t>
  </si>
  <si>
    <t>wood chips, wet, measured as dry mass</t>
  </si>
  <si>
    <t>7fe99768-d571-4bc2-a272-7df585bd0d48</t>
  </si>
  <si>
    <t>wood cladding, softwood</t>
  </si>
  <si>
    <t>65473246-4906-4a91-838b-6ce5cc8a1a56</t>
  </si>
  <si>
    <t>wood pellet factory</t>
  </si>
  <si>
    <t>8c7badd9-b1c5-44ed-85c5-8da0aa5fd0aa</t>
  </si>
  <si>
    <t>wood pellet, measured as dry mass</t>
  </si>
  <si>
    <t>249c83b0-ff03-45aa-9a5c-f7a58d0ff6e6</t>
  </si>
  <si>
    <t>wood preservation facility, dipping/immersion tank</t>
  </si>
  <si>
    <t>587e34c8-1ee3-467a-803a-a82503cdfaa0</t>
  </si>
  <si>
    <t>wood preservation facility, flow coating equipment</t>
  </si>
  <si>
    <t>31efe33e-5a71-4bdb-89c9-415a9dca1f00</t>
  </si>
  <si>
    <t>wood preservation facility, hot/cold dipping tank</t>
  </si>
  <si>
    <t>df485397-82cf-40e8-9b57-5fdc9f2a4b2f</t>
  </si>
  <si>
    <t>wood preservation facility, oscillating pressure method</t>
  </si>
  <si>
    <t>4626118a-bfb3-422e-8121-31d431697495</t>
  </si>
  <si>
    <t>wood preservation facility, vacuum pressure method</t>
  </si>
  <si>
    <t>c5d9ab22-5526-45a5-ba27-ab3109ece33a</t>
  </si>
  <si>
    <t>wood preservation, dipping/immersion method, organic solvent-based, indoor use, dry</t>
  </si>
  <si>
    <t>aadc1f41-7e9e-4ce9-92fa-d164cfe1cb82</t>
  </si>
  <si>
    <t>wood preservation, dipping/immersion method, organic solvent-based, indoor use, occasionally wet</t>
  </si>
  <si>
    <t>2f229f70-bc4f-4952-b5ff-e0c24fb8f679</t>
  </si>
  <si>
    <t>wood preservation, dipping/immersion method, organic solvent-based, outdoor use, no ground contact</t>
  </si>
  <si>
    <t>2d249425-34a4-40c6-8557-5b1ed0ebbd7a</t>
  </si>
  <si>
    <t>wood preservation, dipping/immersion method, water-based, indoor use, dry</t>
  </si>
  <si>
    <t>01913de1-445d-4ab6-8685-bade8b2e26a1</t>
  </si>
  <si>
    <t>wood preservation, dipping/immersion method, water-based, indoor use, occasionally wet</t>
  </si>
  <si>
    <t>dcd438b9-92a5-41f6-932b-a4acb5d81636</t>
  </si>
  <si>
    <t>wood preservation, dipping/immersion method, water-based, outdoor use, no ground contact</t>
  </si>
  <si>
    <t>23cae926-1ba2-4dc4-a289-9679102deb4f</t>
  </si>
  <si>
    <t>wood preservation, hot/cold dipping, creosote, outdoor use, ground contact</t>
  </si>
  <si>
    <t>e908b21f-e465-4556-82ad-eb2091d8b06c</t>
  </si>
  <si>
    <t>wood preservation, oscillating pressure method, inorganic salt, containing Cr, outdoor use, ground contact</t>
  </si>
  <si>
    <t>58034453-f601-41eb-a962-414bb2f537da</t>
  </si>
  <si>
    <t>wood preservation, oscillating pressure method, organic salt, Cr-free, outdoor use, ground contact</t>
  </si>
  <si>
    <t>54e33b92-508d-4799-ac3e-ea1f9d3aa239</t>
  </si>
  <si>
    <t>wood preservation, pressure vessel, creosote, outdoor use, ground contact</t>
  </si>
  <si>
    <t>ee3532ef-e4ef-45a0-9d5d-6af45f4a0d3c</t>
  </si>
  <si>
    <t>wood preservation, spray tunnel/deluging, organic solvent-based, indoor use, dry</t>
  </si>
  <si>
    <t>de7b41e1-9d0d-4730-9140-5261558c1c6a</t>
  </si>
  <si>
    <t>wood preservation, spray tunnel/deluging, organic solvent-based, indoor use, occasionally wet</t>
  </si>
  <si>
    <t>25ecee03-2d1c-4043-b18e-522eaf827119</t>
  </si>
  <si>
    <t>wood preservation, spray tunnel/deluging, organic solvent-based, outdoor use, no ground contact</t>
  </si>
  <si>
    <t>aaa19cdb-3011-46eb-9f08-a340a730c7bc</t>
  </si>
  <si>
    <t>wood preservation, spray tunnel/deluging, water-based, indoor use, dry</t>
  </si>
  <si>
    <t>f4389ace-1613-4908-858e-f96224f365ed</t>
  </si>
  <si>
    <t>wood preservation, spray tunnel/deluging, water-based, indoor use, occasionally wet</t>
  </si>
  <si>
    <t>5a3b457c-8929-4c96-b32b-45ecaf88c8be</t>
  </si>
  <si>
    <t>wood preservation, spray tunnel/deluging, water-based, outdoor use, no ground contact</t>
  </si>
  <si>
    <t>fe44c27b-67ca-45aa-82c8-a7fea7e5b330</t>
  </si>
  <si>
    <t>wood preservation, vacuum pressure method, inorganic salt, containing Cr, outdoor use, ground contact</t>
  </si>
  <si>
    <t>1ff576ab-ba77-45cd-af5a-97708507cc75</t>
  </si>
  <si>
    <t>wood preservation, vacuum pressure method, organic salts, Cr-free, outdoor use, ground contact</t>
  </si>
  <si>
    <t>7e7e4aea-bbc2-4345-85c4-176e76d076ce</t>
  </si>
  <si>
    <t>wood preservative, creosote</t>
  </si>
  <si>
    <t>9b6cfa2f-72b0-4061-8ae6-6cd31eb3f6db</t>
  </si>
  <si>
    <t>wood preservative, inorganic salt, containing Cr</t>
  </si>
  <si>
    <t>992bde24-9095-4dd2-8e2f-e1bb5d24cdba</t>
  </si>
  <si>
    <t>wood preservative, organic salt, Cr-free</t>
  </si>
  <si>
    <t>9913e340-c35c-495b-b1c3-f01c457d7202</t>
  </si>
  <si>
    <t>wood preservative, organic, indoor use, dry</t>
  </si>
  <si>
    <t>d442c8f3-cfd9-42cb-a262-c70cf03926ad</t>
  </si>
  <si>
    <t>wood preservative, organic, indoor use, occasionally wet</t>
  </si>
  <si>
    <t>4cc2f043-d913-4739-9b6a-1ba83cf95bc8</t>
  </si>
  <si>
    <t>wood preservative, organic, outdoor use, no ground contact</t>
  </si>
  <si>
    <t>af8b18f9-21b2-4587-8d78-870b1da8d7db</t>
  </si>
  <si>
    <t>wood preservative, water-based, indoor use, dry</t>
  </si>
  <si>
    <t>fea6f5f1-8ed0-4a0e-ba56-fd9844bc8f79</t>
  </si>
  <si>
    <t>wood preservative, water-based, indoor use, occasionally wet</t>
  </si>
  <si>
    <t>90fc6e64-787f-45b5-b273-ddee72035dc8</t>
  </si>
  <si>
    <t>wood preservative, water-based, outdoor use, no ground contact</t>
  </si>
  <si>
    <t>c305b3e4-4d02-41db-b0a1-6318622e8b35</t>
  </si>
  <si>
    <t>wood wool</t>
  </si>
  <si>
    <t>6e4f1a58-c17a-4c76-aecc-3b5180d4f6b5</t>
  </si>
  <si>
    <t>wood wool boards, cement bonded</t>
  </si>
  <si>
    <t>7416da9e-af4d-4667-a842-3288ff9d04d4</t>
  </si>
  <si>
    <t>wooden board factory, cement bonded boards</t>
  </si>
  <si>
    <t>40f4e275-e29b-421e-a855-2b22c4082407</t>
  </si>
  <si>
    <t>wooden board factory, organic bonded boards</t>
  </si>
  <si>
    <t>2e415766-d8b8-4881-8dce-5fd4895ea3ed</t>
  </si>
  <si>
    <t>woven bamboo mat</t>
  </si>
  <si>
    <t>96525009-1ff7-4f3c-aeb9-44ffd9a063ed</t>
  </si>
  <si>
    <t>xenon, gaseous</t>
  </si>
  <si>
    <t>74b0096e-72bc-4b8c-a3c8-e7953ab5d87a</t>
  </si>
  <si>
    <t>xylene</t>
  </si>
  <si>
    <t>43c61790-cbeb-493e-8836-279a12ce3e43</t>
  </si>
  <si>
    <t>yarn, cotton</t>
  </si>
  <si>
    <t>6c8d3210-303e-4897-b8c0-2258cb6552f2</t>
  </si>
  <si>
    <t>yarn, jute</t>
  </si>
  <si>
    <t>10f4accf-542d-4baa-a43d-94e16780c1c3</t>
  </si>
  <si>
    <t>yarn, kenaf</t>
  </si>
  <si>
    <t>6f179f71-33ce-4845-842f-bc7ae0bc1efe</t>
  </si>
  <si>
    <t>yarn, silk</t>
  </si>
  <si>
    <t>ab52c803-9bcb-4066-9629-d7919d0eb609</t>
  </si>
  <si>
    <t>yogurt, from cow milk</t>
  </si>
  <si>
    <t>66b93168-8786-438a-9cf9-df6971f31dcc</t>
  </si>
  <si>
    <t>ytterbium oxide</t>
  </si>
  <si>
    <t>1ec16786-a836-54a3-896a-f41ea3a9f9ec</t>
  </si>
  <si>
    <t>yttrium oxide</t>
  </si>
  <si>
    <t>441d0f72-4a9d-5162-ac29-4c36e6d8b352</t>
  </si>
  <si>
    <t>zeolite, powder</t>
  </si>
  <si>
    <t>dc3a55d3-cdb0-43a5-8de3-c51f045757d0</t>
  </si>
  <si>
    <t>zeolite, slurry, without water, in 50% solution state</t>
  </si>
  <si>
    <t>136177d7-e19a-499f-9718-817685e5c452</t>
  </si>
  <si>
    <t>zinc</t>
  </si>
  <si>
    <t>dae5718b-c433-4bd9-9deb-eb3ffc2c889e</t>
  </si>
  <si>
    <t>zinc coat, coils</t>
  </si>
  <si>
    <t>ec750cf4-a48f-4f2d-b40f-0c2f2f4cb6a0</t>
  </si>
  <si>
    <t>zinc coat, pieces</t>
  </si>
  <si>
    <t>2b12ef70-6607-4c11-9e28-c247ec9b59ce</t>
  </si>
  <si>
    <t>zinc coat, pieces, adjustment per micro-m</t>
  </si>
  <si>
    <t>a6295e41-357a-461d-93ec-51363b31192b</t>
  </si>
  <si>
    <t>zinc concentrate</t>
  </si>
  <si>
    <t>b7e3b1ef-098a-48f1-b686-8baa82cff1d3</t>
  </si>
  <si>
    <t>zinc monosulfate</t>
  </si>
  <si>
    <t>9a7b015b-d091-4408-bbc1-6df501d550c9</t>
  </si>
  <si>
    <t>zinc oxide</t>
  </si>
  <si>
    <t>77ad34b3-7b53-412e-afbb-0536fb8d5c6a</t>
  </si>
  <si>
    <t>zinc scrap, post-consumer</t>
  </si>
  <si>
    <t>5d15df3e-fa54-45d5-85c6-5e3f5b89b20e</t>
  </si>
  <si>
    <t>zinc sulfide</t>
  </si>
  <si>
    <t>af8e83db-0635-4d51-b42d-f3059ba6f76c</t>
  </si>
  <si>
    <t>zircon, 50% zirconium</t>
  </si>
  <si>
    <t>99847cdd-f818-4da5-ad69-f79c3c7557a5</t>
  </si>
  <si>
    <t>zirconium oxide</t>
  </si>
  <si>
    <t>7f3ef328-91c4-4039-aabc-8e7ce0842806</t>
  </si>
  <si>
    <t>zucchini</t>
  </si>
  <si>
    <t>46df2ebd-bd0c-486b-abd3-cfe904195502</t>
  </si>
  <si>
    <t>treatment of aluminium scrap, new, at remelter | aluminium, wrought alloy | Cutoff, U</t>
  </si>
  <si>
    <t>treatment of aluminium scrap, post-consumer, prepared for recycling, at remelter | aluminium, wrought alloy | Cutoff, U</t>
  </si>
  <si>
    <t>treatment of aluminium scrap, post-consumer, prepared for recycling, at refiner | aluminium, cast alloy | Cutoff, U</t>
  </si>
  <si>
    <t>treatment of aluminium scrap, new, at refiner | aluminium, cast alloy | Cutoff, U</t>
  </si>
  <si>
    <t>potentiometer production, unspecified | potentiometer, unspecified | Cutoff, U</t>
  </si>
  <si>
    <t>inductor production, miniature radio frequency chip | inductor, miniature radio frequency chip | Cutoff, U</t>
  </si>
  <si>
    <t>aluminium ingot, primary, to aluminium, cast alloy market | aluminium, cast alloy | Cutoff, U</t>
  </si>
  <si>
    <t>aluminium ingot, primary, to aluminium, wrought alloy market | aluminium, wrought alloy | Cutoff, U</t>
  </si>
  <si>
    <t>inductor production, ring core choke type | inductor, ring core choke type | Cutoff, U</t>
  </si>
  <si>
    <t>km</t>
  </si>
  <si>
    <t>kWh</t>
  </si>
  <si>
    <t>waste plastic, mixture</t>
  </si>
  <si>
    <t>ocean</t>
  </si>
  <si>
    <t>Nitrogen oxides</t>
  </si>
  <si>
    <t>Sulfur oxides</t>
  </si>
  <si>
    <t>river</t>
  </si>
  <si>
    <t>lake</t>
  </si>
  <si>
    <t>ID</t>
  </si>
  <si>
    <t>REF_ID</t>
  </si>
  <si>
    <t>NAME</t>
  </si>
  <si>
    <t>DESCRIPTION</t>
  </si>
  <si>
    <t>VERSION</t>
  </si>
  <si>
    <t>LAST_CHANGE</t>
  </si>
  <si>
    <t>TAGS</t>
  </si>
  <si>
    <t>F_CATEGORY</t>
  </si>
  <si>
    <t>LONGITUDE</t>
  </si>
  <si>
    <t>LATITUDE</t>
  </si>
  <si>
    <t>CODE</t>
  </si>
  <si>
    <t>KMZ</t>
  </si>
  <si>
    <t>d88fc6ed-f21e-3464-935f-f76288b84103</t>
  </si>
  <si>
    <t>Switzerland</t>
  </si>
  <si>
    <t>org.apache.derby.impl.jdbc.EmbedClob@65b634a4</t>
  </si>
  <si>
    <t>CH</t>
  </si>
  <si>
    <t>org.apache.derby.impl.jdbc.EmbedBlob@1c7e3476</t>
  </si>
  <si>
    <t>5523c88d-d347-31b7-8c61-7f632b7efdb7</t>
  </si>
  <si>
    <t>Bulgaria</t>
  </si>
  <si>
    <t>org.apache.derby.impl.jdbc.EmbedClob@79043996</t>
  </si>
  <si>
    <t>BG</t>
  </si>
  <si>
    <t>org.apache.derby.impl.jdbc.EmbedBlob@56ec3165</t>
  </si>
  <si>
    <t>199b0c78-6f60-3e22-a35d-f6510d985d67</t>
  </si>
  <si>
    <t>Brazil, Goiás</t>
  </si>
  <si>
    <t>org.apache.derby.impl.jdbc.EmbedClob@2ab3c08</t>
  </si>
  <si>
    <t>BR-GO</t>
  </si>
  <si>
    <t>org.apache.derby.impl.jdbc.EmbedBlob@6f1b65af</t>
  </si>
  <si>
    <t>f1965a85-7bc2-35d2-afe2-2023aa5ab50d</t>
  </si>
  <si>
    <t>Rest-of-World</t>
  </si>
  <si>
    <t>org.apache.derby.impl.jdbc.EmbedClob@378b2953</t>
  </si>
  <si>
    <t>RoW</t>
  </si>
  <si>
    <t>1fdc0f89-3412-3e55-b0d2-811821b84d3b</t>
  </si>
  <si>
    <t>Thailand</t>
  </si>
  <si>
    <t>org.apache.derby.impl.jdbc.EmbedClob@db51de</t>
  </si>
  <si>
    <t>TH</t>
  </si>
  <si>
    <t>org.apache.derby.impl.jdbc.EmbedBlob@6f49467a</t>
  </si>
  <si>
    <t>9c049173-fad5-34f8-9c68-231237df85b8</t>
  </si>
  <si>
    <t>Czechia</t>
  </si>
  <si>
    <t>org.apache.derby.impl.jdbc.EmbedClob@1e62b71</t>
  </si>
  <si>
    <t>CZ</t>
  </si>
  <si>
    <t>org.apache.derby.impl.jdbc.EmbedBlob@5b69cf32</t>
  </si>
  <si>
    <t>793914c9-c583-39d8-ad0f-4ed8c521b0c1</t>
  </si>
  <si>
    <t>Moldova, Republic of</t>
  </si>
  <si>
    <t>org.apache.derby.impl.jdbc.EmbedClob@5b97d400</t>
  </si>
  <si>
    <t>MD</t>
  </si>
  <si>
    <t>org.apache.derby.impl.jdbc.EmbedBlob@7e48339e</t>
  </si>
  <si>
    <t>dd07de85-6139-3a7c-b7f8-fcc1752d45e1</t>
  </si>
  <si>
    <t>Peru</t>
  </si>
  <si>
    <t>org.apache.derby.impl.jdbc.EmbedClob@4e453285</t>
  </si>
  <si>
    <t>PE</t>
  </si>
  <si>
    <t>org.apache.derby.impl.jdbc.EmbedBlob@3e929c9c</t>
  </si>
  <si>
    <t>19b19ffc-30ca-3f1c-9376-cd2982992a59</t>
  </si>
  <si>
    <t>Ghana</t>
  </si>
  <si>
    <t>org.apache.derby.impl.jdbc.EmbedClob@1f99c13</t>
  </si>
  <si>
    <t>GH</t>
  </si>
  <si>
    <t>org.apache.derby.impl.jdbc.EmbedBlob@664f57b3</t>
  </si>
  <si>
    <t>153d77fa-1c12-3025-974b-92ca22313ccf</t>
  </si>
  <si>
    <t>Brazil, Sergipe</t>
  </si>
  <si>
    <t>org.apache.derby.impl.jdbc.EmbedClob@3ef6ce2e</t>
  </si>
  <si>
    <t>BR-SE</t>
  </si>
  <si>
    <t>org.apache.derby.impl.jdbc.EmbedBlob@14aac310</t>
  </si>
  <si>
    <t>5dae4296-88af-3c52-9ad8-7ac394192c6d</t>
  </si>
  <si>
    <t>Singapore</t>
  </si>
  <si>
    <t>org.apache.derby.impl.jdbc.EmbedClob@597edc92</t>
  </si>
  <si>
    <t>SG</t>
  </si>
  <si>
    <t>org.apache.derby.impl.jdbc.EmbedBlob@4590fac1</t>
  </si>
  <si>
    <t>d91af695-8918-3f87-96a0-57c1cdf5b225</t>
  </si>
  <si>
    <t>Lithuania</t>
  </si>
  <si>
    <t>org.apache.derby.impl.jdbc.EmbedClob@4d9fdbe3</t>
  </si>
  <si>
    <t>LT</t>
  </si>
  <si>
    <t>org.apache.derby.impl.jdbc.EmbedBlob@f6f2303</t>
  </si>
  <si>
    <t>d3803857-04c9-3612-b4cf-6ca02b291dd8</t>
  </si>
  <si>
    <t>Canada, Québec</t>
  </si>
  <si>
    <t>org.apache.derby.impl.jdbc.EmbedClob@20daf430</t>
  </si>
  <si>
    <t>CA-QC</t>
  </si>
  <si>
    <t>org.apache.derby.impl.jdbc.EmbedBlob@512dcb63</t>
  </si>
  <si>
    <t>56bca136-90bb-3a77-9abb-7ce558af711e</t>
  </si>
  <si>
    <t>Global</t>
  </si>
  <si>
    <t>org.apache.derby.impl.jdbc.EmbedClob@272c9d7e</t>
  </si>
  <si>
    <t>GLO</t>
  </si>
  <si>
    <t>5cb7fbc5-6a92-345e-9b8c-205b7d56e247</t>
  </si>
  <si>
    <t>China, Jilin (吉林)</t>
  </si>
  <si>
    <t>org.apache.derby.impl.jdbc.EmbedClob@50a086df</t>
  </si>
  <si>
    <t>CN-JL</t>
  </si>
  <si>
    <t>org.apache.derby.impl.jdbc.EmbedBlob@40cef657</t>
  </si>
  <si>
    <t>dc634e20-7282-3fe0-b5be-9a2063390544</t>
  </si>
  <si>
    <t>Brazil</t>
  </si>
  <si>
    <t>org.apache.derby.impl.jdbc.EmbedClob@7f074bfe</t>
  </si>
  <si>
    <t>BR</t>
  </si>
  <si>
    <t>org.apache.derby.impl.jdbc.EmbedBlob@68c1112c</t>
  </si>
  <si>
    <t>37c4a9b5-5f7d-3238-bb72-4623cde79d2a</t>
  </si>
  <si>
    <t>China, Henan (河南)</t>
  </si>
  <si>
    <t>org.apache.derby.impl.jdbc.EmbedClob@5f0a3e2d</t>
  </si>
  <si>
    <t>CN-HE</t>
  </si>
  <si>
    <t>org.apache.derby.impl.jdbc.EmbedBlob@1a17d689</t>
  </si>
  <si>
    <t>d66c264e-1dbd-33e6-911d-3ffc70908e8e</t>
  </si>
  <si>
    <t>Europe</t>
  </si>
  <si>
    <t>org.apache.derby.impl.jdbc.EmbedClob@39c72040</t>
  </si>
  <si>
    <t>RER</t>
  </si>
  <si>
    <t>org.apache.derby.impl.jdbc.EmbedBlob@579aa873</t>
  </si>
  <si>
    <t>d9c29677-6530-3ff5-92a5-ab979ed1f7a0</t>
  </si>
  <si>
    <t>Zambia</t>
  </si>
  <si>
    <t>org.apache.derby.impl.jdbc.EmbedClob@739d9f97</t>
  </si>
  <si>
    <t>ZM</t>
  </si>
  <si>
    <t>org.apache.derby.impl.jdbc.EmbedBlob@73d86484</t>
  </si>
  <si>
    <t>c08bba7a-0c03-36f1-951e-8474d853ecbf</t>
  </si>
  <si>
    <t>Bahrain</t>
  </si>
  <si>
    <t>org.apache.derby.impl.jdbc.EmbedClob@52e752fc</t>
  </si>
  <si>
    <t>BH</t>
  </si>
  <si>
    <t>org.apache.derby.impl.jdbc.EmbedBlob@50bcb1e3</t>
  </si>
  <si>
    <t>5f02f088-9301-3d7b-a1ac-972c11bf3e7d</t>
  </si>
  <si>
    <t>Germany</t>
  </si>
  <si>
    <t>org.apache.derby.impl.jdbc.EmbedClob@4fc2ed44</t>
  </si>
  <si>
    <t>DE</t>
  </si>
  <si>
    <t>org.apache.derby.impl.jdbc.EmbedBlob@179681c3</t>
  </si>
  <si>
    <t>048685d9-6262-3854-82a1-d5bb4a14bc3b</t>
  </si>
  <si>
    <t>Kuwait</t>
  </si>
  <si>
    <t>org.apache.derby.impl.jdbc.EmbedClob@2290197b</t>
  </si>
  <si>
    <t>KW</t>
  </si>
  <si>
    <t>org.apache.derby.impl.jdbc.EmbedBlob@7ae078a0</t>
  </si>
  <si>
    <t>41d6ad07-61a5-327a-9e1b-d567041ce9e9</t>
  </si>
  <si>
    <t>Slovakia</t>
  </si>
  <si>
    <t>org.apache.derby.impl.jdbc.EmbedClob@7700262c</t>
  </si>
  <si>
    <t>SK</t>
  </si>
  <si>
    <t>org.apache.derby.impl.jdbc.EmbedBlob@543b3996</t>
  </si>
  <si>
    <t>7d0db380-a5b9-3a8b-a1da-0bca241abda1</t>
  </si>
  <si>
    <t>Austria</t>
  </si>
  <si>
    <t>org.apache.derby.impl.jdbc.EmbedClob@76c2a9ab</t>
  </si>
  <si>
    <t>AT</t>
  </si>
  <si>
    <t>org.apache.derby.impl.jdbc.EmbedBlob@f1eeaab</t>
  </si>
  <si>
    <t>68178b4b-ff3f-307d-bab9-a54d4e76c933</t>
  </si>
  <si>
    <t>Brazil, Amazonas</t>
  </si>
  <si>
    <t>org.apache.derby.impl.jdbc.EmbedClob@79d99c22</t>
  </si>
  <si>
    <t>BR-AM</t>
  </si>
  <si>
    <t>org.apache.derby.impl.jdbc.EmbedBlob@74a3fd06</t>
  </si>
  <si>
    <t>c290d478-7431-3b6d-8372-325203b55c32</t>
  </si>
  <si>
    <t>Canada, Nunavut</t>
  </si>
  <si>
    <t>org.apache.derby.impl.jdbc.EmbedClob@17cf8dc8</t>
  </si>
  <si>
    <t>CA-NU</t>
  </si>
  <si>
    <t>org.apache.derby.impl.jdbc.EmbedBlob@5a71df69</t>
  </si>
  <si>
    <t>3605c251-087b-3821-ac9b-ca890e07ad9c</t>
  </si>
  <si>
    <t>Romania</t>
  </si>
  <si>
    <t>org.apache.derby.impl.jdbc.EmbedClob@315152ec</t>
  </si>
  <si>
    <t>RO</t>
  </si>
  <si>
    <t>org.apache.derby.impl.jdbc.EmbedBlob@5a1b38c3</t>
  </si>
  <si>
    <t>0b3b97fa-6688-3c56-88ee-4ae80ec0c3c2</t>
  </si>
  <si>
    <t>United States</t>
  </si>
  <si>
    <t>org.apache.derby.impl.jdbc.EmbedClob@56da488e</t>
  </si>
  <si>
    <t>US</t>
  </si>
  <si>
    <t>org.apache.derby.impl.jdbc.EmbedBlob@39f9bb25</t>
  </si>
  <si>
    <t>391d04b7-aa3e-3b93-9d1f-4d14740ef5f7</t>
  </si>
  <si>
    <t>Canada, British Columbia</t>
  </si>
  <si>
    <t>org.apache.derby.impl.jdbc.EmbedClob@3a2741f9</t>
  </si>
  <si>
    <t>CA-BC</t>
  </si>
  <si>
    <t>org.apache.derby.impl.jdbc.EmbedBlob@1ee48960</t>
  </si>
  <si>
    <t>925dc7ea-da11-3dae-ab71-b10a42e24aa3</t>
  </si>
  <si>
    <t>Brazil, Bahia</t>
  </si>
  <si>
    <t>org.apache.derby.impl.jdbc.EmbedClob@6a30390a</t>
  </si>
  <si>
    <t>BR-BA</t>
  </si>
  <si>
    <t>org.apache.derby.impl.jdbc.EmbedBlob@3b741dcc</t>
  </si>
  <si>
    <t>28840420-4e3d-3522-a930-8317344a285d</t>
  </si>
  <si>
    <t>Poland</t>
  </si>
  <si>
    <t>org.apache.derby.impl.jdbc.EmbedClob@1e12c4b</t>
  </si>
  <si>
    <t>PL</t>
  </si>
  <si>
    <t>org.apache.derby.impl.jdbc.EmbedBlob@6a72ad14</t>
  </si>
  <si>
    <t>0d149b90-e739-3297-b01c-90191ae775f0</t>
  </si>
  <si>
    <t>Italy</t>
  </si>
  <si>
    <t>org.apache.derby.impl.jdbc.EmbedClob@446de403</t>
  </si>
  <si>
    <t>IT</t>
  </si>
  <si>
    <t>org.apache.derby.impl.jdbc.EmbedBlob@57e7f7fd</t>
  </si>
  <si>
    <t>1a13105b-7e4e-35fb-ae7c-9515ac06aa48</t>
  </si>
  <si>
    <t>Netherlands</t>
  </si>
  <si>
    <t>org.apache.derby.impl.jdbc.EmbedClob@2882ea18</t>
  </si>
  <si>
    <t>NL</t>
  </si>
  <si>
    <t>org.apache.derby.impl.jdbc.EmbedBlob@3645ef7</t>
  </si>
  <si>
    <t>7fa3b767-c460-354a-abe4-d49030b349c7</t>
  </si>
  <si>
    <t>Norway</t>
  </si>
  <si>
    <t>org.apache.derby.impl.jdbc.EmbedClob@3cee9847</t>
  </si>
  <si>
    <t>NO</t>
  </si>
  <si>
    <t>org.apache.derby.impl.jdbc.EmbedBlob@6b332a91</t>
  </si>
  <si>
    <t>d692bc40-d834-33d2-8d3a-37582f58468c</t>
  </si>
  <si>
    <t>Greece</t>
  </si>
  <si>
    <t>org.apache.derby.impl.jdbc.EmbedClob@4a0152e6</t>
  </si>
  <si>
    <t>GR</t>
  </si>
  <si>
    <t>org.apache.derby.impl.jdbc.EmbedBlob@20d8d02d</t>
  </si>
  <si>
    <t>f893637b-f2d8-3c4e-a3c8-1046cdedbd2b</t>
  </si>
  <si>
    <t>Western Electricity Coordinating Council, US part only</t>
  </si>
  <si>
    <t>org.apache.derby.impl.jdbc.EmbedClob@524d1105</t>
  </si>
  <si>
    <t>US-WECC</t>
  </si>
  <si>
    <t>org.apache.derby.impl.jdbc.EmbedBlob@3ee86d05</t>
  </si>
  <si>
    <t>55add3d8-45bf-3d87-a9b0-949b0da49c0a</t>
  </si>
  <si>
    <t>Japan</t>
  </si>
  <si>
    <t>org.apache.derby.impl.jdbc.EmbedClob@58579b4d</t>
  </si>
  <si>
    <t>JP</t>
  </si>
  <si>
    <t>org.apache.derby.impl.jdbc.EmbedBlob@2f002a49</t>
  </si>
  <si>
    <t>c97b334f-fd41-3a49-9708-3f1949632bc1</t>
  </si>
  <si>
    <t>New Zealand</t>
  </si>
  <si>
    <t>org.apache.derby.impl.jdbc.EmbedClob@527deae9</t>
  </si>
  <si>
    <t>NZ</t>
  </si>
  <si>
    <t>org.apache.derby.impl.jdbc.EmbedBlob@17fe7715</t>
  </si>
  <si>
    <t>6864f389-d987-3436-bc87-78ff071d1b6c</t>
  </si>
  <si>
    <t>Malaysia</t>
  </si>
  <si>
    <t>org.apache.derby.impl.jdbc.EmbedClob@398255c1</t>
  </si>
  <si>
    <t>MY</t>
  </si>
  <si>
    <t>org.apache.derby.impl.jdbc.EmbedBlob@1663f07e</t>
  </si>
  <si>
    <t>9ebea46e-731f-3a0c-9047-f9bf657e3ab1</t>
  </si>
  <si>
    <t>IAI Area, Gulf Cooperation Council</t>
  </si>
  <si>
    <t>org.apache.derby.impl.jdbc.EmbedClob@72416b78</t>
  </si>
  <si>
    <t>org.apache.derby.impl.jdbc.EmbedBlob@732cd534</t>
  </si>
  <si>
    <t>f147ee7c-b20c-3116-be30-08ef41b9a633</t>
  </si>
  <si>
    <t>ReliabilityFirst Corporation</t>
  </si>
  <si>
    <t>org.apache.derby.impl.jdbc.EmbedClob@7ac52b2f</t>
  </si>
  <si>
    <t>US-RFC</t>
  </si>
  <si>
    <t>org.apache.derby.impl.jdbc.EmbedBlob@6a2c8208</t>
  </si>
  <si>
    <t>1662d8df-a168-3d22-a99f-9b180cc86f66</t>
  </si>
  <si>
    <t>SERC Reliability Corporation</t>
  </si>
  <si>
    <t>org.apache.derby.impl.jdbc.EmbedClob@7f3c7f0c</t>
  </si>
  <si>
    <t>US-SERC</t>
  </si>
  <si>
    <t>org.apache.derby.impl.jdbc.EmbedBlob@1b4f8418</t>
  </si>
  <si>
    <t>255a5cac-7685-3722-b4d0-2f04c37be771</t>
  </si>
  <si>
    <t>Taiwan, Province of China</t>
  </si>
  <si>
    <t>org.apache.derby.impl.jdbc.EmbedClob@157d69bb</t>
  </si>
  <si>
    <t>TW</t>
  </si>
  <si>
    <t>org.apache.derby.impl.jdbc.EmbedBlob@9a5a007</t>
  </si>
  <si>
    <t>b3cd915d-7580-38bd-99d0-f2428fbb354a</t>
  </si>
  <si>
    <t>Myanmar</t>
  </si>
  <si>
    <t>org.apache.derby.impl.jdbc.EmbedClob@381ba9b3</t>
  </si>
  <si>
    <t>MM</t>
  </si>
  <si>
    <t>org.apache.derby.impl.jdbc.EmbedBlob@21dd1f14</t>
  </si>
  <si>
    <t>b80bb774-0288-3da1-b201-890375a60c8f</t>
  </si>
  <si>
    <t>Indonesia</t>
  </si>
  <si>
    <t>org.apache.derby.impl.jdbc.EmbedClob@5dc36b0</t>
  </si>
  <si>
    <t>org.apache.derby.impl.jdbc.EmbedBlob@2390148d</t>
  </si>
  <si>
    <t>8bcc25c9-6aa5-371f-ba76-309077753e67</t>
  </si>
  <si>
    <t>Australia</t>
  </si>
  <si>
    <t>org.apache.derby.impl.jdbc.EmbedClob@6afc9a54</t>
  </si>
  <si>
    <t>AU</t>
  </si>
  <si>
    <t>org.apache.derby.impl.jdbc.EmbedBlob@1408a353</t>
  </si>
  <si>
    <t>c582dec9-43ff-3b74-baa0-691df291cea6</t>
  </si>
  <si>
    <t>Argentina</t>
  </si>
  <si>
    <t>org.apache.derby.impl.jdbc.EmbedClob@371ff923</t>
  </si>
  <si>
    <t>AR</t>
  </si>
  <si>
    <t>org.apache.derby.impl.jdbc.EmbedBlob@3d0a6db4</t>
  </si>
  <si>
    <t>75778bf8-fde7-366d-816b-0089e7b8b793</t>
  </si>
  <si>
    <t>Finland</t>
  </si>
  <si>
    <t>org.apache.derby.impl.jdbc.EmbedClob@6cc9437d</t>
  </si>
  <si>
    <t>FI</t>
  </si>
  <si>
    <t>org.apache.derby.impl.jdbc.EmbedBlob@62f31489</t>
  </si>
  <si>
    <t>84502834-6281-3742-9577-a349ea768503</t>
  </si>
  <si>
    <t>Latin America and the Caribbean</t>
  </si>
  <si>
    <t>org.apache.derby.impl.jdbc.EmbedClob@cfaa2ae</t>
  </si>
  <si>
    <t>RLA</t>
  </si>
  <si>
    <t>org.apache.derby.impl.jdbc.EmbedBlob@358f88c9</t>
  </si>
  <si>
    <t>e7d707a2-6e7f-3b6f-b52c-489c60e429b1</t>
  </si>
  <si>
    <t>Turkey</t>
  </si>
  <si>
    <t>org.apache.derby.impl.jdbc.EmbedClob@4fa285ad</t>
  </si>
  <si>
    <t>TR</t>
  </si>
  <si>
    <t>org.apache.derby.impl.jdbc.EmbedBlob@4a9198f2</t>
  </si>
  <si>
    <t>fc9fdf08-4e29-3f26-a270-390dc49061a2</t>
  </si>
  <si>
    <t>Portugal</t>
  </si>
  <si>
    <t>org.apache.derby.impl.jdbc.EmbedClob@31198a9</t>
  </si>
  <si>
    <t>PT</t>
  </si>
  <si>
    <t>org.apache.derby.impl.jdbc.EmbedBlob@58c5fa8b</t>
  </si>
  <si>
    <t>dbfa7203-61f4-3b45-ae17-34e85bd46b18</t>
  </si>
  <si>
    <t>Brazil, Paraná</t>
  </si>
  <si>
    <t>org.apache.derby.impl.jdbc.EmbedClob@6bebf52f</t>
  </si>
  <si>
    <t>BR-PR</t>
  </si>
  <si>
    <t>org.apache.derby.impl.jdbc.EmbedBlob@2d7bb6a8</t>
  </si>
  <si>
    <t>82a9e4d2-6595-387a-b6e4-42391d8c5bba</t>
  </si>
  <si>
    <t>France</t>
  </si>
  <si>
    <t>org.apache.derby.impl.jdbc.EmbedClob@2220b77e</t>
  </si>
  <si>
    <t>FR</t>
  </si>
  <si>
    <t>org.apache.derby.impl.jdbc.EmbedBlob@61b0c519</t>
  </si>
  <si>
    <t>35ea51ba-f1fe-3f01-82ad-5f950855dde0</t>
  </si>
  <si>
    <t>Cote d'Ivoire</t>
  </si>
  <si>
    <t>org.apache.derby.impl.jdbc.EmbedClob@118ef171</t>
  </si>
  <si>
    <t>CI</t>
  </si>
  <si>
    <t>org.apache.derby.impl.jdbc.EmbedBlob@36b23f79</t>
  </si>
  <si>
    <t>7885444a-f42e-3b30-8518-c5be17c8850b</t>
  </si>
  <si>
    <t>United Kingdom</t>
  </si>
  <si>
    <t>org.apache.derby.impl.jdbc.EmbedClob@53917734</t>
  </si>
  <si>
    <t>GB</t>
  </si>
  <si>
    <t>org.apache.derby.impl.jdbc.EmbedBlob@520d82c7</t>
  </si>
  <si>
    <t>6226f7cb-e59e-39a9-8b5c-ef6f94f966fd</t>
  </si>
  <si>
    <t>Sudan</t>
  </si>
  <si>
    <t>org.apache.derby.impl.jdbc.EmbedClob@75e32608</t>
  </si>
  <si>
    <t>SD</t>
  </si>
  <si>
    <t>org.apache.derby.impl.jdbc.EmbedBlob@2d93d757</t>
  </si>
  <si>
    <t>454f3db4-bc72-3340-9ea4-fe2368243e0a</t>
  </si>
  <si>
    <t>India, Eastern grid</t>
  </si>
  <si>
    <t>org.apache.derby.impl.jdbc.EmbedClob@6efc96df</t>
  </si>
  <si>
    <t>IN-Eastern grid</t>
  </si>
  <si>
    <t>org.apache.derby.impl.jdbc.EmbedBlob@3ce69518</t>
  </si>
  <si>
    <t>6108d9a8-6ab3-3a57-b470-a194c15a1d16</t>
  </si>
  <si>
    <t>Canada, Saskatchewan</t>
  </si>
  <si>
    <t>org.apache.derby.impl.jdbc.EmbedClob@f7cc4bc</t>
  </si>
  <si>
    <t>CA-SK</t>
  </si>
  <si>
    <t>org.apache.derby.impl.jdbc.EmbedBlob@5bce1e2</t>
  </si>
  <si>
    <t>817ed804-f0ed-3175-b39d-7576a1c242b1</t>
  </si>
  <si>
    <t>Europe without Switzerland</t>
  </si>
  <si>
    <t>org.apache.derby.impl.jdbc.EmbedClob@1c2fa9fa</t>
  </si>
  <si>
    <t>org.apache.derby.impl.jdbc.EmbedBlob@7d59de37</t>
  </si>
  <si>
    <t>dcf0d7d2-cd12-3bf4-a580-d43f29785dd3</t>
  </si>
  <si>
    <t>Korea, Republic of</t>
  </si>
  <si>
    <t>org.apache.derby.impl.jdbc.EmbedClob@1f88838f</t>
  </si>
  <si>
    <t>KR</t>
  </si>
  <si>
    <t>org.apache.derby.impl.jdbc.EmbedBlob@27b0573f</t>
  </si>
  <si>
    <t>959848ca-10cc-3a60-9a81-8ac11523dc63</t>
  </si>
  <si>
    <t>South Africa</t>
  </si>
  <si>
    <t>org.apache.derby.impl.jdbc.EmbedClob@142b9d98</t>
  </si>
  <si>
    <t>ZA</t>
  </si>
  <si>
    <t>org.apache.derby.impl.jdbc.EmbedBlob@7d10ce19</t>
  </si>
  <si>
    <t>b89fbb5e-5b12-3fbf-84e0-dde2a1af83e7</t>
  </si>
  <si>
    <t>China, Anhui (安徽)</t>
  </si>
  <si>
    <t>org.apache.derby.impl.jdbc.EmbedClob@58bc772b</t>
  </si>
  <si>
    <t>CN-AH</t>
  </si>
  <si>
    <t>org.apache.derby.impl.jdbc.EmbedBlob@1033e6f9</t>
  </si>
  <si>
    <t>13b5bfe9-6f3e-3fe4-91c9-f66f4a582adf</t>
  </si>
  <si>
    <t>India</t>
  </si>
  <si>
    <t>org.apache.derby.impl.jdbc.EmbedClob@783cbb2e</t>
  </si>
  <si>
    <t>IN</t>
  </si>
  <si>
    <t>org.apache.derby.impl.jdbc.EmbedBlob@3899f856</t>
  </si>
  <si>
    <t>910955a9-07e7-39b8-9ec8-855763108a29</t>
  </si>
  <si>
    <t>Belgium</t>
  </si>
  <si>
    <t>org.apache.derby.impl.jdbc.EmbedClob@3712d592</t>
  </si>
  <si>
    <t>BE</t>
  </si>
  <si>
    <t>org.apache.derby.impl.jdbc.EmbedBlob@2aeaed95</t>
  </si>
  <si>
    <t>888ae6c0-9317-341c-86a4-6bfdf09b72fa</t>
  </si>
  <si>
    <t>Canada, Alberta</t>
  </si>
  <si>
    <t>org.apache.derby.impl.jdbc.EmbedClob@1761bc8c</t>
  </si>
  <si>
    <t>CA-AB</t>
  </si>
  <si>
    <t>org.apache.derby.impl.jdbc.EmbedBlob@60cdad7e</t>
  </si>
  <si>
    <t>25400724-d737-3b0b-a9c9-369d9af3dd21</t>
  </si>
  <si>
    <t>Ireland</t>
  </si>
  <si>
    <t>org.apache.derby.impl.jdbc.EmbedClob@41524ab0</t>
  </si>
  <si>
    <t>IE</t>
  </si>
  <si>
    <t>org.apache.derby.impl.jdbc.EmbedBlob@26b6cf9f</t>
  </si>
  <si>
    <t>7b09132e-4f69-3321-b69f-fbaafccb926a</t>
  </si>
  <si>
    <t>China, Xizang (西藏自治区)</t>
  </si>
  <si>
    <t>org.apache.derby.impl.jdbc.EmbedClob@2b9d306a</t>
  </si>
  <si>
    <t>CN-XZ</t>
  </si>
  <si>
    <t>org.apache.derby.impl.jdbc.EmbedBlob@81a95f1</t>
  </si>
  <si>
    <t>7efdfc94-655a-35dc-aa3e-c85e9bb703fa</t>
  </si>
  <si>
    <t>China</t>
  </si>
  <si>
    <t>org.apache.derby.impl.jdbc.EmbedClob@1840795a</t>
  </si>
  <si>
    <t>CN</t>
  </si>
  <si>
    <t>org.apache.derby.impl.jdbc.EmbedBlob@6d217588</t>
  </si>
  <si>
    <t>aa70c60b-9328-347e-81bc-b15804f2f73c</t>
  </si>
  <si>
    <t>Brazil, Alagoas</t>
  </si>
  <si>
    <t>org.apache.derby.impl.jdbc.EmbedClob@31c8c0c0</t>
  </si>
  <si>
    <t>BR-AL</t>
  </si>
  <si>
    <t>org.apache.derby.impl.jdbc.EmbedBlob@2a59f50a</t>
  </si>
  <si>
    <t>bb516be8-e2f9-3882-aa71-fe2e192f6ef3</t>
  </si>
  <si>
    <t>India, Western grid</t>
  </si>
  <si>
    <t>org.apache.derby.impl.jdbc.EmbedClob@10dd1add</t>
  </si>
  <si>
    <t>IN-Western grid</t>
  </si>
  <si>
    <t>org.apache.derby.impl.jdbc.EmbedBlob@18fb0ad</t>
  </si>
  <si>
    <t>4de1b7a4-dc53-34a8-8c25-ffb7cdb580ee</t>
  </si>
  <si>
    <t>Ethiopia</t>
  </si>
  <si>
    <t>org.apache.derby.impl.jdbc.EmbedClob@641be433</t>
  </si>
  <si>
    <t>ET</t>
  </si>
  <si>
    <t>org.apache.derby.impl.jdbc.EmbedBlob@1ce8119f</t>
  </si>
  <si>
    <t>ab86a1e1-ef70-3ff9-b959-067b723c5c24</t>
  </si>
  <si>
    <t>Montenegro</t>
  </si>
  <si>
    <t>org.apache.derby.impl.jdbc.EmbedClob@5f1ecf01</t>
  </si>
  <si>
    <t>ME</t>
  </si>
  <si>
    <t>org.apache.derby.impl.jdbc.EmbedBlob@23680697</t>
  </si>
  <si>
    <t>161747ec-4dc9-355f-9760-195593742232</t>
  </si>
  <si>
    <t>Chile</t>
  </si>
  <si>
    <t>org.apache.derby.impl.jdbc.EmbedClob@18e954b5</t>
  </si>
  <si>
    <t>CL</t>
  </si>
  <si>
    <t>org.apache.derby.impl.jdbc.EmbedBlob@6d1e6392</t>
  </si>
  <si>
    <t>da984e42-a589-3bbd-ac49-6ef0cbadcee2</t>
  </si>
  <si>
    <t>Philippines</t>
  </si>
  <si>
    <t>org.apache.derby.impl.jdbc.EmbedClob@ea19c18</t>
  </si>
  <si>
    <t>PH</t>
  </si>
  <si>
    <t>org.apache.derby.impl.jdbc.EmbedBlob@16728be6</t>
  </si>
  <si>
    <t>9825d889-e0ea-346a-8a60-09d9de7ad000</t>
  </si>
  <si>
    <t>China, Yunnan (云南)</t>
  </si>
  <si>
    <t>org.apache.derby.impl.jdbc.EmbedClob@86e7849</t>
  </si>
  <si>
    <t>CN-YN</t>
  </si>
  <si>
    <t>org.apache.derby.impl.jdbc.EmbedBlob@2f5bb3c5</t>
  </si>
  <si>
    <t>5f91d8fd-5404-3550-b9cd-821ac1ea7241</t>
  </si>
  <si>
    <t>Brazil, São Paulo</t>
  </si>
  <si>
    <t>org.apache.derby.impl.jdbc.EmbedClob@2df43073</t>
  </si>
  <si>
    <t>BR-SP</t>
  </si>
  <si>
    <t>org.apache.derby.impl.jdbc.EmbedBlob@5623a9b4</t>
  </si>
  <si>
    <t>361ee3fb-e615-3ae6-8907-a30bd15bbfa7</t>
  </si>
  <si>
    <t>India, Rajasthan</t>
  </si>
  <si>
    <t>org.apache.derby.impl.jdbc.EmbedClob@374fca14</t>
  </si>
  <si>
    <t>IN-RJ</t>
  </si>
  <si>
    <t>org.apache.derby.impl.jdbc.EmbedBlob@490345c7</t>
  </si>
  <si>
    <t>25bc6654-798e-3508-ba0b-6343212a74fe</t>
  </si>
  <si>
    <t>Kenya</t>
  </si>
  <si>
    <t>org.apache.derby.impl.jdbc.EmbedClob@2263b5a</t>
  </si>
  <si>
    <t>KE</t>
  </si>
  <si>
    <t>org.apache.derby.impl.jdbc.EmbedBlob@4b705e60</t>
  </si>
  <si>
    <t>b74df323-e393-3b56-b635-a2cba7a7afba</t>
  </si>
  <si>
    <t>Morocco</t>
  </si>
  <si>
    <t>org.apache.derby.impl.jdbc.EmbedClob@4a9ca027</t>
  </si>
  <si>
    <t>MA</t>
  </si>
  <si>
    <t>org.apache.derby.impl.jdbc.EmbedBlob@1962f9ce</t>
  </si>
  <si>
    <t>710998fd-1b7c-3235-9702-65650770a4b1</t>
  </si>
  <si>
    <t>Malta</t>
  </si>
  <si>
    <t>org.apache.derby.impl.jdbc.EmbedClob@2a2dfd53</t>
  </si>
  <si>
    <t>MT</t>
  </si>
  <si>
    <t>org.apache.derby.impl.jdbc.EmbedBlob@63e72528</t>
  </si>
  <si>
    <t>eb473db4-e76c-3ce8-830e-260703a53a3c</t>
  </si>
  <si>
    <t>Brazil, Rondônia</t>
  </si>
  <si>
    <t>org.apache.derby.impl.jdbc.EmbedClob@4cd52ceb</t>
  </si>
  <si>
    <t>BR-RO</t>
  </si>
  <si>
    <t>org.apache.derby.impl.jdbc.EmbedBlob@42f71036</t>
  </si>
  <si>
    <t>2dfa6f65-f618-3f8c-b97b-03d16de012eb</t>
  </si>
  <si>
    <t>Brazil, Espírito Santo</t>
  </si>
  <si>
    <t>org.apache.derby.impl.jdbc.EmbedClob@775ba5e</t>
  </si>
  <si>
    <t>BR-ES</t>
  </si>
  <si>
    <t>org.apache.derby.impl.jdbc.EmbedBlob@5de111fd</t>
  </si>
  <si>
    <t>07d93568-0b65-31b2-a42f-e4baea021389</t>
  </si>
  <si>
    <t>North Macedonia</t>
  </si>
  <si>
    <t>org.apache.derby.impl.jdbc.EmbedClob@3836dcde</t>
  </si>
  <si>
    <t>MK</t>
  </si>
  <si>
    <t>org.apache.derby.impl.jdbc.EmbedBlob@42ba0d4e</t>
  </si>
  <si>
    <t>c23866ff-3e68-37d7-ac7d-a20ccc5e87ed</t>
  </si>
  <si>
    <t>State Grid Corporation of China</t>
  </si>
  <si>
    <t>org.apache.derby.impl.jdbc.EmbedClob@68b7f80d</t>
  </si>
  <si>
    <t>CN-SGCC</t>
  </si>
  <si>
    <t>org.apache.derby.impl.jdbc.EmbedBlob@33d2995c</t>
  </si>
  <si>
    <t>324d8a1d-3f81-3730-9509-9a48cee0c5b6</t>
  </si>
  <si>
    <t>Costa Rica</t>
  </si>
  <si>
    <t>org.apache.derby.impl.jdbc.EmbedClob@21102215</t>
  </si>
  <si>
    <t>CR</t>
  </si>
  <si>
    <t>org.apache.derby.impl.jdbc.EmbedBlob@76b0d1aa</t>
  </si>
  <si>
    <t>85d1a9c4-88d7-317e-a862-91a755e5d43c</t>
  </si>
  <si>
    <t>Latvia</t>
  </si>
  <si>
    <t>org.apache.derby.impl.jdbc.EmbedClob@2872d9f9</t>
  </si>
  <si>
    <t>LV</t>
  </si>
  <si>
    <t>org.apache.derby.impl.jdbc.EmbedBlob@f4dbdd2</t>
  </si>
  <si>
    <t>524dc282-e858-3e44-b59c-05a258bde0bd</t>
  </si>
  <si>
    <t>China, Xinjiang (新疆维吾尔自治区)</t>
  </si>
  <si>
    <t>org.apache.derby.impl.jdbc.EmbedClob@2f6d36a4</t>
  </si>
  <si>
    <t>CN-XJ</t>
  </si>
  <si>
    <t>org.apache.derby.impl.jdbc.EmbedBlob@5fa08f62</t>
  </si>
  <si>
    <t>e2494db3-71b1-310e-bc75-5ff220d01c47</t>
  </si>
  <si>
    <t>Canada, Manitoba</t>
  </si>
  <si>
    <t>org.apache.derby.impl.jdbc.EmbedClob@61a3387e</t>
  </si>
  <si>
    <t>CA-MB</t>
  </si>
  <si>
    <t>org.apache.derby.impl.jdbc.EmbedBlob@362bab5</t>
  </si>
  <si>
    <t>f3035d47-07f4-36e9-a38b-e9e4551d4e3b</t>
  </si>
  <si>
    <t>Brazil, South-eastern grid</t>
  </si>
  <si>
    <t>org.apache.derby.impl.jdbc.EmbedClob@45fc746b</t>
  </si>
  <si>
    <t>BR-South-eastern grid</t>
  </si>
  <si>
    <t>org.apache.derby.impl.jdbc.EmbedBlob@66e48340</t>
  </si>
  <si>
    <t>559d1fa3-85db-3d51-9306-ae4c8548f395</t>
  </si>
  <si>
    <t>Brazil, Santa Catarina</t>
  </si>
  <si>
    <t>org.apache.derby.impl.jdbc.EmbedClob@70453a3b</t>
  </si>
  <si>
    <t>BR-SC</t>
  </si>
  <si>
    <t>org.apache.derby.impl.jdbc.EmbedBlob@56bc5774</t>
  </si>
  <si>
    <t>3a2d7564-baee-3918-aebc-7b65084aabd1</t>
  </si>
  <si>
    <t>Serbia</t>
  </si>
  <si>
    <t>org.apache.derby.impl.jdbc.EmbedClob@29fe10fa</t>
  </si>
  <si>
    <t>RS</t>
  </si>
  <si>
    <t>org.apache.derby.impl.jdbc.EmbedBlob@6bc26806</t>
  </si>
  <si>
    <t>f15daa22-c911-3f89-ba04-2f020804afd5</t>
  </si>
  <si>
    <t>China, Fujian (福建)</t>
  </si>
  <si>
    <t>org.apache.derby.impl.jdbc.EmbedClob@328f03a7</t>
  </si>
  <si>
    <t>CN-FJ</t>
  </si>
  <si>
    <t>org.apache.derby.impl.jdbc.EmbedBlob@5f9c5c88</t>
  </si>
  <si>
    <t>74354112-1c12-3113-af80-7d1582c74bea</t>
  </si>
  <si>
    <t>El Salvador</t>
  </si>
  <si>
    <t>org.apache.derby.impl.jdbc.EmbedClob@27e68d25</t>
  </si>
  <si>
    <t>SV</t>
  </si>
  <si>
    <t>org.apache.derby.impl.jdbc.EmbedBlob@6d3e3045</t>
  </si>
  <si>
    <t>efad7abb-323e-3d40-9628-4c8a6da076a1</t>
  </si>
  <si>
    <t>Sweden</t>
  </si>
  <si>
    <t>org.apache.derby.impl.jdbc.EmbedClob@cc8e7ca</t>
  </si>
  <si>
    <t>SE</t>
  </si>
  <si>
    <t>org.apache.derby.impl.jdbc.EmbedBlob@2211be66</t>
  </si>
  <si>
    <t>471c1f3f-c1dd-3bb8-8d03-41b03e4be59e</t>
  </si>
  <si>
    <t>Cyprus</t>
  </si>
  <si>
    <t>org.apache.derby.impl.jdbc.EmbedClob@3eb10e79</t>
  </si>
  <si>
    <t>CY</t>
  </si>
  <si>
    <t>org.apache.derby.impl.jdbc.EmbedBlob@758c58d2</t>
  </si>
  <si>
    <t>8091cd9d-b8ec-3623-a5a2-5b61ea85eb98</t>
  </si>
  <si>
    <t>China, Qinghai (青海)</t>
  </si>
  <si>
    <t>org.apache.derby.impl.jdbc.EmbedClob@284a670e</t>
  </si>
  <si>
    <t>CN-QH</t>
  </si>
  <si>
    <t>org.apache.derby.impl.jdbc.EmbedBlob@31730aa0</t>
  </si>
  <si>
    <t>0cbcf9ee-a06a-3b2a-b9d6-1eca2f3a5565</t>
  </si>
  <si>
    <t>Texas Regional Entity</t>
  </si>
  <si>
    <t>org.apache.derby.impl.jdbc.EmbedClob@262e8e94</t>
  </si>
  <si>
    <t>US-TRE</t>
  </si>
  <si>
    <t>org.apache.derby.impl.jdbc.EmbedBlob@5d27ef48</t>
  </si>
  <si>
    <t>6b59d2ee-6b98-37e6-a3bd-52a7da814793</t>
  </si>
  <si>
    <t>Brazil, Pará</t>
  </si>
  <si>
    <t>org.apache.derby.impl.jdbc.EmbedClob@62e86275</t>
  </si>
  <si>
    <t>BR-PA</t>
  </si>
  <si>
    <t>org.apache.derby.impl.jdbc.EmbedBlob@196f2f54</t>
  </si>
  <si>
    <t>12470fe4-06d4-3017-996e-ab37dd65fc14</t>
  </si>
  <si>
    <t>Spain</t>
  </si>
  <si>
    <t>org.apache.derby.impl.jdbc.EmbedClob@7b50ce9e</t>
  </si>
  <si>
    <t>ES</t>
  </si>
  <si>
    <t>org.apache.derby.impl.jdbc.EmbedBlob@2b08daca</t>
  </si>
  <si>
    <t>08a4415e-9d59-3ff9-a003-0b921d42b91e</t>
  </si>
  <si>
    <t>Estonia</t>
  </si>
  <si>
    <t>org.apache.derby.impl.jdbc.EmbedClob@4bfd4570</t>
  </si>
  <si>
    <t>EE</t>
  </si>
  <si>
    <t>org.apache.derby.impl.jdbc.EmbedBlob@36a446af</t>
  </si>
  <si>
    <t>8b3274b7-55aa-3339-82f5-7fb557e25923</t>
  </si>
  <si>
    <t>Uzbekistan</t>
  </si>
  <si>
    <t>org.apache.derby.impl.jdbc.EmbedClob@3ba16088</t>
  </si>
  <si>
    <t>UZ</t>
  </si>
  <si>
    <t>org.apache.derby.impl.jdbc.EmbedBlob@561233bc</t>
  </si>
  <si>
    <t>3e7e122b-f08f-3843-ac96-1ba491089dc9</t>
  </si>
  <si>
    <t>Luxembourg</t>
  </si>
  <si>
    <t>org.apache.derby.impl.jdbc.EmbedClob@77e52acb</t>
  </si>
  <si>
    <t>LU</t>
  </si>
  <si>
    <t>org.apache.derby.impl.jdbc.EmbedBlob@63e08ba6</t>
  </si>
  <si>
    <t>7bb6287f-9631-3588-9301-c3960be554a5</t>
  </si>
  <si>
    <t>Midwest Reliability Organization, US part only</t>
  </si>
  <si>
    <t>org.apache.derby.impl.jdbc.EmbedClob@53751272</t>
  </si>
  <si>
    <t>US-MRO</t>
  </si>
  <si>
    <t>org.apache.derby.impl.jdbc.EmbedBlob@143d5473</t>
  </si>
  <si>
    <t>0c3eee87-5877-3e08-bafd-45af750ca0b8</t>
  </si>
  <si>
    <t>China, Beijing (北京)</t>
  </si>
  <si>
    <t>org.apache.derby.impl.jdbc.EmbedClob@4ad0974d</t>
  </si>
  <si>
    <t>CN-BJ</t>
  </si>
  <si>
    <t>org.apache.derby.impl.jdbc.EmbedBlob@2d8a980a</t>
  </si>
  <si>
    <t>ac5585d9-8646-3255-a99c-359140537783</t>
  </si>
  <si>
    <t>Slovenia</t>
  </si>
  <si>
    <t>org.apache.derby.impl.jdbc.EmbedClob@5617e94b</t>
  </si>
  <si>
    <t>SI</t>
  </si>
  <si>
    <t>org.apache.derby.impl.jdbc.EmbedBlob@2877a136</t>
  </si>
  <si>
    <t>89484b14-b36a-3d53-a942-6a3d944d2983</t>
  </si>
  <si>
    <t>Russia</t>
  </si>
  <si>
    <t>org.apache.derby.impl.jdbc.EmbedClob@66d3318a</t>
  </si>
  <si>
    <t>RU</t>
  </si>
  <si>
    <t>org.apache.derby.impl.jdbc.EmbedBlob@76544084</t>
  </si>
  <si>
    <t>4c65b90e-7a0d-3e03-972a-52bbba400d73</t>
  </si>
  <si>
    <t>Brazil, Piauí</t>
  </si>
  <si>
    <t>org.apache.derby.impl.jdbc.EmbedClob@63bf2169</t>
  </si>
  <si>
    <t>BR-PI</t>
  </si>
  <si>
    <t>org.apache.derby.impl.jdbc.EmbedBlob@1c9f03f5</t>
  </si>
  <si>
    <t>442e473c-81d4-34e6-a31e-a13d33c939af</t>
  </si>
  <si>
    <t>China, Shaanxi (陕西)</t>
  </si>
  <si>
    <t>org.apache.derby.impl.jdbc.EmbedClob@69933cb</t>
  </si>
  <si>
    <t>CN-SA</t>
  </si>
  <si>
    <t>org.apache.derby.impl.jdbc.EmbedBlob@521d13fc</t>
  </si>
  <si>
    <t>6865aeb3-a9ed-38f9-a79e-c454b259e5d0</t>
  </si>
  <si>
    <t>Congo, Democratic Republic of the</t>
  </si>
  <si>
    <t>org.apache.derby.impl.jdbc.EmbedClob@48b3c4bf</t>
  </si>
  <si>
    <t>CD</t>
  </si>
  <si>
    <t>org.apache.derby.impl.jdbc.EmbedBlob@631f8fdd</t>
  </si>
  <si>
    <t>0ecbf942-6bcf-3d9a-886d-ed5fc8c4eca8</t>
  </si>
  <si>
    <t>Denmark</t>
  </si>
  <si>
    <t>org.apache.derby.impl.jdbc.EmbedClob@5927f2b1</t>
  </si>
  <si>
    <t>DK</t>
  </si>
  <si>
    <t>org.apache.derby.impl.jdbc.EmbedBlob@f674316</t>
  </si>
  <si>
    <t>5269f4d7-5f5b-375f-8f94-bab2100a5531</t>
  </si>
  <si>
    <t>Ukraine</t>
  </si>
  <si>
    <t>org.apache.derby.impl.jdbc.EmbedClob@1c947c53</t>
  </si>
  <si>
    <t>UA</t>
  </si>
  <si>
    <t>org.apache.derby.impl.jdbc.EmbedBlob@653ea1dd</t>
  </si>
  <si>
    <t>35c302ef-c91c-31e9-a4e6-490bbe01a06f</t>
  </si>
  <si>
    <t>Central European Power Association</t>
  </si>
  <si>
    <t>org.apache.derby.impl.jdbc.EmbedClob@5074319f</t>
  </si>
  <si>
    <t>CENTREL</t>
  </si>
  <si>
    <t>org.apache.derby.impl.jdbc.EmbedBlob@6f3db926</t>
  </si>
  <si>
    <t>1768e489-847b-3db3-aa22-36625ea38f5f</t>
  </si>
  <si>
    <t>HICC</t>
  </si>
  <si>
    <t>org.apache.derby.impl.jdbc.EmbedClob@3f4c340b</t>
  </si>
  <si>
    <t>US-HICC</t>
  </si>
  <si>
    <t>org.apache.derby.impl.jdbc.EmbedBlob@2f6c5a76</t>
  </si>
  <si>
    <t>cc8c0a97-c2df-3d73-8aff-160b65aa39e2</t>
  </si>
  <si>
    <t>Azerbaijan</t>
  </si>
  <si>
    <t>org.apache.derby.impl.jdbc.EmbedClob@5ee57ecd</t>
  </si>
  <si>
    <t>AZ</t>
  </si>
  <si>
    <t>org.apache.derby.impl.jdbc.EmbedBlob@5c1318be</t>
  </si>
  <si>
    <t>01334e7f-61e7-391c-8f4f-ad7508087ef7</t>
  </si>
  <si>
    <t>Canada without Quebec</t>
  </si>
  <si>
    <t>org.apache.derby.impl.jdbc.EmbedClob@221835b</t>
  </si>
  <si>
    <t>org.apache.derby.impl.jdbc.EmbedBlob@3ab5cab2</t>
  </si>
  <si>
    <t>97282b27-8e5d-3186-af8e-57204e4820e5</t>
  </si>
  <si>
    <t>Albania</t>
  </si>
  <si>
    <t>org.apache.derby.impl.jdbc.EmbedClob@7e27f3b2</t>
  </si>
  <si>
    <t>AL</t>
  </si>
  <si>
    <t>org.apache.derby.impl.jdbc.EmbedBlob@70129c76</t>
  </si>
  <si>
    <t>506f9f65-249e-3ac5-9dd1-7a13b080f7dd</t>
  </si>
  <si>
    <t>India, Arunachal Pradesh</t>
  </si>
  <si>
    <t>org.apache.derby.impl.jdbc.EmbedClob@21a4bb39</t>
  </si>
  <si>
    <t>IN-AR</t>
  </si>
  <si>
    <t>org.apache.derby.impl.jdbc.EmbedBlob@35d005e5</t>
  </si>
  <si>
    <t>26f19341-0269-3662-9c33-6561ad91237f</t>
  </si>
  <si>
    <t>China, Shanghai (上海)</t>
  </si>
  <si>
    <t>org.apache.derby.impl.jdbc.EmbedClob@742bca8e</t>
  </si>
  <si>
    <t>CN-SH</t>
  </si>
  <si>
    <t>org.apache.derby.impl.jdbc.EmbedBlob@103e0951</t>
  </si>
  <si>
    <t>23d03724-687f-38db-920f-86d60a60c8dc</t>
  </si>
  <si>
    <t>Brazil, Acre</t>
  </si>
  <si>
    <t>org.apache.derby.impl.jdbc.EmbedClob@1447051c</t>
  </si>
  <si>
    <t>BR-AC</t>
  </si>
  <si>
    <t>org.apache.derby.impl.jdbc.EmbedBlob@218dd55c</t>
  </si>
  <si>
    <t>b320e7db-c758-3ba6-8839-81eb83c9d7d7</t>
  </si>
  <si>
    <t>Northern America</t>
  </si>
  <si>
    <t>org.apache.derby.impl.jdbc.EmbedClob@b581459</t>
  </si>
  <si>
    <t>RNA</t>
  </si>
  <si>
    <t>org.apache.derby.impl.jdbc.EmbedBlob@478f7762</t>
  </si>
  <si>
    <t>ad7532d5-b386-3a40-8fbe-01f9455dca36</t>
  </si>
  <si>
    <t>Bolivia, Plurinational State of</t>
  </si>
  <si>
    <t>org.apache.derby.impl.jdbc.EmbedClob@8e76dfa</t>
  </si>
  <si>
    <t>BO</t>
  </si>
  <si>
    <t>org.apache.derby.impl.jdbc.EmbedBlob@43564a63</t>
  </si>
  <si>
    <t>73bb4387-b307-3739-aacb-9cd62ac4049c</t>
  </si>
  <si>
    <t>Tanzania, United Republic Of</t>
  </si>
  <si>
    <t>org.apache.derby.impl.jdbc.EmbedClob@4f11e90b</t>
  </si>
  <si>
    <t>TZ</t>
  </si>
  <si>
    <t>org.apache.derby.impl.jdbc.EmbedBlob@7319b3ec</t>
  </si>
  <si>
    <t>94f8eaf5-2a69-3408-a868-564ba00a53e9</t>
  </si>
  <si>
    <t>China, Inner Mongol (内蒙古自治区)</t>
  </si>
  <si>
    <t>org.apache.derby.impl.jdbc.EmbedClob@40a288c8</t>
  </si>
  <si>
    <t>CN-NM</t>
  </si>
  <si>
    <t>org.apache.derby.impl.jdbc.EmbedBlob@71cf297d</t>
  </si>
  <si>
    <t>ebe86682-666f-3ab3-9a08-43ed3097e4b3</t>
  </si>
  <si>
    <t>Kyrgyzstan</t>
  </si>
  <si>
    <t>org.apache.derby.impl.jdbc.EmbedClob@4ff7727b</t>
  </si>
  <si>
    <t>KG</t>
  </si>
  <si>
    <t>org.apache.derby.impl.jdbc.EmbedBlob@1b474785</t>
  </si>
  <si>
    <t>d95a61c8-5b6f-3e1d-874e-3f74dcad7889</t>
  </si>
  <si>
    <t>Brazil, Rio Grande do Sul</t>
  </si>
  <si>
    <t>org.apache.derby.impl.jdbc.EmbedClob@1ca902bf</t>
  </si>
  <si>
    <t>BR-RS</t>
  </si>
  <si>
    <t>org.apache.derby.impl.jdbc.EmbedBlob@14255496</t>
  </si>
  <si>
    <t>73ecfbb1-f6be-3c1e-b05a-aca2cb5b216d</t>
  </si>
  <si>
    <t>Europe, without Russia and Turkey</t>
  </si>
  <si>
    <t>org.apache.derby.impl.jdbc.EmbedClob@603588c3</t>
  </si>
  <si>
    <t>org.apache.derby.impl.jdbc.EmbedBlob@1587ce57</t>
  </si>
  <si>
    <t>a2a551a6-458a-3de2-a446-cc76d639a9e9</t>
  </si>
  <si>
    <t>Iceland</t>
  </si>
  <si>
    <t>org.apache.derby.impl.jdbc.EmbedClob@2bb8b995</t>
  </si>
  <si>
    <t>IS</t>
  </si>
  <si>
    <t>org.apache.derby.impl.jdbc.EmbedBlob@5a544596</t>
  </si>
  <si>
    <t>2f53e6f3-f2ac-3041-a4e0-737e58c45321</t>
  </si>
  <si>
    <t>Ecuador</t>
  </si>
  <si>
    <t>org.apache.derby.impl.jdbc.EmbedClob@710acdfd</t>
  </si>
  <si>
    <t>EC</t>
  </si>
  <si>
    <t>org.apache.derby.impl.jdbc.EmbedBlob@1f90b658</t>
  </si>
  <si>
    <t>3d26b0b1-7065-32cf-a9c0-6c010184c684</t>
  </si>
  <si>
    <t>Mexico</t>
  </si>
  <si>
    <t>org.apache.derby.impl.jdbc.EmbedClob@42b718cc</t>
  </si>
  <si>
    <t>MX</t>
  </si>
  <si>
    <t>org.apache.derby.impl.jdbc.EmbedBlob@1df5ca67</t>
  </si>
  <si>
    <t>b6a57ed4-cbc6-312a-bf71-7957fb91a589</t>
  </si>
  <si>
    <t>Brazil, Maranhão</t>
  </si>
  <si>
    <t>org.apache.derby.impl.jdbc.EmbedClob@74d9df7</t>
  </si>
  <si>
    <t>BR-MA</t>
  </si>
  <si>
    <t>org.apache.derby.impl.jdbc.EmbedBlob@7b1806be</t>
  </si>
  <si>
    <t>1548af1c-94ad-3558-8324-df8f08baf227</t>
  </si>
  <si>
    <t>Syrian Arab Republic</t>
  </si>
  <si>
    <t>org.apache.derby.impl.jdbc.EmbedClob@480d5d48</t>
  </si>
  <si>
    <t>SY</t>
  </si>
  <si>
    <t>org.apache.derby.impl.jdbc.EmbedBlob@2344c39b</t>
  </si>
  <si>
    <t>cefc84ac-f092-3d34-ada6-88531a9aa892</t>
  </si>
  <si>
    <t>Brazil, Minas Gerais</t>
  </si>
  <si>
    <t>org.apache.derby.impl.jdbc.EmbedClob@6aeef08d</t>
  </si>
  <si>
    <t>BR-MG</t>
  </si>
  <si>
    <t>org.apache.derby.impl.jdbc.EmbedBlob@733dc6e2</t>
  </si>
  <si>
    <t>f5ca07e2-8be1-3ac1-8ff1-978f7ba20472</t>
  </si>
  <si>
    <t>India, Chhattisgarh</t>
  </si>
  <si>
    <t>org.apache.derby.impl.jdbc.EmbedClob@76608b05</t>
  </si>
  <si>
    <t>IN-CT</t>
  </si>
  <si>
    <t>org.apache.derby.impl.jdbc.EmbedBlob@6b1777dc</t>
  </si>
  <si>
    <t>5435c69e-d3bc-35b2-a4d5-80e393e373d3</t>
  </si>
  <si>
    <t>Canada</t>
  </si>
  <si>
    <t>org.apache.derby.impl.jdbc.EmbedClob@7b4bd0c0</t>
  </si>
  <si>
    <t>CA</t>
  </si>
  <si>
    <t>org.apache.derby.impl.jdbc.EmbedBlob@149684e0</t>
  </si>
  <si>
    <t>a2d8fced-03cb-3e20-af8e-1226935c9c92</t>
  </si>
  <si>
    <t>Kosovo</t>
  </si>
  <si>
    <t>org.apache.derby.impl.jdbc.EmbedClob@44efa839</t>
  </si>
  <si>
    <t>XK</t>
  </si>
  <si>
    <t>org.apache.derby.impl.jdbc.EmbedBlob@6107bdb4</t>
  </si>
  <si>
    <t>b351bb9b-0af6-34fc-a787-49675c53ad67</t>
  </si>
  <si>
    <t>Madagascar</t>
  </si>
  <si>
    <t>org.apache.derby.impl.jdbc.EmbedClob@67c19ae2</t>
  </si>
  <si>
    <t>MG</t>
  </si>
  <si>
    <t>org.apache.derby.impl.jdbc.EmbedBlob@4750a37e</t>
  </si>
  <si>
    <t>60418cbc-6847-3b06-a830-253aa9bd9dba</t>
  </si>
  <si>
    <t>China, Hubei (湖北)</t>
  </si>
  <si>
    <t>org.apache.derby.impl.jdbc.EmbedClob@7ec765cd</t>
  </si>
  <si>
    <t>CN-HU</t>
  </si>
  <si>
    <t>org.apache.derby.impl.jdbc.EmbedBlob@22719dbc</t>
  </si>
  <si>
    <t>9e068c8f-fa9b-3d1a-84af-00f27e409990</t>
  </si>
  <si>
    <t>IAI Area, Africa</t>
  </si>
  <si>
    <t>org.apache.derby.impl.jdbc.EmbedClob@490c059a</t>
  </si>
  <si>
    <t>org.apache.derby.impl.jdbc.EmbedBlob@4e29e126</t>
  </si>
  <si>
    <t>3da770cc-56ed-3407-b6aa-f10ad4e72b4d</t>
  </si>
  <si>
    <t>Jamaica</t>
  </si>
  <si>
    <t>org.apache.derby.impl.jdbc.EmbedClob@601b1922</t>
  </si>
  <si>
    <t>JM</t>
  </si>
  <si>
    <t>org.apache.derby.impl.jdbc.EmbedBlob@4912e06e</t>
  </si>
  <si>
    <t>795237fd-9d10-3e63-8d19-b0db0f2fba2f</t>
  </si>
  <si>
    <t>Iraq</t>
  </si>
  <si>
    <t>org.apache.derby.impl.jdbc.EmbedClob@6a906c7e</t>
  </si>
  <si>
    <t>IQ</t>
  </si>
  <si>
    <t>org.apache.derby.impl.jdbc.EmbedBlob@6b3180db</t>
  </si>
  <si>
    <t>d67d8ccf-d4e5-318b-9354-67e81e28e573</t>
  </si>
  <si>
    <t>United States of America, Alaska Systems Coordinating Council</t>
  </si>
  <si>
    <t>org.apache.derby.impl.jdbc.EmbedClob@535b5696</t>
  </si>
  <si>
    <t>US-ASCC</t>
  </si>
  <si>
    <t>org.apache.derby.impl.jdbc.EmbedBlob@640ea353</t>
  </si>
  <si>
    <t>e0da2e3f-1c41-368e-b7f1-d1aa54166975</t>
  </si>
  <si>
    <t>China, Guangdong (广东)</t>
  </si>
  <si>
    <t>org.apache.derby.impl.jdbc.EmbedClob@3dec051</t>
  </si>
  <si>
    <t>CN-GD</t>
  </si>
  <si>
    <t>org.apache.derby.impl.jdbc.EmbedBlob@216fe1cb</t>
  </si>
  <si>
    <t>61ca6a75-802d-39f2-b7b3-09767d6389e0</t>
  </si>
  <si>
    <t>China, Shanxi (山西)</t>
  </si>
  <si>
    <t>org.apache.derby.impl.jdbc.EmbedClob@306aca8e</t>
  </si>
  <si>
    <t>CN-SX</t>
  </si>
  <si>
    <t>org.apache.derby.impl.jdbc.EmbedBlob@45c3589a</t>
  </si>
  <si>
    <t>8264ee52-f589-34c0-991a-a94f87aa1aeb</t>
  </si>
  <si>
    <t>Qatar</t>
  </si>
  <si>
    <t>org.apache.derby.impl.jdbc.EmbedClob@97dab71</t>
  </si>
  <si>
    <t>QA</t>
  </si>
  <si>
    <t>org.apache.derby.impl.jdbc.EmbedBlob@5742722c</t>
  </si>
  <si>
    <t>ab6c0400-6660-3ef2-919d-512b21dce9ab</t>
  </si>
  <si>
    <t>Colombia</t>
  </si>
  <si>
    <t>org.apache.derby.impl.jdbc.EmbedClob@311afcf0</t>
  </si>
  <si>
    <t>CO</t>
  </si>
  <si>
    <t>org.apache.derby.impl.jdbc.EmbedBlob@a807d5b</t>
  </si>
  <si>
    <t>787ab19f-0f93-3942-a6ba-7d86731959c1</t>
  </si>
  <si>
    <t>Brazil, North-eastern grid</t>
  </si>
  <si>
    <t>org.apache.derby.impl.jdbc.EmbedClob@4e17ad35</t>
  </si>
  <si>
    <t>BR-North-eastern grid</t>
  </si>
  <si>
    <t>org.apache.derby.impl.jdbc.EmbedBlob@559da1c6</t>
  </si>
  <si>
    <t>3f479bb4-8338-3900-abc9-c3f793a3433c</t>
  </si>
  <si>
    <t>Brazil, Amapá</t>
  </si>
  <si>
    <t>org.apache.derby.impl.jdbc.EmbedClob@5c7e648b</t>
  </si>
  <si>
    <t>BR-AP</t>
  </si>
  <si>
    <t>org.apache.derby.impl.jdbc.EmbedBlob@2f730434</t>
  </si>
  <si>
    <t>7232b1f7-eca0-3648-aff2-0ba2d10d2202</t>
  </si>
  <si>
    <t>India, Uttar Pradesh</t>
  </si>
  <si>
    <t>org.apache.derby.impl.jdbc.EmbedClob@669d5b4c</t>
  </si>
  <si>
    <t>IN-UP</t>
  </si>
  <si>
    <t>org.apache.derby.impl.jdbc.EmbedBlob@71c328a9</t>
  </si>
  <si>
    <t>7bbc9d94-7ed7-3d7a-9953-f020aa8fa299</t>
  </si>
  <si>
    <t>China, Hunan (湖南)</t>
  </si>
  <si>
    <t>org.apache.derby.impl.jdbc.EmbedClob@46a6d001</t>
  </si>
  <si>
    <t>CN-HN</t>
  </si>
  <si>
    <t>org.apache.derby.impl.jdbc.EmbedBlob@4aeda4a2</t>
  </si>
  <si>
    <t>4b24ca1d-6a54-335b-811e-38a32aaa0967</t>
  </si>
  <si>
    <t>Middle East</t>
  </si>
  <si>
    <t>org.apache.derby.impl.jdbc.EmbedClob@26993032</t>
  </si>
  <si>
    <t>RME</t>
  </si>
  <si>
    <t>org.apache.derby.impl.jdbc.EmbedBlob@3e21253f</t>
  </si>
  <si>
    <t>bef33c35-d56a-3154-a9e2-b20a11d7580f</t>
  </si>
  <si>
    <t>Canada, Northwest Territories</t>
  </si>
  <si>
    <t>org.apache.derby.impl.jdbc.EmbedClob@19ce4eed</t>
  </si>
  <si>
    <t>CA-NT</t>
  </si>
  <si>
    <t>org.apache.derby.impl.jdbc.EmbedBlob@6af1f3b</t>
  </si>
  <si>
    <t>b6c0a73a-ad7d-352e-a96f-0e22769d89d5</t>
  </si>
  <si>
    <t>China, Liaoning (辽宁)</t>
  </si>
  <si>
    <t>org.apache.derby.impl.jdbc.EmbedClob@3110da0c</t>
  </si>
  <si>
    <t>CN-LN</t>
  </si>
  <si>
    <t>org.apache.derby.impl.jdbc.EmbedBlob@5a4243e5</t>
  </si>
  <si>
    <t>3d364a93-f376-3ef2-abac-fbf57d2a749c</t>
  </si>
  <si>
    <t>Northeast Power Coordinating Council, US part only</t>
  </si>
  <si>
    <t>org.apache.derby.impl.jdbc.EmbedClob@63e81e3e</t>
  </si>
  <si>
    <t>US-NPCC</t>
  </si>
  <si>
    <t>org.apache.derby.impl.jdbc.EmbedBlob@2a37eaa1</t>
  </si>
  <si>
    <t>a1555463-c361-3703-aa27-4a8b44e29192</t>
  </si>
  <si>
    <t>Zimbabwe</t>
  </si>
  <si>
    <t>org.apache.derby.impl.jdbc.EmbedClob@62a2c969</t>
  </si>
  <si>
    <t>ZW</t>
  </si>
  <si>
    <t>org.apache.derby.impl.jdbc.EmbedBlob@411832ed</t>
  </si>
  <si>
    <t>aafb96b2-fa88-36be-b07c-4496867bad56</t>
  </si>
  <si>
    <t>Tunisia</t>
  </si>
  <si>
    <t>org.apache.derby.impl.jdbc.EmbedClob@58dc9c1a</t>
  </si>
  <si>
    <t>TN</t>
  </si>
  <si>
    <t>org.apache.derby.impl.jdbc.EmbedBlob@4dab0742</t>
  </si>
  <si>
    <t>742523da-ef59-3b4b-b184-09f46de05d0c</t>
  </si>
  <si>
    <t>Samoa</t>
  </si>
  <si>
    <t>WS</t>
  </si>
  <si>
    <t>org.apache.derby.impl.jdbc.EmbedBlob@3936761f</t>
  </si>
  <si>
    <t>60e220f4-0cb5-3453-8b55-4f9ed61cc641</t>
  </si>
  <si>
    <t>Brazil, Mid-western grid</t>
  </si>
  <si>
    <t>org.apache.derby.impl.jdbc.EmbedClob@39b9b48e</t>
  </si>
  <si>
    <t>BR-Mid-western grid</t>
  </si>
  <si>
    <t>org.apache.derby.impl.jdbc.EmbedBlob@10bd450d</t>
  </si>
  <si>
    <t>1bfad22f-0925-378f-b10a-37440bfdff43</t>
  </si>
  <si>
    <t>Guatemala</t>
  </si>
  <si>
    <t>org.apache.derby.impl.jdbc.EmbedClob@1a314f8b</t>
  </si>
  <si>
    <t>GT</t>
  </si>
  <si>
    <t>org.apache.derby.impl.jdbc.EmbedBlob@6e589587</t>
  </si>
  <si>
    <t>560cccf0-0b87-306f-bffd-5836e1175a7a</t>
  </si>
  <si>
    <t>China, Chongqing (重庆)</t>
  </si>
  <si>
    <t>org.apache.derby.impl.jdbc.EmbedClob@25351508</t>
  </si>
  <si>
    <t>CN-CQ</t>
  </si>
  <si>
    <t>org.apache.derby.impl.jdbc.EmbedBlob@5f5aa98e</t>
  </si>
  <si>
    <t>21f95e96-39a6-3597-9376-f920757c6fb3</t>
  </si>
  <si>
    <t>China, Shandong (山东)</t>
  </si>
  <si>
    <t>org.apache.derby.impl.jdbc.EmbedClob@4f87e8f9</t>
  </si>
  <si>
    <t>CN-SD</t>
  </si>
  <si>
    <t>org.apache.derby.impl.jdbc.EmbedBlob@65d9b823</t>
  </si>
  <si>
    <t>c1895a3c-c69a-301c-8907-9eae8728c58f</t>
  </si>
  <si>
    <t>China Southern Power Grid</t>
  </si>
  <si>
    <t>org.apache.derby.impl.jdbc.EmbedClob@68c96cc5</t>
  </si>
  <si>
    <t>CN-CSG</t>
  </si>
  <si>
    <t>org.apache.derby.impl.jdbc.EmbedBlob@12654208</t>
  </si>
  <si>
    <t>7597a096-5782-3dab-a7f1-2688b0f729bf</t>
  </si>
  <si>
    <t>India, Meghalaya</t>
  </si>
  <si>
    <t>org.apache.derby.impl.jdbc.EmbedClob@3a55f8c7</t>
  </si>
  <si>
    <t>IN-ML</t>
  </si>
  <si>
    <t>org.apache.derby.impl.jdbc.EmbedBlob@19d9140c</t>
  </si>
  <si>
    <t>2511cf8d-d463-3535-87ad-39821f6ac934</t>
  </si>
  <si>
    <t>Brazil, Tocantins</t>
  </si>
  <si>
    <t>org.apache.derby.impl.jdbc.EmbedClob@56b7404a</t>
  </si>
  <si>
    <t>BR-TO</t>
  </si>
  <si>
    <t>org.apache.derby.impl.jdbc.EmbedBlob@6efa2d96</t>
  </si>
  <si>
    <t>8f93bdbf-02dd-37f2-9c94-15b7adb0520c</t>
  </si>
  <si>
    <t>China, Jiangxi (江西)</t>
  </si>
  <si>
    <t>org.apache.derby.impl.jdbc.EmbedClob@7bfc634e</t>
  </si>
  <si>
    <t>CN-JX</t>
  </si>
  <si>
    <t>org.apache.derby.impl.jdbc.EmbedBlob@2a546149</t>
  </si>
  <si>
    <t>18bd9197-cb1d-333b-8352-f47535c00320</t>
  </si>
  <si>
    <t>Hungary</t>
  </si>
  <si>
    <t>org.apache.derby.impl.jdbc.EmbedClob@468dd159</t>
  </si>
  <si>
    <t>HU</t>
  </si>
  <si>
    <t>org.apache.derby.impl.jdbc.EmbedBlob@7924c283</t>
  </si>
  <si>
    <t>29425bbb-4bff-3839-8445-ab9fb8abbd29</t>
  </si>
  <si>
    <t>Brazil, Southern grid</t>
  </si>
  <si>
    <t>org.apache.derby.impl.jdbc.EmbedClob@615a28fa</t>
  </si>
  <si>
    <t>BR-Southern grid</t>
  </si>
  <si>
    <t>org.apache.derby.impl.jdbc.EmbedBlob@40a240f0</t>
  </si>
  <si>
    <t>4700f764-429e-354b-99f9-ffe79b1418fe</t>
  </si>
  <si>
    <t>India, Tamil Nadu</t>
  </si>
  <si>
    <t>org.apache.derby.impl.jdbc.EmbedClob@1f4db2bd</t>
  </si>
  <si>
    <t>IN-TN</t>
  </si>
  <si>
    <t>org.apache.derby.impl.jdbc.EmbedBlob@2fe05456</t>
  </si>
  <si>
    <t>e40e7f95-3d17-3bfe-bd65-a885f2088578</t>
  </si>
  <si>
    <t>China, Heilongjiang (黑龙江省)</t>
  </si>
  <si>
    <t>org.apache.derby.impl.jdbc.EmbedClob@2d720ac0</t>
  </si>
  <si>
    <t>CN-HL</t>
  </si>
  <si>
    <t>org.apache.derby.impl.jdbc.EmbedBlob@daff759</t>
  </si>
  <si>
    <t>5bd185b8-bc04-31d4-8307-5955dc838694</t>
  </si>
  <si>
    <t>Canada, Ontario</t>
  </si>
  <si>
    <t>org.apache.derby.impl.jdbc.EmbedClob@2040505e</t>
  </si>
  <si>
    <t>CA-ON</t>
  </si>
  <si>
    <t>org.apache.derby.impl.jdbc.EmbedBlob@1d596a9c</t>
  </si>
  <si>
    <t>e728b477-51c6-3559-82cb-60f97d1e4553</t>
  </si>
  <si>
    <t>Libya</t>
  </si>
  <si>
    <t>org.apache.derby.impl.jdbc.EmbedClob@49da24e3</t>
  </si>
  <si>
    <t>LY</t>
  </si>
  <si>
    <t>org.apache.derby.impl.jdbc.EmbedBlob@3bbd17be</t>
  </si>
  <si>
    <t>1ff39ae0-ba4f-3c98-846b-8343b59eaf10</t>
  </si>
  <si>
    <t>Brazil, Mato Grosso</t>
  </si>
  <si>
    <t>org.apache.derby.impl.jdbc.EmbedClob@19dd6237</t>
  </si>
  <si>
    <t>BR-MT</t>
  </si>
  <si>
    <t>org.apache.derby.impl.jdbc.EmbedBlob@4f86e61a</t>
  </si>
  <si>
    <t>fa46ec0b-4924-38c2-994a-53ef61b94039</t>
  </si>
  <si>
    <t>Cambodia</t>
  </si>
  <si>
    <t>org.apache.derby.impl.jdbc.EmbedClob@57632e35</t>
  </si>
  <si>
    <t>KH</t>
  </si>
  <si>
    <t>org.apache.derby.impl.jdbc.EmbedBlob@430c380</t>
  </si>
  <si>
    <t>aa44e6fb-24ea-30f5-9463-91346594e4e8</t>
  </si>
  <si>
    <t>Canada, New Brunswick</t>
  </si>
  <si>
    <t>org.apache.derby.impl.jdbc.EmbedClob@760ed5eb</t>
  </si>
  <si>
    <t>CA-NB</t>
  </si>
  <si>
    <t>org.apache.derby.impl.jdbc.EmbedBlob@ec04b06</t>
  </si>
  <si>
    <t>c419b06b-4c65-39b5-8ff0-5adb3b8424f1</t>
  </si>
  <si>
    <t>Bangladesh</t>
  </si>
  <si>
    <t>org.apache.derby.impl.jdbc.EmbedClob@409cce6d</t>
  </si>
  <si>
    <t>BD</t>
  </si>
  <si>
    <t>org.apache.derby.impl.jdbc.EmbedBlob@4232393d</t>
  </si>
  <si>
    <t>07159c47-ee1b-39ae-8fb9-c40d480856c4</t>
  </si>
  <si>
    <t>Bosnia and Herzegovina</t>
  </si>
  <si>
    <t>org.apache.derby.impl.jdbc.EmbedClob@42131d1d</t>
  </si>
  <si>
    <t>BA</t>
  </si>
  <si>
    <t>org.apache.derby.impl.jdbc.EmbedBlob@4e07e622</t>
  </si>
  <si>
    <t>4a55061b-e7eb-3501-93ae-07c04faf0f77</t>
  </si>
  <si>
    <t>Brazil, Mato Grosso do Sul</t>
  </si>
  <si>
    <t>org.apache.derby.impl.jdbc.EmbedClob@68cea629</t>
  </si>
  <si>
    <t>BR-MS</t>
  </si>
  <si>
    <t>org.apache.derby.impl.jdbc.EmbedBlob@3be681dc</t>
  </si>
  <si>
    <t>6a962563-e235-3178-9e66-3e356ac8d9e4</t>
  </si>
  <si>
    <t>Turkmenistan</t>
  </si>
  <si>
    <t>org.apache.derby.impl.jdbc.EmbedClob@61479848</t>
  </si>
  <si>
    <t>TM</t>
  </si>
  <si>
    <t>org.apache.derby.impl.jdbc.EmbedBlob@100044b4</t>
  </si>
  <si>
    <t>c7439785-e07d-3db1-a531-12b8a73fb9c2</t>
  </si>
  <si>
    <t>China, Hainan (海南)</t>
  </si>
  <si>
    <t>org.apache.derby.impl.jdbc.EmbedClob@de24773</t>
  </si>
  <si>
    <t>CN-HA</t>
  </si>
  <si>
    <t>org.apache.derby.impl.jdbc.EmbedBlob@285df72</t>
  </si>
  <si>
    <t>a0e80568-b717-32ee-ac16-0fb0030b51cd</t>
  </si>
  <si>
    <t>China, Guizhou (贵州)</t>
  </si>
  <si>
    <t>org.apache.derby.impl.jdbc.EmbedClob@5fdd82b2</t>
  </si>
  <si>
    <t>CN-GZ</t>
  </si>
  <si>
    <t>org.apache.derby.impl.jdbc.EmbedBlob@4d6a5819</t>
  </si>
  <si>
    <t>adab7b70-1f23-3b82-814c-8506d3dc784e</t>
  </si>
  <si>
    <t>Croatia</t>
  </si>
  <si>
    <t>org.apache.derby.impl.jdbc.EmbedClob@522c5718</t>
  </si>
  <si>
    <t>HR</t>
  </si>
  <si>
    <t>org.apache.derby.impl.jdbc.EmbedBlob@4d85b90f</t>
  </si>
  <si>
    <t>28dd376c-5a44-3cc9-ae45-0ee338260c56</t>
  </si>
  <si>
    <t>Gibraltar</t>
  </si>
  <si>
    <t>org.apache.derby.impl.jdbc.EmbedClob@52309a36</t>
  </si>
  <si>
    <t>GI</t>
  </si>
  <si>
    <t>org.apache.derby.impl.jdbc.EmbedBlob@621483ff</t>
  </si>
  <si>
    <t>b3ca3686-cd4b-3dfc-8ccd-988d55a6cd36</t>
  </si>
  <si>
    <t>North America without Quebec</t>
  </si>
  <si>
    <t>org.apache.derby.impl.jdbc.EmbedClob@6f846ea1</t>
  </si>
  <si>
    <t>org.apache.derby.impl.jdbc.EmbedBlob@599e3566</t>
  </si>
  <si>
    <t>2d3a62fe-4d77-3861-9a5d-b0ba1452a7bc</t>
  </si>
  <si>
    <t>Canada, Newfoundland and Labrador</t>
  </si>
  <si>
    <t>org.apache.derby.impl.jdbc.EmbedClob@1f535ed1</t>
  </si>
  <si>
    <t>CA-NF</t>
  </si>
  <si>
    <t>org.apache.derby.impl.jdbc.EmbedBlob@137b8209</t>
  </si>
  <si>
    <t>3d34768d-1bf8-318a-b215-3e7e7366c07f</t>
  </si>
  <si>
    <t>India, Northern grid</t>
  </si>
  <si>
    <t>org.apache.derby.impl.jdbc.EmbedClob@3b66a005</t>
  </si>
  <si>
    <t>IN-Northern grid</t>
  </si>
  <si>
    <t>org.apache.derby.impl.jdbc.EmbedBlob@1bda5070</t>
  </si>
  <si>
    <t>d4f91763-3649-33c4-bc7a-b917fa990146</t>
  </si>
  <si>
    <t>Niger</t>
  </si>
  <si>
    <t>org.apache.derby.impl.jdbc.EmbedClob@54fef2c8</t>
  </si>
  <si>
    <t>NE</t>
  </si>
  <si>
    <t>org.apache.derby.impl.jdbc.EmbedBlob@5a1616da</t>
  </si>
  <si>
    <t>8f697344-3337-3a4d-a98b-fb261935fd20</t>
  </si>
  <si>
    <t>China, Hebei (河北)</t>
  </si>
  <si>
    <t>org.apache.derby.impl.jdbc.EmbedClob@527bdc42</t>
  </si>
  <si>
    <t>CN-HB</t>
  </si>
  <si>
    <t>org.apache.derby.impl.jdbc.EmbedBlob@382096aa</t>
  </si>
  <si>
    <t>d58da822-8993-3d8c-8ec4-f40689c2847e</t>
  </si>
  <si>
    <t>Oman</t>
  </si>
  <si>
    <t>org.apache.derby.impl.jdbc.EmbedClob@52eae7b2</t>
  </si>
  <si>
    <t>OM</t>
  </si>
  <si>
    <t>org.apache.derby.impl.jdbc.EmbedBlob@5e7fa861</t>
  </si>
  <si>
    <t>24213e9e-14b7-3f9c-be7d-189643518a9d</t>
  </si>
  <si>
    <t>Canada, Prince Edward Island</t>
  </si>
  <si>
    <t>org.apache.derby.impl.jdbc.EmbedClob@1fa80224</t>
  </si>
  <si>
    <t>CA-PE</t>
  </si>
  <si>
    <t>org.apache.derby.impl.jdbc.EmbedBlob@238142bd</t>
  </si>
  <si>
    <t>5191ccea-fcd9-3949-a1c7-67aea0c8a30e</t>
  </si>
  <si>
    <t>India, Gujarat</t>
  </si>
  <si>
    <t>org.apache.derby.impl.jdbc.EmbedClob@26d3e608</t>
  </si>
  <si>
    <t>IN-GJ</t>
  </si>
  <si>
    <t>org.apache.derby.impl.jdbc.EmbedBlob@5cc6e13</t>
  </si>
  <si>
    <t>a2788633-a453-37e8-ac1d-c6c5b63300b2</t>
  </si>
  <si>
    <t>IAI Area, EU27 &amp; EFTA</t>
  </si>
  <si>
    <t>org.apache.derby.impl.jdbc.EmbedClob@5aaae5ac</t>
  </si>
  <si>
    <t>org.apache.derby.impl.jdbc.EmbedBlob@4acd9b22</t>
  </si>
  <si>
    <t>c04cd38a-eb30-33ad-9f8a-b4e64a0ded7b</t>
  </si>
  <si>
    <t>Armenia</t>
  </si>
  <si>
    <t>org.apache.derby.impl.jdbc.EmbedClob@2c97d89e</t>
  </si>
  <si>
    <t>AM</t>
  </si>
  <si>
    <t>org.apache.derby.impl.jdbc.EmbedBlob@211dcf25</t>
  </si>
  <si>
    <t>c4f314d4-d365-310d-89a0-42946be99544</t>
  </si>
  <si>
    <t>Canada, Nova Scotia</t>
  </si>
  <si>
    <t>org.apache.derby.impl.jdbc.EmbedClob@6c40eb48</t>
  </si>
  <si>
    <t>CA-NS</t>
  </si>
  <si>
    <t>org.apache.derby.impl.jdbc.EmbedBlob@4a727969</t>
  </si>
  <si>
    <t>00c66f1a-036b-38f9-8b70-9cb8d925d3d9</t>
  </si>
  <si>
    <t>Yemen</t>
  </si>
  <si>
    <t>org.apache.derby.impl.jdbc.EmbedClob@58330b91</t>
  </si>
  <si>
    <t>YE</t>
  </si>
  <si>
    <t>org.apache.derby.impl.jdbc.EmbedBlob@17188355</t>
  </si>
  <si>
    <t>5f9cf7fe-0a6c-3aac-9ea5-bace245c16fe</t>
  </si>
  <si>
    <t>Brazil, Distrito Federal</t>
  </si>
  <si>
    <t>org.apache.derby.impl.jdbc.EmbedClob@7c693055</t>
  </si>
  <si>
    <t>BR-DF</t>
  </si>
  <si>
    <t>org.apache.derby.impl.jdbc.EmbedBlob@2509b780</t>
  </si>
  <si>
    <t>d74eea48-99a6-3f9f-8bc5-27ef988ea0ff</t>
  </si>
  <si>
    <t>Iran (Islamic Republic of)</t>
  </si>
  <si>
    <t>org.apache.derby.impl.jdbc.EmbedClob@65a64f33</t>
  </si>
  <si>
    <t>IR</t>
  </si>
  <si>
    <t>org.apache.derby.impl.jdbc.EmbedBlob@3a90ffa</t>
  </si>
  <si>
    <t>c12e01f2-a13f-3558-be1e-9e4aedb8242d</t>
  </si>
  <si>
    <t>Saudi Arabia</t>
  </si>
  <si>
    <t>org.apache.derby.impl.jdbc.EmbedClob@6bf41db8</t>
  </si>
  <si>
    <t>SA</t>
  </si>
  <si>
    <t>org.apache.derby.impl.jdbc.EmbedBlob@31519df6</t>
  </si>
  <si>
    <t>d0fa06cd-9333-3c8c-ae35-7ffe5cd1c4e9</t>
  </si>
  <si>
    <t>Sri Lanka</t>
  </si>
  <si>
    <t>org.apache.derby.impl.jdbc.EmbedClob@7a4c92f9</t>
  </si>
  <si>
    <t>LK</t>
  </si>
  <si>
    <t>org.apache.derby.impl.jdbc.EmbedBlob@319e49d5</t>
  </si>
  <si>
    <t>820eb5b6-96ea-3a65-bc0d-b1e258dc7d81</t>
  </si>
  <si>
    <t>Cameroon</t>
  </si>
  <si>
    <t>org.apache.derby.impl.jdbc.EmbedClob@6dfffacc</t>
  </si>
  <si>
    <t>CM</t>
  </si>
  <si>
    <t>org.apache.derby.impl.jdbc.EmbedBlob@50fc74a8</t>
  </si>
  <si>
    <t>df3f079d-e696-3496-b046-0dcfdbf9bca3</t>
  </si>
  <si>
    <t>Belarus</t>
  </si>
  <si>
    <t>org.apache.derby.impl.jdbc.EmbedClob@4eb9ff14</t>
  </si>
  <si>
    <t>BY</t>
  </si>
  <si>
    <t>org.apache.derby.impl.jdbc.EmbedBlob@daad7f7</t>
  </si>
  <si>
    <t>ca90e68b-c11f-3852-a0dc-fff3b658fd94</t>
  </si>
  <si>
    <t>India, Kerala</t>
  </si>
  <si>
    <t>org.apache.derby.impl.jdbc.EmbedClob@1f916514</t>
  </si>
  <si>
    <t>IN-KL</t>
  </si>
  <si>
    <t>org.apache.derby.impl.jdbc.EmbedBlob@2c7b0b7a</t>
  </si>
  <si>
    <t>0707ba09-2e91-360b-b05c-326e6a353593</t>
  </si>
  <si>
    <t>Curaçao</t>
  </si>
  <si>
    <t>org.apache.derby.impl.jdbc.EmbedClob@2d3b00be</t>
  </si>
  <si>
    <t>CW</t>
  </si>
  <si>
    <t>org.apache.derby.impl.jdbc.EmbedBlob@76756f81</t>
  </si>
  <si>
    <t>9008f9e2-758f-38fe-920b-1765e72734d5</t>
  </si>
  <si>
    <t>Kazakhstan</t>
  </si>
  <si>
    <t>org.apache.derby.impl.jdbc.EmbedClob@62580d9e</t>
  </si>
  <si>
    <t>KZ</t>
  </si>
  <si>
    <t>org.apache.derby.impl.jdbc.EmbedBlob@634736fb</t>
  </si>
  <si>
    <t>1e9be3c3-b260-37d5-8199-be20ff6cc65f</t>
  </si>
  <si>
    <t>China, Jiangsu (江苏)</t>
  </si>
  <si>
    <t>org.apache.derby.impl.jdbc.EmbedClob@3e135475</t>
  </si>
  <si>
    <t>CN-JS</t>
  </si>
  <si>
    <t>org.apache.derby.impl.jdbc.EmbedBlob@1c859ad4</t>
  </si>
  <si>
    <t>61c8d2f5-500d-37c3-a13e-4ed176dcf6d2</t>
  </si>
  <si>
    <t>Oceania</t>
  </si>
  <si>
    <t>org.apache.derby.impl.jdbc.EmbedClob@6d2b0c6a</t>
  </si>
  <si>
    <t>UN-OCEANIA</t>
  </si>
  <si>
    <t>org.apache.derby.impl.jdbc.EmbedBlob@139555a3</t>
  </si>
  <si>
    <t>e529a9ce-a4a7-38eb-9c58-28b13b22844c</t>
  </si>
  <si>
    <t>Panama</t>
  </si>
  <si>
    <t>org.apache.derby.impl.jdbc.EmbedClob@23763e3f</t>
  </si>
  <si>
    <t>PA</t>
  </si>
  <si>
    <t>org.apache.derby.impl.jdbc.EmbedBlob@168b3e67</t>
  </si>
  <si>
    <t>26403ec6-d537-3a31-b63e-294b44831734</t>
  </si>
  <si>
    <t>Lebanon</t>
  </si>
  <si>
    <t>org.apache.derby.impl.jdbc.EmbedClob@29cb1cb3</t>
  </si>
  <si>
    <t>LB</t>
  </si>
  <si>
    <t>org.apache.derby.impl.jdbc.EmbedBlob@104a7c64</t>
  </si>
  <si>
    <t>cf3fc916-339b-32ad-9c14-aca2425ccf53</t>
  </si>
  <si>
    <t>Nepal</t>
  </si>
  <si>
    <t>org.apache.derby.impl.jdbc.EmbedClob@2df3f94</t>
  </si>
  <si>
    <t>NP</t>
  </si>
  <si>
    <t>org.apache.derby.impl.jdbc.EmbedBlob@4de841ae</t>
  </si>
  <si>
    <t>d4579b26-88d6-3523-9f40-2f6b4b43bcbf</t>
  </si>
  <si>
    <t>Dominican Republic</t>
  </si>
  <si>
    <t>org.apache.derby.impl.jdbc.EmbedClob@3c37e224</t>
  </si>
  <si>
    <t>DO</t>
  </si>
  <si>
    <t>org.apache.derby.impl.jdbc.EmbedBlob@7fdd009a</t>
  </si>
  <si>
    <t>3a0f011f-4d1a-3550-9ef2-ea3474e67cb3</t>
  </si>
  <si>
    <t>India, Andhra Pradesh</t>
  </si>
  <si>
    <t>org.apache.derby.impl.jdbc.EmbedClob@405a36a</t>
  </si>
  <si>
    <t>IN-AP</t>
  </si>
  <si>
    <t>org.apache.derby.impl.jdbc.EmbedBlob@8ca92ee</t>
  </si>
  <si>
    <t>c0acd35c-b8a1-3823-a13f-8e5ff90a1755</t>
  </si>
  <si>
    <t>Brazil, Ceará</t>
  </si>
  <si>
    <t>org.apache.derby.impl.jdbc.EmbedClob@1f049abd</t>
  </si>
  <si>
    <t>BR-CE</t>
  </si>
  <si>
    <t>org.apache.derby.impl.jdbc.EmbedBlob@363374c4</t>
  </si>
  <si>
    <t>acc245cb-efd1-32ed-8aae-288e9aa8997c</t>
  </si>
  <si>
    <t>India, Goa</t>
  </si>
  <si>
    <t>org.apache.derby.impl.jdbc.EmbedClob@4617f9a8</t>
  </si>
  <si>
    <t>IN-GA</t>
  </si>
  <si>
    <t>org.apache.derby.impl.jdbc.EmbedBlob@1a164e66</t>
  </si>
  <si>
    <t>681385f1-7e52-31df-ac00-be252ba11e0f</t>
  </si>
  <si>
    <t>Brazil, Pernambuco</t>
  </si>
  <si>
    <t>org.apache.derby.impl.jdbc.EmbedClob@21fceeeb</t>
  </si>
  <si>
    <t>BR-PE</t>
  </si>
  <si>
    <t>org.apache.derby.impl.jdbc.EmbedBlob@cc42b44</t>
  </si>
  <si>
    <t>8f165bfe-9fb2-3137-9009-30e392871b80</t>
  </si>
  <si>
    <t>Brazil, Paraíba</t>
  </si>
  <si>
    <t>org.apache.derby.impl.jdbc.EmbedClob@75e759cd</t>
  </si>
  <si>
    <t>BR-PB</t>
  </si>
  <si>
    <t>org.apache.derby.impl.jdbc.EmbedBlob@5d2a4c69</t>
  </si>
  <si>
    <t>84483440-a52e-3976-a7a8-ba4e40684acb</t>
  </si>
  <si>
    <t>India, North-eastern grid</t>
  </si>
  <si>
    <t>org.apache.derby.impl.jdbc.EmbedClob@1b676a91</t>
  </si>
  <si>
    <t>IN-North-eastern grid</t>
  </si>
  <si>
    <t>org.apache.derby.impl.jdbc.EmbedBlob@3654fcb2</t>
  </si>
  <si>
    <t>4605f628-f91d-321e-8b5f-9433f46e29eb</t>
  </si>
  <si>
    <t>Israel</t>
  </si>
  <si>
    <t>org.apache.derby.impl.jdbc.EmbedClob@7932f284</t>
  </si>
  <si>
    <t>IL</t>
  </si>
  <si>
    <t>org.apache.derby.impl.jdbc.EmbedBlob@76f4a0cf</t>
  </si>
  <si>
    <t>3d4fcbd9-870d-3bb1-8c87-cbea7efaa80d</t>
  </si>
  <si>
    <t>IAI Area, Asia, without China and GCC</t>
  </si>
  <si>
    <t>org.apache.derby.impl.jdbc.EmbedClob@56e77f62</t>
  </si>
  <si>
    <t>org.apache.derby.impl.jdbc.EmbedBlob@298fd4de</t>
  </si>
  <si>
    <t>afbe94cd-be69-393e-babc-9f1325fc7dff</t>
  </si>
  <si>
    <t>Senegal</t>
  </si>
  <si>
    <t>org.apache.derby.impl.jdbc.EmbedClob@7aaefbf8</t>
  </si>
  <si>
    <t>SN</t>
  </si>
  <si>
    <t>org.apache.derby.impl.jdbc.EmbedBlob@17df97a0</t>
  </si>
  <si>
    <t>93757e43-6c09-3977-8a7f-b023d9d1edd3</t>
  </si>
  <si>
    <t>India, Madhya Pradesh</t>
  </si>
  <si>
    <t>org.apache.derby.impl.jdbc.EmbedClob@6da12993</t>
  </si>
  <si>
    <t>IN-MP</t>
  </si>
  <si>
    <t>org.apache.derby.impl.jdbc.EmbedBlob@37236445</t>
  </si>
  <si>
    <t>32d7508f-e692-30cb-80af-28441ef746d9</t>
  </si>
  <si>
    <t>Gabon</t>
  </si>
  <si>
    <t>org.apache.derby.impl.jdbc.EmbedClob@5c2a9796</t>
  </si>
  <si>
    <t>GA</t>
  </si>
  <si>
    <t>org.apache.derby.impl.jdbc.EmbedBlob@3823c031</t>
  </si>
  <si>
    <t>4205164e-e2e5-30d6-98fb-7657af40aed6</t>
  </si>
  <si>
    <t>Nordic Countries Power Association</t>
  </si>
  <si>
    <t>org.apache.derby.impl.jdbc.EmbedClob@7b711739</t>
  </si>
  <si>
    <t>NORDEL</t>
  </si>
  <si>
    <t>org.apache.derby.impl.jdbc.EmbedBlob@5fc2ee04</t>
  </si>
  <si>
    <t>5e9c52c6-d618-381e-bd9d-62a294c4979c</t>
  </si>
  <si>
    <t>Viet Nam</t>
  </si>
  <si>
    <t>org.apache.derby.impl.jdbc.EmbedClob@79469f85</t>
  </si>
  <si>
    <t>VN</t>
  </si>
  <si>
    <t>org.apache.derby.impl.jdbc.EmbedBlob@3fbe45ff</t>
  </si>
  <si>
    <t>11c42ab9-2538-3eb1-b665-6076cee71221</t>
  </si>
  <si>
    <t>Canada, Yukon Territory</t>
  </si>
  <si>
    <t>org.apache.derby.impl.jdbc.EmbedClob@77c43ec2</t>
  </si>
  <si>
    <t>CA-YK</t>
  </si>
  <si>
    <t>org.apache.derby.impl.jdbc.EmbedBlob@3a332d08</t>
  </si>
  <si>
    <t>e22dbdd9-06f5-3598-accc-59c8ff842535</t>
  </si>
  <si>
    <t>China, Zhejiang (浙江)</t>
  </si>
  <si>
    <t>org.apache.derby.impl.jdbc.EmbedClob@5c1222da</t>
  </si>
  <si>
    <t>CN-ZJ</t>
  </si>
  <si>
    <t>org.apache.derby.impl.jdbc.EmbedBlob@47aa0bdf</t>
  </si>
  <si>
    <t>b633c174-f67b-3819-a2a4-ef89f2d5b8cb</t>
  </si>
  <si>
    <t xml:space="preserve">Union for the Co-ordination of Transmission of Electricity </t>
  </si>
  <si>
    <t>org.apache.derby.impl.jdbc.EmbedClob@64d2354f</t>
  </si>
  <si>
    <t>UCTE</t>
  </si>
  <si>
    <t>org.apache.derby.impl.jdbc.EmbedBlob@489c6911</t>
  </si>
  <si>
    <t>59ca4f8b-bb97-33c2-ab59-db115fcdb664</t>
  </si>
  <si>
    <t>Honduras</t>
  </si>
  <si>
    <t>org.apache.derby.impl.jdbc.EmbedClob@5f7f672e</t>
  </si>
  <si>
    <t>HN</t>
  </si>
  <si>
    <t>org.apache.derby.impl.jdbc.EmbedBlob@2af259c3</t>
  </si>
  <si>
    <t>267b1b52-9830-3ddd-bce9-0be0b80a70ec</t>
  </si>
  <si>
    <t>China, Tianjin (天津)</t>
  </si>
  <si>
    <t>org.apache.derby.impl.jdbc.EmbedClob@5de10f47</t>
  </si>
  <si>
    <t>CN-TJ</t>
  </si>
  <si>
    <t>org.apache.derby.impl.jdbc.EmbedBlob@769e210b</t>
  </si>
  <si>
    <t>41256636-7c67-348b-999d-1b7666f8ccfc</t>
  </si>
  <si>
    <t>Mongolia</t>
  </si>
  <si>
    <t>org.apache.derby.impl.jdbc.EmbedClob@527c7ee1</t>
  </si>
  <si>
    <t>MN</t>
  </si>
  <si>
    <t>org.apache.derby.impl.jdbc.EmbedBlob@6a78192c</t>
  </si>
  <si>
    <t>39b9df3a-0fb3-356d-91a6-3e22260e96ab</t>
  </si>
  <si>
    <t>Benin</t>
  </si>
  <si>
    <t>org.apache.derby.impl.jdbc.EmbedClob@3f36a813</t>
  </si>
  <si>
    <t>BJ</t>
  </si>
  <si>
    <t>org.apache.derby.impl.jdbc.EmbedBlob@38274087</t>
  </si>
  <si>
    <t>fc88ecd5-d3d6-3669-a708-4b9a86e8907d</t>
  </si>
  <si>
    <t>China, Ningxia (宁夏回族自治区)</t>
  </si>
  <si>
    <t>org.apache.derby.impl.jdbc.EmbedClob@99daa14</t>
  </si>
  <si>
    <t>CN-NX</t>
  </si>
  <si>
    <t>org.apache.derby.impl.jdbc.EmbedBlob@23067372</t>
  </si>
  <si>
    <t>038c0dc8-a958-3fea-97af-047244fb6960</t>
  </si>
  <si>
    <t>Rwanda</t>
  </si>
  <si>
    <t>org.apache.derby.impl.jdbc.EmbedClob@29fa2131</t>
  </si>
  <si>
    <t>RW</t>
  </si>
  <si>
    <t>org.apache.derby.impl.jdbc.EmbedBlob@2b5b7ff1</t>
  </si>
  <si>
    <t>6ec66e12-4fb9-3c19-8e92-07b0b82f542a</t>
  </si>
  <si>
    <t>Namibia</t>
  </si>
  <si>
    <t>org.apache.derby.impl.jdbc.EmbedClob@4ff2ad84</t>
  </si>
  <si>
    <t>NA</t>
  </si>
  <si>
    <t>org.apache.derby.impl.jdbc.EmbedBlob@5fffcaeb</t>
  </si>
  <si>
    <t>0de7b6a6-1a70-388b-a6e6-eeb3113531a3</t>
  </si>
  <si>
    <t>Algeria</t>
  </si>
  <si>
    <t>org.apache.derby.impl.jdbc.EmbedClob@27f49b8c</t>
  </si>
  <si>
    <t>DZ</t>
  </si>
  <si>
    <t>org.apache.derby.impl.jdbc.EmbedBlob@5720dc74</t>
  </si>
  <si>
    <t>456c2e75-fe0f-3a57-bd1c-fd87117e0963</t>
  </si>
  <si>
    <t>Tajikistan</t>
  </si>
  <si>
    <t>org.apache.derby.impl.jdbc.EmbedClob@de4d599</t>
  </si>
  <si>
    <t>TJ</t>
  </si>
  <si>
    <t>org.apache.derby.impl.jdbc.EmbedBlob@2cedfe5c</t>
  </si>
  <si>
    <t>7e8b127e-c944-3d1b-bb3d-ec8447596bee</t>
  </si>
  <si>
    <t>IAI Area, Russia &amp; Europe outside EU27 &amp; EFTA</t>
  </si>
  <si>
    <t>org.apache.derby.impl.jdbc.EmbedClob@2fc628b6</t>
  </si>
  <si>
    <t>IAI Area, Russia &amp; RER w/o EU27 &amp; EFTA</t>
  </si>
  <si>
    <t>org.apache.derby.impl.jdbc.EmbedBlob@5537d818</t>
  </si>
  <si>
    <t>b3b2f971-8936-3bb7-ae6e-8b9a909f7fea</t>
  </si>
  <si>
    <t>India, Sikkim</t>
  </si>
  <si>
    <t>org.apache.derby.impl.jdbc.EmbedClob@166bd3fc</t>
  </si>
  <si>
    <t>IN-SK</t>
  </si>
  <si>
    <t>org.apache.derby.impl.jdbc.EmbedBlob@8f6ca1f</t>
  </si>
  <si>
    <t>fa0ed5b5-c600-345b-9d9a-299952b99651</t>
  </si>
  <si>
    <t>Mayotte</t>
  </si>
  <si>
    <t>YT</t>
  </si>
  <si>
    <t>org.apache.derby.impl.jdbc.EmbedBlob@52ea2fe5</t>
  </si>
  <si>
    <t>5343b21a-d303-3f17-9962-9894deca13db</t>
  </si>
  <si>
    <t>Guadeloupe</t>
  </si>
  <si>
    <t>GP</t>
  </si>
  <si>
    <t>org.apache.derby.impl.jdbc.EmbedBlob@39f6cab8</t>
  </si>
  <si>
    <t>b84a1ed8-db3d-3bf3-b8f4-9becdea153b2</t>
  </si>
  <si>
    <t>Equatorial Guinea</t>
  </si>
  <si>
    <t>GQ</t>
  </si>
  <si>
    <t>org.apache.derby.impl.jdbc.EmbedBlob@714a1a49</t>
  </si>
  <si>
    <t>9e854e58-6592-3fe3-961f-e89d56220808</t>
  </si>
  <si>
    <t>Cayman Islands</t>
  </si>
  <si>
    <t>KY</t>
  </si>
  <si>
    <t>org.apache.derby.impl.jdbc.EmbedBlob@4f52904d</t>
  </si>
  <si>
    <t>2a47e9b9-c8a9-3aa8-851b-5f388e6dfdfc</t>
  </si>
  <si>
    <t>Southwest Power Pool</t>
  </si>
  <si>
    <t>US-SPP</t>
  </si>
  <si>
    <t>org.apache.derby.impl.jdbc.EmbedBlob@4cc40b45</t>
  </si>
  <si>
    <t>e2e4a94e-1424-3818-a075-e6565ed277ba</t>
  </si>
  <si>
    <t>Europe without Germany, the Netherlands, and Russia</t>
  </si>
  <si>
    <t>org.apache.derby.impl.jdbc.EmbedClob@4368ab6f</t>
  </si>
  <si>
    <t>RER w/o DE+NL+RU</t>
  </si>
  <si>
    <t>org.apache.derby.impl.jdbc.EmbedBlob@395a5de6</t>
  </si>
  <si>
    <t>560c48ee-f0d7-35b7-8fc8-d116f882b7f9</t>
  </si>
  <si>
    <t>Europe without Russia</t>
  </si>
  <si>
    <t>org.apache.derby.impl.jdbc.EmbedClob@55a8e7ab</t>
  </si>
  <si>
    <t>RER w/o RU</t>
  </si>
  <si>
    <t>org.apache.derby.impl.jdbc.EmbedBlob@3aedbf69</t>
  </si>
  <si>
    <t>fcebeddb-1170-3f3e-9da9-84cda05834d3</t>
  </si>
  <si>
    <t>India, Bihar</t>
  </si>
  <si>
    <t>org.apache.derby.impl.jdbc.EmbedClob@51b360bf</t>
  </si>
  <si>
    <t>IN-BR</t>
  </si>
  <si>
    <t>org.apache.derby.impl.jdbc.EmbedBlob@4334509d</t>
  </si>
  <si>
    <t>2def7a8d-de84-3e37-919f-800fcffedd7f</t>
  </si>
  <si>
    <t>Brazil, Northern grid</t>
  </si>
  <si>
    <t>org.apache.derby.impl.jdbc.EmbedClob@787fa544</t>
  </si>
  <si>
    <t>BR-Northern grid</t>
  </si>
  <si>
    <t>org.apache.derby.impl.jdbc.EmbedBlob@65c26015</t>
  </si>
  <si>
    <t>743b849d-a893-3b9d-9de7-7253e78e73f9</t>
  </si>
  <si>
    <t>India, Southern grid</t>
  </si>
  <si>
    <t>org.apache.derby.impl.jdbc.EmbedClob@4136488</t>
  </si>
  <si>
    <t>IN-Southern grid</t>
  </si>
  <si>
    <t>org.apache.derby.impl.jdbc.EmbedBlob@5c7e27c5</t>
  </si>
  <si>
    <t>1f0eb098-5870-335e-a2fa-2f68a223b173</t>
  </si>
  <si>
    <t>Togo</t>
  </si>
  <si>
    <t>org.apache.derby.impl.jdbc.EmbedClob@2aca2697</t>
  </si>
  <si>
    <t>TG</t>
  </si>
  <si>
    <t>org.apache.derby.impl.jdbc.EmbedBlob@35623062</t>
  </si>
  <si>
    <t>48fa5cc7-a7e6-36c7-8482-932e4b051dbe</t>
  </si>
  <si>
    <t>IAI Area, North America</t>
  </si>
  <si>
    <t>org.apache.derby.impl.jdbc.EmbedClob@299bafe9</t>
  </si>
  <si>
    <t>org.apache.derby.impl.jdbc.EmbedBlob@7ff39597</t>
  </si>
  <si>
    <t>dfed5bc1-77b8-3ab3-97c5-84e06566adc6</t>
  </si>
  <si>
    <t>Paraguay</t>
  </si>
  <si>
    <t>org.apache.derby.impl.jdbc.EmbedClob@5bb64b2b</t>
  </si>
  <si>
    <t>PY</t>
  </si>
  <si>
    <t>org.apache.derby.impl.jdbc.EmbedBlob@2fa64353</t>
  </si>
  <si>
    <t>ef7eee5c-b3bb-39df-937f-ea23522e29ff</t>
  </si>
  <si>
    <t>Puerto Rico</t>
  </si>
  <si>
    <t>org.apache.derby.impl.jdbc.EmbedClob@1ccb6dd2</t>
  </si>
  <si>
    <t>US-PR</t>
  </si>
  <si>
    <t>aeb25875-308b-367b-8aae-b55f75760a0a</t>
  </si>
  <si>
    <t>India, Maharashtra</t>
  </si>
  <si>
    <t>org.apache.derby.impl.jdbc.EmbedClob@7ff70cf1</t>
  </si>
  <si>
    <t>IN-MH</t>
  </si>
  <si>
    <t>org.apache.derby.impl.jdbc.EmbedBlob@bd08a61</t>
  </si>
  <si>
    <t>659b0a84-66a1-3938-9fbf-bd8673173304</t>
  </si>
  <si>
    <t>India, Orissa</t>
  </si>
  <si>
    <t>org.apache.derby.impl.jdbc.EmbedClob@4cb2c334</t>
  </si>
  <si>
    <t>IN-OR</t>
  </si>
  <si>
    <t>org.apache.derby.impl.jdbc.EmbedBlob@b65ded7</t>
  </si>
  <si>
    <t>df2351c0-3e0a-3b1f-b36d-eda10d726219</t>
  </si>
  <si>
    <t>India, Puducherry</t>
  </si>
  <si>
    <t>org.apache.derby.impl.jdbc.EmbedClob@127400db</t>
  </si>
  <si>
    <t>IN-PY</t>
  </si>
  <si>
    <t>org.apache.derby.impl.jdbc.EmbedBlob@1df81376</t>
  </si>
  <si>
    <t>27ec30d1-c271-32b7-8cdf-d39530307275</t>
  </si>
  <si>
    <t>Western Europe</t>
  </si>
  <si>
    <t>org.apache.derby.impl.jdbc.EmbedClob@4789c89e</t>
  </si>
  <si>
    <t>WEU</t>
  </si>
  <si>
    <t>org.apache.derby.impl.jdbc.EmbedBlob@507f939a</t>
  </si>
  <si>
    <t>f2abc9bc-5787-34f9-bdbe-2085be7bb37b</t>
  </si>
  <si>
    <t>Brazil, Rio de Janeiro</t>
  </si>
  <si>
    <t>org.apache.derby.impl.jdbc.EmbedClob@d415940</t>
  </si>
  <si>
    <t>BR-RJ</t>
  </si>
  <si>
    <t>org.apache.derby.impl.jdbc.EmbedBlob@485ad4e</t>
  </si>
  <si>
    <t>3ea7c4c6-7057-3b39-96e1-a3251dda63b2</t>
  </si>
  <si>
    <t>China, Sichuan (四川)</t>
  </si>
  <si>
    <t>org.apache.derby.impl.jdbc.EmbedClob@1f8ff9c5</t>
  </si>
  <si>
    <t>CN-SC</t>
  </si>
  <si>
    <t>org.apache.derby.impl.jdbc.EmbedBlob@344c9e8c</t>
  </si>
  <si>
    <t>2a6a84e9-e444-31af-bd75-cc19ce28be37</t>
  </si>
  <si>
    <t>Egypt</t>
  </si>
  <si>
    <t>org.apache.derby.impl.jdbc.EmbedClob@1d8aaa96</t>
  </si>
  <si>
    <t>EG</t>
  </si>
  <si>
    <t>org.apache.derby.impl.jdbc.EmbedBlob@7d2b3933</t>
  </si>
  <si>
    <t>1e81b743-6a70-354c-9322-3808b222db79</t>
  </si>
  <si>
    <t>IAI Area, South America</t>
  </si>
  <si>
    <t>org.apache.derby.impl.jdbc.EmbedClob@4c8d9359</t>
  </si>
  <si>
    <t>org.apache.derby.impl.jdbc.EmbedBlob@54f31bba</t>
  </si>
  <si>
    <t>66e10e9f-f65e-3479-a54d-de3968d3440d</t>
  </si>
  <si>
    <t>Nigeria</t>
  </si>
  <si>
    <t>org.apache.derby.impl.jdbc.EmbedClob@70b542b6</t>
  </si>
  <si>
    <t>NG</t>
  </si>
  <si>
    <t>org.apache.derby.impl.jdbc.EmbedBlob@500200a2</t>
  </si>
  <si>
    <t>a31b8a7f-168f-3a44-bce0-4a7d786cbe3e</t>
  </si>
  <si>
    <t>Europe without Austria</t>
  </si>
  <si>
    <t>org.apache.derby.impl.jdbc.EmbedClob@62b00604</t>
  </si>
  <si>
    <t>org.apache.derby.impl.jdbc.EmbedBlob@74a8b8bd</t>
  </si>
  <si>
    <t>a4dbfd6a-ef3b-3045-be61-aa0146debdf8</t>
  </si>
  <si>
    <t>Cuba</t>
  </si>
  <si>
    <t>org.apache.derby.impl.jdbc.EmbedClob@346fb19a</t>
  </si>
  <si>
    <t>CU</t>
  </si>
  <si>
    <t>org.apache.derby.impl.jdbc.EmbedBlob@6f1f5720</t>
  </si>
  <si>
    <t>73c18c59-a39b-3838-a081-ec00bb456d43</t>
  </si>
  <si>
    <t>Guernsey</t>
  </si>
  <si>
    <t>GG</t>
  </si>
  <si>
    <t>org.apache.derby.impl.jdbc.EmbedBlob@5ec3672e</t>
  </si>
  <si>
    <t>326dde39-0b64-3523-b09f-aa0f427066d8</t>
  </si>
  <si>
    <t>Southern Africa</t>
  </si>
  <si>
    <t>UN-SASIA</t>
  </si>
  <si>
    <t>org.apache.derby.impl.jdbc.EmbedBlob@1769fe0d</t>
  </si>
  <si>
    <t>235ec523-92b7-3977-939c-f78b62e708d3</t>
  </si>
  <si>
    <t>Papua New Guinea</t>
  </si>
  <si>
    <t>org.apache.derby.impl.jdbc.EmbedClob@2953d16c</t>
  </si>
  <si>
    <t>PG</t>
  </si>
  <si>
    <t>org.apache.derby.impl.jdbc.EmbedBlob@795fdf84</t>
  </si>
  <si>
    <t>accc9105-df53-3311-9407-fd5b41255e23</t>
  </si>
  <si>
    <t>Trinidad and Tobago</t>
  </si>
  <si>
    <t>org.apache.derby.impl.jdbc.EmbedClob@211edf34</t>
  </si>
  <si>
    <t>TT</t>
  </si>
  <si>
    <t>org.apache.derby.impl.jdbc.EmbedBlob@1671a2ca</t>
  </si>
  <si>
    <t>eb5e48e7-4123-3acc-9276-1302ea4a7d22</t>
  </si>
  <si>
    <t>Haiti</t>
  </si>
  <si>
    <t>org.apache.derby.impl.jdbc.EmbedClob@2b854498</t>
  </si>
  <si>
    <t>HT</t>
  </si>
  <si>
    <t>org.apache.derby.impl.jdbc.EmbedBlob@2ca10d93</t>
  </si>
  <si>
    <t>8088f809-4240-3a5f-b3ff-5ccad9f1e40f</t>
  </si>
  <si>
    <t>Florida Reliability Coordinating Council</t>
  </si>
  <si>
    <t>US-FRCC</t>
  </si>
  <si>
    <t>org.apache.derby.impl.jdbc.EmbedBlob@7b11904c</t>
  </si>
  <si>
    <t>adac5e63-f80f-3629-a957-3527b25891d3</t>
  </si>
  <si>
    <t>Angola</t>
  </si>
  <si>
    <t>org.apache.derby.impl.jdbc.EmbedClob@60ed0a16</t>
  </si>
  <si>
    <t>AO</t>
  </si>
  <si>
    <t>org.apache.derby.impl.jdbc.EmbedBlob@61cd3317</t>
  </si>
  <si>
    <t>d86e4c78-e80b-39f8-9b2f-2e6e20e72c5c</t>
  </si>
  <si>
    <t>India, Himachal Pradesh</t>
  </si>
  <si>
    <t>org.apache.derby.impl.jdbc.EmbedClob@45246728</t>
  </si>
  <si>
    <t>IN-HP</t>
  </si>
  <si>
    <t>org.apache.derby.impl.jdbc.EmbedBlob@32400c30</t>
  </si>
  <si>
    <t>1d8d5e91-2302-308b-9e88-c3e77fcad378</t>
  </si>
  <si>
    <t>South Georgia and the South Sandwich Islands</t>
  </si>
  <si>
    <t>GS</t>
  </si>
  <si>
    <t>org.apache.derby.impl.jdbc.EmbedBlob@3a751dd4</t>
  </si>
  <si>
    <t>9ebe579b-1c4d-361f-97a7-4d7f59fcb7a6</t>
  </si>
  <si>
    <t>Akrotiri Sovereign Base Area</t>
  </si>
  <si>
    <t>Akrotiri</t>
  </si>
  <si>
    <t>org.apache.derby.impl.jdbc.EmbedBlob@3228c406</t>
  </si>
  <si>
    <t>1d8a4975-693e-31eb-9ca5-4878098d608f</t>
  </si>
  <si>
    <t>Martinique</t>
  </si>
  <si>
    <t>MQ</t>
  </si>
  <si>
    <t>org.apache.derby.impl.jdbc.EmbedBlob@5453f84c</t>
  </si>
  <si>
    <t>a8a64cef-262a-34de-8872-b68b63ab7cd8</t>
  </si>
  <si>
    <t>South Asia</t>
  </si>
  <si>
    <t>org.apache.derby.impl.jdbc.EmbedClob@66c05f7a</t>
  </si>
  <si>
    <t>SAS</t>
  </si>
  <si>
    <t>org.apache.derby.impl.jdbc.EmbedBlob@b597a0</t>
  </si>
  <si>
    <t>06927d92-f8d7-33a0-a39a-550cd4194d4e</t>
  </si>
  <si>
    <t>Brazil, Rio Grande do Norte</t>
  </si>
  <si>
    <t>org.apache.derby.impl.jdbc.EmbedClob@4bef9e62</t>
  </si>
  <si>
    <t>BR-RN</t>
  </si>
  <si>
    <t>org.apache.derby.impl.jdbc.EmbedBlob@2f3033ea</t>
  </si>
  <si>
    <t>b40feb9f-0afa-3eab-9c03-5085ecbbb908</t>
  </si>
  <si>
    <t>Cyprus No Mans Area</t>
  </si>
  <si>
    <t>org.apache.derby.impl.jdbc.EmbedBlob@10e8ecfa</t>
  </si>
  <si>
    <t>cfd7a475-f752-3ef8-95e8-d042c4511dd3</t>
  </si>
  <si>
    <t>Bajo Nuevo Bank (Petrel Is.)</t>
  </si>
  <si>
    <t>Bajo Nuevo</t>
  </si>
  <si>
    <t>org.apache.derby.impl.jdbc.EmbedBlob@3c4c71d0</t>
  </si>
  <si>
    <t>bd6ef2ee-f612-38be-bce0-90c8e64ebaa9</t>
  </si>
  <si>
    <t>Northern Cyprus</t>
  </si>
  <si>
    <t>org.apache.derby.impl.jdbc.EmbedBlob@be7f4b5</t>
  </si>
  <si>
    <t>e914aa2b-6272-3660-9305-a03124b4d9a8</t>
  </si>
  <si>
    <t>Spratly Islands</t>
  </si>
  <si>
    <t>org.apache.derby.impl.jdbc.EmbedBlob@25e63940</t>
  </si>
  <si>
    <t>c522c8a8-e015-3c11-8568-19e032cd23cf</t>
  </si>
  <si>
    <t>Europe without Switzerland and Austria</t>
  </si>
  <si>
    <t>org.apache.derby.impl.jdbc.EmbedClob@723e9e3a</t>
  </si>
  <si>
    <t>org.apache.derby.impl.jdbc.EmbedBlob@1955a811</t>
  </si>
  <si>
    <t>52327bd4-0595-3582-a442-b1ecf5c423bb</t>
  </si>
  <si>
    <t>Brazil, Roraima</t>
  </si>
  <si>
    <t>org.apache.derby.impl.jdbc.EmbedClob@dedbe42</t>
  </si>
  <si>
    <t>BR-RR</t>
  </si>
  <si>
    <t>org.apache.derby.impl.jdbc.EmbedBlob@b242e8b</t>
  </si>
  <si>
    <t>e66b9cb6-fca6-3058-b3fc-ab1eea7e2162</t>
  </si>
  <si>
    <t>China, Guangxi (广西壮族自治区)</t>
  </si>
  <si>
    <t>org.apache.derby.impl.jdbc.EmbedClob@3badd5e0</t>
  </si>
  <si>
    <t>CN-GX</t>
  </si>
  <si>
    <t>org.apache.derby.impl.jdbc.EmbedBlob@6ff347a9</t>
  </si>
  <si>
    <t>818f9c45-cfa3-3eef-b277-ef38bcbe9910</t>
  </si>
  <si>
    <t>Eritrea</t>
  </si>
  <si>
    <t>org.apache.derby.impl.jdbc.EmbedClob@45097caa</t>
  </si>
  <si>
    <t>ER</t>
  </si>
  <si>
    <t>org.apache.derby.impl.jdbc.EmbedBlob@10dea33e</t>
  </si>
  <si>
    <t>10a33d7b-6e2e-3aa5-8dee-a126f06ae6c1</t>
  </si>
  <si>
    <t>China, Gansu (甘肃)</t>
  </si>
  <si>
    <t>org.apache.derby.impl.jdbc.EmbedClob@7807d756</t>
  </si>
  <si>
    <t>CN-GS</t>
  </si>
  <si>
    <t>org.apache.derby.impl.jdbc.EmbedBlob@35ed8c1</t>
  </si>
  <si>
    <t>823355b6-3ab3-3f0a-8e4d-1367e89abd1c</t>
  </si>
  <si>
    <t>Botswana</t>
  </si>
  <si>
    <t>org.apache.derby.impl.jdbc.EmbedClob@66fc5cc7</t>
  </si>
  <si>
    <t>BW</t>
  </si>
  <si>
    <t>org.apache.derby.impl.jdbc.EmbedBlob@20879a29</t>
  </si>
  <si>
    <t>74004055-307c-39b7-a86b-1fa29a4944e8</t>
  </si>
  <si>
    <t>India, Tripura</t>
  </si>
  <si>
    <t>org.apache.derby.impl.jdbc.EmbedClob@4d19e440</t>
  </si>
  <si>
    <t>IN-TR</t>
  </si>
  <si>
    <t>org.apache.derby.impl.jdbc.EmbedBlob@38f4a5f2</t>
  </si>
  <si>
    <t>e6c151d4-49e1-3b05-b1ff-b5ad5ec656cf</t>
  </si>
  <si>
    <t>Nicaragua</t>
  </si>
  <si>
    <t>org.apache.derby.impl.jdbc.EmbedClob@3ceadc4f</t>
  </si>
  <si>
    <t>NI</t>
  </si>
  <si>
    <t>org.apache.derby.impl.jdbc.EmbedBlob@20a05f29</t>
  </si>
  <si>
    <t>26b568e4-192a-364d-9b3e-acdbd632bc2e</t>
  </si>
  <si>
    <t>Korea, Democratic People's Republic of</t>
  </si>
  <si>
    <t>org.apache.derby.impl.jdbc.EmbedClob@22198499</t>
  </si>
  <si>
    <t>KP</t>
  </si>
  <si>
    <t>org.apache.derby.impl.jdbc.EmbedBlob@3f5f7e1d</t>
  </si>
  <si>
    <t>4f3dd0ff-b3e4-3c5f-b4b5-b0d8c1f10bb5</t>
  </si>
  <si>
    <t>Mozambique</t>
  </si>
  <si>
    <t>org.apache.derby.impl.jdbc.EmbedClob@553dd51d</t>
  </si>
  <si>
    <t>MZ</t>
  </si>
  <si>
    <t>org.apache.derby.impl.jdbc.EmbedBlob@1915eeb9</t>
  </si>
  <si>
    <t>6e9cf3ee-f65d-3697-b96c-f33f27eb0f57</t>
  </si>
  <si>
    <t>Congo</t>
  </si>
  <si>
    <t>org.apache.derby.impl.jdbc.EmbedClob@5d7ed410</t>
  </si>
  <si>
    <t>CG</t>
  </si>
  <si>
    <t>org.apache.derby.impl.jdbc.EmbedBlob@6650679f</t>
  </si>
  <si>
    <t>0ba64a0d-ea00-3479-96df-b6a66866e1ca</t>
  </si>
  <si>
    <t>Georgia</t>
  </si>
  <si>
    <t>org.apache.derby.impl.jdbc.EmbedClob@25d91060</t>
  </si>
  <si>
    <t>GE</t>
  </si>
  <si>
    <t>org.apache.derby.impl.jdbc.EmbedBlob@130f5244</t>
  </si>
  <si>
    <t>e832ff92-78c2-3ab2-8f7d-d0ca126994bf</t>
  </si>
  <si>
    <t>South-Eastern Asia</t>
  </si>
  <si>
    <t>org.apache.derby.impl.jdbc.EmbedClob@38faca61</t>
  </si>
  <si>
    <t>UN-SEASIA</t>
  </si>
  <si>
    <t>org.apache.derby.impl.jdbc.EmbedBlob@30c46fa0</t>
  </si>
  <si>
    <t>1b23f8a4-c97c-355f-b57e-c2aae921f03d</t>
  </si>
  <si>
    <t>Uruguay</t>
  </si>
  <si>
    <t>org.apache.derby.impl.jdbc.EmbedClob@59b0968e</t>
  </si>
  <si>
    <t>UY</t>
  </si>
  <si>
    <t>org.apache.derby.impl.jdbc.EmbedBlob@3777f61b</t>
  </si>
  <si>
    <t>eabb18f0-a40c-3b35-9237-0c9e1bc1d61e</t>
  </si>
  <si>
    <t>Venezuela</t>
  </si>
  <si>
    <t>org.apache.derby.impl.jdbc.EmbedClob@73b32e55</t>
  </si>
  <si>
    <t>VE</t>
  </si>
  <si>
    <t>org.apache.derby.impl.jdbc.EmbedBlob@3d400897</t>
  </si>
  <si>
    <t>6f13e70f-013d-340d-a362-e8d88416fbff</t>
  </si>
  <si>
    <t>India, West Bengal</t>
  </si>
  <si>
    <t>org.apache.derby.impl.jdbc.EmbedClob@350ff60a</t>
  </si>
  <si>
    <t>IN-WB</t>
  </si>
  <si>
    <t>org.apache.derby.impl.jdbc.EmbedBlob@5fa4b778</t>
  </si>
  <si>
    <t>3691308f-2a4c-3f69-83f2-880d32e29c84</t>
  </si>
  <si>
    <t>South Sudan</t>
  </si>
  <si>
    <t>org.apache.derby.impl.jdbc.EmbedClob@70a594e6</t>
  </si>
  <si>
    <t>SS</t>
  </si>
  <si>
    <t>org.apache.derby.impl.jdbc.EmbedBlob@4d1c3ed5</t>
  </si>
  <si>
    <t>42b2a2de-acba-3326-a258-3977a12d6e1b</t>
  </si>
  <si>
    <t>India, Assam</t>
  </si>
  <si>
    <t>org.apache.derby.impl.jdbc.EmbedClob@7e92eda</t>
  </si>
  <si>
    <t>IN-AS</t>
  </si>
  <si>
    <t>org.apache.derby.impl.jdbc.EmbedBlob@7d8c4628</t>
  </si>
  <si>
    <t>4e58188f-f528-3ea1-aec7-38fffc0e118d</t>
  </si>
  <si>
    <t>Brunei Darussalam</t>
  </si>
  <si>
    <t>org.apache.derby.impl.jdbc.EmbedClob@2152efdb</t>
  </si>
  <si>
    <t>BN</t>
  </si>
  <si>
    <t>org.apache.derby.impl.jdbc.EmbedBlob@d1487b2</t>
  </si>
  <si>
    <t>89aa4b19-6b48-38a1-ba65-49bb1eaebd80</t>
  </si>
  <si>
    <t>Mauritius</t>
  </si>
  <si>
    <t>org.apache.derby.impl.jdbc.EmbedClob@43c5e734</t>
  </si>
  <si>
    <t>MU</t>
  </si>
  <si>
    <t>org.apache.derby.impl.jdbc.EmbedBlob@5c675462</t>
  </si>
  <si>
    <t>8ebf61e1-cf59-357c-b93d-225d0ccb7181</t>
  </si>
  <si>
    <t>European Network of Transmission Systems Operators for Electricity</t>
  </si>
  <si>
    <t>org.apache.derby.impl.jdbc.EmbedClob@6a7d4402</t>
  </si>
  <si>
    <t>ENTSO-E</t>
  </si>
  <si>
    <t>org.apache.derby.impl.jdbc.EmbedBlob@2f6dd4e4</t>
  </si>
  <si>
    <t>1cd3c693-132f-3c31-b5b5-e5f4c5eed6bd</t>
  </si>
  <si>
    <t>Pakistan</t>
  </si>
  <si>
    <t>org.apache.derby.impl.jdbc.EmbedClob@49cf412f</t>
  </si>
  <si>
    <t>PK</t>
  </si>
  <si>
    <t>org.apache.derby.impl.jdbc.EmbedBlob@49125140</t>
  </si>
  <si>
    <t>171d364c-464a-3e9f-9003-51bf96443c7c</t>
  </si>
  <si>
    <t>India, Punjab</t>
  </si>
  <si>
    <t>org.apache.derby.impl.jdbc.EmbedClob@61782dbd</t>
  </si>
  <si>
    <t>IN-PB</t>
  </si>
  <si>
    <t>org.apache.derby.impl.jdbc.EmbedBlob@20731f82</t>
  </si>
  <si>
    <t>495ec1a7-ea8d-310a-8dfe-ec2735d79b85</t>
  </si>
  <si>
    <t>India, Manipur</t>
  </si>
  <si>
    <t>org.apache.derby.impl.jdbc.EmbedClob@1306f49a</t>
  </si>
  <si>
    <t>IN-MN</t>
  </si>
  <si>
    <t>org.apache.derby.impl.jdbc.EmbedBlob@48453feb</t>
  </si>
  <si>
    <t>46ed6419-f470-3751-b1c3-d27947a65e31</t>
  </si>
  <si>
    <t>India, Uttarakhand</t>
  </si>
  <si>
    <t>org.apache.derby.impl.jdbc.EmbedClob@68f0f69b</t>
  </si>
  <si>
    <t>IN-UT</t>
  </si>
  <si>
    <t>org.apache.derby.impl.jdbc.EmbedBlob@50477b08</t>
  </si>
  <si>
    <t>34972f61-989d-3937-ae0e-2b9f150088f3</t>
  </si>
  <si>
    <t>India, Haryana</t>
  </si>
  <si>
    <t>org.apache.derby.impl.jdbc.EmbedClob@74c1f7be</t>
  </si>
  <si>
    <t>IN-HR</t>
  </si>
  <si>
    <t>org.apache.derby.impl.jdbc.EmbedBlob@159a24aa</t>
  </si>
  <si>
    <t>f62a6cfc-7bf3-3556-a8b3-a168accf9875</t>
  </si>
  <si>
    <t>Western Electricity Coordinating Council</t>
  </si>
  <si>
    <t>org.apache.derby.impl.jdbc.EmbedClob@7a315cac</t>
  </si>
  <si>
    <t>WECC</t>
  </si>
  <si>
    <t>org.apache.derby.impl.jdbc.EmbedBlob@6ac28e58</t>
  </si>
  <si>
    <t>ae417185-6a75-37b6-bd51-fc0e1f95902e</t>
  </si>
  <si>
    <t>Hong Kong</t>
  </si>
  <si>
    <t>org.apache.derby.impl.jdbc.EmbedClob@2e3948de</t>
  </si>
  <si>
    <t>HK</t>
  </si>
  <si>
    <t>org.apache.derby.impl.jdbc.EmbedBlob@5e1da589</t>
  </si>
  <si>
    <t>4e0adc8c-875d-3388-80e0-818137f405df</t>
  </si>
  <si>
    <t>India, Jharkhand</t>
  </si>
  <si>
    <t>org.apache.derby.impl.jdbc.EmbedClob@6058faac</t>
  </si>
  <si>
    <t>IN-JH</t>
  </si>
  <si>
    <t>org.apache.derby.impl.jdbc.EmbedBlob@1e9618b1</t>
  </si>
  <si>
    <t>352cdac9-5bf9-321a-baf2-12197bc90332</t>
  </si>
  <si>
    <t>India, Karnataka</t>
  </si>
  <si>
    <t>org.apache.derby.impl.jdbc.EmbedClob@7a0dcc05</t>
  </si>
  <si>
    <t>IN-KA</t>
  </si>
  <si>
    <t>org.apache.derby.impl.jdbc.EmbedBlob@6ea50137</t>
  </si>
  <si>
    <t>674f3384-1e23-39ff-9d24-c85dc3b999de</t>
  </si>
  <si>
    <t>Jordan</t>
  </si>
  <si>
    <t>org.apache.derby.impl.jdbc.EmbedClob@40d8cfc2</t>
  </si>
  <si>
    <t>JO</t>
  </si>
  <si>
    <t>org.apache.derby.impl.jdbc.EmbedBlob@54a14e38</t>
  </si>
  <si>
    <t>b6bb43df-4525-3928-a105-fb5741bddbea</t>
  </si>
  <si>
    <t>United Arab Emirates</t>
  </si>
  <si>
    <t>org.apache.derby.impl.jdbc.EmbedClob@6566ad93</t>
  </si>
  <si>
    <t>AE</t>
  </si>
  <si>
    <t>org.apache.derby.impl.jdbc.EmbedBlob@25acc9dd</t>
  </si>
  <si>
    <t>0d0ac1d0-76ad-307d-8b0e-05f06c746da9</t>
  </si>
  <si>
    <t>Africa</t>
  </si>
  <si>
    <t>org.apache.derby.impl.jdbc.EmbedClob@7b2283de</t>
  </si>
  <si>
    <t>RAF</t>
  </si>
  <si>
    <t>org.apache.derby.impl.jdbc.EmbedBlob@6d17a3fe</t>
  </si>
  <si>
    <t>fac36787-dab1-3ae2-b32e-9a20350115cd</t>
  </si>
  <si>
    <t>India, Delhi</t>
  </si>
  <si>
    <t>org.apache.derby.impl.jdbc.EmbedClob@2e367da0</t>
  </si>
  <si>
    <t>IN-DL</t>
  </si>
  <si>
    <t>org.apache.derby.impl.jdbc.EmbedBlob@41e537cb</t>
  </si>
  <si>
    <t>f567050c-e361-3177-9fa7-6e7c5134e860</t>
  </si>
  <si>
    <t>Europe without Germany and Switzerland</t>
  </si>
  <si>
    <t>org.apache.derby.impl.jdbc.EmbedClob@2feb0ca8</t>
  </si>
  <si>
    <t>RER w/o CH+DE</t>
  </si>
  <si>
    <t>org.apache.derby.impl.jdbc.EmbedBlob@62f5fbd3</t>
  </si>
  <si>
    <t>1c280670-4821-3d48-b168-efc6d6685406</t>
  </si>
  <si>
    <t>Asia</t>
  </si>
  <si>
    <t>org.apache.derby.impl.jdbc.EmbedClob@a46c329</t>
  </si>
  <si>
    <t>RAS</t>
  </si>
  <si>
    <t>org.apache.derby.impl.jdbc.EmbedBlob@18fe3958</t>
  </si>
  <si>
    <t>ac1afc37-02b2-3670-bf00-66e7fd1b517a</t>
  </si>
  <si>
    <t>India, Nagaland</t>
  </si>
  <si>
    <t>org.apache.derby.impl.jdbc.EmbedClob@551872f7</t>
  </si>
  <si>
    <t>IN-NL</t>
  </si>
  <si>
    <t>org.apache.derby.impl.jdbc.EmbedBlob@69fbbcf6</t>
  </si>
  <si>
    <t>06ef8ff2-f1b1-3081-8d0c-d40e78fa9f5d</t>
  </si>
  <si>
    <t>India, Jammu and Kashmir</t>
  </si>
  <si>
    <t>org.apache.derby.impl.jdbc.EmbedClob@6cc53274</t>
  </si>
  <si>
    <t>IN-JK</t>
  </si>
  <si>
    <t>org.apache.derby.impl.jdbc.EmbedBlob@518e24d</t>
  </si>
  <si>
    <t>cdba052d-e53c-3173-b857-3d555fad2c16</t>
  </si>
  <si>
    <t>UCTE without Germany</t>
  </si>
  <si>
    <t>org.apache.derby.impl.jdbc.EmbedClob@1381a7d3</t>
  </si>
  <si>
    <t>org.apache.derby.impl.jdbc.EmbedBlob@62ba655a</t>
  </si>
  <si>
    <t>988287f7-a1eb-366f-bc4e-19bdbdeec7c3</t>
  </si>
  <si>
    <t>Kiribati</t>
  </si>
  <si>
    <t>KI</t>
  </si>
  <si>
    <t>org.apache.derby.impl.jdbc.EmbedBlob@2072e9ca</t>
  </si>
  <si>
    <t>58791f32-2c1b-3c3d-a614-1788d3b8666f</t>
  </si>
  <si>
    <t>Liberia</t>
  </si>
  <si>
    <t>LR</t>
  </si>
  <si>
    <t>org.apache.derby.impl.jdbc.EmbedBlob@3ed37d28</t>
  </si>
  <si>
    <t>7287aa2c-53d0-3440-9a9d-b5614937e36f</t>
  </si>
  <si>
    <t>French Polynesia</t>
  </si>
  <si>
    <t>PF</t>
  </si>
  <si>
    <t>org.apache.derby.impl.jdbc.EmbedBlob@54ba94d6</t>
  </si>
  <si>
    <t>e71864bf-656a-3133-8489-a428120c0ada</t>
  </si>
  <si>
    <t>Middle Africa</t>
  </si>
  <si>
    <t>UN-MAFRICA</t>
  </si>
  <si>
    <t>org.apache.derby.impl.jdbc.EmbedBlob@5290226e</t>
  </si>
  <si>
    <t>5c0f2c74-2dc9-3fce-b75d-086e7412f81f</t>
  </si>
  <si>
    <t>Australia, New South Wales</t>
  </si>
  <si>
    <t>AUS-NSW</t>
  </si>
  <si>
    <t>org.apache.derby.impl.jdbc.EmbedBlob@778f3f29</t>
  </si>
  <si>
    <t>e39deabc-78c0-37a0-a5dd-30a225aa9eec</t>
  </si>
  <si>
    <t>Asia, UN Region</t>
  </si>
  <si>
    <t>UN-ASIA</t>
  </si>
  <si>
    <t>org.apache.derby.impl.jdbc.EmbedBlob@4f6d9aad</t>
  </si>
  <si>
    <t>5bb22373-e69e-31fe-b00e-0a38a7129c8c</t>
  </si>
  <si>
    <t>Australia, Tasmania</t>
  </si>
  <si>
    <t>AUS-TSM</t>
  </si>
  <si>
    <t>org.apache.derby.impl.jdbc.EmbedBlob@1cbd427c</t>
  </si>
  <si>
    <t>21ad0bd8-36b9-3d08-b4cf-640b4c298e7c</t>
  </si>
  <si>
    <t>Barbados</t>
  </si>
  <si>
    <t>BB</t>
  </si>
  <si>
    <t>org.apache.derby.impl.jdbc.EmbedBlob@124540b5</t>
  </si>
  <si>
    <t>f98ed07a-4d5f-30f7-9e14-10d905f1477f</t>
  </si>
  <si>
    <t>British Indian Ocean Territory</t>
  </si>
  <si>
    <t>IO</t>
  </si>
  <si>
    <t>org.apache.derby.impl.jdbc.EmbedBlob@7d70c19e</t>
  </si>
  <si>
    <t>a6be8a33-b7c9-37f4-bfb7-6d9c9805c7eb</t>
  </si>
  <si>
    <t>Grenada</t>
  </si>
  <si>
    <t>GD</t>
  </si>
  <si>
    <t>org.apache.derby.impl.jdbc.EmbedBlob@5eeb846f</t>
  </si>
  <si>
    <t>1815235d-384d-3912-9466-8c73298f1e52</t>
  </si>
  <si>
    <t>Virgin Islands, British</t>
  </si>
  <si>
    <t>VG</t>
  </si>
  <si>
    <t>org.apache.derby.impl.jdbc.EmbedBlob@28b3836c</t>
  </si>
  <si>
    <t>6b356dcf-86c7-3e74-826f-3ae5725687d3</t>
  </si>
  <si>
    <t>Americas</t>
  </si>
  <si>
    <t>UN-AMERICAS</t>
  </si>
  <si>
    <t>org.apache.derby.impl.jdbc.EmbedBlob@6bcc7181</t>
  </si>
  <si>
    <t>5e08be98-8691-354c-937b-997b4cb6ad97</t>
  </si>
  <si>
    <t>Guyana</t>
  </si>
  <si>
    <t>GY</t>
  </si>
  <si>
    <t>org.apache.derby.impl.jdbc.EmbedBlob@6906586b</t>
  </si>
  <si>
    <t>190aeb66-f132-3e93-995a-70e36f3431c5</t>
  </si>
  <si>
    <t>Commonwealth of Independent States</t>
  </si>
  <si>
    <t>FSU</t>
  </si>
  <si>
    <t>org.apache.derby.impl.jdbc.EmbedBlob@1469a956</t>
  </si>
  <si>
    <t>b04ebbb9-1260-3d5b-a16f-5f2a16c4886e</t>
  </si>
  <si>
    <t>Australia, Victoria</t>
  </si>
  <si>
    <t>AUS-VCT</t>
  </si>
  <si>
    <t>org.apache.derby.impl.jdbc.EmbedBlob@1ca18223</t>
  </si>
  <si>
    <t>6bb17796-0cff-3545-9414-6bd0821b4560</t>
  </si>
  <si>
    <t>Coral Sea Islands</t>
  </si>
  <si>
    <t>org.apache.derby.impl.jdbc.EmbedBlob@47bf44dc</t>
  </si>
  <si>
    <t>d0ea3a63-8908-3b86-a4f9-10b6170de942</t>
  </si>
  <si>
    <t>Scarborough Reef</t>
  </si>
  <si>
    <t>org.apache.derby.impl.jdbc.EmbedBlob@4a5e9ec1</t>
  </si>
  <si>
    <t>cc9dabdf-852c-3698-ae98-b3d1d8b1c324</t>
  </si>
  <si>
    <t>Serranilla Bank</t>
  </si>
  <si>
    <t>org.apache.derby.impl.jdbc.EmbedBlob@13a4bdc5</t>
  </si>
  <si>
    <t>77cbc257-e663-3286-acf6-191754c0c8e3</t>
  </si>
  <si>
    <t>Saint Helena</t>
  </si>
  <si>
    <t>SH</t>
  </si>
  <si>
    <t>org.apache.derby.impl.jdbc.EmbedBlob@3049508</t>
  </si>
  <si>
    <t>608e7dc1-16de-3157-b060-12b4f0be82ac</t>
  </si>
  <si>
    <t>Dominica</t>
  </si>
  <si>
    <t>DM</t>
  </si>
  <si>
    <t>org.apache.derby.impl.jdbc.EmbedBlob@3ea0a810</t>
  </si>
  <si>
    <t>de3ec0aa-2234-3a1e-bee2-75bbc715c6c9</t>
  </si>
  <si>
    <t>Cape Verde</t>
  </si>
  <si>
    <t>CV</t>
  </si>
  <si>
    <t>org.apache.derby.impl.jdbc.EmbedBlob@369193</t>
  </si>
  <si>
    <t>16096b94-483a-3671-b7a2-16db4118f8df</t>
  </si>
  <si>
    <t>North American Free Trade Agreement</t>
  </si>
  <si>
    <t>NAFTA</t>
  </si>
  <si>
    <t>org.apache.derby.impl.jdbc.EmbedBlob@11c131d1</t>
  </si>
  <si>
    <t>0288bde0-c2d5-33f2-b576-6f61b826a650</t>
  </si>
  <si>
    <t>Niue</t>
  </si>
  <si>
    <t>NU</t>
  </si>
  <si>
    <t>org.apache.derby.impl.jdbc.EmbedBlob@2a1afbd1</t>
  </si>
  <si>
    <t>7dabf5c1-98b0-3ab2-aaa4-2bb03a113e55</t>
  </si>
  <si>
    <t>Eswatini</t>
  </si>
  <si>
    <t>SZ</t>
  </si>
  <si>
    <t>org.apache.derby.impl.jdbc.EmbedBlob@1e144d08</t>
  </si>
  <si>
    <t>95cc64dd-2825-39df-93ec-4ad683ecf339</t>
  </si>
  <si>
    <t>Serbia and Montenegro</t>
  </si>
  <si>
    <t>CS</t>
  </si>
  <si>
    <t>org.apache.derby.impl.jdbc.EmbedBlob@7a4c0469</t>
  </si>
  <si>
    <t>9b05de73-d43f-3c4e-8111-0c6bcc5312bc</t>
  </si>
  <si>
    <t>Comoros</t>
  </si>
  <si>
    <t>KM</t>
  </si>
  <si>
    <t>org.apache.derby.impl.jdbc.EmbedBlob@621bed48</t>
  </si>
  <si>
    <t>4e42f7dd-43ec-3fe1-84de-58610557c5ba</t>
  </si>
  <si>
    <t>Antigua and Barbuda</t>
  </si>
  <si>
    <t>AG</t>
  </si>
  <si>
    <t>org.apache.derby.impl.jdbc.EmbedBlob@1f2246a9</t>
  </si>
  <si>
    <t>c9a1fdac-6e08-3dd8-9e71-73244f34d7b3</t>
  </si>
  <si>
    <t>Tuvalu</t>
  </si>
  <si>
    <t>TV</t>
  </si>
  <si>
    <t>org.apache.derby.impl.jdbc.EmbedBlob@23623448</t>
  </si>
  <si>
    <t>4382e0b4-8ddb-3600-bf3d-10de8fabfb86</t>
  </si>
  <si>
    <t>Australia, Northern Territory</t>
  </si>
  <si>
    <t>AUS-NTR</t>
  </si>
  <si>
    <t>org.apache.derby.impl.jdbc.EmbedBlob@4dbd8d6</t>
  </si>
  <si>
    <t>ceaa2d09-0b6e-398c-98b3-41c15d7db178</t>
  </si>
  <si>
    <t>Australia, Queensland</t>
  </si>
  <si>
    <t>AUS-QNS</t>
  </si>
  <si>
    <t>org.apache.derby.impl.jdbc.EmbedBlob@3b3374ee</t>
  </si>
  <si>
    <t>1494adfb-98f4-3dc3-83b2-10bead2efff7</t>
  </si>
  <si>
    <t>Australia, South Australia</t>
  </si>
  <si>
    <t>AUS-SAS</t>
  </si>
  <si>
    <t>org.apache.derby.impl.jdbc.EmbedBlob@3a3d7792</t>
  </si>
  <si>
    <t>2ccce7fd-714d-3ce6-8a5d-909f98c8819f</t>
  </si>
  <si>
    <t>Australia, Western Australia</t>
  </si>
  <si>
    <t>AUS-WAS</t>
  </si>
  <si>
    <t>org.apache.derby.impl.jdbc.EmbedBlob@67b3c60f</t>
  </si>
  <si>
    <t>627fcdb6-cc9a-3e16-9657-ca6cdef0a6bb</t>
  </si>
  <si>
    <t>Sao Tome and Principe</t>
  </si>
  <si>
    <t>ST</t>
  </si>
  <si>
    <t>org.apache.derby.impl.jdbc.EmbedBlob@47075a13</t>
  </si>
  <si>
    <t>0730b75e-96c0-353b-9b19-6be7ff4fa194</t>
  </si>
  <si>
    <t>Vanuatu</t>
  </si>
  <si>
    <t>VU</t>
  </si>
  <si>
    <t>org.apache.derby.impl.jdbc.EmbedBlob@16d73486</t>
  </si>
  <si>
    <t>61577386-6ec9-3ef8-8e73-023266024232</t>
  </si>
  <si>
    <t>India, Andaman and Nicobar</t>
  </si>
  <si>
    <t>IN-AN</t>
  </si>
  <si>
    <t>org.apache.derby.impl.jdbc.EmbedBlob@2636aa7a</t>
  </si>
  <si>
    <t>c9f9d7dd-806c-3412-a041-837a80f47c64</t>
  </si>
  <si>
    <t>Burkina Faso</t>
  </si>
  <si>
    <t>BF</t>
  </si>
  <si>
    <t>org.apache.derby.impl.jdbc.EmbedBlob@5f4c930d</t>
  </si>
  <si>
    <t>b005ad12-9444-3268-8084-f19bf5e19729</t>
  </si>
  <si>
    <t>Belize</t>
  </si>
  <si>
    <t>BZ</t>
  </si>
  <si>
    <t>org.apache.derby.impl.jdbc.EmbedBlob@22e69d35</t>
  </si>
  <si>
    <t>5123dd8b-087b-344f-9b8f-8603acd1bad4</t>
  </si>
  <si>
    <t>Guinea</t>
  </si>
  <si>
    <t>GN</t>
  </si>
  <si>
    <t>org.apache.derby.impl.jdbc.EmbedBlob@d3afeeb</t>
  </si>
  <si>
    <t>0ab3e5d0-801a-3a3f-b758-bcbd812e8f10</t>
  </si>
  <si>
    <t>Nauru</t>
  </si>
  <si>
    <t>NR</t>
  </si>
  <si>
    <t>org.apache.derby.impl.jdbc.EmbedBlob@1ecce04c</t>
  </si>
  <si>
    <t>ded0804c-f804-36d2-ae37-953dc2dbc505</t>
  </si>
  <si>
    <t>Pitcairn</t>
  </si>
  <si>
    <t>PN</t>
  </si>
  <si>
    <t>org.apache.derby.impl.jdbc.EmbedBlob@25a3dc63</t>
  </si>
  <si>
    <t>9cea1e24-73aa-3499-95fa-34faac95b3e7</t>
  </si>
  <si>
    <t>Åland Islands</t>
  </si>
  <si>
    <t>AX</t>
  </si>
  <si>
    <t>org.apache.derby.impl.jdbc.EmbedBlob@333ae2d7</t>
  </si>
  <si>
    <t>7c9df801-238a-3e28-8ae2-675fd3166a1a</t>
  </si>
  <si>
    <t>Bahamas</t>
  </si>
  <si>
    <t>BS</t>
  </si>
  <si>
    <t>org.apache.derby.impl.jdbc.EmbedBlob@692d9ffd</t>
  </si>
  <si>
    <t>e22428cc-f96c-3a96-b4a9-39c209ad1000</t>
  </si>
  <si>
    <t>Suriname</t>
  </si>
  <si>
    <t>SR</t>
  </si>
  <si>
    <t>org.apache.derby.impl.jdbc.EmbedBlob@101adc14</t>
  </si>
  <si>
    <t>ce1d5a24-80e0-34a2-91c1-c7968cc66c13</t>
  </si>
  <si>
    <t>Greenland</t>
  </si>
  <si>
    <t>GL</t>
  </si>
  <si>
    <t>org.apache.derby.impl.jdbc.EmbedBlob@4f292951</t>
  </si>
  <si>
    <t>f0357a3f-154b-32ff-a2bf-f55055457068</t>
  </si>
  <si>
    <t>Afghanistan</t>
  </si>
  <si>
    <t>AF</t>
  </si>
  <si>
    <t>org.apache.derby.impl.jdbc.EmbedBlob@4afe953e</t>
  </si>
  <si>
    <t>5d0e5171-279a-3823-9275-24f2fcb71119</t>
  </si>
  <si>
    <t>India, Daman and Diu</t>
  </si>
  <si>
    <t>IN-DD</t>
  </si>
  <si>
    <t>org.apache.derby.impl.jdbc.EmbedBlob@c420a09</t>
  </si>
  <si>
    <t>647696f3-6eee-3698-8732-b990f846e007</t>
  </si>
  <si>
    <t>India, Chandigarh</t>
  </si>
  <si>
    <t>IN-CH</t>
  </si>
  <si>
    <t>org.apache.derby.impl.jdbc.EmbedBlob@2dd7e5fb</t>
  </si>
  <si>
    <t>5c4fefda-27cf-384c-b999-be13e6b8608a</t>
  </si>
  <si>
    <t>Turks and Caicos Islands</t>
  </si>
  <si>
    <t>TC</t>
  </si>
  <si>
    <t>org.apache.derby.impl.jdbc.EmbedBlob@2b3222b1</t>
  </si>
  <si>
    <t>54a2bf8c-09ac-367d-b513-aaa1aa7aa0f3</t>
  </si>
  <si>
    <t>Sierra Leone</t>
  </si>
  <si>
    <t>SL</t>
  </si>
  <si>
    <t>org.apache.derby.impl.jdbc.EmbedBlob@155b058c</t>
  </si>
  <si>
    <t>35b36b28-916d-38b3-8abd-df832e286126</t>
  </si>
  <si>
    <t>Virgin Islands, U.S.</t>
  </si>
  <si>
    <t>VI</t>
  </si>
  <si>
    <t>org.apache.derby.impl.jdbc.EmbedBlob@9d5476c</t>
  </si>
  <si>
    <t>fc6f1a8d-491c-3873-a6f6-bf775160f1ca</t>
  </si>
  <si>
    <t>India, Dadra and Nagar Haveli</t>
  </si>
  <si>
    <t>IN-DN</t>
  </si>
  <si>
    <t>org.apache.derby.impl.jdbc.EmbedBlob@1bbf8390</t>
  </si>
  <si>
    <t>2ab5564b-805d-3065-b4bc-f81060472746</t>
  </si>
  <si>
    <t>Heard Island and McDonald Islands</t>
  </si>
  <si>
    <t>HM</t>
  </si>
  <si>
    <t>org.apache.derby.impl.jdbc.EmbedBlob@21a21dfc</t>
  </si>
  <si>
    <t>4e29342d-9904-364e-9e25-fd3b92558e2f</t>
  </si>
  <si>
    <t>Central African Republic</t>
  </si>
  <si>
    <t>CF</t>
  </si>
  <si>
    <t>org.apache.derby.impl.jdbc.EmbedBlob@6c981b21</t>
  </si>
  <si>
    <t>588c9ca2-d66d-3e43-b7b3-65bfd7e971cf</t>
  </si>
  <si>
    <t>Northeast Power Coordinating Council</t>
  </si>
  <si>
    <t>NPCC</t>
  </si>
  <si>
    <t>org.apache.derby.impl.jdbc.EmbedBlob@28116690</t>
  </si>
  <si>
    <t>3f071f4f-163d-3855-9f4f-c1544c7f69a6</t>
  </si>
  <si>
    <t>Guinea-Bissau</t>
  </si>
  <si>
    <t>GW</t>
  </si>
  <si>
    <t>org.apache.derby.impl.jdbc.EmbedBlob@19edd393</t>
  </si>
  <si>
    <t>fd18772c-bac1-3277-b20d-cccc1b90efb9</t>
  </si>
  <si>
    <t>Saint Barthelemy</t>
  </si>
  <si>
    <t>BL</t>
  </si>
  <si>
    <t>org.apache.derby.impl.jdbc.EmbedBlob@3580929c</t>
  </si>
  <si>
    <t>79563e90-630a-3352-9dff-01b6638b0886</t>
  </si>
  <si>
    <t>Jersey</t>
  </si>
  <si>
    <t>JE</t>
  </si>
  <si>
    <t>org.apache.derby.impl.jdbc.EmbedBlob@54cb29d2</t>
  </si>
  <si>
    <t>c79e1b28-6fb1-3529-9b3c-ee6960c2ec63</t>
  </si>
  <si>
    <t>Europe without Germany, the Netherlands, and Norway</t>
  </si>
  <si>
    <t>RER w/o DE+NL+NO</t>
  </si>
  <si>
    <t>org.apache.derby.impl.jdbc.EmbedBlob@cbc40c</t>
  </si>
  <si>
    <t>c4f57fe2-5b64-3193-8cfd-d118f11e9024</t>
  </si>
  <si>
    <t>France, including overseas territories</t>
  </si>
  <si>
    <t>org.apache.derby.impl.jdbc.EmbedBlob@3ce688bd</t>
  </si>
  <si>
    <t>78d9238c-1a21-3c8b-be8f-6c26172fb12d</t>
  </si>
  <si>
    <t>Norfolk Island</t>
  </si>
  <si>
    <t>NF</t>
  </si>
  <si>
    <t>org.apache.derby.impl.jdbc.EmbedBlob@2432db14</t>
  </si>
  <si>
    <t>1f2dfa56-7dcf-3583-bedd-f7aec167fec7</t>
  </si>
  <si>
    <t>Northern Mariana Islands</t>
  </si>
  <si>
    <t>MP</t>
  </si>
  <si>
    <t>org.apache.derby.impl.jdbc.EmbedBlob@7a87903a</t>
  </si>
  <si>
    <t>ed79acb0-cd3d-3f83-a0c5-3c7798335ef0</t>
  </si>
  <si>
    <t>San Marino</t>
  </si>
  <si>
    <t>SM</t>
  </si>
  <si>
    <t>org.apache.derby.impl.jdbc.EmbedBlob@3e3a9ceb</t>
  </si>
  <si>
    <t>2a0617ac-cf8b-3862-9c43-e2ffeb5b8d5b</t>
  </si>
  <si>
    <t>Uganda</t>
  </si>
  <si>
    <t>UG</t>
  </si>
  <si>
    <t>org.apache.derby.impl.jdbc.EmbedBlob@361148f1</t>
  </si>
  <si>
    <t>1e734284-5e24-3b3b-9b35-54490da1c128</t>
  </si>
  <si>
    <t>New Caledonia</t>
  </si>
  <si>
    <t>NC</t>
  </si>
  <si>
    <t>org.apache.derby.impl.jdbc.EmbedBlob@449df5c</t>
  </si>
  <si>
    <t>26148d62-1ef7-3844-918a-f182d63976b6</t>
  </si>
  <si>
    <t>Solomon Islands</t>
  </si>
  <si>
    <t>SB</t>
  </si>
  <si>
    <t>org.apache.derby.impl.jdbc.EmbedBlob@420989af</t>
  </si>
  <si>
    <t>ef1cb6e7-2d14-3b18-8cc2-41037203f60b</t>
  </si>
  <si>
    <t>Falkland Islands (Malvinas)</t>
  </si>
  <si>
    <t>FK</t>
  </si>
  <si>
    <t>org.apache.derby.impl.jdbc.EmbedBlob@28be88c1</t>
  </si>
  <si>
    <t>73bebce3-95b6-31ef-adcf-6842fbdb4d76</t>
  </si>
  <si>
    <t>Isle of Man</t>
  </si>
  <si>
    <t>IM</t>
  </si>
  <si>
    <t>org.apache.derby.impl.jdbc.EmbedBlob@14540be7</t>
  </si>
  <si>
    <t>52196aa5-4f16-34f9-acbf-26439c42c763</t>
  </si>
  <si>
    <t>Bonaire, Sint Eustatius, and Saba</t>
  </si>
  <si>
    <t>BQ</t>
  </si>
  <si>
    <t>org.apache.derby.impl.jdbc.EmbedBlob@5e2d850e</t>
  </si>
  <si>
    <t>bc388e13-830e-35bd-8be3-d90b027ac5ad</t>
  </si>
  <si>
    <t>Australia, Ashmore and Cartier Islands</t>
  </si>
  <si>
    <t>AUS-AC</t>
  </si>
  <si>
    <t>org.apache.derby.impl.jdbc.EmbedBlob@50e72b95</t>
  </si>
  <si>
    <t>5f507fb0-b905-3a32-bb57-967d0a3b3b43</t>
  </si>
  <si>
    <t>Siachen Glacier</t>
  </si>
  <si>
    <t>org.apache.derby.impl.jdbc.EmbedBlob@c4359c8</t>
  </si>
  <si>
    <t>14b3773a-9228-3ca1-98e3-3d0017100d23</t>
  </si>
  <si>
    <t>Australia, Indian Ocean Territories</t>
  </si>
  <si>
    <t>AUS-IOT</t>
  </si>
  <si>
    <t>org.apache.derby.impl.jdbc.EmbedBlob@38fc6094</t>
  </si>
  <si>
    <t>1a9ad44c-3839-3f0e-916f-592dace97ec3</t>
  </si>
  <si>
    <t>India, Lakshadweep</t>
  </si>
  <si>
    <t>IN-LD</t>
  </si>
  <si>
    <t>org.apache.derby.impl.jdbc.EmbedBlob@a4b8770</t>
  </si>
  <si>
    <t>b2b04af9-f8f3-3b06-a29e-03ac8d3c24ca</t>
  </si>
  <si>
    <t>Antarctica</t>
  </si>
  <si>
    <t>AQ</t>
  </si>
  <si>
    <t>org.apache.derby.impl.jdbc.EmbedBlob@7502268d</t>
  </si>
  <si>
    <t>3e91fecc-17db-3393-ad8f-0e2c0131053d</t>
  </si>
  <si>
    <t>Australia, Australian Capital Territory</t>
  </si>
  <si>
    <t>AUS-ACT</t>
  </si>
  <si>
    <t>org.apache.derby.impl.jdbc.EmbedBlob@2ea11079</t>
  </si>
  <si>
    <t>523af537-946b-39c4-b836-9ed39ba78605</t>
  </si>
  <si>
    <t>Andorra</t>
  </si>
  <si>
    <t>AD</t>
  </si>
  <si>
    <t>org.apache.derby.impl.jdbc.EmbedBlob@788762da</t>
  </si>
  <si>
    <t>5131bcbd-409d-36b6-b087-91a9279c91c0</t>
  </si>
  <si>
    <t>India, Mizoram</t>
  </si>
  <si>
    <t>IN-MZ</t>
  </si>
  <si>
    <t>org.apache.derby.impl.jdbc.EmbedBlob@5641c323</t>
  </si>
  <si>
    <t>4921c0e2-d1f6-305a-be1f-9ec2e2041909</t>
  </si>
  <si>
    <t>Anguilla</t>
  </si>
  <si>
    <t>AI</t>
  </si>
  <si>
    <t>org.apache.derby.impl.jdbc.EmbedBlob@3213a128</t>
  </si>
  <si>
    <t>f970e276-7d0c-3e75-876e-a857f92e319b</t>
  </si>
  <si>
    <t>American Samoa</t>
  </si>
  <si>
    <t>AS</t>
  </si>
  <si>
    <t>org.apache.derby.impl.jdbc.EmbedBlob@14174dcb</t>
  </si>
  <si>
    <t>b787d22d-9cb0-3342-a58b-f546039117bc</t>
  </si>
  <si>
    <t>Aruba</t>
  </si>
  <si>
    <t>AW</t>
  </si>
  <si>
    <t>org.apache.derby.impl.jdbc.EmbedBlob@57c57c21</t>
  </si>
  <si>
    <t>d5a5b3dd-1ccb-30d3-8360-f0c068fd43fc</t>
  </si>
  <si>
    <t>Cook Islands</t>
  </si>
  <si>
    <t>CK</t>
  </si>
  <si>
    <t>org.apache.derby.impl.jdbc.EmbedBlob@f45e521</t>
  </si>
  <si>
    <t>121aa3ee-4a7d-3b1b-bbc7-60fd0c6de79b</t>
  </si>
  <si>
    <t>Bouvet Island</t>
  </si>
  <si>
    <t>BV</t>
  </si>
  <si>
    <t>org.apache.derby.impl.jdbc.EmbedBlob@20701f00</t>
  </si>
  <si>
    <t>99d4fb3d-b156-3c87-9a2c-dfc0158b37c3</t>
  </si>
  <si>
    <t>Burundi</t>
  </si>
  <si>
    <t>BI</t>
  </si>
  <si>
    <t>org.apache.derby.impl.jdbc.EmbedBlob@e2777d0</t>
  </si>
  <si>
    <t>08424385-5820-39ca-87f4-66f645784636</t>
  </si>
  <si>
    <t>Bermuda</t>
  </si>
  <si>
    <t>BM</t>
  </si>
  <si>
    <t>org.apache.derby.impl.jdbc.EmbedBlob@72ff2641</t>
  </si>
  <si>
    <t>69206263-69b1-3058-84f5-e3d6f93b5f6e</t>
  </si>
  <si>
    <t>Bhutan</t>
  </si>
  <si>
    <t>BT</t>
  </si>
  <si>
    <t>org.apache.derby.impl.jdbc.EmbedBlob@52b3b9d2</t>
  </si>
  <si>
    <t>5b0f6e88-81d8-320b-897a-4c8d673711d9</t>
  </si>
  <si>
    <t>IAI Area, North America, without Quebec</t>
  </si>
  <si>
    <t>org.apache.derby.impl.jdbc.EmbedBlob@473754ef</t>
  </si>
  <si>
    <t>b380c952-746f-3cf9-89ae-d6562c7ee132</t>
  </si>
  <si>
    <t>Baltic System Operator</t>
  </si>
  <si>
    <t>BALTSO</t>
  </si>
  <si>
    <t>org.apache.derby.impl.jdbc.EmbedBlob@4cf1bf66</t>
  </si>
  <si>
    <t>e7d76f14-42a7-3fc0-bec2-21a3f18683d1</t>
  </si>
  <si>
    <t>Canary Islands</t>
  </si>
  <si>
    <t>org.apache.derby.impl.jdbc.EmbedBlob@3c3e203</t>
  </si>
  <si>
    <t>288ea1e1-79de-3bc8-8a29-958f9857d9d1</t>
  </si>
  <si>
    <t>Caribbean</t>
  </si>
  <si>
    <t>UN-CARIBBEAN</t>
  </si>
  <si>
    <t>org.apache.derby.impl.jdbc.EmbedBlob@553a98c5</t>
  </si>
  <si>
    <t>05b093bc-7b17-3c30-a09d-1c41f13e009a</t>
  </si>
  <si>
    <t>Australia and New Zealand</t>
  </si>
  <si>
    <t>UN-AUSTRALIANZ</t>
  </si>
  <si>
    <t>org.apache.derby.impl.jdbc.EmbedBlob@83e2cec</t>
  </si>
  <si>
    <t>41f3dc5d-9734-339d-86ad-47fe2970dfe0</t>
  </si>
  <si>
    <t>Central America</t>
  </si>
  <si>
    <t>UN-CAMERICA</t>
  </si>
  <si>
    <t>org.apache.derby.impl.jdbc.EmbedBlob@188decfd</t>
  </si>
  <si>
    <t>e110324f-3d3c-3394-a6f8-f87e742dcaa4</t>
  </si>
  <si>
    <t>Eastern Africa</t>
  </si>
  <si>
    <t>UN-EAFRICA</t>
  </si>
  <si>
    <t>org.apache.derby.impl.jdbc.EmbedBlob@7dfcf813</t>
  </si>
  <si>
    <t>64ca6097-2a6e-3926-91c4-b9d31080c687</t>
  </si>
  <si>
    <t>Djibouti</t>
  </si>
  <si>
    <t>DJ</t>
  </si>
  <si>
    <t>org.apache.derby.impl.jdbc.EmbedBlob@618d9919</t>
  </si>
  <si>
    <t>0ab34ca9-7d99-3659-9bf8-9817789cb5de</t>
  </si>
  <si>
    <t>Micronesia, Federated States of</t>
  </si>
  <si>
    <t>FM</t>
  </si>
  <si>
    <t>org.apache.derby.impl.jdbc.EmbedBlob@16107bd1</t>
  </si>
  <si>
    <t>95b09ece-0ccc-3fa4-89f0-ef29d63c6dbe</t>
  </si>
  <si>
    <t>Eastern Asia</t>
  </si>
  <si>
    <t>UN-EASIA</t>
  </si>
  <si>
    <t>org.apache.derby.impl.jdbc.EmbedBlob@6fe0234d</t>
  </si>
  <si>
    <t>db28a51a-61d7-3b0b-bb5c-a1c0a25db72e</t>
  </si>
  <si>
    <t>Eastern Europe</t>
  </si>
  <si>
    <t>UN-EEUROPE</t>
  </si>
  <si>
    <t>org.apache.derby.impl.jdbc.EmbedBlob@77f30b8e</t>
  </si>
  <si>
    <t>9c7e385f-c425-3258-a571-a94454d24b2b</t>
  </si>
  <si>
    <t>Melanesia</t>
  </si>
  <si>
    <t>UN-MELANESIA</t>
  </si>
  <si>
    <t>org.apache.derby.impl.jdbc.EmbedBlob@5feb391e</t>
  </si>
  <si>
    <t>11a4769f-1f94-3ef6-9be6-a120cd4e3e67</t>
  </si>
  <si>
    <t>Micronesia</t>
  </si>
  <si>
    <t>UN-MICRONESIA</t>
  </si>
  <si>
    <t>org.apache.derby.impl.jdbc.EmbedBlob@7cb7bfe8</t>
  </si>
  <si>
    <t>f9d758b6-d15e-3238-aa0e-e0a3b949fc32</t>
  </si>
  <si>
    <t>Northern Africa</t>
  </si>
  <si>
    <t>UN-NAFRICA</t>
  </si>
  <si>
    <t>org.apache.derby.impl.jdbc.EmbedBlob@5eb45ee4</t>
  </si>
  <si>
    <t>da657f65-6f70-3a48-893f-64cf7be37d09</t>
  </si>
  <si>
    <t>Northern Europe</t>
  </si>
  <si>
    <t>UN-NEUROPE</t>
  </si>
  <si>
    <t>org.apache.derby.impl.jdbc.EmbedBlob@191803e0</t>
  </si>
  <si>
    <t>b9b1f592-541c-3b02-bd41-1f6ea05a6ea5</t>
  </si>
  <si>
    <t>Polynesia</t>
  </si>
  <si>
    <t>UN-POLYNESIA</t>
  </si>
  <si>
    <t>org.apache.derby.impl.jdbc.EmbedBlob@31e36f74</t>
  </si>
  <si>
    <t>4f146d3d-de5e-3896-8bac-17f57c9eaa05</t>
  </si>
  <si>
    <t>Somaliland</t>
  </si>
  <si>
    <t>org.apache.derby.impl.jdbc.EmbedBlob@4ddc44d2</t>
  </si>
  <si>
    <t>fe8f0f22-0c96-348b-86c2-b27e42d27f04</t>
  </si>
  <si>
    <t>Southern Europe</t>
  </si>
  <si>
    <t>UN-SEUROPE</t>
  </si>
  <si>
    <t>org.apache.derby.impl.jdbc.EmbedBlob@41b923e4</t>
  </si>
  <si>
    <t>28c494da-87ff-3996-9927-ac34ba30adbe</t>
  </si>
  <si>
    <t>Western Sahara</t>
  </si>
  <si>
    <t>EH</t>
  </si>
  <si>
    <t>org.apache.derby.impl.jdbc.EmbedBlob@6b8b7c68</t>
  </si>
  <si>
    <t>6fac3ab6-03bb-3fb4-ae42-77786393194c</t>
  </si>
  <si>
    <t>Fiji</t>
  </si>
  <si>
    <t>FJ</t>
  </si>
  <si>
    <t>org.apache.derby.impl.jdbc.EmbedBlob@445e4f1f</t>
  </si>
  <si>
    <t>d2a460df-08a4-3b7a-958f-635b540d90cb</t>
  </si>
  <si>
    <t>Guam</t>
  </si>
  <si>
    <t>GU</t>
  </si>
  <si>
    <t>org.apache.derby.impl.jdbc.EmbedBlob@6538fcf3</t>
  </si>
  <si>
    <t>fb033b5d-d7d0-37f5-a147-c0bfed75d56c</t>
  </si>
  <si>
    <t>Western Africa</t>
  </si>
  <si>
    <t>UN-WAFRICA</t>
  </si>
  <si>
    <t>org.apache.derby.impl.jdbc.EmbedBlob@5dce1c45</t>
  </si>
  <si>
    <t>02cb9a5a-488d-3ea0-84d9-3ae7b315e386</t>
  </si>
  <si>
    <t>Western Asia</t>
  </si>
  <si>
    <t>UN-WASIA</t>
  </si>
  <si>
    <t>org.apache.derby.impl.jdbc.EmbedBlob@49a330b8</t>
  </si>
  <si>
    <t>f60425bb-5d9d-361c-8365-b042007676c0</t>
  </si>
  <si>
    <t>Central Asia</t>
  </si>
  <si>
    <t>org.apache.derby.impl.jdbc.EmbedBlob@3b46554b</t>
  </si>
  <si>
    <t>6c68ef81-a341-3ab2-bc21-e280c511bd86</t>
  </si>
  <si>
    <t>Québec, Hydro-Québec distribution network</t>
  </si>
  <si>
    <t>Québec, HQ distribution network</t>
  </si>
  <si>
    <t>org.apache.derby.impl.jdbc.EmbedBlob@74c35a9f</t>
  </si>
  <si>
    <t>7d199e42-c733-3c12-87e1-ce5672f33ae6</t>
  </si>
  <si>
    <t>Russia (Asia)</t>
  </si>
  <si>
    <t>org.apache.derby.impl.jdbc.EmbedBlob@51b2d966</t>
  </si>
  <si>
    <t>84c26536-0d12-33e3-8ed0-e7fa435f9a45</t>
  </si>
  <si>
    <t>Russia (Europe)</t>
  </si>
  <si>
    <t>org.apache.derby.impl.jdbc.EmbedBlob@37b40a15</t>
  </si>
  <si>
    <t>1e11ad8e-d46d-368b-9ef5-a43e99dec543</t>
  </si>
  <si>
    <t>Europe, UN Region</t>
  </si>
  <si>
    <t>UN-EUROPE</t>
  </si>
  <si>
    <t>org.apache.derby.impl.jdbc.EmbedBlob@11252b76</t>
  </si>
  <si>
    <t>d34c6aba-144a-3e2d-acb4-0dd5f93ae50e</t>
  </si>
  <si>
    <t>South America</t>
  </si>
  <si>
    <t>UN-SAMERICA</t>
  </si>
  <si>
    <t>org.apache.derby.impl.jdbc.EmbedBlob@320f3ae7</t>
  </si>
  <si>
    <t>eed80702-4939-3808-883f-0031a56e9872</t>
  </si>
  <si>
    <t>Faroe Islands</t>
  </si>
  <si>
    <t>FO</t>
  </si>
  <si>
    <t>org.apache.derby.impl.jdbc.EmbedBlob@3916cffd</t>
  </si>
  <si>
    <t>9331c8d7-3b48-3a8f-a4a8-2ea976840ba9</t>
  </si>
  <si>
    <t>Asia without China</t>
  </si>
  <si>
    <t>org.apache.derby.impl.jdbc.EmbedBlob@47ad16f7</t>
  </si>
  <si>
    <t>546c1bd3-1f98-3d06-b407-1a7319f0ca71</t>
  </si>
  <si>
    <t>Canada without Alberta</t>
  </si>
  <si>
    <t>org.apache.derby.impl.jdbc.EmbedBlob@3588bba</t>
  </si>
  <si>
    <t>d14dbd02-b110-3af9-9cc5-10430014cff4</t>
  </si>
  <si>
    <t>Canada without Alberta and Quebec</t>
  </si>
  <si>
    <t>org.apache.derby.impl.jdbc.EmbedBlob@2cd42b6b</t>
  </si>
  <si>
    <t>dc7ab83e-bd9d-34f0-b536-65279847ff3b</t>
  </si>
  <si>
    <t>Europe without NORDEL (NCPA)</t>
  </si>
  <si>
    <t>org.apache.derby.impl.jdbc.EmbedBlob@11f58fcd</t>
  </si>
  <si>
    <t>f602f7d4-9bac-3523-9824-783897f9b64b</t>
  </si>
  <si>
    <t>Europe without Switzerland and France</t>
  </si>
  <si>
    <t>org.apache.derby.impl.jdbc.EmbedBlob@13e38696</t>
  </si>
  <si>
    <t>d9394066-970e-34ae-a52f-d0347e58c03e</t>
  </si>
  <si>
    <t>Mauritania</t>
  </si>
  <si>
    <t>MR</t>
  </si>
  <si>
    <t>org.apache.derby.impl.jdbc.EmbedBlob@7be3679b</t>
  </si>
  <si>
    <t>ee33e909-372d-335d-990f-4fcb2a92d542</t>
  </si>
  <si>
    <t>Montserrat</t>
  </si>
  <si>
    <t>MS</t>
  </si>
  <si>
    <t>org.apache.derby.impl.jdbc.EmbedBlob@46d514cd</t>
  </si>
  <si>
    <t>5109d85d-95fe-3e78-96d9-704e6e5b1279</t>
  </si>
  <si>
    <t>Saint Pierre and Miquelon</t>
  </si>
  <si>
    <t>PM</t>
  </si>
  <si>
    <t>org.apache.derby.impl.jdbc.EmbedBlob@53ebdeac</t>
  </si>
  <si>
    <t>2a552811-5dc6-3462-a113-dda562233bd7</t>
  </si>
  <si>
    <t>Dhekelia Sovereign Base Area</t>
  </si>
  <si>
    <t>Dhekelia Base</t>
  </si>
  <si>
    <t>org.apache.derby.impl.jdbc.EmbedBlob@5cb33571</t>
  </si>
  <si>
    <t>8c7e6965-b416-3689-a88b-313bbe7450f9</t>
  </si>
  <si>
    <t>Saint Kitts and Nevis</t>
  </si>
  <si>
    <t>KN</t>
  </si>
  <si>
    <t>org.apache.derby.impl.jdbc.EmbedBlob@3c8c4ec3</t>
  </si>
  <si>
    <t>196accbc-f32b-3a8e-abef-92e1a37d0fc0</t>
  </si>
  <si>
    <t>Saint Lucia</t>
  </si>
  <si>
    <t>LC</t>
  </si>
  <si>
    <t>org.apache.derby.impl.jdbc.EmbedBlob@521146e3</t>
  </si>
  <si>
    <t>d70c1e5d-44de-3a91-90eb-91ecff563578</t>
  </si>
  <si>
    <t>Liechtenstein</t>
  </si>
  <si>
    <t>LI</t>
  </si>
  <si>
    <t>org.apache.derby.impl.jdbc.EmbedBlob@5f02fcb3</t>
  </si>
  <si>
    <t>44ba5ca6-5651-34f3-af19-27576dd35436</t>
  </si>
  <si>
    <t>Lesotho</t>
  </si>
  <si>
    <t>LS</t>
  </si>
  <si>
    <t>org.apache.derby.impl.jdbc.EmbedBlob@1a5f429f</t>
  </si>
  <si>
    <t>e4a3432b-dd1d-3598-a0f8-3ea16dbe0581</t>
  </si>
  <si>
    <t>China without Inner Mongol</t>
  </si>
  <si>
    <t>China w/o Inner Mongol</t>
  </si>
  <si>
    <t>org.apache.derby.impl.jdbc.EmbedBlob@1c859d63</t>
  </si>
  <si>
    <t>94d03594-5b3d-3218-a669-c4d3f6daa104</t>
  </si>
  <si>
    <t>Maldives</t>
  </si>
  <si>
    <t>MV</t>
  </si>
  <si>
    <t>org.apache.derby.impl.jdbc.EmbedBlob@54aa0d24</t>
  </si>
  <si>
    <t>38fed710-7cee-3580-98ca-06304c1beb90</t>
  </si>
  <si>
    <t>Malawi</t>
  </si>
  <si>
    <t>MW</t>
  </si>
  <si>
    <t>org.apache.derby.impl.jdbc.EmbedBlob@3481f694</t>
  </si>
  <si>
    <t>238b27cc-7d31-3a32-94b6-16ccd2d9c7c2</t>
  </si>
  <si>
    <t>Europe without Germany, the Netherlands, Norway, and Russia</t>
  </si>
  <si>
    <t>RER w/o DE+NL+NO+RU</t>
  </si>
  <si>
    <t>org.apache.derby.impl.jdbc.EmbedBlob@1f55faa7</t>
  </si>
  <si>
    <t>d6fd0924-e324-3506-a9ae-0295adf59567</t>
  </si>
  <si>
    <t>Monaco</t>
  </si>
  <si>
    <t>MC</t>
  </si>
  <si>
    <t>org.apache.derby.impl.jdbc.EmbedBlob@1b920744</t>
  </si>
  <si>
    <t>aae773f6-9106-3fd9-95d0-c38764e6dccd</t>
  </si>
  <si>
    <t>US Naval Base Guantanamo Bay</t>
  </si>
  <si>
    <t>Guantanamo Bay</t>
  </si>
  <si>
    <t>org.apache.derby.impl.jdbc.EmbedBlob@209c77f4</t>
  </si>
  <si>
    <t>8f775bae-e910-3a54-8541-f4a49f87b2f2</t>
  </si>
  <si>
    <t>Clipperton Island</t>
  </si>
  <si>
    <t>org.apache.derby.impl.jdbc.EmbedBlob@57c5d9c3</t>
  </si>
  <si>
    <t>ea81aa7d-f47d-34c6-b37b-f98fabf3ff82</t>
  </si>
  <si>
    <t>Saint Martin</t>
  </si>
  <si>
    <t>MF</t>
  </si>
  <si>
    <t>org.apache.derby.impl.jdbc.EmbedBlob@6775815e</t>
  </si>
  <si>
    <t>ed8f5b7e-7439-3143-b43a-93dc753618ae</t>
  </si>
  <si>
    <t>Marshall Islands</t>
  </si>
  <si>
    <t>MH</t>
  </si>
  <si>
    <t>org.apache.derby.impl.jdbc.EmbedBlob@6cd612d3</t>
  </si>
  <si>
    <t>27c9d518-7cd2-33f8-9160-ec1ed2b5ac89</t>
  </si>
  <si>
    <t>Macau</t>
  </si>
  <si>
    <t>MO</t>
  </si>
  <si>
    <t>org.apache.derby.impl.jdbc.EmbedBlob@2fb6fb6a</t>
  </si>
  <si>
    <t>64e1e1cb-e1ca-3e88-af3a-838a3e7b57d6</t>
  </si>
  <si>
    <t>PR</t>
  </si>
  <si>
    <t>org.apache.derby.impl.jdbc.EmbedBlob@5644249e</t>
  </si>
  <si>
    <t>12eccbdd-9b32-3181-b134-1f38907cbbb5</t>
  </si>
  <si>
    <t>Reunion</t>
  </si>
  <si>
    <t>RE</t>
  </si>
  <si>
    <t>org.apache.derby.impl.jdbc.EmbedBlob@1d702079</t>
  </si>
  <si>
    <t>8812c36a-a5ae-336c-aa77-bf63211d899a</t>
  </si>
  <si>
    <t>Palestinian Territory, Occupied</t>
  </si>
  <si>
    <t>PS</t>
  </si>
  <si>
    <t>org.apache.derby.impl.jdbc.EmbedBlob@416ce98e</t>
  </si>
  <si>
    <t>8fe4c114-5128-3c09-8a65-78e6ddbf5eed</t>
  </si>
  <si>
    <t>Palau</t>
  </si>
  <si>
    <t>PW</t>
  </si>
  <si>
    <t>org.apache.derby.impl.jdbc.EmbedBlob@59192762</t>
  </si>
  <si>
    <t>b6717b91-c759-3cc0-bf30-aa9a784e6390</t>
  </si>
  <si>
    <t>Tokelau</t>
  </si>
  <si>
    <t>TK</t>
  </si>
  <si>
    <t>org.apache.derby.impl.jdbc.EmbedBlob@2e0e980b</t>
  </si>
  <si>
    <t>0dd00e33-b6fc-37b8-91eb-e3177217d6c0</t>
  </si>
  <si>
    <t>United States Minor Outlying Islands</t>
  </si>
  <si>
    <t>UM</t>
  </si>
  <si>
    <t>org.apache.derby.impl.jdbc.EmbedBlob@32e1065b</t>
  </si>
  <si>
    <t>06e2458b-3178-3438-b3f4-84051244c27d</t>
  </si>
  <si>
    <t>Europe without Austria, Belgium, France, Germany, Italy, Liechtenstein, Monaco, San Marino, Switzerland, and the Vatican</t>
  </si>
  <si>
    <t>RER w/o AT+BE+CH+DE+FR+IT</t>
  </si>
  <si>
    <t>org.apache.derby.impl.jdbc.EmbedBlob@455aed9</t>
  </si>
  <si>
    <t>9830e1f8-1f62-3b33-906a-cc186b93374e</t>
  </si>
  <si>
    <t>Mali</t>
  </si>
  <si>
    <t>ML</t>
  </si>
  <si>
    <t>org.apache.derby.impl.jdbc.EmbedBlob@5ec1a098</t>
  </si>
  <si>
    <t>e743b51e-41f8-3369-9418-34177c8f34e7</t>
  </si>
  <si>
    <t>UCTE without France</t>
  </si>
  <si>
    <t>org.apache.derby.impl.jdbc.EmbedBlob@4dae3c69</t>
  </si>
  <si>
    <t>43b1cc1d-b7be-33d8-99dd-4280f578691a</t>
  </si>
  <si>
    <t>Holy See (Vatican City State)</t>
  </si>
  <si>
    <t>VA</t>
  </si>
  <si>
    <t>org.apache.derby.impl.jdbc.EmbedBlob@64247063</t>
  </si>
  <si>
    <t>d54185b7-1f61-3c30-a396-ac4bc44d3269</t>
  </si>
  <si>
    <t>Seychelles</t>
  </si>
  <si>
    <t>SC</t>
  </si>
  <si>
    <t>org.apache.derby.impl.jdbc.EmbedBlob@37b2c91f</t>
  </si>
  <si>
    <t>114d6a41-5b3d-34db-b92c-a7c0da0c7a55</t>
  </si>
  <si>
    <t>French Southern Territories</t>
  </si>
  <si>
    <t>TF</t>
  </si>
  <si>
    <t>org.apache.derby.impl.jdbc.EmbedBlob@168dcfa2</t>
  </si>
  <si>
    <t>c56e5259-4d4e-3e7f-acb2-b96c4637b486</t>
  </si>
  <si>
    <t>Saint Vincent and the Grenadines</t>
  </si>
  <si>
    <t>VC</t>
  </si>
  <si>
    <t>org.apache.derby.impl.jdbc.EmbedBlob@2afcf46e</t>
  </si>
  <si>
    <t>313a21d5-badc-3f56-b223-8ebf8c7690f6</t>
  </si>
  <si>
    <t>Timor-Leste</t>
  </si>
  <si>
    <t>TL</t>
  </si>
  <si>
    <t>org.apache.derby.impl.jdbc.EmbedBlob@6d9c3e3a</t>
  </si>
  <si>
    <t>c1b291cb-8522-336e-8217-31b509c9fcdd</t>
  </si>
  <si>
    <t>Wallis and Futuna</t>
  </si>
  <si>
    <t>WF</t>
  </si>
  <si>
    <t>org.apache.derby.impl.jdbc.EmbedBlob@4c47e8a7</t>
  </si>
  <si>
    <t>01b6e203-44b6-3835-85ed-1ddedf20d531</t>
  </si>
  <si>
    <t>Tonga</t>
  </si>
  <si>
    <t>TO</t>
  </si>
  <si>
    <t>org.apache.derby.impl.jdbc.EmbedBlob@34cfde52</t>
  </si>
  <si>
    <t>8dc6a685-44c9-3a1c-b937-78a6de2d9830</t>
  </si>
  <si>
    <t>UCTE without Germany and France</t>
  </si>
  <si>
    <t>org.apache.derby.impl.jdbc.EmbedBlob@753c9fde</t>
  </si>
  <si>
    <t>e5bb2379-7bfe-3314-a3db-43d07dbd6a74</t>
  </si>
  <si>
    <t>French Guiana</t>
  </si>
  <si>
    <t>GF</t>
  </si>
  <si>
    <t>org.apache.derby.impl.jdbc.EmbedBlob@6cd430e</t>
  </si>
  <si>
    <t>92073d2f-e26e-343c-a222-cc0fb0b7d7a0</t>
  </si>
  <si>
    <t>Gambia</t>
  </si>
  <si>
    <t>GM</t>
  </si>
  <si>
    <t>org.apache.derby.impl.jdbc.EmbedBlob@4c3a20cb</t>
  </si>
  <si>
    <t>3ac78d5e-cc6a-38b2-ad2c-18694933387a</t>
  </si>
  <si>
    <t>India, Islands</t>
  </si>
  <si>
    <t>IN-Islands</t>
  </si>
  <si>
    <t>org.apache.derby.impl.jdbc.EmbedBlob@5d6ff676</t>
  </si>
  <si>
    <t>c9089f3c-9ada-3018-af6f-fb1ee8d6501c</t>
  </si>
  <si>
    <t>Lao People's Democratic Republic</t>
  </si>
  <si>
    <t>LA</t>
  </si>
  <si>
    <t>org.apache.derby.impl.jdbc.EmbedBlob@4c3c406a</t>
  </si>
  <si>
    <t>cda0fd29-18d1-3e20-ac87-1ed79a8d2bb0</t>
  </si>
  <si>
    <t>Midwest Reliability Organization</t>
  </si>
  <si>
    <t>MRO</t>
  </si>
  <si>
    <t>org.apache.derby.impl.jdbc.EmbedBlob@2005afd0</t>
  </si>
  <si>
    <t>b5bf27b2-555d-344e-bdf2-230080db5a1d</t>
  </si>
  <si>
    <t>Svalbard and Jan Mayen</t>
  </si>
  <si>
    <t>SJ</t>
  </si>
  <si>
    <t>org.apache.derby.impl.jdbc.EmbedBlob@1fda62e7</t>
  </si>
  <si>
    <t>b807023f-87e6-3b8a-9a92-f79f546ff9cc</t>
  </si>
  <si>
    <t>Somalia</t>
  </si>
  <si>
    <t>SO</t>
  </si>
  <si>
    <t>org.apache.derby.impl.jdbc.EmbedBlob@314b5e66</t>
  </si>
  <si>
    <t>2c38b9e4-5cec-3b32-8dde-4e3d5b22c648</t>
  </si>
  <si>
    <t>Sint Maarten, Dutch part</t>
  </si>
  <si>
    <t>SX</t>
  </si>
  <si>
    <t>org.apache.derby.impl.jdbc.EmbedBlob@3cbd0cb0</t>
  </si>
  <si>
    <t>626726e6-0bd1-315f-b671-9a308a25b798</t>
  </si>
  <si>
    <t>Chad</t>
  </si>
  <si>
    <t>TD</t>
  </si>
  <si>
    <t>org.apache.derby.impl.jdbc.EmbedBlob@26f8a3a3</t>
  </si>
  <si>
    <t xml:space="preserve">General EPD Template Fields </t>
  </si>
  <si>
    <t>Product name:</t>
  </si>
  <si>
    <t>Template completed by:</t>
  </si>
  <si>
    <t>Fields as defined in ISO 14025 for EPDs, ISO 21930 for construction EPDs, and PEP Eco Passport for Luminaires</t>
  </si>
  <si>
    <t>Completion Date:</t>
  </si>
  <si>
    <t>Technological, Temporal, &amp; Geographical Representativeness:</t>
  </si>
  <si>
    <t xml:space="preserve">Number of facilities/sites represented by this dataset: </t>
  </si>
  <si>
    <t>Facility Name(s) &amp; Location(s):</t>
  </si>
  <si>
    <t>From: (MM/DD/YEAR)</t>
  </si>
  <si>
    <t>To: (MM/DD/YEAR)</t>
  </si>
  <si>
    <t>to</t>
  </si>
  <si>
    <t>Validity period/duration:</t>
  </si>
  <si>
    <t>Clause 7 (excerpt):</t>
  </si>
  <si>
    <t>Quantity of Luminaire Products (unit)</t>
  </si>
  <si>
    <r>
      <rPr>
        <b/>
        <u/>
        <sz val="11"/>
        <color theme="1"/>
        <rFont val="Calibri"/>
        <family val="2"/>
        <scheme val="minor"/>
      </rPr>
      <t>Per ISO 21930:</t>
    </r>
    <r>
      <rPr>
        <sz val="11"/>
        <color theme="1"/>
        <rFont val="Calibri"/>
        <family val="2"/>
        <scheme val="minor"/>
      </rPr>
      <t xml:space="preserve">
"The description of the functional unit of a construction product shall include, but not be limited to
— the quantified function and performance characteristics 
— the [luminaire's] REFERENCE SERVICE LIFE (RSL), which is dependent on the properties of the product and reference in-use conditions. 
Information on the product’s RSL, therefore, requires specification of compatible scenarios for the production stage, construction stage and use stage. These conditions shall be declared together with the RSL and it shall be stated that the RSL applies for the reference in-use conditions only..."</t>
    </r>
  </si>
  <si>
    <t>Reporting basis (quantity units produced during reporting time period):</t>
  </si>
  <si>
    <t>Product SKU (model #):</t>
  </si>
  <si>
    <t>Product code other:</t>
  </si>
  <si>
    <t>Product description:</t>
  </si>
  <si>
    <t>Product usage description:</t>
  </si>
  <si>
    <t>Product usage image:</t>
  </si>
  <si>
    <t>These data help determine the reference flow amounts according to the FUNCTIONAL UNIT of reporting:</t>
  </si>
  <si>
    <t>Manufacturing description (Technology):</t>
  </si>
  <si>
    <r>
      <rPr>
        <b/>
        <u/>
        <sz val="11"/>
        <color theme="1"/>
        <rFont val="Calibri"/>
        <family val="2"/>
        <scheme val="minor"/>
      </rPr>
      <t>Per ISO 21930:</t>
    </r>
    <r>
      <rPr>
        <sz val="11"/>
        <color theme="1"/>
        <rFont val="Calibri"/>
        <family val="2"/>
        <scheme val="minor"/>
      </rPr>
      <t xml:space="preserve">
"The functional unit defines the way in which the identified functions and performance characteristics
of the product are quantified. The primary purpose of the functional unit is to provide a reference by
which product, material and energy flows (input and output data) of a [luminaire's] LCA
results and any other information are normalized to produce data expressed on a common basis.."</t>
    </r>
  </si>
  <si>
    <t>Manufacturing image:</t>
  </si>
  <si>
    <t>Technology Coverage:</t>
  </si>
  <si>
    <t>LUMINAIRE PRODUCT SPECS:</t>
  </si>
  <si>
    <t>Driver specifications:</t>
  </si>
  <si>
    <t>Driver warranty time</t>
  </si>
  <si>
    <t>Body type &amp; specifications:</t>
  </si>
  <si>
    <t>Diffuser:</t>
  </si>
  <si>
    <t>Class (shock protection):</t>
  </si>
  <si>
    <t>Luminaire Input Power:</t>
  </si>
  <si>
    <t>W</t>
  </si>
  <si>
    <t>Stand-by Power (if known):</t>
  </si>
  <si>
    <t>All inventory per item amounts multiplied by this factor in the model to normalize for FU:</t>
  </si>
  <si>
    <t>Luminaire luminous flux:</t>
  </si>
  <si>
    <t>Lumens (lm)</t>
  </si>
  <si>
    <r>
      <t>E = [1,000/lm</t>
    </r>
    <r>
      <rPr>
        <b/>
        <vertAlign val="subscript"/>
        <sz val="12"/>
        <color theme="1"/>
        <rFont val="Abadi Extra Light"/>
        <family val="2"/>
      </rPr>
      <t>r</t>
    </r>
    <r>
      <rPr>
        <b/>
        <sz val="12"/>
        <color theme="1"/>
        <rFont val="Abadi Extra Light"/>
        <family val="2"/>
      </rPr>
      <t>]*[35,000/l]</t>
    </r>
  </si>
  <si>
    <t>Luminaire efficacy:</t>
  </si>
  <si>
    <t>lm/W</t>
  </si>
  <si>
    <r>
      <t>E</t>
    </r>
    <r>
      <rPr>
        <b/>
        <vertAlign val="subscript"/>
        <sz val="14"/>
        <color theme="1"/>
        <rFont val="Abadi Extra Light"/>
        <family val="2"/>
      </rPr>
      <t xml:space="preserve">r(i) </t>
    </r>
    <r>
      <rPr>
        <sz val="14"/>
        <color theme="1"/>
        <rFont val="Abadi Extra Light"/>
        <family val="2"/>
      </rPr>
      <t xml:space="preserve">= environmental impact of the reference product (in units of the indicator of category </t>
    </r>
    <r>
      <rPr>
        <b/>
        <sz val="14"/>
        <color theme="1"/>
        <rFont val="Abadi Extra Light"/>
        <family val="2"/>
      </rPr>
      <t>i</t>
    </r>
    <r>
      <rPr>
        <sz val="14"/>
        <color theme="1"/>
        <rFont val="Abadi Extra Light"/>
        <family val="2"/>
      </rPr>
      <t>)</t>
    </r>
  </si>
  <si>
    <t>L70</t>
  </si>
  <si>
    <t>L90</t>
  </si>
  <si>
    <r>
      <t>lm</t>
    </r>
    <r>
      <rPr>
        <b/>
        <vertAlign val="subscript"/>
        <sz val="14"/>
        <color theme="1"/>
        <rFont val="Abadi Extra Light"/>
        <family val="2"/>
      </rPr>
      <t>r</t>
    </r>
    <r>
      <rPr>
        <sz val="14"/>
        <color theme="1"/>
        <rFont val="Abadi Extra Light"/>
        <family val="2"/>
      </rPr>
      <t xml:space="preserve"> = outgoing luminous flux of the reference product </t>
    </r>
    <r>
      <rPr>
        <b/>
        <sz val="14"/>
        <color theme="1"/>
        <rFont val="Abadi Extra Light"/>
        <family val="2"/>
      </rPr>
      <t>r</t>
    </r>
    <r>
      <rPr>
        <sz val="14"/>
        <color theme="1"/>
        <rFont val="Abadi Extra Light"/>
        <family val="2"/>
      </rPr>
      <t xml:space="preserve"> (lumens as measured with a goniophotometer)</t>
    </r>
  </si>
  <si>
    <t>LED Lumen Maintenance per LM-80</t>
  </si>
  <si>
    <t>hours</t>
  </si>
  <si>
    <t>where,</t>
  </si>
  <si>
    <t>Version of LM-80 used</t>
  </si>
  <si>
    <t>Version 1 or 2</t>
  </si>
  <si>
    <t>l = reference product lifetime (hours) using LED Lumen Maintenance per TM-21 * (using LM-80 data)</t>
  </si>
  <si>
    <t>Product weight:</t>
  </si>
  <si>
    <t>kg per unit product, a.k.a., per product item</t>
  </si>
  <si>
    <t>&lt;&lt;&lt;&lt;---BOM mass balance &amp; A3 depend on this value</t>
  </si>
  <si>
    <t xml:space="preserve">* Per the IES TM-21-21 method Section 5.2.5, “For a sample size of 20 units or more, flux maintenance values shall not be projected beyond 6 times the total test duration (in hours) of measured data. For a sample size of 10 to 19 units, flux maintenance values shall not be projected beyond 5.5 times the total test duration of measured data.” </t>
  </si>
  <si>
    <t>Dimensions:</t>
  </si>
  <si>
    <t>mm</t>
  </si>
  <si>
    <t>by</t>
  </si>
  <si>
    <t>Link for additional information:</t>
  </si>
  <si>
    <t>Attachments:</t>
  </si>
  <si>
    <t xml:space="preserve">Certifications/Programs: </t>
  </si>
  <si>
    <t>NOTE: per ISO 21930, the EPD would include a statement that EPDs are comparable only if they comply with ISO 21930, use the same sub-category PCR where applicable, include all relevant information modules, and are based on equivalent scenarios with respect to the context of construction works.</t>
  </si>
  <si>
    <t>An overview of the principles and fields of OpenEPD is available here.</t>
  </si>
  <si>
    <t>The openEPD data structure is described for sustainability professionals in the spreadsheet Fields for openEPD.  IT professionals may find the formal API definition more helpful.</t>
  </si>
  <si>
    <t xml:space="preserve">The Fields for OpenEPD spreadsheet is organized into tabs: </t>
  </si>
  <si>
    <t>1.       General EPD Fields defined for all EPDs (e.g. unique ID, date of expiration, product name, declared unit, program operator, PCR, manufacturer).  Some of these are data structures which have their own schema with required and optional fields.</t>
  </si>
  <si>
    <r>
      <t>3.</t>
    </r>
    <r>
      <rPr>
        <sz val="7"/>
        <rFont val="Times New Roman"/>
        <family val="1"/>
      </rPr>
      <t xml:space="preserve">       </t>
    </r>
    <r>
      <rPr>
        <sz val="11"/>
        <rFont val="Calibri"/>
        <family val="2"/>
        <scheme val="minor"/>
      </rPr>
      <t>Additional tabs describing topics that do not easily fit in the first two tabs, such as the list of defined LCIA methods.</t>
    </r>
  </si>
  <si>
    <t>For Example, the EPD digitization schema includes fields that point to common background datasets used, e.g., that might be prescribed in templates as defined in ACLCA 2022 PCR Comparability Toolkit guidance for green procurement.</t>
  </si>
  <si>
    <t>List of JSON objects pointing to product components.  Each one should be an EPD or digitized LCI process</t>
  </si>
  <si>
    <t>list of /ingredient</t>
  </si>
  <si>
    <t>≤255 entries in list</t>
  </si>
  <si>
    <t>BOM (Bill of Materials) - Inputs Feed A1-Upstream Materials Mfg. &amp; Incoming Transport, A4-A5 Deliver &amp; Install, &amp; B1-6 Use &amp; Maintenance</t>
  </si>
  <si>
    <t>A1-A3: Production: Power generation, production of base materials, pre-products, ancillary materials, processing of secondary materials, packaging materials, installation of products; transport of base materials and purchased components as well as in-house transport is taken into account.</t>
  </si>
  <si>
    <t>^</t>
  </si>
  <si>
    <t>NOTE: Expand these columns to enter additional vendor/transport info; space for 4 vendors respective origins, transport modes, transport origin, and transport distance</t>
  </si>
  <si>
    <t>|</t>
  </si>
  <si>
    <t>Parameters from General EPD Tab:</t>
  </si>
  <si>
    <t>WEIGHT INPUT CALCULATOR FOR RETURNABLES/REUSABLES SUCH AS PACKAGING/ANCILLARIES</t>
  </si>
  <si>
    <t>months</t>
  </si>
  <si>
    <t>*for packaging, e.g., pallets, and/or ancillaries only indicate mass consumed per product. An estimate based on # product items/component/# component units uses is sufficient at this analysis level.</t>
  </si>
  <si>
    <t>kg per packaging/ancillary item (e.g., kg/pallet, kg/drum degreaser, kg/reusable item)</t>
  </si>
  <si>
    <t># packaging or ancillary times/transport load where used for distribution (especially if loads cube out before they weigh out)</t>
  </si>
  <si>
    <t>items/year</t>
  </si>
  <si>
    <t># product items produced per packaging item/ancillary component, e.g., pallet, drum degreaser</t>
  </si>
  <si>
    <t>kg/year</t>
  </si>
  <si>
    <t># uses packaging or ancillary item (e.g., trip number for pallets, solvent recovery yield)</t>
  </si>
  <si>
    <t>SAMPLE LUMINAIRE LCI DATA COLLECTION FORM - Inputs from bill of materials (BOM)</t>
  </si>
  <si>
    <t xml:space="preserve">TRANSPORT OF INCOMING MATERIALS </t>
  </si>
  <si>
    <t>Additional Information</t>
  </si>
  <si>
    <t>Additional for Power Supply &amp; Metals Only</t>
  </si>
  <si>
    <t>First Tier Vendor #1 - Geo</t>
  </si>
  <si>
    <t>First Tier Vendor #1 - Transport</t>
  </si>
  <si>
    <t>First Tier Vendor #2 - Geo</t>
  </si>
  <si>
    <t>First Tier Vendor #2 - Transport</t>
  </si>
  <si>
    <t>First Tier Vendor #3 - Geo</t>
  </si>
  <si>
    <t>First Tier Vendor #3 - Transport</t>
  </si>
  <si>
    <t>First Tier Vendor #4 - Geo</t>
  </si>
  <si>
    <t>First Tier Vendor #4 - Transport</t>
  </si>
  <si>
    <t>Transport Summary</t>
  </si>
  <si>
    <t>LINE ITEM #</t>
  </si>
  <si>
    <t>Part#</t>
  </si>
  <si>
    <t>Material Input Name</t>
  </si>
  <si>
    <t>End Use(s) of Material</t>
  </si>
  <si>
    <r>
      <t xml:space="preserve">Amount 
</t>
    </r>
    <r>
      <rPr>
        <sz val="8"/>
        <rFont val="Calibri Light"/>
        <family val="2"/>
        <scheme val="major"/>
      </rPr>
      <t>(kg material /piece material)</t>
    </r>
  </si>
  <si>
    <r>
      <t xml:space="preserve">Amount </t>
    </r>
    <r>
      <rPr>
        <sz val="8"/>
        <rFont val="Calibri Light"/>
        <family val="2"/>
        <scheme val="major"/>
      </rPr>
      <t>(pieces/</t>
    </r>
    <r>
      <rPr>
        <b/>
        <sz val="8"/>
        <rFont val="Calibri Light"/>
        <family val="2"/>
        <scheme val="major"/>
      </rPr>
      <t xml:space="preserve"> </t>
    </r>
    <r>
      <rPr>
        <sz val="8"/>
        <rFont val="Calibri Light"/>
        <family val="2"/>
        <scheme val="major"/>
      </rPr>
      <t>product item)</t>
    </r>
  </si>
  <si>
    <r>
      <t xml:space="preserve">Amount </t>
    </r>
    <r>
      <rPr>
        <sz val="8"/>
        <rFont val="Calibri Light"/>
        <family val="2"/>
        <scheme val="major"/>
      </rPr>
      <t>(kg/item product)</t>
    </r>
  </si>
  <si>
    <r>
      <t xml:space="preserve">Mass </t>
    </r>
    <r>
      <rPr>
        <sz val="8"/>
        <rFont val="Calibri Light"/>
        <family val="2"/>
        <scheme val="major"/>
      </rPr>
      <t>(%)</t>
    </r>
  </si>
  <si>
    <t>Luminaire EPD Component Group</t>
  </si>
  <si>
    <t>Component Type</t>
  </si>
  <si>
    <t>Component Subtype</t>
  </si>
  <si>
    <t>Component Specific Detail</t>
  </si>
  <si>
    <t>Pointer to Dataset</t>
  </si>
  <si>
    <t>Tech &amp; Machining</t>
  </si>
  <si>
    <t>Finish/ coating/paint</t>
  </si>
  <si>
    <t>% Supply Vendor #1</t>
  </si>
  <si>
    <t>Material Origin (if known)</t>
  </si>
  <si>
    <t>Material Origin at Scale from Previous Cell</t>
  </si>
  <si>
    <t>City</t>
  </si>
  <si>
    <t>State/Province/Region</t>
  </si>
  <si>
    <t>Country</t>
  </si>
  <si>
    <t xml:space="preserve">Mode 1 </t>
  </si>
  <si>
    <t>% by this Mode</t>
  </si>
  <si>
    <t>Mode 2</t>
  </si>
  <si>
    <t>km from Vendor to Facility</t>
  </si>
  <si>
    <t>% Supply Vendor #2</t>
  </si>
  <si>
    <t>% Supply Vendor #3</t>
  </si>
  <si>
    <t>% Supply Vendor #4</t>
  </si>
  <si>
    <t>(e.g., additional relevant information on material composition, incoming transport configuration, recycled content, data source)</t>
  </si>
  <si>
    <t>Vendor 1</t>
  </si>
  <si>
    <t>Vendor 2</t>
  </si>
  <si>
    <t>Vendor 3</t>
  </si>
  <si>
    <t>Vendor 4</t>
  </si>
  <si>
    <t>SKU (incorporated into product</t>
  </si>
  <si>
    <t>STRUCTURAL</t>
  </si>
  <si>
    <t>metal</t>
  </si>
  <si>
    <t>steel</t>
  </si>
  <si>
    <t>Low alloyed</t>
  </si>
  <si>
    <t>Steel Forming</t>
  </si>
  <si>
    <t>Deep drawn 650 kN automode press</t>
  </si>
  <si>
    <t>Steel Machining</t>
  </si>
  <si>
    <t>Milling small part removal</t>
  </si>
  <si>
    <t>Zinc coating</t>
  </si>
  <si>
    <t>6-axle semi-trailer combo truck</t>
  </si>
  <si>
    <t>containership</t>
  </si>
  <si>
    <t>finish coating paint</t>
  </si>
  <si>
    <t>Powder coating</t>
  </si>
  <si>
    <t>UUID pointer</t>
  </si>
  <si>
    <t>aluminum</t>
  </si>
  <si>
    <t>wrought</t>
  </si>
  <si>
    <t>Aluminium Forming</t>
  </si>
  <si>
    <t>Impact extruded 5 stroke</t>
  </si>
  <si>
    <t>Aluminium Machining</t>
  </si>
  <si>
    <t>Milling large part removal</t>
  </si>
  <si>
    <t>cast</t>
  </si>
  <si>
    <t>Impact extruded 1 stroke</t>
  </si>
  <si>
    <t>Turning roughing computer numerical controlled</t>
  </si>
  <si>
    <t>Deep drawn 650 kN single-stroke press</t>
  </si>
  <si>
    <t>plastic</t>
  </si>
  <si>
    <t>ABS</t>
  </si>
  <si>
    <t>Manufacturing requirement (not incorporated into product)</t>
  </si>
  <si>
    <t>Material 20</t>
  </si>
  <si>
    <t>Material 21</t>
  </si>
  <si>
    <t>Material 22</t>
  </si>
  <si>
    <t>Material 23</t>
  </si>
  <si>
    <t>Material 24</t>
  </si>
  <si>
    <t>Material 25</t>
  </si>
  <si>
    <t>Material 26</t>
  </si>
  <si>
    <t>Material 27</t>
  </si>
  <si>
    <t>Material 28</t>
  </si>
  <si>
    <t>Material 29</t>
  </si>
  <si>
    <t>Material 30</t>
  </si>
  <si>
    <t>Material 31</t>
  </si>
  <si>
    <t>Material 32</t>
  </si>
  <si>
    <t>Material 33</t>
  </si>
  <si>
    <t>Material 34</t>
  </si>
  <si>
    <t>Material 35</t>
  </si>
  <si>
    <t>Material 36</t>
  </si>
  <si>
    <t>Material 37</t>
  </si>
  <si>
    <t>Material 38</t>
  </si>
  <si>
    <t>Material 39</t>
  </si>
  <si>
    <t>Material 40</t>
  </si>
  <si>
    <t>Material 41</t>
  </si>
  <si>
    <t>Material 42</t>
  </si>
  <si>
    <t>Material 43</t>
  </si>
  <si>
    <t>Material 44</t>
  </si>
  <si>
    <t>Material 45</t>
  </si>
  <si>
    <t>Material 46</t>
  </si>
  <si>
    <t>Material 47</t>
  </si>
  <si>
    <t>Material 48</t>
  </si>
  <si>
    <t>Material 49</t>
  </si>
  <si>
    <t>Material 50</t>
  </si>
  <si>
    <t>Material 51</t>
  </si>
  <si>
    <t>Material 52</t>
  </si>
  <si>
    <t>Material 53</t>
  </si>
  <si>
    <t>Material 54</t>
  </si>
  <si>
    <t>Material 55</t>
  </si>
  <si>
    <t>Material 56</t>
  </si>
  <si>
    <t>Material 57</t>
  </si>
  <si>
    <t>Material 58</t>
  </si>
  <si>
    <t>Material 59</t>
  </si>
  <si>
    <t>Material 60</t>
  </si>
  <si>
    <t>Material 61</t>
  </si>
  <si>
    <t>Material 62</t>
  </si>
  <si>
    <t>Material 63</t>
  </si>
  <si>
    <t>Material 64</t>
  </si>
  <si>
    <t>Material 65</t>
  </si>
  <si>
    <t>Material 66</t>
  </si>
  <si>
    <t>Material 67</t>
  </si>
  <si>
    <t>Material 68</t>
  </si>
  <si>
    <t>Material 69</t>
  </si>
  <si>
    <t>Material 70</t>
  </si>
  <si>
    <t>Material 71</t>
  </si>
  <si>
    <t>Material 72</t>
  </si>
  <si>
    <t>Material 73</t>
  </si>
  <si>
    <t>Material 74</t>
  </si>
  <si>
    <t>Material 75</t>
  </si>
  <si>
    <t>Material 76</t>
  </si>
  <si>
    <t>Material 77</t>
  </si>
  <si>
    <t>Material 78</t>
  </si>
  <si>
    <t>Material 79</t>
  </si>
  <si>
    <t>Material 80</t>
  </si>
  <si>
    <t>Material 81</t>
  </si>
  <si>
    <t>Material 82</t>
  </si>
  <si>
    <t>Material 83</t>
  </si>
  <si>
    <t>Material 84</t>
  </si>
  <si>
    <t>Material 85</t>
  </si>
  <si>
    <t>Material 86</t>
  </si>
  <si>
    <t>Material 87</t>
  </si>
  <si>
    <t>Material 88</t>
  </si>
  <si>
    <t>Material 89</t>
  </si>
  <si>
    <t>Material 90</t>
  </si>
  <si>
    <t>Material 91</t>
  </si>
  <si>
    <t>Material 92</t>
  </si>
  <si>
    <t>Material 93</t>
  </si>
  <si>
    <t>Material 94</t>
  </si>
  <si>
    <t>Material 95</t>
  </si>
  <si>
    <t>Material 96</t>
  </si>
  <si>
    <t>Material 97</t>
  </si>
  <si>
    <t>Material 98</t>
  </si>
  <si>
    <t>Material 99</t>
  </si>
  <si>
    <t>Material 100</t>
  </si>
  <si>
    <t>Material 101</t>
  </si>
  <si>
    <t>Material 102</t>
  </si>
  <si>
    <t>Material 103</t>
  </si>
  <si>
    <t>Material 104</t>
  </si>
  <si>
    <t>Material 105</t>
  </si>
  <si>
    <t>Material 106</t>
  </si>
  <si>
    <t>Material 107</t>
  </si>
  <si>
    <t>Material 108</t>
  </si>
  <si>
    <t>Material 109</t>
  </si>
  <si>
    <t>Material 110</t>
  </si>
  <si>
    <t>Material 111</t>
  </si>
  <si>
    <t>Material 112</t>
  </si>
  <si>
    <t>Material 113</t>
  </si>
  <si>
    <t>Material 114</t>
  </si>
  <si>
    <t>Material 115</t>
  </si>
  <si>
    <t>Material 116</t>
  </si>
  <si>
    <t>Material 117</t>
  </si>
  <si>
    <t>Material 118</t>
  </si>
  <si>
    <t>Material 119</t>
  </si>
  <si>
    <t>Material 120</t>
  </si>
  <si>
    <t>Material 121</t>
  </si>
  <si>
    <t>Material 122</t>
  </si>
  <si>
    <t>Material 123</t>
  </si>
  <si>
    <t>Material 124</t>
  </si>
  <si>
    <t>Material 125</t>
  </si>
  <si>
    <t>Material 126</t>
  </si>
  <si>
    <t>Material 127</t>
  </si>
  <si>
    <t>Material 128</t>
  </si>
  <si>
    <t>Material 129</t>
  </si>
  <si>
    <t>Material 130</t>
  </si>
  <si>
    <t>Material 131</t>
  </si>
  <si>
    <t>Material 132</t>
  </si>
  <si>
    <t>Material 133</t>
  </si>
  <si>
    <t>Material 134</t>
  </si>
  <si>
    <t>Material 135</t>
  </si>
  <si>
    <t>Material 136</t>
  </si>
  <si>
    <t>Material 137</t>
  </si>
  <si>
    <t>Material 138</t>
  </si>
  <si>
    <t>Material 139</t>
  </si>
  <si>
    <t>Material 140</t>
  </si>
  <si>
    <t>Material 141</t>
  </si>
  <si>
    <t>Material 142</t>
  </si>
  <si>
    <t>Material 143</t>
  </si>
  <si>
    <t>Material 144</t>
  </si>
  <si>
    <t>Material 145</t>
  </si>
  <si>
    <t>Material 146</t>
  </si>
  <si>
    <t>Material 147</t>
  </si>
  <si>
    <t>Material 148</t>
  </si>
  <si>
    <t>Material 149</t>
  </si>
  <si>
    <t>Material 150</t>
  </si>
  <si>
    <t>Material 151</t>
  </si>
  <si>
    <t>Material 152</t>
  </si>
  <si>
    <t>Material 153</t>
  </si>
  <si>
    <t>Material 154</t>
  </si>
  <si>
    <t>Material 155</t>
  </si>
  <si>
    <t>Material 156</t>
  </si>
  <si>
    <t>Material 157</t>
  </si>
  <si>
    <t>Material 158</t>
  </si>
  <si>
    <t>Material 159</t>
  </si>
  <si>
    <t>Material 160</t>
  </si>
  <si>
    <t>Material 161</t>
  </si>
  <si>
    <t>Material 162</t>
  </si>
  <si>
    <t>Material 163</t>
  </si>
  <si>
    <t>Material 164</t>
  </si>
  <si>
    <t>Material 165</t>
  </si>
  <si>
    <t>Material 166</t>
  </si>
  <si>
    <t>Material 167</t>
  </si>
  <si>
    <t>Material 168</t>
  </si>
  <si>
    <t>Material 169</t>
  </si>
  <si>
    <t>Material 170</t>
  </si>
  <si>
    <t>Material 171</t>
  </si>
  <si>
    <t>Material 172</t>
  </si>
  <si>
    <t>Material 173</t>
  </si>
  <si>
    <t>Material 174</t>
  </si>
  <si>
    <t>Material 175</t>
  </si>
  <si>
    <t>Material 176</t>
  </si>
  <si>
    <t>Material 177</t>
  </si>
  <si>
    <t>Material 178</t>
  </si>
  <si>
    <t>Material 179</t>
  </si>
  <si>
    <t>Material 180</t>
  </si>
  <si>
    <t>Material 181</t>
  </si>
  <si>
    <t>Material 182</t>
  </si>
  <si>
    <t>Material 183</t>
  </si>
  <si>
    <t>Material 184</t>
  </si>
  <si>
    <t>Material 185</t>
  </si>
  <si>
    <t>Material 186</t>
  </si>
  <si>
    <t>Material 187</t>
  </si>
  <si>
    <t>Material 188</t>
  </si>
  <si>
    <t>Material 189</t>
  </si>
  <si>
    <t>Material 190</t>
  </si>
  <si>
    <t>Material 191</t>
  </si>
  <si>
    <t>Material 192</t>
  </si>
  <si>
    <t>Material 193</t>
  </si>
  <si>
    <t>Material 194</t>
  </si>
  <si>
    <t>Material 195</t>
  </si>
  <si>
    <t>Material 196</t>
  </si>
  <si>
    <t>Material 197</t>
  </si>
  <si>
    <t>Material 198</t>
  </si>
  <si>
    <t>Material 199</t>
  </si>
  <si>
    <t>Material 200</t>
  </si>
  <si>
    <t>Mass balance check (sum column G)           -------------------------------&gt;&gt;&gt;&gt;&gt;&gt;&gt;&gt;</t>
  </si>
  <si>
    <r>
      <t>Mass balance check (subtract GEN_EPD product mass)-</t>
    </r>
    <r>
      <rPr>
        <sz val="12"/>
        <color rgb="FF00B050"/>
        <rFont val="Calibri Light"/>
        <family val="2"/>
      </rPr>
      <t>if &gt; 1%, check to see if repair/maintenance end use (indicated in column D) of material input needs to be subtracted</t>
    </r>
    <r>
      <rPr>
        <b/>
        <sz val="12"/>
        <color rgb="FF00B050"/>
        <rFont val="Calibri Light"/>
        <family val="2"/>
      </rPr>
      <t xml:space="preserve">                                                                               -----------------&gt;&gt;&gt;&gt;&gt;&gt;&gt;&gt;</t>
    </r>
  </si>
  <si>
    <t>STREAMLINED ASSESSMENT</t>
  </si>
  <si>
    <t>A1-A2: PRODUCTION--Upstream Manufacturing-Raw Material Supply &amp; Incoming Material Transport</t>
  </si>
  <si>
    <t>A1 Materials LCI Summary (sums from BOM)</t>
  </si>
  <si>
    <t>Total materials per luminaire</t>
  </si>
  <si>
    <t>kg per luminaire</t>
  </si>
  <si>
    <t>Total luminaire materials</t>
  </si>
  <si>
    <t>Total other materials</t>
  </si>
  <si>
    <t>LAMP SOURCE</t>
  </si>
  <si>
    <t>light emitting diode LED</t>
  </si>
  <si>
    <t>compact fluorescent lamp CFL</t>
  </si>
  <si>
    <t>highintensity discharge HID lamp</t>
  </si>
  <si>
    <t>POWER SUPPY SYSTEM</t>
  </si>
  <si>
    <t>Connector</t>
  </si>
  <si>
    <t>Interconnects</t>
  </si>
  <si>
    <t>Harness</t>
  </si>
  <si>
    <t>Driver</t>
  </si>
  <si>
    <t>Metals</t>
  </si>
  <si>
    <t>copper</t>
  </si>
  <si>
    <t>Plastics</t>
  </si>
  <si>
    <t>acrylic</t>
  </si>
  <si>
    <t>HDPE</t>
  </si>
  <si>
    <t xml:space="preserve">nylon 6 6 glass filled </t>
  </si>
  <si>
    <t>Minerals</t>
  </si>
  <si>
    <t>glass</t>
  </si>
  <si>
    <t>ceramic</t>
  </si>
  <si>
    <t>Ancillary</t>
  </si>
  <si>
    <t>degreaser</t>
  </si>
  <si>
    <t>surfactant tenside or detergent</t>
  </si>
  <si>
    <t>ethoxylated alcohol</t>
  </si>
  <si>
    <t>caustic</t>
  </si>
  <si>
    <t>acid cleaner</t>
  </si>
  <si>
    <t>silicone sealant</t>
  </si>
  <si>
    <t>Packaging</t>
  </si>
  <si>
    <t>polypropylene PP strapping</t>
  </si>
  <si>
    <t>LDPE film</t>
  </si>
  <si>
    <t>corrugated sheet or box</t>
  </si>
  <si>
    <t>pallet</t>
  </si>
  <si>
    <t>A2 - Incoming Material Transport Summary by Mode (sums from BOM)</t>
  </si>
  <si>
    <t>Totals by Modes of Incoming Transport</t>
  </si>
  <si>
    <t>% materials incoming by this Mode</t>
  </si>
  <si>
    <t>van</t>
  </si>
  <si>
    <t>light duty commercial</t>
  </si>
  <si>
    <t>medium duty commercial 2-axle</t>
  </si>
  <si>
    <t>3-axle truck single unit</t>
  </si>
  <si>
    <t>air freight</t>
  </si>
  <si>
    <t>rail freight</t>
  </si>
  <si>
    <t>Excluded (per LCI approach and in the PEP):</t>
  </si>
  <si>
    <t>Production of capital and/or construction equipment used for installation (e.g., ladders, cranes)</t>
  </si>
  <si>
    <t>A3: PRODUCTION STAGE-Foreground Assembly-Energy Inputs &amp; Material, Waste, &amp; Emission Outputs</t>
  </si>
  <si>
    <t>A1-A3: Production: Power generation, production of base materials, pre-products, ancillary materials, processing of secondary materials, packaging materials, installation of products; transport of base materials and purchased components as well as in-house transport is taken into account. These data are likely compiled in another platform where uncertainty distribution can be calculated and then transferred here to precedent cells affecting parameter values on SQL tab that are pasted into the LCA model.</t>
  </si>
  <si>
    <t>Additional Fate/disposition options available by toggling group above:</t>
  </si>
  <si>
    <t>ln_ft/year</t>
  </si>
  <si>
    <t xml:space="preserve">Allocation of Facility Inputs/Outputs </t>
  </si>
  <si>
    <t>% allocated to this product (insert 100% if process-based entry)</t>
  </si>
  <si>
    <t>Use Either Whole Facility Data Inputs  - OR - Process Based Data Inputs Sections Below</t>
  </si>
  <si>
    <r>
      <t xml:space="preserve">Inputs - </t>
    </r>
    <r>
      <rPr>
        <b/>
        <sz val="14"/>
        <color rgb="FF0000FF"/>
        <rFont val="Abadi Extra Light"/>
        <family val="2"/>
      </rPr>
      <t>OPTION 1:</t>
    </r>
    <r>
      <rPr>
        <b/>
        <sz val="14"/>
        <color theme="1"/>
        <rFont val="Abadi Extra Light"/>
        <family val="2"/>
      </rPr>
      <t xml:space="preserve"> Whole Facility Data Inputs</t>
    </r>
  </si>
  <si>
    <t>Is space conditioning included in the values input below?</t>
  </si>
  <si>
    <t>Yes</t>
  </si>
  <si>
    <t>Energy Inputs for Facility</t>
  </si>
  <si>
    <t>Quantity per Product Unit</t>
  </si>
  <si>
    <t>Quantity</t>
  </si>
  <si>
    <t>Uncertainty Distribution Type for Numeric Value Entry</t>
  </si>
  <si>
    <r>
      <t xml:space="preserve">Standard Deviation 
</t>
    </r>
    <r>
      <rPr>
        <i/>
        <sz val="10"/>
        <color theme="1"/>
        <rFont val="Calibri"/>
        <family val="2"/>
        <scheme val="minor"/>
      </rPr>
      <t>(Enter value</t>
    </r>
    <r>
      <rPr>
        <sz val="12"/>
        <color theme="1"/>
        <rFont val="Calibri"/>
        <family val="2"/>
        <scheme val="minor"/>
      </rPr>
      <t xml:space="preserve"> </t>
    </r>
    <r>
      <rPr>
        <sz val="12"/>
        <color theme="1"/>
        <rFont val="Calibri"/>
        <family val="2"/>
      </rPr>
      <t>≠</t>
    </r>
    <r>
      <rPr>
        <i/>
        <sz val="12"/>
        <color theme="1"/>
        <rFont val="Calibri"/>
        <family val="2"/>
      </rPr>
      <t xml:space="preserve"> </t>
    </r>
    <r>
      <rPr>
        <i/>
        <sz val="10"/>
        <color theme="1"/>
        <rFont val="Calibri"/>
        <family val="2"/>
      </rPr>
      <t>0)</t>
    </r>
  </si>
  <si>
    <t>Minimum Value</t>
  </si>
  <si>
    <t>Maximum Value</t>
  </si>
  <si>
    <t>Data Collection Method</t>
  </si>
  <si>
    <t>Electricity - kWh</t>
  </si>
  <si>
    <t>Electricity - MJ</t>
  </si>
  <si>
    <t>Natural Gas - m3</t>
  </si>
  <si>
    <t>Natural Gas -MJ</t>
  </si>
  <si>
    <t>Water chilling - MJ</t>
  </si>
  <si>
    <t>Steam - MJ</t>
  </si>
  <si>
    <t>Heat - MJ</t>
  </si>
  <si>
    <t>Other Facility Energy Input (MJ)</t>
  </si>
  <si>
    <t>&lt;&lt;&lt;&lt;----NOTE TO PRACTITIONER: SQL tab has no way to enter 'other' in model for upstream impacts beyond energy demand; must manual add</t>
  </si>
  <si>
    <t>PRE-SUMMARY ENERGY INPUTS (MJ)</t>
  </si>
  <si>
    <t>*NOTE: material inputs are entered in BOM tab.</t>
  </si>
  <si>
    <t>**NOTE: can also use process-based accounting for energy inputs - expand rows</t>
  </si>
  <si>
    <t>&lt;-----Expand this row group for Process Based Data Inputs</t>
  </si>
  <si>
    <r>
      <t>Inputs -</t>
    </r>
    <r>
      <rPr>
        <b/>
        <sz val="14"/>
        <color rgb="FF0000FF"/>
        <rFont val="Abadi Extra Light"/>
        <family val="2"/>
      </rPr>
      <t xml:space="preserve"> OPTION 2:</t>
    </r>
    <r>
      <rPr>
        <b/>
        <sz val="14"/>
        <color theme="1"/>
        <rFont val="Abadi Extra Light"/>
        <family val="2"/>
      </rPr>
      <t xml:space="preserve"> Process Based Energy Consumption for Reporting Period </t>
    </r>
    <r>
      <rPr>
        <b/>
        <sz val="14"/>
        <color rgb="FF0000FF"/>
        <rFont val="Abadi Extra Light"/>
        <family val="2"/>
      </rPr>
      <t>(open grouped tabs to use this type of accounting in lieu of facility totals; otherwise, move on to OUTPUTS)</t>
    </r>
  </si>
  <si>
    <t>Energy Inputs by Process</t>
  </si>
  <si>
    <t>Quantity per Product Unit (MJ)</t>
  </si>
  <si>
    <t>Electricity (kWh)</t>
  </si>
  <si>
    <t>Standard deviation</t>
  </si>
  <si>
    <t>Natural Gas (m3)</t>
  </si>
  <si>
    <t>Main Process 1</t>
  </si>
  <si>
    <t>Main Process 2</t>
  </si>
  <si>
    <t>Main Process 3</t>
  </si>
  <si>
    <r>
      <t>Subprocess 1</t>
    </r>
    <r>
      <rPr>
        <sz val="11"/>
        <color rgb="FF0000FF"/>
        <rFont val="Calibri"/>
        <family val="2"/>
        <scheme val="minor"/>
      </rPr>
      <t xml:space="preserve"> </t>
    </r>
    <r>
      <rPr>
        <sz val="8"/>
        <color rgb="FF0000FF"/>
        <rFont val="Calibri"/>
        <family val="2"/>
        <scheme val="minor"/>
      </rPr>
      <t>(include allocation % if different from main process)</t>
    </r>
  </si>
  <si>
    <r>
      <t xml:space="preserve">Subprocess 2 </t>
    </r>
    <r>
      <rPr>
        <sz val="8"/>
        <color rgb="FF0000FF"/>
        <rFont val="Calibri"/>
        <family val="2"/>
        <scheme val="minor"/>
      </rPr>
      <t>(include allocation % if different from main process)</t>
    </r>
  </si>
  <si>
    <r>
      <t>Subprocess 3</t>
    </r>
    <r>
      <rPr>
        <sz val="11"/>
        <color rgb="FF0000FF"/>
        <rFont val="Calibri"/>
        <family val="2"/>
        <scheme val="minor"/>
      </rPr>
      <t xml:space="preserve"> </t>
    </r>
    <r>
      <rPr>
        <sz val="8"/>
        <color rgb="FF0000FF"/>
        <rFont val="Calibri"/>
        <family val="2"/>
        <scheme val="minor"/>
      </rPr>
      <t>(include allocation % if different from main process)</t>
    </r>
  </si>
  <si>
    <t>Packaging Final Product</t>
  </si>
  <si>
    <t>Space conditioning</t>
  </si>
  <si>
    <t>Water treatment (on-site)</t>
  </si>
  <si>
    <t>Mass and market values may be considered to allocate operational requirements across products/co-products of multi-output processes; these data are relevant to allocation as described in ISO 14040-14044 LCA standards (market values can be negative if disposal cost incurred)</t>
  </si>
  <si>
    <t>Products</t>
  </si>
  <si>
    <t>Kilograms</t>
  </si>
  <si>
    <t>Relative Economic Value</t>
  </si>
  <si>
    <t>Fate/disposition 1</t>
  </si>
  <si>
    <t>%</t>
  </si>
  <si>
    <t>Fate/disposition 2</t>
  </si>
  <si>
    <t>Fate/disposition 3</t>
  </si>
  <si>
    <t>No distribution - single value</t>
  </si>
  <si>
    <t>Co-Product 1*</t>
  </si>
  <si>
    <t>&lt;&lt;&lt;&lt;----NOTE TO PRACTITIONER: SQL tab has no way to enter 'other' in model; manual add</t>
  </si>
  <si>
    <t>Co-Product 2*</t>
  </si>
  <si>
    <t>By-Product 1**</t>
  </si>
  <si>
    <t>By-Product 2**</t>
  </si>
  <si>
    <t>*NOTE: Co-products are desirable secondary goods that are generated during the manufacturing process and can be sold or reused profitably. They might also be products that are usually manufactured together or sequentially because of product or process similarities. Although co-products are usually planned, desirable outputs from the manufacturing process, they can also be used as ingredients in other production processes.</t>
  </si>
  <si>
    <t xml:space="preserve">**NOTE: By-products are materials of value that are produced as a residual of, or incidental to, the production process. By-products can be recycled, sold as is, or used for other purposes. </t>
  </si>
  <si>
    <t>Wastes</t>
  </si>
  <si>
    <t>Process waste 1</t>
  </si>
  <si>
    <t>Process waste 2</t>
  </si>
  <si>
    <t>Process waste 3</t>
  </si>
  <si>
    <t>Packaging waste 1</t>
  </si>
  <si>
    <t>Packaging waste 2</t>
  </si>
  <si>
    <t>Packaging waste 3</t>
  </si>
  <si>
    <t>Hazardous waste</t>
  </si>
  <si>
    <t>Inert waste</t>
  </si>
  <si>
    <t>Other waste (please specify in additional info)</t>
  </si>
  <si>
    <t>Water Inputs &amp; Outputs for Reporting Period</t>
  </si>
  <si>
    <t>Volume (m3)</t>
  </si>
  <si>
    <t>Primary waterbody source/receiver name</t>
  </si>
  <si>
    <t>Water body type</t>
  </si>
  <si>
    <t>Chemical Biological Water Quality</t>
  </si>
  <si>
    <t>Physical Water Quality (Thermal)</t>
  </si>
  <si>
    <t>Other info:</t>
  </si>
  <si>
    <t>Water intake (m3)</t>
  </si>
  <si>
    <t>reclaimed</t>
  </si>
  <si>
    <t>Select whether evaporated or incorporated ---&gt;&gt;</t>
  </si>
  <si>
    <t>Water returned (m3)</t>
  </si>
  <si>
    <t>sanitary sewer</t>
  </si>
  <si>
    <t>Water treatment intake water (m3)</t>
  </si>
  <si>
    <t>On-site</t>
  </si>
  <si>
    <t>Water treatment return water (m3)</t>
  </si>
  <si>
    <t>Off-site</t>
  </si>
  <si>
    <t>PRE-SUMMARY WATER CONSUMPTION (m3)</t>
  </si>
  <si>
    <t>Emissions to Air, Water, Soil</t>
  </si>
  <si>
    <t>NOTE: Enter direct ("Scope 1") process emissions only, i.e., do not include those from onsite energy fuel inputs combustion or electricity use emissions or emissions factors; these will be accounted for in the LCI model with background data for the indicated geographic scope and should not be double-counted.</t>
  </si>
  <si>
    <t>Atmospheric</t>
  </si>
  <si>
    <t>Carbon dioxide (fossil)</t>
  </si>
  <si>
    <t>Carbon dioxide (biogenic)</t>
  </si>
  <si>
    <t>Particulate matter (2.5 um)</t>
  </si>
  <si>
    <t>Particulate matter (2.5-10 um)</t>
  </si>
  <si>
    <t>Particulate matter (&gt;10 um)</t>
  </si>
  <si>
    <t>Black carbon</t>
  </si>
  <si>
    <t>Volatile organic carbons (VOCs)</t>
  </si>
  <si>
    <t>Other organics</t>
  </si>
  <si>
    <t>Other emission 1</t>
  </si>
  <si>
    <t>Other emission 2</t>
  </si>
  <si>
    <t>Other emission 3</t>
  </si>
  <si>
    <t>Emissions to water</t>
  </si>
  <si>
    <t>Total suspended solids (TSS)</t>
  </si>
  <si>
    <t>Total dissolved solids (TDS)</t>
  </si>
  <si>
    <t>Total organic carbon (TOC)</t>
  </si>
  <si>
    <t>Dissolved organic carbon (DOC)</t>
  </si>
  <si>
    <t>Nitrates</t>
  </si>
  <si>
    <t>Biological oxygen demand (BOD)</t>
  </si>
  <si>
    <t>Chemical oxygen demand (COD)</t>
  </si>
  <si>
    <t>Other inorganic</t>
  </si>
  <si>
    <t>Other organic</t>
  </si>
  <si>
    <t>Emissions to soil/land</t>
  </si>
  <si>
    <t>Leachate</t>
  </si>
  <si>
    <t>Dust</t>
  </si>
  <si>
    <t>Organic emission 1</t>
  </si>
  <si>
    <t>Organic emission 2</t>
  </si>
  <si>
    <t>Organic emission 3</t>
  </si>
  <si>
    <t>Organic emission 4</t>
  </si>
  <si>
    <t>Organic emission 5</t>
  </si>
  <si>
    <t>Organic emission 6</t>
  </si>
  <si>
    <t>Inorganic emission 1</t>
  </si>
  <si>
    <t>Inorganic emission 2</t>
  </si>
  <si>
    <t>Inorganic emission 3</t>
  </si>
  <si>
    <t>Inorganic emission 4</t>
  </si>
  <si>
    <t>Inorganic emission 5</t>
  </si>
  <si>
    <t>Inorganic emission 6</t>
  </si>
  <si>
    <t>Mass balance check (out)</t>
  </si>
  <si>
    <t>Mass balance check (net)</t>
  </si>
  <si>
    <t>A4-A5: Delivery &amp; Installation</t>
  </si>
  <si>
    <t>A4 - Transport to Building Site</t>
  </si>
  <si>
    <t>POWER SUPPLIES</t>
  </si>
  <si>
    <t>FIXING ELEMENTS</t>
  </si>
  <si>
    <r>
      <t xml:space="preserve">Installation Transport 
</t>
    </r>
    <r>
      <rPr>
        <sz val="14"/>
        <color theme="1"/>
        <rFont val="Calibri"/>
        <family val="2"/>
        <scheme val="minor"/>
      </rPr>
      <t>(installation materials)</t>
    </r>
  </si>
  <si>
    <t>Avg. km from Facility to Building Site</t>
  </si>
  <si>
    <t>A5 - Installation Process</t>
  </si>
  <si>
    <t>Guidance on the safe and correct installation, use and disposal of the product is supplied by the manufacturer.</t>
  </si>
  <si>
    <t>Power Supplies (if not supplied with product)</t>
  </si>
  <si>
    <t>Supplies required</t>
  </si>
  <si>
    <t>kg/installation event</t>
  </si>
  <si>
    <t>Energy inputs to installation process</t>
  </si>
  <si>
    <t>kWh/installation event</t>
  </si>
  <si>
    <t># luminaires/represented installation event</t>
  </si>
  <si>
    <t>total kg power supplies</t>
  </si>
  <si>
    <t>Fixing Elements (if not supplied with product)</t>
  </si>
  <si>
    <t>Fixing elements to the frame</t>
  </si>
  <si>
    <t>kg/installation</t>
  </si>
  <si>
    <t>Assembly elements</t>
  </si>
  <si>
    <t>Fitting elements</t>
  </si>
  <si>
    <t>Other electrical connectors</t>
  </si>
  <si>
    <t>Other possible accessories</t>
  </si>
  <si>
    <t>total kg fixing elements</t>
  </si>
  <si>
    <t>Lamp Source (if not supplied with product)</t>
  </si>
  <si>
    <t>Lamp source input</t>
  </si>
  <si>
    <t>EOL Industrial Packaging Waste</t>
  </si>
  <si>
    <t>Packaging waste plastic-based</t>
  </si>
  <si>
    <t>biogenic C content packaging</t>
  </si>
  <si>
    <t>Packaging waste paper-based</t>
  </si>
  <si>
    <t>Frame modifications</t>
  </si>
  <si>
    <t>Process and materials required for upgrades implemented during installation</t>
  </si>
  <si>
    <t>Use Stage B1 &amp; B6 - USES PHASE: Use, Maintenance, Repair, Replacement, Refurbishment</t>
  </si>
  <si>
    <t>B1. USE: Electrical consumption reference product</t>
  </si>
  <si>
    <t>Scenario 1 - Default Geographic Area (EU)</t>
  </si>
  <si>
    <t>Scenario 2 - Default Geographic Area (RNA)</t>
  </si>
  <si>
    <t>Dependent on lighting management functions concerned (where applicable)</t>
  </si>
  <si>
    <t>ecoinvent® RER/EU Consumption Mix</t>
  </si>
  <si>
    <t>Federal LCA Commons eLCI/ US Consumption Mix</t>
  </si>
  <si>
    <t>Scenario application (e.g., office, industrial)</t>
  </si>
  <si>
    <t>Typical forward voltage (Vf)</t>
  </si>
  <si>
    <t>Luminaire current (A)</t>
  </si>
  <si>
    <r>
      <t xml:space="preserve">Power Conversion Factor </t>
    </r>
    <r>
      <rPr>
        <sz val="11"/>
        <color rgb="FFFF0000"/>
        <rFont val="Calibri"/>
        <family val="2"/>
        <scheme val="minor"/>
      </rPr>
      <t>or Correction factors for dimming/presence detection?</t>
    </r>
  </si>
  <si>
    <t>Total power use (W)</t>
  </si>
  <si>
    <t>Power loss during operation? Total active time?</t>
  </si>
  <si>
    <t>Power loss during standby? Total passive time?</t>
  </si>
  <si>
    <t>Power draw (W)</t>
  </si>
  <si>
    <t>Lifetime power draw (kWh/luminaire over LR90)</t>
  </si>
  <si>
    <t>B2. Maintenance Operations</t>
  </si>
  <si>
    <t>Cleaning events (enter # cleaning events per luminaire lifetime)</t>
  </si>
  <si>
    <t>Planned services</t>
  </si>
  <si>
    <t>Describe planned services and services frequency per luminaire operational lifetime</t>
  </si>
  <si>
    <t>for which product types/families are these aspects relevant? Outdoor only?</t>
  </si>
  <si>
    <t>Replaceable components</t>
  </si>
  <si>
    <t>Item replaceable</t>
  </si>
  <si>
    <t>Lifetime (hours)</t>
  </si>
  <si>
    <t>Lamp source</t>
  </si>
  <si>
    <t>Other replaceable components</t>
  </si>
  <si>
    <t>*Assume distance to deliver replaceable parts same as to deliver new luminaire to installation</t>
  </si>
  <si>
    <t>Item/Mode</t>
  </si>
  <si>
    <t>Amount (kg)</t>
  </si>
  <si>
    <t xml:space="preserve"> per maintenance event</t>
  </si>
  <si>
    <t>kWh/maintenance event</t>
  </si>
  <si>
    <t>m3/maintenance event</t>
  </si>
  <si>
    <t>THIS MODULE ONLY WHERE RELEVANT and/or CIRCULAR ECONOMY INDICATORS TO BE INCLUDED:</t>
  </si>
  <si>
    <t>B3-B5. Repair and/or Refurbishment of Light Sources &amp; Other Components</t>
  </si>
  <si>
    <t>Repaired fraction (over luminaire lifetime)</t>
  </si>
  <si>
    <t>Manufacturing replacements for repair</t>
  </si>
  <si>
    <t>Item repaired</t>
  </si>
  <si>
    <t>Other repairable components</t>
  </si>
  <si>
    <t>*Assume distance to deliver repairs same as to deliver new luminaire to installation</t>
  </si>
  <si>
    <t>EOL Treatment Potential Waste</t>
  </si>
  <si>
    <t>Waste (kg)</t>
  </si>
  <si>
    <t>Repaired light source(s)</t>
  </si>
  <si>
    <t>Packaging waste</t>
  </si>
  <si>
    <r>
      <t>E = [1,000/lm</t>
    </r>
    <r>
      <rPr>
        <b/>
        <i/>
        <vertAlign val="subscript"/>
        <sz val="12"/>
        <color theme="1"/>
        <rFont val="Calibri"/>
        <family val="2"/>
        <scheme val="minor"/>
      </rPr>
      <t>r</t>
    </r>
    <r>
      <rPr>
        <b/>
        <i/>
        <sz val="12"/>
        <color theme="1"/>
        <rFont val="Calibri"/>
        <family val="2"/>
        <scheme val="minor"/>
      </rPr>
      <t>]*[35,000/l]</t>
    </r>
  </si>
  <si>
    <t>Where:</t>
  </si>
  <si>
    <r>
      <t>lm</t>
    </r>
    <r>
      <rPr>
        <b/>
        <i/>
        <vertAlign val="subscript"/>
        <sz val="12"/>
        <color theme="1"/>
        <rFont val="Calibri"/>
        <family val="2"/>
        <scheme val="minor"/>
      </rPr>
      <t>r</t>
    </r>
    <r>
      <rPr>
        <sz val="11"/>
        <color theme="1"/>
        <rFont val="Calibri"/>
        <family val="2"/>
        <scheme val="minor"/>
      </rPr>
      <t xml:space="preserve"> = outgoing luminous flux of the reference product </t>
    </r>
    <r>
      <rPr>
        <b/>
        <i/>
        <sz val="12"/>
        <color theme="1"/>
        <rFont val="Calibri"/>
        <family val="2"/>
        <scheme val="minor"/>
      </rPr>
      <t>r</t>
    </r>
    <r>
      <rPr>
        <sz val="11"/>
        <color theme="1"/>
        <rFont val="Calibri"/>
        <family val="2"/>
        <scheme val="minor"/>
      </rPr>
      <t xml:space="preserve"> (lumens as measured with a goniophotometer)</t>
    </r>
  </si>
  <si>
    <r>
      <t xml:space="preserve">l </t>
    </r>
    <r>
      <rPr>
        <sz val="11"/>
        <color theme="1"/>
        <rFont val="Calibri"/>
        <family val="2"/>
        <scheme val="minor"/>
      </rPr>
      <t>= reference product lifetime (hours)</t>
    </r>
    <r>
      <rPr>
        <sz val="12"/>
        <color theme="1"/>
        <rFont val="Calibri"/>
        <family val="2"/>
        <scheme val="minor"/>
      </rPr>
      <t xml:space="preserve"> </t>
    </r>
    <r>
      <rPr>
        <sz val="12"/>
        <color rgb="FFFF0000"/>
        <rFont val="Calibri"/>
        <family val="2"/>
        <scheme val="minor"/>
      </rPr>
      <t>using LED Lumen Maintenance per LM-80</t>
    </r>
    <r>
      <rPr>
        <sz val="11"/>
        <color rgb="FFFF0000"/>
        <rFont val="Calibri"/>
        <family val="2"/>
        <scheme val="minor"/>
      </rPr>
      <t xml:space="preserve"> / L70</t>
    </r>
  </si>
  <si>
    <t>Excluded:</t>
  </si>
  <si>
    <t xml:space="preserve"> </t>
  </si>
  <si>
    <t>Modification of product involving evolution of its function</t>
  </si>
  <si>
    <t>Modification of product involving evolution of its use</t>
  </si>
  <si>
    <t>MODULE B7: Operational water use (not applicable)</t>
  </si>
  <si>
    <t>C1-C4: End-of-Life Disposal</t>
  </si>
  <si>
    <t>C1: Dismantling/removal of the end-of-life luminaire from the installation site
C2-C4: Includes collection, transport, and end-of-life treatment of the entire luminaire at end of operational service life; also, includes the disposal of the last light source utilized in the luminaire over the reference lifetime. Disposal includes pre-treatment and management of the disposal site. Recycling only accounted for in terms of amount of luminaire disposed, i.e., amount disposed is less the amount recycled per recent statistics of the investigated geographic scope specific for this product category (e-waste).</t>
  </si>
  <si>
    <t>EOL Treatment of Luminaire</t>
  </si>
  <si>
    <t>C1: Dismantling/removal of the end-of-life luminaire from the installation site</t>
  </si>
  <si>
    <t>Select material</t>
  </si>
  <si>
    <t>Enter value (kg)</t>
  </si>
  <si>
    <t>Enter value (items)</t>
  </si>
  <si>
    <t>for</t>
  </si>
  <si>
    <t>per luminaires deinstalled</t>
  </si>
  <si>
    <t>Enter value (kWh)</t>
  </si>
  <si>
    <t>Electricity for de-installation process</t>
  </si>
  <si>
    <t>C2-C4: Transportation, Waste Processing, &amp; Waste Disposal</t>
  </si>
  <si>
    <t>No user inputs because based on calculated values &amp; national statistics</t>
  </si>
  <si>
    <t>C2: Transport to waste processing</t>
  </si>
  <si>
    <t>C3: Waste processing</t>
  </si>
  <si>
    <t>ecoinvent® RER/EU Consumption Mix &amp; Regional Disposal Statistics for E-Waste</t>
  </si>
  <si>
    <t>Federal LCA Commons eLCI/US Consumption Mix &amp; US National Disposal Statistics for E-Waste</t>
  </si>
  <si>
    <t>C4: Disposal of wastes (including pre-treatment)</t>
  </si>
  <si>
    <t>C2: Collection Transport</t>
  </si>
  <si>
    <t>Weight (kg/item)</t>
  </si>
  <si>
    <t>Mode 1</t>
  </si>
  <si>
    <t>Mode 3</t>
  </si>
  <si>
    <t>Mode 4</t>
  </si>
  <si>
    <t>Avg. km from Building Site to Disposal</t>
  </si>
  <si>
    <t>Weight of main product</t>
  </si>
  <si>
    <t>Percent disposal this mode</t>
  </si>
  <si>
    <t>Landfill type</t>
  </si>
  <si>
    <t xml:space="preserve">process-specific burdens, sanitary landfill </t>
  </si>
  <si>
    <t xml:space="preserve">process-specific burdens, inert material landfill </t>
  </si>
  <si>
    <t>Subtract this amount from that disposed</t>
  </si>
  <si>
    <t xml:space="preserve">NOTES: </t>
  </si>
  <si>
    <t>* If there are, for example three different recovery and disposal options, the most commonly used one, or all three scenarios, shall be declared separately.</t>
  </si>
  <si>
    <t>* A recycling system is not practical if it includes a reference to a return system for which the logistics have not been established.</t>
  </si>
  <si>
    <t>* Energy recovery shall be based on existing technology and current practice.</t>
  </si>
  <si>
    <t>The system boundary between the construction product system and optional module D, which is not a part of the studied product system, is set at the system boundary between the studied product system and any subsequent product systems</t>
  </si>
  <si>
    <t>Benefits Outside the Product System: - Recycling Scenarios</t>
  </si>
  <si>
    <t>D: Beyond the System Boundaries (Scenarios)-Recovery, Sorting, &amp; Recycling Treatment of Luminaire</t>
  </si>
  <si>
    <t>TBD - eWaste statistics for luminaires burdens and benefits recycling beyond the system boundaries</t>
  </si>
  <si>
    <t>Circular Economy indicators</t>
  </si>
  <si>
    <t>Collection Transport</t>
  </si>
  <si>
    <t>Weight Transported</t>
  </si>
  <si>
    <t>Recycling/Recovery Rate Applied at EOL</t>
  </si>
  <si>
    <t>Mode</t>
  </si>
  <si>
    <t>Sorting &amp; Processing</t>
  </si>
  <si>
    <t>Recycling</t>
  </si>
  <si>
    <t>?</t>
  </si>
  <si>
    <t>Avg. amount luminaires recycled</t>
  </si>
  <si>
    <t>Note example loads &amp; benefits, e.g.,</t>
  </si>
  <si>
    <t>* potential points of substituted functional equivalency where secondary fuels or recovered energy substitutes primary production</t>
  </si>
  <si>
    <t>* loads associated with processing beyond system boundary required to reach point of substituted functional equivalence</t>
  </si>
  <si>
    <t>* credits from substituted production of produce or generation of energy</t>
  </si>
  <si>
    <t>* applying justified correction factor to reflect difference in functional equivalence where processed net output flow does not reach functional equivalent of substituting process</t>
  </si>
  <si>
    <t>Recycling &amp; Recovery Handling in other Int'l EPDs Parameter Values:</t>
  </si>
  <si>
    <t xml:space="preserve"> for information only</t>
  </si>
  <si>
    <t>Lamp SAU 2022 Pendant &amp; Recessed EPD</t>
  </si>
  <si>
    <t>Collection * WEEE Directive</t>
  </si>
  <si>
    <t>WhiteCroft 2021 OneClick Linear</t>
  </si>
  <si>
    <t>Amount recovered for recycling of total collected</t>
  </si>
  <si>
    <t>Philips 2014 Ledline System</t>
  </si>
  <si>
    <t>Fischer Lighting 2019 EPD Danmark 4 products</t>
  </si>
  <si>
    <t>Amount recycled (this study an outlier since not specific products but EPD of luminaire reuse)</t>
  </si>
  <si>
    <t>Ibid</t>
  </si>
  <si>
    <t>Amount reused on site w/ new driver &amp; LED board</t>
  </si>
  <si>
    <t>Philips 2019 Circular Econ Ready luminaire EPD</t>
  </si>
  <si>
    <t>Percent mass recycled material</t>
  </si>
  <si>
    <t>We-Ef Leuchten 2013 Metal Halide EPD</t>
  </si>
  <si>
    <t>Amount disassembled at EOL where metals &amp; PWBs recycled</t>
  </si>
  <si>
    <t>Philips 2018 LuxSpace Luminaire EPD</t>
  </si>
  <si>
    <t>Units Required in openEPD &amp; Recommended Conversion Factors</t>
  </si>
  <si>
    <t>Per: EC3 OpenEPD Digital Schema</t>
  </si>
  <si>
    <t>https://docs.google.com/document/d/1rvWl0W2nmCohaaHXG1P-uX5cDKHv_vD9zfTV5A6qM7A/edit#heading=h.1hxjvwz4ixaj</t>
  </si>
  <si>
    <t>https://docs.google.com/spreadsheets/u/0/d/1q2TW0GlLlK7yH3k5TSsWGmXyL94KPI9VUWWv9vid63A/edit</t>
  </si>
  <si>
    <t>How many in std. unit?</t>
  </si>
  <si>
    <t>UNITS</t>
  </si>
  <si>
    <t>An extensible list of units that a compliant OpenEPD system must understand, and should use when sending EPDs.</t>
  </si>
  <si>
    <t>Dimensionality</t>
  </si>
  <si>
    <t>Required</t>
  </si>
  <si>
    <t>Not supported</t>
  </si>
  <si>
    <t>tonne</t>
  </si>
  <si>
    <t>ton</t>
  </si>
  <si>
    <t>lb</t>
  </si>
  <si>
    <t>ounces</t>
  </si>
  <si>
    <t>mass</t>
  </si>
  <si>
    <t>t, ton, lb, lbs, etc.</t>
  </si>
  <si>
    <t>US gal</t>
  </si>
  <si>
    <t>fl. Oz.</t>
  </si>
  <si>
    <t>ft3</t>
  </si>
  <si>
    <t>volume</t>
  </si>
  <si>
    <t>yd3, ft3, in3, cm3, etc</t>
  </si>
  <si>
    <t>acre</t>
  </si>
  <si>
    <t>hectare</t>
  </si>
  <si>
    <t>ft2</t>
  </si>
  <si>
    <t>yd2</t>
  </si>
  <si>
    <t>mile2</t>
  </si>
  <si>
    <t>km2</t>
  </si>
  <si>
    <t>area</t>
  </si>
  <si>
    <t>yd2, ft2, in2, cm2, etc</t>
  </si>
  <si>
    <t>nautical mile</t>
  </si>
  <si>
    <t>mile</t>
  </si>
  <si>
    <t>yd</t>
  </si>
  <si>
    <t>ft</t>
  </si>
  <si>
    <t>in</t>
  </si>
  <si>
    <t>length</t>
  </si>
  <si>
    <t>yd, ft, in, cm, etc</t>
  </si>
  <si>
    <t>yr</t>
  </si>
  <si>
    <t>week</t>
  </si>
  <si>
    <t>minute</t>
  </si>
  <si>
    <t>time</t>
  </si>
  <si>
    <t>yr, d, s</t>
  </si>
  <si>
    <t>Depends on the field type. For example: reference_service_life is measured in "yr" it doesn't allow "d" or "s" units</t>
  </si>
  <si>
    <t>RSI</t>
  </si>
  <si>
    <t>K*m2/W</t>
  </si>
  <si>
    <t>thermal_resistance</t>
  </si>
  <si>
    <t>Rvalue</t>
  </si>
  <si>
    <t>RSI is short for "K*m2/W".  Rvalue is short for "°F·ft2·h/BTU"</t>
  </si>
  <si>
    <t>insulation</t>
  </si>
  <si>
    <t>m2*RSI</t>
  </si>
  <si>
    <t>ft2*Rvalue</t>
  </si>
  <si>
    <t>MWh</t>
  </si>
  <si>
    <t>TWh</t>
  </si>
  <si>
    <t>BTU</t>
  </si>
  <si>
    <t>mmBTU</t>
  </si>
  <si>
    <t>kcal</t>
  </si>
  <si>
    <t>US therm</t>
  </si>
  <si>
    <t>ft-lb</t>
  </si>
  <si>
    <t xml:space="preserve">energy </t>
  </si>
  <si>
    <t>kWh, MWh, kBTU</t>
  </si>
  <si>
    <t>t*mi</t>
  </si>
  <si>
    <t>transport</t>
  </si>
  <si>
    <t>ton*mile</t>
  </si>
  <si>
    <t>MPa</t>
  </si>
  <si>
    <t>psi</t>
  </si>
  <si>
    <t>bar</t>
  </si>
  <si>
    <t>std. atm.</t>
  </si>
  <si>
    <t>lb-force/in2</t>
  </si>
  <si>
    <t>pressure</t>
  </si>
  <si>
    <t>psi, ksi</t>
  </si>
  <si>
    <t>item</t>
  </si>
  <si>
    <t>pc</t>
  </si>
  <si>
    <t>unit</t>
  </si>
  <si>
    <t>object</t>
  </si>
  <si>
    <t xml:space="preserve">pc, ea, </t>
  </si>
  <si>
    <t>Used for objects defined by the piece or item.</t>
  </si>
  <si>
    <t>Other formats</t>
  </si>
  <si>
    <t>ISO datetime</t>
  </si>
  <si>
    <t>UTC</t>
  </si>
  <si>
    <t>Other timezones</t>
  </si>
  <si>
    <t>tkm</t>
  </si>
  <si>
    <t>Country Name</t>
  </si>
  <si>
    <t>Country Code</t>
  </si>
  <si>
    <t>Region</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</si>
  <si>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</si>
  <si>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</si>
  <si>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</si>
  <si>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</si>
  <si>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</si>
  <si>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</si>
  <si>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</si>
  <si>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</si>
  <si>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</si>
  <si>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</si>
  <si>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</si>
  <si>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</si>
  <si>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</si>
  <si>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</si>
  <si>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</si>
  <si>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</si>
  <si>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</si>
  <si>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</si>
  <si>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</si>
  <si>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</si>
  <si>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</si>
  <si>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</si>
  <si>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</si>
  <si>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</si>
  <si>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</si>
  <si>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</si>
  <si>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</si>
  <si>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</si>
  <si>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</si>
  <si>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</si>
  <si>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</si>
  <si>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</si>
  <si>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</si>
  <si>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</si>
  <si>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</si>
  <si>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</si>
  <si>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</si>
  <si>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</si>
  <si>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</si>
  <si>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</si>
  <si>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</si>
  <si>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</si>
  <si>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</si>
  <si>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</si>
  <si>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</si>
  <si>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</si>
  <si>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</si>
  <si>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</si>
  <si>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</si>
  <si>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</si>
  <si>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</si>
  <si>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</si>
  <si>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</si>
  <si>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</si>
  <si>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</si>
  <si>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</si>
  <si>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</si>
  <si>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</si>
  <si>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</si>
  <si>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</si>
  <si>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</si>
  <si>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</si>
  <si>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</si>
  <si>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Regional Average</t>
  </si>
  <si>
    <t xml:space="preserve">Subgeo </t>
  </si>
  <si>
    <t>MNG</t>
  </si>
  <si>
    <t>East Asia &amp; Pacific</t>
  </si>
  <si>
    <t>Average precipitation in depth (mm per year)</t>
  </si>
  <si>
    <t>AG.LND.PRCP.MM</t>
  </si>
  <si>
    <t>hyperarid</t>
  </si>
  <si>
    <t>AUS</t>
  </si>
  <si>
    <t>dry</t>
  </si>
  <si>
    <t>CHN</t>
  </si>
  <si>
    <t>Korea, Dem. People's Rep.</t>
  </si>
  <si>
    <t>PRK</t>
  </si>
  <si>
    <t>moist</t>
  </si>
  <si>
    <t>Korea, Rep.</t>
  </si>
  <si>
    <t>KOR</t>
  </si>
  <si>
    <t>wet</t>
  </si>
  <si>
    <t>TLS</t>
  </si>
  <si>
    <t>THA</t>
  </si>
  <si>
    <t>JPN</t>
  </si>
  <si>
    <t>NZL</t>
  </si>
  <si>
    <t>Vietnam</t>
  </si>
  <si>
    <t>VNM</t>
  </si>
  <si>
    <t>Lao PDR</t>
  </si>
  <si>
    <t>LAO</t>
  </si>
  <si>
    <t>KHM</t>
  </si>
  <si>
    <t>VUT</t>
  </si>
  <si>
    <t>MMR</t>
  </si>
  <si>
    <t>PHL</t>
  </si>
  <si>
    <t>SGP</t>
  </si>
  <si>
    <t>FJI</t>
  </si>
  <si>
    <t>IDN</t>
  </si>
  <si>
    <t>BRN</t>
  </si>
  <si>
    <t>MYS</t>
  </si>
  <si>
    <t>WSM</t>
  </si>
  <si>
    <t>SLB</t>
  </si>
  <si>
    <t>PNG</t>
  </si>
  <si>
    <t>TKM</t>
  </si>
  <si>
    <t>Europe &amp; Central Asia</t>
  </si>
  <si>
    <t>UZB</t>
  </si>
  <si>
    <t>KAZ</t>
  </si>
  <si>
    <t>AZE</t>
  </si>
  <si>
    <t>Moldova</t>
  </si>
  <si>
    <t>MDA</t>
  </si>
  <si>
    <t>Russian Federation</t>
  </si>
  <si>
    <t>RUS</t>
  </si>
  <si>
    <t>CYP</t>
  </si>
  <si>
    <t>Kyrgyz Republic</t>
  </si>
  <si>
    <t>KGZ</t>
  </si>
  <si>
    <t>FIN</t>
  </si>
  <si>
    <t>ARM</t>
  </si>
  <si>
    <t>UKR</t>
  </si>
  <si>
    <t>HUN</t>
  </si>
  <si>
    <t>TUR</t>
  </si>
  <si>
    <t>POL</t>
  </si>
  <si>
    <t>BGR</t>
  </si>
  <si>
    <t>BLR</t>
  </si>
  <si>
    <t>MKD</t>
  </si>
  <si>
    <t>SWE</t>
  </si>
  <si>
    <t>EST</t>
  </si>
  <si>
    <t>ESP</t>
  </si>
  <si>
    <t>ROU</t>
  </si>
  <si>
    <t>GRC</t>
  </si>
  <si>
    <t>LTU</t>
  </si>
  <si>
    <t>LVA</t>
  </si>
  <si>
    <t>Czech Republic</t>
  </si>
  <si>
    <t>CZE</t>
  </si>
  <si>
    <t>TJK</t>
  </si>
  <si>
    <t>DEU</t>
  </si>
  <si>
    <t>DNK</t>
  </si>
  <si>
    <t>NLD</t>
  </si>
  <si>
    <t>Slovak Republic</t>
  </si>
  <si>
    <t>SVK</t>
  </si>
  <si>
    <t>ITA</t>
  </si>
  <si>
    <t>BEL</t>
  </si>
  <si>
    <t>PRT</t>
  </si>
  <si>
    <t>FRA</t>
  </si>
  <si>
    <t>LUX</t>
  </si>
  <si>
    <t>GEO</t>
  </si>
  <si>
    <t>BIH</t>
  </si>
  <si>
    <t>AUT</t>
  </si>
  <si>
    <t>HRV</t>
  </si>
  <si>
    <t>IRL</t>
  </si>
  <si>
    <t>SVN</t>
  </si>
  <si>
    <t>GBR</t>
  </si>
  <si>
    <t>NOR</t>
  </si>
  <si>
    <t>ALB</t>
  </si>
  <si>
    <t>CHE</t>
  </si>
  <si>
    <t>ISL</t>
  </si>
  <si>
    <t>ARG</t>
  </si>
  <si>
    <t>Latin America &amp; Caribbean</t>
  </si>
  <si>
    <t>MEX</t>
  </si>
  <si>
    <t>ATG</t>
  </si>
  <si>
    <t>PRY</t>
  </si>
  <si>
    <t>Bolivia</t>
  </si>
  <si>
    <t>BOL</t>
  </si>
  <si>
    <t>Bahamas, The</t>
  </si>
  <si>
    <t>BHS</t>
  </si>
  <si>
    <t>URY</t>
  </si>
  <si>
    <t>CUB</t>
  </si>
  <si>
    <t>DOM</t>
  </si>
  <si>
    <t>BRB</t>
  </si>
  <si>
    <t>St. Kitts and Nevis</t>
  </si>
  <si>
    <t>KNA</t>
  </si>
  <si>
    <t>HTI</t>
  </si>
  <si>
    <t>CHL</t>
  </si>
  <si>
    <t>St. Vincent and the Grenadines</t>
  </si>
  <si>
    <t>VCT</t>
  </si>
  <si>
    <t>BLZ</t>
  </si>
  <si>
    <t>PER</t>
  </si>
  <si>
    <t>BRA</t>
  </si>
  <si>
    <t>SLV</t>
  </si>
  <si>
    <t>HND</t>
  </si>
  <si>
    <t>very wet</t>
  </si>
  <si>
    <t>GTM</t>
  </si>
  <si>
    <t>Venezuela, RB</t>
  </si>
  <si>
    <t>VEN</t>
  </si>
  <si>
    <t>JAM</t>
  </si>
  <si>
    <t>PRI</t>
  </si>
  <si>
    <t>DMA</t>
  </si>
  <si>
    <t>TTO</t>
  </si>
  <si>
    <t>ECU</t>
  </si>
  <si>
    <t>NIC</t>
  </si>
  <si>
    <t>St. Lucia</t>
  </si>
  <si>
    <t>LCA</t>
  </si>
  <si>
    <t>SUR</t>
  </si>
  <si>
    <t>GUY</t>
  </si>
  <si>
    <t>CRI</t>
  </si>
  <si>
    <t>PAN</t>
  </si>
  <si>
    <t>COL</t>
  </si>
  <si>
    <t>GRD</t>
  </si>
  <si>
    <t>Egypt, Arab Rep.</t>
  </si>
  <si>
    <t>EGY</t>
  </si>
  <si>
    <t>Middle East &amp; North Africa</t>
  </si>
  <si>
    <t>LBY</t>
  </si>
  <si>
    <t>SAU</t>
  </si>
  <si>
    <t>QAT</t>
  </si>
  <si>
    <t>ARE</t>
  </si>
  <si>
    <t>BHR</t>
  </si>
  <si>
    <t>DZA</t>
  </si>
  <si>
    <t>JOR</t>
  </si>
  <si>
    <t>KWT</t>
  </si>
  <si>
    <t>OMN</t>
  </si>
  <si>
    <t>Yemen, Rep.</t>
  </si>
  <si>
    <t>YEM</t>
  </si>
  <si>
    <t>TUN</t>
  </si>
  <si>
    <t>IRQ</t>
  </si>
  <si>
    <t>DJI</t>
  </si>
  <si>
    <t>Iran, Islamic Rep.</t>
  </si>
  <si>
    <t>IRN</t>
  </si>
  <si>
    <t>SYR</t>
  </si>
  <si>
    <t>MAR</t>
  </si>
  <si>
    <t>ISR</t>
  </si>
  <si>
    <t>MLT</t>
  </si>
  <si>
    <t>LBN</t>
  </si>
  <si>
    <t>West Bank and Gaza</t>
  </si>
  <si>
    <t>PSE</t>
  </si>
  <si>
    <t>BMU</t>
  </si>
  <si>
    <t>North America</t>
  </si>
  <si>
    <t>CAN</t>
  </si>
  <si>
    <t>USA</t>
  </si>
  <si>
    <t>AFG</t>
  </si>
  <si>
    <t>PAK</t>
  </si>
  <si>
    <t>IND</t>
  </si>
  <si>
    <t>NPL</t>
  </si>
  <si>
    <t>LKA</t>
  </si>
  <si>
    <t>MDV</t>
  </si>
  <si>
    <t>BTN</t>
  </si>
  <si>
    <t>BGD</t>
  </si>
  <si>
    <t>STP</t>
  </si>
  <si>
    <t>Sub-Saharan Africa</t>
  </si>
  <si>
    <t>SLE</t>
  </si>
  <si>
    <t>LBR</t>
  </si>
  <si>
    <t>SYC</t>
  </si>
  <si>
    <t>GNQ</t>
  </si>
  <si>
    <t>MUS</t>
  </si>
  <si>
    <t>GAB</t>
  </si>
  <si>
    <t>GIN</t>
  </si>
  <si>
    <t>Congo, Rep.</t>
  </si>
  <si>
    <t>COG</t>
  </si>
  <si>
    <t>CMR</t>
  </si>
  <si>
    <t>GNB</t>
  </si>
  <si>
    <t>Congo, Dem. Rep.</t>
  </si>
  <si>
    <t>COD</t>
  </si>
  <si>
    <t>MDG</t>
  </si>
  <si>
    <t>CIV</t>
  </si>
  <si>
    <t>CAF</t>
  </si>
  <si>
    <t>BDI</t>
  </si>
  <si>
    <t>RWA</t>
  </si>
  <si>
    <t>GHA</t>
  </si>
  <si>
    <t>MWI</t>
  </si>
  <si>
    <t>UGA</t>
  </si>
  <si>
    <t>TGO</t>
  </si>
  <si>
    <t>NGA</t>
  </si>
  <si>
    <t>Tanzania</t>
  </si>
  <si>
    <t>TZA</t>
  </si>
  <si>
    <t>BEN</t>
  </si>
  <si>
    <t>MOZ</t>
  </si>
  <si>
    <t>ZMB</t>
  </si>
  <si>
    <t>AGO</t>
  </si>
  <si>
    <t>COM</t>
  </si>
  <si>
    <t>SSD</t>
  </si>
  <si>
    <t>ETH</t>
  </si>
  <si>
    <t>Gambia, The</t>
  </si>
  <si>
    <t>GMB</t>
  </si>
  <si>
    <t>LSO</t>
  </si>
  <si>
    <t>SWZ</t>
  </si>
  <si>
    <t>BFA</t>
  </si>
  <si>
    <t>SEN</t>
  </si>
  <si>
    <t>ZWE</t>
  </si>
  <si>
    <t>KEN</t>
  </si>
  <si>
    <t>ZAF</t>
  </si>
  <si>
    <t>BWA</t>
  </si>
  <si>
    <t>ERI</t>
  </si>
  <si>
    <t>TCD</t>
  </si>
  <si>
    <t>NAM</t>
  </si>
  <si>
    <t>MLI</t>
  </si>
  <si>
    <t>SOM</t>
  </si>
  <si>
    <t>SDN</t>
  </si>
  <si>
    <t>Cabo Verde</t>
  </si>
  <si>
    <t>CPV</t>
  </si>
  <si>
    <t>NER</t>
  </si>
  <si>
    <t>MRT</t>
  </si>
  <si>
    <t>National Statistics for Recycled Content, Recycling Rates, &amp; Disposal Fates</t>
  </si>
  <si>
    <t>Prim. Vs. Sec. Production Default &amp; RR By Mat by Region</t>
  </si>
  <si>
    <t>EOL Regional Stats per World Bank 2018 What a Waste 2.0: 
What a Waste 2.0 : A Global Snapshot of Solid Waste Management to 2050</t>
  </si>
  <si>
    <t>Data Year</t>
  </si>
  <si>
    <t>Source:</t>
  </si>
  <si>
    <t>Population (M cap)</t>
  </si>
  <si>
    <t>GLOBAL</t>
  </si>
  <si>
    <t>Total Managed EOL Waste</t>
  </si>
  <si>
    <t>https://population.un.org/wpp/Download/Standard/Population/</t>
  </si>
  <si>
    <t>Production Mix</t>
  </si>
  <si>
    <t>Primary</t>
  </si>
  <si>
    <t>Secondary</t>
  </si>
  <si>
    <t>M TONNES</t>
  </si>
  <si>
    <t>EOL Old Scrap</t>
  </si>
  <si>
    <t>EOL LF/ Incin</t>
  </si>
  <si>
    <t>EOL Total</t>
  </si>
  <si>
    <t>RC</t>
  </si>
  <si>
    <t>EOL-RR</t>
  </si>
  <si>
    <t>Avg Distance Collection (km)</t>
  </si>
  <si>
    <t>Landfill regional stat</t>
  </si>
  <si>
    <t>Sanitary</t>
  </si>
  <si>
    <t>Controlled</t>
  </si>
  <si>
    <t>Unspecified</t>
  </si>
  <si>
    <t>Open Dump</t>
  </si>
  <si>
    <t>Incineration</t>
  </si>
  <si>
    <t>WTE Rate</t>
  </si>
  <si>
    <t>https://www.resourcepanel.org/reports/recycling-rates-metals</t>
  </si>
  <si>
    <t>https://www.bir.org/publications/facts-figures/download/821/175/36?method=view</t>
  </si>
  <si>
    <t>Steel</t>
  </si>
  <si>
    <t>https://worldsteel.org/wp-content/uploads/2020-World-Steel-in-Figures.pdf</t>
  </si>
  <si>
    <t>https://ieefa.org/wp-content/uploads/2021/12/The-Global-Potential-for-More-Scrap-Steel-Recycling_December-2021_2.pdf</t>
  </si>
  <si>
    <t>cross-check</t>
  </si>
  <si>
    <t>https://www.bir.org/publications/facts-figures/download/643/175/36?method=view</t>
  </si>
  <si>
    <t>Al</t>
  </si>
  <si>
    <t>https://alucycle.international-aluminium.org/public-access/</t>
  </si>
  <si>
    <t>Cu</t>
  </si>
  <si>
    <t>https://copperalliance.org/policy-focus/society-economy/circular-economy/stocks-flows/</t>
  </si>
  <si>
    <t>Brass</t>
  </si>
  <si>
    <t>Bronze</t>
  </si>
  <si>
    <t>Plastic</t>
  </si>
  <si>
    <t>2015-2016</t>
  </si>
  <si>
    <t>https://pubs.acs.org/doi/suppl/10.1021/acs.est.9b03413/suppl_file/es9b03413_si_001.pdf</t>
  </si>
  <si>
    <t>Corrugated</t>
  </si>
  <si>
    <t>Paper</t>
  </si>
  <si>
    <t xml:space="preserve">Figure S2. Global paper flows, 2012 (Tg) [Van Ewijk, 2018a]. </t>
  </si>
  <si>
    <t>https://www.statista.com/statistics/251345/percentage-of-recycled-metals-in-the-us-by-metal/</t>
  </si>
  <si>
    <t>2016-2019</t>
  </si>
  <si>
    <t>https://openknowledge.worldbank.org/handle/10986/30317</t>
  </si>
  <si>
    <t>https://www.usgs.gov/centers/national-minerals-information-center/iron-and-steel-scrap-statistics-and-information</t>
  </si>
  <si>
    <t>n.a.</t>
  </si>
  <si>
    <t>https://iopscience.iop.org/article/10.1088/1748-9326/ab9e1e</t>
  </si>
  <si>
    <t>EU</t>
  </si>
  <si>
    <t>WorldSteel</t>
  </si>
  <si>
    <t>https://pubs.acs.org/doi/full/10.1021/acs.est.0c03435</t>
  </si>
  <si>
    <t>CHINA</t>
  </si>
  <si>
    <t>https://onlinelibrary.wiley.com/doi/10.1111/jiec.13236#support-information-section</t>
  </si>
  <si>
    <t>Sardarmehni, M., Anchieta, P. &amp; Levis, J. (2022.) Solid Waste Optimization Life-cycle Framework in Python (SwolfPy). Journal of Industrial Ecology.</t>
  </si>
  <si>
    <t>Table S6 Uncertain parameters in Scenario 2 and associated probability distribution functions.</t>
  </si>
  <si>
    <t>Description</t>
  </si>
  <si>
    <t>Default</t>
  </si>
  <si>
    <r>
      <t xml:space="preserve">Uncertainty </t>
    </r>
    <r>
      <rPr>
        <vertAlign val="superscript"/>
        <sz val="8"/>
        <color theme="1"/>
        <rFont val="Times New Roman"/>
        <family val="1"/>
      </rPr>
      <t>a</t>
    </r>
  </si>
  <si>
    <t>Landfill</t>
  </si>
  <si>
    <t>Landfill bulk decay rate</t>
  </si>
  <si>
    <t xml:space="preserve">T(0.04, 0.02,0.17) </t>
  </si>
  <si>
    <t>Initial gas collection efficiency (%)</t>
  </si>
  <si>
    <t>N(50, 5)</t>
  </si>
  <si>
    <t>Gas collection efficiency under intermediate cover (%)</t>
  </si>
  <si>
    <t>N(75, 5)</t>
  </si>
  <si>
    <t>Increased gas collection efficiency (%)</t>
  </si>
  <si>
    <t xml:space="preserve">N(82.5,3) </t>
  </si>
  <si>
    <t>Gas collection efficiency under final cover (%)</t>
  </si>
  <si>
    <t xml:space="preserve">N(90, 3) </t>
  </si>
  <si>
    <t>Combustion efficiency for electricity production (%)</t>
  </si>
  <si>
    <t xml:space="preserve">N(36.5, 3) </t>
  </si>
  <si>
    <t>Waste-to-energy</t>
  </si>
  <si>
    <t>N(27,3)</t>
  </si>
  <si>
    <t>Aluminum Recovery Rate from Bottom Ash (fraction)</t>
  </si>
  <si>
    <t>T(0.65, 0.4, 0.75)</t>
  </si>
  <si>
    <t>Ferrous Recovery Rate from Bottom Ash (fraction)</t>
  </si>
  <si>
    <t xml:space="preserve">T(0.9, 0.7, 0.95) </t>
  </si>
  <si>
    <t>Reprocessing</t>
  </si>
  <si>
    <t>Electricity saving by reprocessing ferrous (kWh)</t>
  </si>
  <si>
    <t>N(894.08,100)</t>
  </si>
  <si>
    <t>Electricity saving by reprocessing aluminum (kWh)</t>
  </si>
  <si>
    <t>N(15,343, 500)</t>
  </si>
  <si>
    <t>Collection</t>
  </si>
  <si>
    <t>Residential Generation rate (kg/person-day)</t>
  </si>
  <si>
    <t>N(2.05, 0.05)</t>
  </si>
  <si>
    <r>
      <t>a</t>
    </r>
    <r>
      <rPr>
        <sz val="8"/>
        <color theme="1"/>
        <rFont val="Times New Roman"/>
        <family val="1"/>
      </rPr>
      <t xml:space="preserve"> Normal distribution: N(mean, standard deviation), Triangular distribution T(mode, min, max)</t>
    </r>
  </si>
  <si>
    <t>market for aluminium, cast alloy | aluminium, cast alloy | Cutoff, U - prim&amp;secon inputs mod</t>
  </si>
  <si>
    <t>Al cast alloy</t>
  </si>
  <si>
    <t>market for aluminium, wrought alloy | aluminium, wrought alloy | Cutoff, U - primary&amp;second mod</t>
  </si>
  <si>
    <t>Cast iron</t>
  </si>
  <si>
    <t>tonnes/year</t>
  </si>
  <si>
    <t>kg/year/item</t>
  </si>
  <si>
    <t>hours life</t>
  </si>
  <si>
    <t>days life</t>
  </si>
  <si>
    <t>years life</t>
  </si>
  <si>
    <t>items</t>
  </si>
  <si>
    <t>LR90</t>
  </si>
  <si>
    <t>Power_use</t>
  </si>
  <si>
    <t>Lum_mass</t>
  </si>
  <si>
    <t>Life_power_use</t>
  </si>
  <si>
    <t>lamp_led</t>
  </si>
  <si>
    <t>lamp_cfl</t>
  </si>
  <si>
    <t>Intercxn_mass</t>
  </si>
  <si>
    <t>Harness_wire_mass</t>
  </si>
  <si>
    <t>Connectors_mass</t>
  </si>
  <si>
    <t>Driver_baseline</t>
  </si>
  <si>
    <t>acid_clean</t>
  </si>
  <si>
    <t>lub_oil</t>
  </si>
  <si>
    <t>silicone</t>
  </si>
  <si>
    <t>eth_etoh</t>
  </si>
  <si>
    <t>surfact</t>
  </si>
  <si>
    <t>degreas</t>
  </si>
  <si>
    <t>pp_strap</t>
  </si>
  <si>
    <t>corr_box</t>
  </si>
  <si>
    <t>pallet_wood</t>
  </si>
  <si>
    <t>pallet_plastic</t>
  </si>
  <si>
    <t>ldpe_film</t>
  </si>
  <si>
    <t>abs</t>
  </si>
  <si>
    <t>polycarb</t>
  </si>
  <si>
    <t>steel_low_alloy</t>
  </si>
  <si>
    <t>steel_no_alloy</t>
  </si>
  <si>
    <t>steel_chrom</t>
  </si>
  <si>
    <t>alum_wrought</t>
  </si>
  <si>
    <t>alum_cast</t>
  </si>
  <si>
    <t>powder_steel</t>
  </si>
  <si>
    <t>powder_alum</t>
  </si>
  <si>
    <t>zinc_coat</t>
  </si>
  <si>
    <t>elec_static_paint</t>
  </si>
  <si>
    <t>enamel</t>
  </si>
  <si>
    <t>chrom_coat</t>
  </si>
  <si>
    <t>anodiz</t>
  </si>
  <si>
    <t>tin_plat</t>
  </si>
  <si>
    <t>steel_impact_1</t>
  </si>
  <si>
    <t>steel_impact_2</t>
  </si>
  <si>
    <t>steel_impact_3</t>
  </si>
  <si>
    <t>steel_impact_4</t>
  </si>
  <si>
    <t>steel_impact_5</t>
  </si>
  <si>
    <t>alum_impact_1</t>
  </si>
  <si>
    <t>alum_impact_2</t>
  </si>
  <si>
    <t>alum_impact_3</t>
  </si>
  <si>
    <t>alum_impact_4</t>
  </si>
  <si>
    <t>alum_impact_5</t>
  </si>
  <si>
    <t>steel_draw_650</t>
  </si>
  <si>
    <t>steel_draw_650_auto</t>
  </si>
  <si>
    <t>steel_draw_10000_auto</t>
  </si>
  <si>
    <t>steel_draw_10000</t>
  </si>
  <si>
    <t>steel_draw_3500_auto</t>
  </si>
  <si>
    <t>steel_draw_38000_auto</t>
  </si>
  <si>
    <t>steel_drill_cnc</t>
  </si>
  <si>
    <t>steel_drill_conv</t>
  </si>
  <si>
    <t>steel_mill_avg</t>
  </si>
  <si>
    <t>steel_mill_dress</t>
  </si>
  <si>
    <t>steel_mill_lg</t>
  </si>
  <si>
    <t>steel_mill_sm</t>
  </si>
  <si>
    <t>steel_turn_dress_cnc</t>
  </si>
  <si>
    <t>steel_turn_dress_conv</t>
  </si>
  <si>
    <t>steel_turn_rough_cnc</t>
  </si>
  <si>
    <t>steel_turn_rough_conv</t>
  </si>
  <si>
    <t>alum_drill_cnc</t>
  </si>
  <si>
    <t>alum_drill_conv</t>
  </si>
  <si>
    <t>alum_mill_avg</t>
  </si>
  <si>
    <t>alum_mill_dress</t>
  </si>
  <si>
    <t>alum_mill_lg</t>
  </si>
  <si>
    <t>alum_mill_sm</t>
  </si>
  <si>
    <t>alum_turn_dress_cnc</t>
  </si>
  <si>
    <t>alum_turn_dress_conv</t>
  </si>
  <si>
    <t>alum_turn_rough_cnc</t>
  </si>
  <si>
    <t>alum_turn_rough_conv</t>
  </si>
  <si>
    <t>chr_steel_drill_cnc</t>
  </si>
  <si>
    <t>chr_steel_drill_conv</t>
  </si>
  <si>
    <t>chr_steel_mill_avg</t>
  </si>
  <si>
    <t>chr_steel_mill_dress</t>
  </si>
  <si>
    <t>chr_steel_mill_lg</t>
  </si>
  <si>
    <t>chr_steel_mill_sm</t>
  </si>
  <si>
    <t>chr_steel_turn_dress_cnc</t>
  </si>
  <si>
    <t>chr_steel_turn_dress_conv</t>
  </si>
  <si>
    <t>chr_steel_turn_rough_cnc</t>
  </si>
  <si>
    <t>chr_steel_turn_rough_conv</t>
  </si>
  <si>
    <t>steel_draw_3500</t>
  </si>
  <si>
    <t>steel_draw_38000</t>
  </si>
  <si>
    <t>brass_drill_cnc</t>
  </si>
  <si>
    <t>brass_drill_conv</t>
  </si>
  <si>
    <t>brass_turn_dress_cnc</t>
  </si>
  <si>
    <t>brass_turn_dress_conv</t>
  </si>
  <si>
    <t>brass_turn_rough_cnc</t>
  </si>
  <si>
    <t>brass_turn_rough_conv</t>
  </si>
  <si>
    <t>alum_turn_avg_cnc</t>
  </si>
  <si>
    <t>brass_turn_avg_cnc</t>
  </si>
  <si>
    <t>steel_turn_avg_cnc</t>
  </si>
  <si>
    <t>alum_turn_avg_conv</t>
  </si>
  <si>
    <t>brass_turn_avg_conv</t>
  </si>
  <si>
    <t>steel_turn_avg_conv</t>
  </si>
  <si>
    <t>cast_fe_drill_cnc</t>
  </si>
  <si>
    <t>cast_fe_drill_conv</t>
  </si>
  <si>
    <t>cast_fe_mill_avg</t>
  </si>
  <si>
    <t>cast_fe_mill_dress</t>
  </si>
  <si>
    <t>cast_fe_mill_lg</t>
  </si>
  <si>
    <t>cast_fe_mill_sm</t>
  </si>
  <si>
    <t>cast_fe_turn_avg_cnc</t>
  </si>
  <si>
    <t>cast_fe_turn_avg_conv</t>
  </si>
  <si>
    <t>cast_fe_turn_dress_cnc</t>
  </si>
  <si>
    <t>cast_fe_turn_dress_conv</t>
  </si>
  <si>
    <t>cast_fe_turn_rough_cnc</t>
  </si>
  <si>
    <t>cast_fe_turn_rough_conv</t>
  </si>
  <si>
    <t>chr_steel_turn_avg_cnc</t>
  </si>
  <si>
    <t>chr_steel_turn_avg_conv</t>
  </si>
  <si>
    <t>metal_work_steel</t>
  </si>
  <si>
    <t>metal_work_ch_steel</t>
  </si>
  <si>
    <t>primary_copper</t>
  </si>
  <si>
    <t>metal_work_alum</t>
  </si>
  <si>
    <t>mfg_elec</t>
  </si>
  <si>
    <t>mfg_ng</t>
  </si>
  <si>
    <t>mfg_chill</t>
  </si>
  <si>
    <t>mfg_heat_other</t>
  </si>
  <si>
    <t>mfg_steam</t>
  </si>
  <si>
    <t>van_inc</t>
  </si>
  <si>
    <t>lt_comm_inc</t>
  </si>
  <si>
    <t>medium_inc</t>
  </si>
  <si>
    <t>single_inc</t>
  </si>
  <si>
    <t>cntnrship_inc</t>
  </si>
  <si>
    <t>barge_inc</t>
  </si>
  <si>
    <t>air_inc</t>
  </si>
  <si>
    <t>rail_inc</t>
  </si>
  <si>
    <t>mfg_water_tap</t>
  </si>
  <si>
    <t>combo_inc</t>
  </si>
  <si>
    <t>air_deliv</t>
  </si>
  <si>
    <t>barge_deliv</t>
  </si>
  <si>
    <t>cntnrship_deliv</t>
  </si>
  <si>
    <t>combo_deliv</t>
  </si>
  <si>
    <t>lt_comm_deliv</t>
  </si>
  <si>
    <t>medium_deliv</t>
  </si>
  <si>
    <t>rail_deliv</t>
  </si>
  <si>
    <t>single_deliv</t>
  </si>
  <si>
    <t>van_deliv</t>
  </si>
  <si>
    <t>mfg_waste_lf_haz</t>
  </si>
  <si>
    <t>mfg_waste_lf_ind</t>
  </si>
  <si>
    <t>mfg_waste_incin_mun</t>
  </si>
  <si>
    <t>mfg_waste_lf_mun</t>
  </si>
  <si>
    <t>mfg_waste_incin_haz</t>
  </si>
  <si>
    <t>co2_foss</t>
  </si>
  <si>
    <t>co2_biog</t>
  </si>
  <si>
    <t>sox</t>
  </si>
  <si>
    <t>pm10</t>
  </si>
  <si>
    <t>nox</t>
  </si>
  <si>
    <t>pm2_5</t>
  </si>
  <si>
    <t>blk_c</t>
  </si>
  <si>
    <t>voc</t>
  </si>
  <si>
    <t>tds</t>
  </si>
  <si>
    <t>tss</t>
  </si>
  <si>
    <t>doc</t>
  </si>
  <si>
    <t>cod</t>
  </si>
  <si>
    <t>bod</t>
  </si>
  <si>
    <t>no3</t>
  </si>
  <si>
    <t>toc</t>
  </si>
  <si>
    <t>install_elec</t>
  </si>
  <si>
    <t>install_waste_plastic</t>
  </si>
  <si>
    <t>install_waste_paper</t>
  </si>
  <si>
    <t>To Update Model per Data Input Tabs</t>
  </si>
  <si>
    <t>From openLCA Model</t>
  </si>
  <si>
    <t>To openLCA Model</t>
  </si>
  <si>
    <t>ecoinvent linkages for reference/reproducibility</t>
  </si>
  <si>
    <t>Geo1</t>
  </si>
  <si>
    <t>Geo2</t>
  </si>
  <si>
    <t>Database dataset</t>
  </si>
  <si>
    <t>Unit Group</t>
  </si>
  <si>
    <t>Unit</t>
  </si>
  <si>
    <t>LCI Model Result</t>
  </si>
  <si>
    <t>LCI Model Formula</t>
  </si>
  <si>
    <t>Geo</t>
  </si>
  <si>
    <t>SD | GSD</t>
  </si>
  <si>
    <t>Minimum</t>
  </si>
  <si>
    <t>Maximum</t>
  </si>
  <si>
    <t>openLCA Parameter Value</t>
  </si>
  <si>
    <t>openLCA Parameter Affected</t>
  </si>
  <si>
    <t>Script generator UUID match</t>
  </si>
  <si>
    <t>SQL Script - Update openLCA Model</t>
  </si>
  <si>
    <t>SQL Script-Whole LCA Model Update</t>
  </si>
  <si>
    <t>Note: some processes have been modified to allow system boundaries consistent with template &amp; geographic scope toggle.</t>
  </si>
  <si>
    <t>GEN_EPD: Product details (determine reference flows)</t>
  </si>
  <si>
    <t>Luminaire mass per unit item</t>
  </si>
  <si>
    <t>Time</t>
  </si>
  <si>
    <t>A1: Upstream materials production (from BOM)</t>
  </si>
  <si>
    <t>LIGHT SOURCE</t>
  </si>
  <si>
    <t xml:space="preserve">lamp_led*RER_toggle </t>
  </si>
  <si>
    <t>lamp_cfl*RER_toggle/0.075</t>
  </si>
  <si>
    <t>metal halide</t>
  </si>
  <si>
    <t>No dataset available; compile add as needed</t>
  </si>
  <si>
    <t>not installed</t>
  </si>
  <si>
    <t>high pressure sodium</t>
  </si>
  <si>
    <t>low pressure sodium</t>
  </si>
  <si>
    <t>mercury vapor</t>
  </si>
  <si>
    <t>ceramic metal halide</t>
  </si>
  <si>
    <t>POWER SUPPLY</t>
  </si>
  <si>
    <t>Connectors_mass*Connectors_perc</t>
  </si>
  <si>
    <t>(Intercxn_mass*Intercxn_big_perc )/0.065</t>
  </si>
  <si>
    <t>Intercxn_mass *Intercxn_small_perc</t>
  </si>
  <si>
    <t>Harness_wire_mass*Harness_other_perc</t>
  </si>
  <si>
    <t xml:space="preserve">Harness_wire_mass*Harness_wire_perc </t>
  </si>
  <si>
    <t>Driver, for LED lighting</t>
  </si>
  <si>
    <t>smart features</t>
  </si>
  <si>
    <t>Wireless Technology</t>
  </si>
  <si>
    <t>Integrated blue-tooth</t>
  </si>
  <si>
    <t>No dataset installed; compile add as needed; additional IC (memory and/or logic), high or low current? Radio-frequency inductor vs. choke-type?</t>
  </si>
  <si>
    <t>Non-integrated blue-tooth</t>
  </si>
  <si>
    <t>No dataset installed; compile add as needed; additional IC (memory and/or logic), high or low current? Radio-frequency inductor vs. choke-type? Mass relative to integrated?</t>
  </si>
  <si>
    <t>Integrated wi-fi</t>
  </si>
  <si>
    <t>Non-integrated wi-fi</t>
  </si>
  <si>
    <t>Integrated ZigBee</t>
  </si>
  <si>
    <t>Non-integrated ZigBee</t>
  </si>
  <si>
    <t>Wired communications</t>
  </si>
  <si>
    <t>No smart features</t>
  </si>
  <si>
    <t>Dimmability</t>
  </si>
  <si>
    <t>integrated dimmable control</t>
  </si>
  <si>
    <t>non-integrated dimmable control (i.e., external to luminaire)</t>
  </si>
  <si>
    <t>non-dimmable</t>
  </si>
  <si>
    <t>Color-Tunability</t>
  </si>
  <si>
    <t>integrated color-tuning</t>
  </si>
  <si>
    <t>No dataset or parameter installed; compile add as needed; Change lifetime of LED for colors rarely used?</t>
  </si>
  <si>
    <t>non-tunable</t>
  </si>
  <si>
    <t>Motion-Detecting</t>
  </si>
  <si>
    <t>Integrated-motion</t>
  </si>
  <si>
    <t>Non-integrated motion</t>
  </si>
  <si>
    <t>No motion sensor</t>
  </si>
  <si>
    <t>Ambient-Light Detecting</t>
  </si>
  <si>
    <t>Integrated-light</t>
  </si>
  <si>
    <t>Non-integrated light</t>
  </si>
  <si>
    <t>No light sensor</t>
  </si>
  <si>
    <t>topology</t>
  </si>
  <si>
    <t>Active-burst mode (ABM)</t>
  </si>
  <si>
    <t>Secondary-Side-Regulated (SSR) Constant Voltage (CV) output flyback controller</t>
  </si>
  <si>
    <t>Quasi-resonant or discontinuous conduction mode w/ power factor correction</t>
  </si>
  <si>
    <t>Jitter function</t>
  </si>
  <si>
    <t>Normally-on' depletion metal-oxide semi-conductor field-effect transistor (MOSFET)</t>
  </si>
  <si>
    <t>Constant voltage-Indoor</t>
  </si>
  <si>
    <t>Constant voltage-Outdoor</t>
  </si>
  <si>
    <t>Constant current-Indoor</t>
  </si>
  <si>
    <t>Constant current-Outdoor</t>
  </si>
  <si>
    <t>Optional add-ins for smart tech</t>
  </si>
  <si>
    <t>e.g., total smart &amp; topology features to determine additional kg IC needed</t>
  </si>
  <si>
    <t>-</t>
  </si>
  <si>
    <t>e.g., total smart &amp; topology features to determine additional driver add in components needed for high current application</t>
  </si>
  <si>
    <t>Driver, for LED lighting, high current</t>
  </si>
  <si>
    <t xml:space="preserve">driver_high/0.357 </t>
  </si>
  <si>
    <t>driver_high</t>
  </si>
  <si>
    <t>e.g., total smart &amp; topology features to determine additional driver add in components needed for low current application</t>
  </si>
  <si>
    <t>Driver, for LED lighting, low current</t>
  </si>
  <si>
    <t>driver_low/0.0597</t>
  </si>
  <si>
    <t>driver_low</t>
  </si>
  <si>
    <t>BASELINE</t>
  </si>
  <si>
    <t>driver_baseline/0.205</t>
  </si>
  <si>
    <t>e.g., total smart &amp; topology features to determine additional m2 PWB needed</t>
  </si>
  <si>
    <t>e.g., affects dimmability and other adjustable features</t>
  </si>
  <si>
    <t>e.g., total extra needed for specific features</t>
  </si>
  <si>
    <t>e.g., total extra needed for wireless features</t>
  </si>
  <si>
    <t>ancillary</t>
  </si>
  <si>
    <t>degreas/(linear_ft*0.3048)</t>
  </si>
  <si>
    <t>glass*0.25</t>
  </si>
  <si>
    <t>glass*0.75</t>
  </si>
  <si>
    <t>wrought/cast</t>
  </si>
  <si>
    <t>Aluminum Machining</t>
  </si>
  <si>
    <t>Drilling computer numerical controlled</t>
  </si>
  <si>
    <t xml:space="preserve">alum_drill_cnc </t>
  </si>
  <si>
    <t/>
  </si>
  <si>
    <t xml:space="preserve">Drilling conventional </t>
  </si>
  <si>
    <t xml:space="preserve">alum_drill_conv </t>
  </si>
  <si>
    <t>Milling average</t>
  </si>
  <si>
    <t xml:space="preserve">alum_mill_avg </t>
  </si>
  <si>
    <t>Milling dressed</t>
  </si>
  <si>
    <t xml:space="preserve">alum_mill_dress </t>
  </si>
  <si>
    <t xml:space="preserve">alum_mill_lg </t>
  </si>
  <si>
    <t xml:space="preserve">alum_mill_sm </t>
  </si>
  <si>
    <t>Turning dressing computer numerical controlled</t>
  </si>
  <si>
    <t xml:space="preserve">alum_turn_avg_cnc </t>
  </si>
  <si>
    <t>Turning dressing conventional</t>
  </si>
  <si>
    <t xml:space="preserve">alum_turn_avg_conv </t>
  </si>
  <si>
    <t xml:space="preserve">alum_turn_dress_cnc </t>
  </si>
  <si>
    <t>Turning roughting conventional</t>
  </si>
  <si>
    <t xml:space="preserve">alum_turn_dress_conv </t>
  </si>
  <si>
    <t xml:space="preserve">alum_turn_rough_cnc </t>
  </si>
  <si>
    <t xml:space="preserve">alum_turn_rough_conv </t>
  </si>
  <si>
    <t xml:space="preserve">alum_cast </t>
  </si>
  <si>
    <t xml:space="preserve">alum_wrought </t>
  </si>
  <si>
    <t>Anodizing</t>
  </si>
  <si>
    <t>anodiz/(0.0141+0.00187)</t>
  </si>
  <si>
    <t xml:space="preserve">brass </t>
  </si>
  <si>
    <t xml:space="preserve">brass_drill_cnc </t>
  </si>
  <si>
    <t xml:space="preserve">brass_drill_conv </t>
  </si>
  <si>
    <t>Turning dressing average computer numerical controlled</t>
  </si>
  <si>
    <t xml:space="preserve">brass_turn_avg_cnc </t>
  </si>
  <si>
    <t>Turning dressing average conventional</t>
  </si>
  <si>
    <t xml:space="preserve">brass_turn_avg_conv </t>
  </si>
  <si>
    <t xml:space="preserve">brass_turn_dress_cnc </t>
  </si>
  <si>
    <t xml:space="preserve">brass_turn_dress_conv </t>
  </si>
  <si>
    <t xml:space="preserve">brass_turn_rough_cnc </t>
  </si>
  <si>
    <t xml:space="preserve">brass_turn_rough_conv </t>
  </si>
  <si>
    <t xml:space="preserve">bronze </t>
  </si>
  <si>
    <t xml:space="preserve">cast_fe_drill_cnc </t>
  </si>
  <si>
    <t xml:space="preserve">cast_fe_drill_conv </t>
  </si>
  <si>
    <t xml:space="preserve">cast_fe_mill_avg </t>
  </si>
  <si>
    <t xml:space="preserve">cast_fe_mill_dress </t>
  </si>
  <si>
    <t xml:space="preserve">cast_fe_mill_lg </t>
  </si>
  <si>
    <t xml:space="preserve">cast_fe_mill_sm </t>
  </si>
  <si>
    <t xml:space="preserve">cast_fe_turn_avg_cnc </t>
  </si>
  <si>
    <t>GLO/RER provider</t>
  </si>
  <si>
    <t xml:space="preserve">cast_fe_turn_avg_conv </t>
  </si>
  <si>
    <t xml:space="preserve">cast_fe_turn_dress_cnc </t>
  </si>
  <si>
    <t xml:space="preserve">cast_fe_turn_dress_conv </t>
  </si>
  <si>
    <t xml:space="preserve">cast_fe_turn_rough_cnc </t>
  </si>
  <si>
    <t xml:space="preserve">cast_fe_turn_rough_conv </t>
  </si>
  <si>
    <t xml:space="preserve">alum_cast*RER_toggle </t>
  </si>
  <si>
    <t xml:space="preserve">alum_cast*RNA_toggle </t>
  </si>
  <si>
    <t>CA provider</t>
  </si>
  <si>
    <t>Stainless steel</t>
  </si>
  <si>
    <t xml:space="preserve">chr_steel_drill_cnc </t>
  </si>
  <si>
    <t xml:space="preserve">chr_steel_drill_conv </t>
  </si>
  <si>
    <t xml:space="preserve">chr_steel_mill_avg </t>
  </si>
  <si>
    <t xml:space="preserve">chr_steel_mill_dress </t>
  </si>
  <si>
    <t xml:space="preserve">chr_steel_mill_lg </t>
  </si>
  <si>
    <t xml:space="preserve">chr_steel_mill_sm </t>
  </si>
  <si>
    <t xml:space="preserve">chr_steel_turn_avg_cnc </t>
  </si>
  <si>
    <t xml:space="preserve">chr_steel_turn_avg_conv </t>
  </si>
  <si>
    <t xml:space="preserve">chr_steel_turn_dress_cnc </t>
  </si>
  <si>
    <t xml:space="preserve">chr_steel_turn_dress_conv </t>
  </si>
  <si>
    <t xml:space="preserve">chr_steel_turn_rough_cnc </t>
  </si>
  <si>
    <t xml:space="preserve">chr_steel_turn_rough_conv </t>
  </si>
  <si>
    <t xml:space="preserve">second_copper </t>
  </si>
  <si>
    <t>unallyed/low-alloyed/stainless</t>
  </si>
  <si>
    <t>Steel forming</t>
  </si>
  <si>
    <t>Deep drawn 10000 kN automode press</t>
  </si>
  <si>
    <t xml:space="preserve">steel_draw_10000_auto </t>
  </si>
  <si>
    <t>Deep drawn 10000 kN single-stroke press</t>
  </si>
  <si>
    <t xml:space="preserve">steel_draw_10000 </t>
  </si>
  <si>
    <t>Deep drawn 3500 kN automode press</t>
  </si>
  <si>
    <t xml:space="preserve">steel_draw_3500_auto </t>
  </si>
  <si>
    <t>Deep drawn 3500 kN single-stroke press</t>
  </si>
  <si>
    <t xml:space="preserve">steel_draw_3500 </t>
  </si>
  <si>
    <t>Deep drawn 38000 kN automode press</t>
  </si>
  <si>
    <t xml:space="preserve">steel_draw_38000_auto </t>
  </si>
  <si>
    <t>Deep drawn 38000 kN single-stroke press</t>
  </si>
  <si>
    <t xml:space="preserve">steel_draw_38000 </t>
  </si>
  <si>
    <t xml:space="preserve">steel_draw_650_auto </t>
  </si>
  <si>
    <t xml:space="preserve">steel_draw_650 </t>
  </si>
  <si>
    <t>Electrostatic paint</t>
  </si>
  <si>
    <t xml:space="preserve">elec_static_paint </t>
  </si>
  <si>
    <t>Enamelling</t>
  </si>
  <si>
    <t>enamel/6.00</t>
  </si>
  <si>
    <t>Chromium coating</t>
  </si>
  <si>
    <t>chrom_coat /2.70537</t>
  </si>
  <si>
    <t>Aluminum Forming</t>
  </si>
  <si>
    <t xml:space="preserve">alum_impact_1 </t>
  </si>
  <si>
    <t>Impact extruded 2 stroke</t>
  </si>
  <si>
    <t xml:space="preserve">alum_impact_2 </t>
  </si>
  <si>
    <t xml:space="preserve">Impact extruded 3 stroke </t>
  </si>
  <si>
    <t xml:space="preserve">alum_impact_3 </t>
  </si>
  <si>
    <t>Impact extruded 4 stroke</t>
  </si>
  <si>
    <t xml:space="preserve">alum_impact_4 </t>
  </si>
  <si>
    <t xml:space="preserve">alum_impact_5 </t>
  </si>
  <si>
    <t>Optional add-ins metals forming</t>
  </si>
  <si>
    <t xml:space="preserve">steel_impact_1 </t>
  </si>
  <si>
    <t xml:space="preserve">steel_impact_2 </t>
  </si>
  <si>
    <t xml:space="preserve">steel_impact_3 </t>
  </si>
  <si>
    <t xml:space="preserve">steel_impact_4 </t>
  </si>
  <si>
    <t xml:space="preserve">steel_impact_5 </t>
  </si>
  <si>
    <t>GLO/N Am provider</t>
  </si>
  <si>
    <t>Metal worked unknown machining</t>
  </si>
  <si>
    <t xml:space="preserve">metal_work_ch_steel </t>
  </si>
  <si>
    <t xml:space="preserve">copper </t>
  </si>
  <si>
    <t xml:space="preserve">metal_work_metal </t>
  </si>
  <si>
    <t>RER provider</t>
  </si>
  <si>
    <t xml:space="preserve">metal_work_steel </t>
  </si>
  <si>
    <t>powder_alum/0.09650</t>
  </si>
  <si>
    <t>powder_steel/0.09650</t>
  </si>
  <si>
    <t xml:space="preserve">steel_low_alloy +steel_no_alloy +steel_chrom </t>
  </si>
  <si>
    <t>unallyed/low-alloyed</t>
  </si>
  <si>
    <t xml:space="preserve">steel_drill_cnc </t>
  </si>
  <si>
    <t xml:space="preserve">steel_drill_conv </t>
  </si>
  <si>
    <t xml:space="preserve">steel_mill_avg </t>
  </si>
  <si>
    <t xml:space="preserve">steel_mill_dress </t>
  </si>
  <si>
    <t xml:space="preserve">steel_mill_lg </t>
  </si>
  <si>
    <t xml:space="preserve">steel_mill_sm </t>
  </si>
  <si>
    <t xml:space="preserve">steel_turn_avg_cnc </t>
  </si>
  <si>
    <t xml:space="preserve">steel_turn_avg_conv </t>
  </si>
  <si>
    <t>US No Am electricity &amp; Nat Gas</t>
  </si>
  <si>
    <t xml:space="preserve">steel_turn_dress_cnc </t>
  </si>
  <si>
    <t xml:space="preserve">steel_turn_dress_conv </t>
  </si>
  <si>
    <t xml:space="preserve">steel_turn_rough_cnc </t>
  </si>
  <si>
    <t xml:space="preserve">steel_turn_rough_conv </t>
  </si>
  <si>
    <t>ecoinvent note for zinc coat, pieces adjustment for um: Data given per tonne of coated product had to be transformed dividing it by the mean surface area of 60 m2/t.
Use 60 m2/1000 kg --&gt; 0.06 m2/kg</t>
  </si>
  <si>
    <t>Steinless steel</t>
  </si>
  <si>
    <t xml:space="preserve">steel_chrom </t>
  </si>
  <si>
    <t>RNA mod</t>
  </si>
  <si>
    <t>low alloyed</t>
  </si>
  <si>
    <t xml:space="preserve">steel_low_alloy </t>
  </si>
  <si>
    <t>unalloyed</t>
  </si>
  <si>
    <t xml:space="preserve">steel_no_alloy </t>
  </si>
  <si>
    <t>tin_plat/0.0365</t>
  </si>
  <si>
    <t xml:space="preserve">zinc_coat*(60/1000)*RER_toggle </t>
  </si>
  <si>
    <t>zinc_coat*(60/1000)*RNA_toggle</t>
  </si>
  <si>
    <t xml:space="preserve">packaging </t>
  </si>
  <si>
    <t>wood</t>
  </si>
  <si>
    <t>pallet_wood/(40/2.20462)</t>
  </si>
  <si>
    <t>Plastic pallet</t>
  </si>
  <si>
    <t xml:space="preserve">abs +polycarb +acrylic+hdpe+nylon_glass </t>
  </si>
  <si>
    <t xml:space="preserve">nylon_glass </t>
  </si>
  <si>
    <t>GLO/RER provider
(RER systems process)
Only EFs regionalized?</t>
  </si>
  <si>
    <t xml:space="preserve">hdpe </t>
  </si>
  <si>
    <t>A2: Incoming Transport</t>
  </si>
  <si>
    <t>Transport</t>
  </si>
  <si>
    <t>tn*km</t>
  </si>
  <si>
    <t>A3 Foreground Assembly</t>
  </si>
  <si>
    <t>Power</t>
  </si>
  <si>
    <t>Natural Gas - MJ</t>
  </si>
  <si>
    <t>Chilled Water m3</t>
  </si>
  <si>
    <t>Process Water m3</t>
  </si>
  <si>
    <t>mfg_water</t>
  </si>
  <si>
    <t>disposal industrial</t>
  </si>
  <si>
    <t>disposal municipal</t>
  </si>
  <si>
    <t>disposal hazardous</t>
  </si>
  <si>
    <t>municipal incineration</t>
  </si>
  <si>
    <t>hazardous incineration</t>
  </si>
  <si>
    <t>UNCERTAINTY DISTRIBUTION</t>
  </si>
  <si>
    <t xml:space="preserve">First use below null scripts to reset model uncertainty data (uncertainty distribution type and parameter type 1, 2, &amp; 3 values) from prior SQL script pastes; then paste in values adjusted </t>
  </si>
  <si>
    <t>DISTRIBUTION TYPE</t>
  </si>
  <si>
    <t>STD. DEVIATION</t>
  </si>
  <si>
    <t>MIN</t>
  </si>
  <si>
    <t>MAX</t>
  </si>
  <si>
    <t>ONLY USE IF NEED TO RESET UNCERTAINTY DISTRIBUTION FROM PRIOR MODEL VALUES</t>
  </si>
  <si>
    <t>TBD IN ACCORDANCE WITH ENHANCED PEDIGREE MATRIX PER CHAIT ET AL. FHWA SUSTAINABLE PAVEMENTS</t>
  </si>
  <si>
    <t>TBD</t>
  </si>
  <si>
    <t>EMISSIONS</t>
  </si>
  <si>
    <t>A4-A5 Delivery &amp; Installation</t>
  </si>
  <si>
    <t>Packaging wastse</t>
  </si>
  <si>
    <t>Paper-based</t>
  </si>
  <si>
    <t>Plastic-based</t>
  </si>
  <si>
    <t>B1-B6 USE - Operational Energy</t>
  </si>
  <si>
    <t>Power use</t>
  </si>
  <si>
    <t>Lifetime power usage</t>
  </si>
  <si>
    <t>MATERIALS, POWER, &amp; TRANSPORT TO BE AUGMENTED POST-REVIEW/FEEDBACK</t>
  </si>
  <si>
    <t>DEPENDENT ON NATIONAL STATISTICS, LUMINAIRE MASS, AND MAXIMUM COLLECTION DISTANCE SCENARIO</t>
  </si>
  <si>
    <t>TO BE AUGMENTED POST-REVIEW/FEEDBACK</t>
  </si>
  <si>
    <t>D: Beyond System Boundaries</t>
  </si>
  <si>
    <t>ecoinvent adapted w/ region codes</t>
  </si>
  <si>
    <t>The abbreviations in square brackets in the master data from the ecoinvent are 2-letter country codes or 3-letter region codes, indicating the geography represented by the dataset. These codes are the original codes used by ecoinvent and are taken from ISO 3166.</t>
  </si>
  <si>
    <t>name</t>
  </si>
  <si>
    <t>shortname</t>
  </si>
  <si>
    <t>latitude</t>
  </si>
  <si>
    <t>longitude</t>
  </si>
  <si>
    <t>42.549</t>
  </si>
  <si>
    <t>1.576</t>
  </si>
  <si>
    <t>23.549</t>
  </si>
  <si>
    <t>54.163</t>
  </si>
  <si>
    <t>The following region codes are also used but are not part of ISO list:</t>
  </si>
  <si>
    <t>33.677</t>
  </si>
  <si>
    <t>65.216</t>
  </si>
  <si>
    <t>17.078</t>
  </si>
  <si>
    <t>-61.783</t>
  </si>
  <si>
    <t>Global (GLO)</t>
  </si>
  <si>
    <t>18.237</t>
  </si>
  <si>
    <t>-63.032</t>
  </si>
  <si>
    <t>Oceanic (OCE)</t>
  </si>
  <si>
    <t>Africa (RAF)</t>
  </si>
  <si>
    <t>41.143</t>
  </si>
  <si>
    <t>20.068</t>
  </si>
  <si>
    <t>Asia and the Pacific (RAS)</t>
  </si>
  <si>
    <t>40.534</t>
  </si>
  <si>
    <t>44.563</t>
  </si>
  <si>
    <t>Europe (RER)</t>
  </si>
  <si>
    <t>-12.296</t>
  </si>
  <si>
    <t>17.544</t>
  </si>
  <si>
    <t>Latin America and the Caribbean (RLA)</t>
  </si>
  <si>
    <t>-80.446</t>
  </si>
  <si>
    <t>21.304</t>
  </si>
  <si>
    <t>North America (RNA)</t>
  </si>
  <si>
    <t>-35.377</t>
  </si>
  <si>
    <t>-65.167</t>
  </si>
  <si>
    <t>Near East (RNE)</t>
  </si>
  <si>
    <t>-14.318</t>
  </si>
  <si>
    <t>-170.73</t>
  </si>
  <si>
    <t>Middle East (RME)</t>
  </si>
  <si>
    <t>Rest of World (RoW)</t>
  </si>
  <si>
    <t>47.683</t>
  </si>
  <si>
    <t>14.912</t>
  </si>
  <si>
    <t>Arab Emirates, United</t>
  </si>
  <si>
    <t>-24.973</t>
  </si>
  <si>
    <t>136.189</t>
  </si>
  <si>
    <t>The country codes and region codes are also listed in the official ecoinvent documentation (ecoinvent Report No. 1 - Overview and Methodology v2.0 (2007)) - available for download from the ecoinvent website.</t>
  </si>
  <si>
    <t>12.517</t>
  </si>
  <si>
    <t>-69.977</t>
  </si>
  <si>
    <t>60.198</t>
  </si>
  <si>
    <t>19.952</t>
  </si>
  <si>
    <t>40.43</t>
  </si>
  <si>
    <t>47.395</t>
  </si>
  <si>
    <t>44.169</t>
  </si>
  <si>
    <t>17.786</t>
  </si>
  <si>
    <t>56.8154961753</t>
  </si>
  <si>
    <t>24.7255465575</t>
  </si>
  <si>
    <t>13.153</t>
  </si>
  <si>
    <t>-59.559</t>
  </si>
  <si>
    <t>24.218</t>
  </si>
  <si>
    <t>89.941</t>
  </si>
  <si>
    <t>50.643</t>
  </si>
  <si>
    <t>4.664</t>
  </si>
  <si>
    <t>12.278</t>
  </si>
  <si>
    <t>-1.74</t>
  </si>
  <si>
    <t>42.761</t>
  </si>
  <si>
    <t>25.231</t>
  </si>
  <si>
    <t>26.019</t>
  </si>
  <si>
    <t>50.562</t>
  </si>
  <si>
    <t>-3.356</t>
  </si>
  <si>
    <t>29.887</t>
  </si>
  <si>
    <t>10.541</t>
  </si>
  <si>
    <t>2.469</t>
  </si>
  <si>
    <t>18.04</t>
  </si>
  <si>
    <t>-63.043</t>
  </si>
  <si>
    <t>32.336</t>
  </si>
  <si>
    <t>-64.709</t>
  </si>
  <si>
    <t>4.468</t>
  </si>
  <si>
    <t>114.591</t>
  </si>
  <si>
    <t>-16.715</t>
  </si>
  <si>
    <t>-64.671</t>
  </si>
  <si>
    <t>-10.772</t>
  </si>
  <si>
    <t>-53.089</t>
  </si>
  <si>
    <t>24.628</t>
  </si>
  <si>
    <t>-78.014</t>
  </si>
  <si>
    <t>27.415</t>
  </si>
  <si>
    <t>90.429</t>
  </si>
  <si>
    <t>-54.422</t>
  </si>
  <si>
    <t>3.412</t>
  </si>
  <si>
    <t>-22.182</t>
  </si>
  <si>
    <t>23.815</t>
  </si>
  <si>
    <t>53.54</t>
  </si>
  <si>
    <t>28.047</t>
  </si>
  <si>
    <t>17.219</t>
  </si>
  <si>
    <t>-88.602</t>
  </si>
  <si>
    <t>59.081</t>
  </si>
  <si>
    <t>-109.433</t>
  </si>
  <si>
    <t>28.3379092912</t>
  </si>
  <si>
    <t>-15.6740912111</t>
  </si>
  <si>
    <t>53.390446309</t>
  </si>
  <si>
    <t>-71.7558689582</t>
  </si>
  <si>
    <t>Cocos (Keeling) Islands</t>
  </si>
  <si>
    <t>CC</t>
  </si>
  <si>
    <t>-12.173</t>
  </si>
  <si>
    <t>96.839</t>
  </si>
  <si>
    <t>-2.876</t>
  </si>
  <si>
    <t>23.654</t>
  </si>
  <si>
    <t>45.9159879708</t>
  </si>
  <si>
    <t>66.4858014842</t>
  </si>
  <si>
    <t>50.6703682233</t>
  </si>
  <si>
    <t>18.8218742069</t>
  </si>
  <si>
    <t>6.571</t>
  </si>
  <si>
    <t>20.483</t>
  </si>
  <si>
    <t>-0.055</t>
  </si>
  <si>
    <t>15.986</t>
  </si>
  <si>
    <t>46.861</t>
  </si>
  <si>
    <t>7.908</t>
  </si>
  <si>
    <t>7.632</t>
  </si>
  <si>
    <t>-5.556</t>
  </si>
  <si>
    <t>-21.219</t>
  </si>
  <si>
    <t>-159.782</t>
  </si>
  <si>
    <t>-23.389</t>
  </si>
  <si>
    <t>-69.433</t>
  </si>
  <si>
    <t>5.133</t>
  </si>
  <si>
    <t>12.277</t>
  </si>
  <si>
    <t>33.42</t>
  </si>
  <si>
    <t>106.514</t>
  </si>
  <si>
    <t>Christmas Island</t>
  </si>
  <si>
    <t>CX</t>
  </si>
  <si>
    <t>3.9</t>
  </si>
  <si>
    <t>-73.076</t>
  </si>
  <si>
    <t>9.971</t>
  </si>
  <si>
    <t>-83.946</t>
  </si>
  <si>
    <t>43.8674682931</t>
  </si>
  <si>
    <t>20.5992884506</t>
  </si>
  <si>
    <t>21.297</t>
  </si>
  <si>
    <t>-77.781</t>
  </si>
  <si>
    <t>15.071</t>
  </si>
  <si>
    <t>-23.634</t>
  </si>
  <si>
    <t>-10.444</t>
  </si>
  <si>
    <t>105.704</t>
  </si>
  <si>
    <t>35.043</t>
  </si>
  <si>
    <t>33.219</t>
  </si>
  <si>
    <t>49.743</t>
  </si>
  <si>
    <t>15.338</t>
  </si>
  <si>
    <t>51.11</t>
  </si>
  <si>
    <t>9.851</t>
  </si>
  <si>
    <t>11.9</t>
  </si>
  <si>
    <t>42.516</t>
  </si>
  <si>
    <t>56.058</t>
  </si>
  <si>
    <t>9.264</t>
  </si>
  <si>
    <t>15.475</t>
  </si>
  <si>
    <t>-61.356</t>
  </si>
  <si>
    <t>19.015</t>
  </si>
  <si>
    <t>-70.729</t>
  </si>
  <si>
    <t>28.163</t>
  </si>
  <si>
    <t>2.632</t>
  </si>
  <si>
    <t>-1.385</t>
  </si>
  <si>
    <t>-78.497</t>
  </si>
  <si>
    <t>58.674</t>
  </si>
  <si>
    <t>25.793</t>
  </si>
  <si>
    <t>26.494</t>
  </si>
  <si>
    <t>29.872</t>
  </si>
  <si>
    <t>24.554</t>
  </si>
  <si>
    <t>-13.706</t>
  </si>
  <si>
    <t>16.045</t>
  </si>
  <si>
    <t>38.219</t>
  </si>
  <si>
    <t>40.227</t>
  </si>
  <si>
    <t>-3.649</t>
  </si>
  <si>
    <t>8.626</t>
  </si>
  <si>
    <t>39.616</t>
  </si>
  <si>
    <t>54.0646438595</t>
  </si>
  <si>
    <t>29.6744292776</t>
  </si>
  <si>
    <t>48.5975083916</t>
  </si>
  <si>
    <t>6.42110325623</t>
  </si>
  <si>
    <t>64.504</t>
  </si>
  <si>
    <t>26.272</t>
  </si>
  <si>
    <t>-17.819</t>
  </si>
  <si>
    <t>177.974</t>
  </si>
  <si>
    <t>-51.665</t>
  </si>
  <si>
    <t>-58.694</t>
  </si>
  <si>
    <t>6.883</t>
  </si>
  <si>
    <t>158.235</t>
  </si>
  <si>
    <t>62.05</t>
  </si>
  <si>
    <t>-6.864</t>
  </si>
  <si>
    <t>46.565</t>
  </si>
  <si>
    <t>2.55</t>
  </si>
  <si>
    <t>60.9882831546</t>
  </si>
  <si>
    <t>92.1393690129</t>
  </si>
  <si>
    <t>-0.591</t>
  </si>
  <si>
    <t>11.797</t>
  </si>
  <si>
    <t>53</t>
  </si>
  <si>
    <t>-1.6</t>
  </si>
  <si>
    <t>12.118</t>
  </si>
  <si>
    <t>-61.678</t>
  </si>
  <si>
    <t>42.176</t>
  </si>
  <si>
    <t>43.518</t>
  </si>
  <si>
    <t>3.924</t>
  </si>
  <si>
    <t>-53.241</t>
  </si>
  <si>
    <t>49.459</t>
  </si>
  <si>
    <t>-2.576</t>
  </si>
  <si>
    <t>7.96</t>
  </si>
  <si>
    <t>-1.207</t>
  </si>
  <si>
    <t>36.138</t>
  </si>
  <si>
    <t>-5.345</t>
  </si>
  <si>
    <t>74.719</t>
  </si>
  <si>
    <t>-41.391</t>
  </si>
  <si>
    <t>13.453</t>
  </si>
  <si>
    <t>-15.386</t>
  </si>
  <si>
    <t>10.439</t>
  </si>
  <si>
    <t>-10.942</t>
  </si>
  <si>
    <t>16.286</t>
  </si>
  <si>
    <t>-61.441</t>
  </si>
  <si>
    <t>1.607</t>
  </si>
  <si>
    <t>10.488</t>
  </si>
  <si>
    <t>39.666</t>
  </si>
  <si>
    <t>21.766</t>
  </si>
  <si>
    <t>-54.209</t>
  </si>
  <si>
    <t>-36.891</t>
  </si>
  <si>
    <t>15.256</t>
  </si>
  <si>
    <t>-90.398</t>
  </si>
  <si>
    <t>13.385</t>
  </si>
  <si>
    <t>144.707</t>
  </si>
  <si>
    <t>12.125</t>
  </si>
  <si>
    <t>-14.651</t>
  </si>
  <si>
    <t>4.792</t>
  </si>
  <si>
    <t>-58.974</t>
  </si>
  <si>
    <t>22.423</t>
  </si>
  <si>
    <t>114.129</t>
  </si>
  <si>
    <t>-53.111</t>
  </si>
  <si>
    <t>73.507</t>
  </si>
  <si>
    <t>14.819</t>
  </si>
  <si>
    <t>-86.863</t>
  </si>
  <si>
    <t>45.723</t>
  </si>
  <si>
    <t>16.693</t>
  </si>
  <si>
    <t>19.142</t>
  </si>
  <si>
    <t>-72.278</t>
  </si>
  <si>
    <t>47.07</t>
  </si>
  <si>
    <t>19.134</t>
  </si>
  <si>
    <t>-0.976</t>
  </si>
  <si>
    <t>114.252</t>
  </si>
  <si>
    <t>53.177</t>
  </si>
  <si>
    <t>-8.152</t>
  </si>
  <si>
    <t>31.026</t>
  </si>
  <si>
    <t>34.851</t>
  </si>
  <si>
    <t>54.229</t>
  </si>
  <si>
    <t>-4.527</t>
  </si>
  <si>
    <t>21</t>
  </si>
  <si>
    <t>78.5</t>
  </si>
  <si>
    <t>-7.335</t>
  </si>
  <si>
    <t>72.416</t>
  </si>
  <si>
    <t>33.048</t>
  </si>
  <si>
    <t>43.772</t>
  </si>
  <si>
    <t>32.565</t>
  </si>
  <si>
    <t>54.301</t>
  </si>
  <si>
    <t>64.764</t>
  </si>
  <si>
    <t>-18.48</t>
  </si>
  <si>
    <t>42.7</t>
  </si>
  <si>
    <t>12.8</t>
  </si>
  <si>
    <t>49.219</t>
  </si>
  <si>
    <t>-2.129</t>
  </si>
  <si>
    <t>18.151</t>
  </si>
  <si>
    <t>-77.32</t>
  </si>
  <si>
    <t>30.703</t>
  </si>
  <si>
    <t>36.319</t>
  </si>
  <si>
    <t>36.491</t>
  </si>
  <si>
    <t>139.068</t>
  </si>
  <si>
    <t>0.53</t>
  </si>
  <si>
    <t>37.858</t>
  </si>
  <si>
    <t>41.465</t>
  </si>
  <si>
    <t>74.555</t>
  </si>
  <si>
    <t>12.714</t>
  </si>
  <si>
    <t>104.564</t>
  </si>
  <si>
    <t>-1.508</t>
  </si>
  <si>
    <t>175.036</t>
  </si>
  <si>
    <t>-11.758</t>
  </si>
  <si>
    <t>43.337</t>
  </si>
  <si>
    <t>17.34</t>
  </si>
  <si>
    <t>-62.769</t>
  </si>
  <si>
    <t>39.778</t>
  </si>
  <si>
    <t>126.451</t>
  </si>
  <si>
    <t>36.504</t>
  </si>
  <si>
    <t>128.103</t>
  </si>
  <si>
    <t>29.476</t>
  </si>
  <si>
    <t>47.376</t>
  </si>
  <si>
    <t>19.314</t>
  </si>
  <si>
    <t>-81.198</t>
  </si>
  <si>
    <t>48.16</t>
  </si>
  <si>
    <t>67.301</t>
  </si>
  <si>
    <t>19.905</t>
  </si>
  <si>
    <t>102.471</t>
  </si>
  <si>
    <t>33.92</t>
  </si>
  <si>
    <t>35.888</t>
  </si>
  <si>
    <t>13.898</t>
  </si>
  <si>
    <t>-60.969</t>
  </si>
  <si>
    <t>47.153</t>
  </si>
  <si>
    <t>9.555</t>
  </si>
  <si>
    <t>7.612</t>
  </si>
  <si>
    <t>80.704</t>
  </si>
  <si>
    <t>6.682</t>
  </si>
  <si>
    <t>-9.657</t>
  </si>
  <si>
    <t>-29.581</t>
  </si>
  <si>
    <t>28.243</t>
  </si>
  <si>
    <t>55.336</t>
  </si>
  <si>
    <t>23.897</t>
  </si>
  <si>
    <t>49.771</t>
  </si>
  <si>
    <t>6.088</t>
  </si>
  <si>
    <t>56.858</t>
  </si>
  <si>
    <t>25.641</t>
  </si>
  <si>
    <t>27.044</t>
  </si>
  <si>
    <t>18.023</t>
  </si>
  <si>
    <t>32.706</t>
  </si>
  <si>
    <t>-5.758</t>
  </si>
  <si>
    <t>43.75</t>
  </si>
  <si>
    <t>7.412</t>
  </si>
  <si>
    <t>47.193</t>
  </si>
  <si>
    <t>28.599</t>
  </si>
  <si>
    <t>42.792</t>
  </si>
  <si>
    <t>19.254</t>
  </si>
  <si>
    <t>18.094</t>
  </si>
  <si>
    <t>-63.041</t>
  </si>
  <si>
    <t>-19.374</t>
  </si>
  <si>
    <t>46.706</t>
  </si>
  <si>
    <t>7.595</t>
  </si>
  <si>
    <t>168.963</t>
  </si>
  <si>
    <t>41.5997125241</t>
  </si>
  <si>
    <t>21.6981140778</t>
  </si>
  <si>
    <t>17.35</t>
  </si>
  <si>
    <t>-3.524</t>
  </si>
  <si>
    <t>21.718</t>
  </si>
  <si>
    <t>96.041</t>
  </si>
  <si>
    <t>46.056</t>
  </si>
  <si>
    <t>102.876</t>
  </si>
  <si>
    <t>22.2</t>
  </si>
  <si>
    <t>113.545</t>
  </si>
  <si>
    <t>15.005</t>
  </si>
  <si>
    <t>145.623</t>
  </si>
  <si>
    <t>14.653</t>
  </si>
  <si>
    <t>-61.021</t>
  </si>
  <si>
    <t>20.26</t>
  </si>
  <si>
    <t>-10.332</t>
  </si>
  <si>
    <t>16.736</t>
  </si>
  <si>
    <t>-62.187</t>
  </si>
  <si>
    <t>35.89</t>
  </si>
  <si>
    <t>14.442</t>
  </si>
  <si>
    <t>-20.255</t>
  </si>
  <si>
    <t>57.583</t>
  </si>
  <si>
    <t>3.548</t>
  </si>
  <si>
    <t>72.92</t>
  </si>
  <si>
    <t>-13.4</t>
  </si>
  <si>
    <t>33.808</t>
  </si>
  <si>
    <t>23.951</t>
  </si>
  <si>
    <t>-102.535</t>
  </si>
  <si>
    <t>4.201</t>
  </si>
  <si>
    <t>102.195</t>
  </si>
  <si>
    <t>-14.422</t>
  </si>
  <si>
    <t>37.923</t>
  </si>
  <si>
    <t>-22.133</t>
  </si>
  <si>
    <t>17.218</t>
  </si>
  <si>
    <t>53.425457874</t>
  </si>
  <si>
    <t>-104.015961963</t>
  </si>
  <si>
    <t>-21.359</t>
  </si>
  <si>
    <t>165.447</t>
  </si>
  <si>
    <t>17.426</t>
  </si>
  <si>
    <t>9.398</t>
  </si>
  <si>
    <t>-29.037</t>
  </si>
  <si>
    <t>167.953</t>
  </si>
  <si>
    <t>9.594</t>
  </si>
  <si>
    <t>8.105</t>
  </si>
  <si>
    <t>12.84</t>
  </si>
  <si>
    <t>-85.034</t>
  </si>
  <si>
    <t>52.077</t>
  </si>
  <si>
    <t>5.389</t>
  </si>
  <si>
    <t>61.152</t>
  </si>
  <si>
    <t>8.74</t>
  </si>
  <si>
    <t>Québec</t>
  </si>
  <si>
    <t>63.7641163015</t>
  </si>
  <si>
    <t>18.8837373748</t>
  </si>
  <si>
    <t>28.253</t>
  </si>
  <si>
    <t>83.939</t>
  </si>
  <si>
    <t>51.2575217691</t>
  </si>
  <si>
    <t>-76.3224748286</t>
  </si>
  <si>
    <t>-0.522</t>
  </si>
  <si>
    <t>166.93</t>
  </si>
  <si>
    <t>-19.052</t>
  </si>
  <si>
    <t>-169.869</t>
  </si>
  <si>
    <t>-42.634</t>
  </si>
  <si>
    <t>172.235</t>
  </si>
  <si>
    <t>21.656</t>
  </si>
  <si>
    <t>57.407</t>
  </si>
  <si>
    <t>8.384</t>
  </si>
  <si>
    <t>-80.92</t>
  </si>
  <si>
    <t>-9.326</t>
  </si>
  <si>
    <t>-75.552</t>
  </si>
  <si>
    <t>-17.626</t>
  </si>
  <si>
    <t>-149.462</t>
  </si>
  <si>
    <t>-5.949</t>
  </si>
  <si>
    <t>143.459</t>
  </si>
  <si>
    <t>11.118</t>
  </si>
  <si>
    <t>122.466</t>
  </si>
  <si>
    <t>29.967</t>
  </si>
  <si>
    <t>69.386</t>
  </si>
  <si>
    <t>52.125</t>
  </si>
  <si>
    <t>19.401</t>
  </si>
  <si>
    <t>47.042</t>
  </si>
  <si>
    <t>-56.325</t>
  </si>
  <si>
    <t>-24.366</t>
  </si>
  <si>
    <t>-128.316</t>
  </si>
  <si>
    <t>18.221</t>
  </si>
  <si>
    <t>-66.466</t>
  </si>
  <si>
    <t>32.037</t>
  </si>
  <si>
    <t>35.278</t>
  </si>
  <si>
    <t>40.309</t>
  </si>
  <si>
    <t>-8.058</t>
  </si>
  <si>
    <t>7.501</t>
  </si>
  <si>
    <t>134.57</t>
  </si>
  <si>
    <t>-23.236</t>
  </si>
  <si>
    <t>-58.391</t>
  </si>
  <si>
    <t>25.316</t>
  </si>
  <si>
    <t>51.191</t>
  </si>
  <si>
    <t>50.4994008308</t>
  </si>
  <si>
    <t>-72.3896091361</t>
  </si>
  <si>
    <t>6.41788156451</t>
  </si>
  <si>
    <t>18.287021196</t>
  </si>
  <si>
    <t>45.2011798524</t>
  </si>
  <si>
    <t>96.0759241232</t>
  </si>
  <si>
    <t>-21.122</t>
  </si>
  <si>
    <t>55.538</t>
  </si>
  <si>
    <t>59.9701276677</t>
  </si>
  <si>
    <t>78.9617689134</t>
  </si>
  <si>
    <t>56.7968574951</t>
  </si>
  <si>
    <t>31.3090547185</t>
  </si>
  <si>
    <t>55.6601051637</t>
  </si>
  <si>
    <t>28.9675361967</t>
  </si>
  <si>
    <t>-10.1194147825</t>
  </si>
  <si>
    <t>-65.6243982724</t>
  </si>
  <si>
    <t>28.5463502064</t>
  </si>
  <si>
    <t>48.6680092068</t>
  </si>
  <si>
    <t>58.7105997541</t>
  </si>
  <si>
    <t>-91.9682943062</t>
  </si>
  <si>
    <t>45.844</t>
  </si>
  <si>
    <t>24.969</t>
  </si>
  <si>
    <t>44.032</t>
  </si>
  <si>
    <t>20.806</t>
  </si>
  <si>
    <t>61.8473803207</t>
  </si>
  <si>
    <t>97.0373776875</t>
  </si>
  <si>
    <t>-1.998</t>
  </si>
  <si>
    <t>29.917</t>
  </si>
  <si>
    <t>24.023</t>
  </si>
  <si>
    <t>44.585</t>
  </si>
  <si>
    <t>7.9333408562</t>
  </si>
  <si>
    <t>109.936790036</t>
  </si>
  <si>
    <t>-9.611</t>
  </si>
  <si>
    <t>160.109</t>
  </si>
  <si>
    <t>-4.647</t>
  </si>
  <si>
    <t>55.474</t>
  </si>
  <si>
    <t>13.832</t>
  </si>
  <si>
    <t>30.05</t>
  </si>
  <si>
    <t>62.011</t>
  </si>
  <si>
    <t>15.27</t>
  </si>
  <si>
    <t>1.351</t>
  </si>
  <si>
    <t>103.808</t>
  </si>
  <si>
    <t>-15.953</t>
  </si>
  <si>
    <t>-5.71</t>
  </si>
  <si>
    <t>46.124</t>
  </si>
  <si>
    <t>14.827</t>
  </si>
  <si>
    <t>78.8296488647</t>
  </si>
  <si>
    <t>18.3744034941</t>
  </si>
  <si>
    <t>48.707</t>
  </si>
  <si>
    <t>19.491</t>
  </si>
  <si>
    <t>8.56</t>
  </si>
  <si>
    <t>-11.792</t>
  </si>
  <si>
    <t>43.942</t>
  </si>
  <si>
    <t>12.46</t>
  </si>
  <si>
    <t>15.013</t>
  </si>
  <si>
    <t>-14.881</t>
  </si>
  <si>
    <t>9.774</t>
  </si>
  <si>
    <t>48.316</t>
  </si>
  <si>
    <t>4.127</t>
  </si>
  <si>
    <t>-55.912</t>
  </si>
  <si>
    <t>0.201</t>
  </si>
  <si>
    <t>6.629</t>
  </si>
  <si>
    <t>13.736</t>
  </si>
  <si>
    <t>-88.866</t>
  </si>
  <si>
    <t>United States of America, Alabama</t>
  </si>
  <si>
    <t>US-AL</t>
  </si>
  <si>
    <t>United States of America, Alaska</t>
  </si>
  <si>
    <t>US-AK</t>
  </si>
  <si>
    <t>35.013</t>
  </si>
  <si>
    <t>38.506</t>
  </si>
  <si>
    <t>United States of America, Arizona</t>
  </si>
  <si>
    <t>US-AZ</t>
  </si>
  <si>
    <t>-26.562</t>
  </si>
  <si>
    <t>31.497</t>
  </si>
  <si>
    <t>United States of America, Arkansas</t>
  </si>
  <si>
    <t>US-AR</t>
  </si>
  <si>
    <t>21.902</t>
  </si>
  <si>
    <t>-71.95</t>
  </si>
  <si>
    <t>United States of America, California</t>
  </si>
  <si>
    <t>US-CA</t>
  </si>
  <si>
    <t>15.361</t>
  </si>
  <si>
    <t>18.665</t>
  </si>
  <si>
    <t>United States of America, Colorado</t>
  </si>
  <si>
    <t>US-CO</t>
  </si>
  <si>
    <t>-49.302</t>
  </si>
  <si>
    <t>69.117</t>
  </si>
  <si>
    <t>United States of America, Connecticut</t>
  </si>
  <si>
    <t>US-CT</t>
  </si>
  <si>
    <t>8.799</t>
  </si>
  <si>
    <t>1.081</t>
  </si>
  <si>
    <t>United States of America, Delaware</t>
  </si>
  <si>
    <t>US-DE</t>
  </si>
  <si>
    <t>15.7</t>
  </si>
  <si>
    <t>100.844</t>
  </si>
  <si>
    <t>United States of America, District of Columbia</t>
  </si>
  <si>
    <t>US-DC</t>
  </si>
  <si>
    <t>38.665</t>
  </si>
  <si>
    <t>69.42</t>
  </si>
  <si>
    <t>United States of America, Florida</t>
  </si>
  <si>
    <t>US-FL</t>
  </si>
  <si>
    <t>-9.193</t>
  </si>
  <si>
    <t>-171.853</t>
  </si>
  <si>
    <t>United States of America, Georgia</t>
  </si>
  <si>
    <t>US-GA</t>
  </si>
  <si>
    <t>-8.822</t>
  </si>
  <si>
    <t>125.878</t>
  </si>
  <si>
    <t>United States of America, Hawaii</t>
  </si>
  <si>
    <t>US-HI</t>
  </si>
  <si>
    <t>39.122</t>
  </si>
  <si>
    <t>59.384</t>
  </si>
  <si>
    <t>United States of America, Idaho</t>
  </si>
  <si>
    <t>US-ID</t>
  </si>
  <si>
    <t>35.383</t>
  </si>
  <si>
    <t>9.596</t>
  </si>
  <si>
    <t>United States of America, Illinois</t>
  </si>
  <si>
    <t>US-IL</t>
  </si>
  <si>
    <t>-21.202</t>
  </si>
  <si>
    <t>-175.185</t>
  </si>
  <si>
    <t>United States of America, Indiana</t>
  </si>
  <si>
    <t>US-IN</t>
  </si>
  <si>
    <t>39.061</t>
  </si>
  <si>
    <t>35.179</t>
  </si>
  <si>
    <t>United States of America, Iowa</t>
  </si>
  <si>
    <t>US-IA</t>
  </si>
  <si>
    <t>10.468</t>
  </si>
  <si>
    <t>-61.253</t>
  </si>
  <si>
    <t>United States of America, Kansas</t>
  </si>
  <si>
    <t>US-KS</t>
  </si>
  <si>
    <t>-8.514</t>
  </si>
  <si>
    <t>179.219</t>
  </si>
  <si>
    <t>United States of America, Kentucky</t>
  </si>
  <si>
    <t>US-KY</t>
  </si>
  <si>
    <t>23.7537043927</t>
  </si>
  <si>
    <t>120.946207233</t>
  </si>
  <si>
    <t>United States of America, Louisiana</t>
  </si>
  <si>
    <t>US-LA</t>
  </si>
  <si>
    <t>-6.27</t>
  </si>
  <si>
    <t>34.823</t>
  </si>
  <si>
    <t>United States of America, Maine</t>
  </si>
  <si>
    <t>US-ME</t>
  </si>
  <si>
    <t>49.016</t>
  </si>
  <si>
    <t>31.388</t>
  </si>
  <si>
    <t>United States of America, Maryland</t>
  </si>
  <si>
    <t>US-MD</t>
  </si>
  <si>
    <t>46.0922152861</t>
  </si>
  <si>
    <t>10.8049501384</t>
  </si>
  <si>
    <t>United States of America, Massachusetts</t>
  </si>
  <si>
    <t>US-MA</t>
  </si>
  <si>
    <t>46.0384312358</t>
  </si>
  <si>
    <t>12.5273848868</t>
  </si>
  <si>
    <t>United States of America, Michigan</t>
  </si>
  <si>
    <t>US-MI</t>
  </si>
  <si>
    <t>45.450612256</t>
  </si>
  <si>
    <t>10.9203583995</t>
  </si>
  <si>
    <t>United States of America, Minnesota</t>
  </si>
  <si>
    <t>US-MN</t>
  </si>
  <si>
    <t>45.1890735487</t>
  </si>
  <si>
    <t>12.8849410214</t>
  </si>
  <si>
    <t>United States of America, Mississippi</t>
  </si>
  <si>
    <t>US-MS</t>
  </si>
  <si>
    <t>1.28</t>
  </si>
  <si>
    <t>32.386</t>
  </si>
  <si>
    <t>United States of America, Missouri</t>
  </si>
  <si>
    <t>US-MO</t>
  </si>
  <si>
    <t>-0.385</t>
  </si>
  <si>
    <t>-160.027</t>
  </si>
  <si>
    <t>United States of America, Montana</t>
  </si>
  <si>
    <t>US-MT</t>
  </si>
  <si>
    <t>35.5487612419</t>
  </si>
  <si>
    <t>-83.1088762649</t>
  </si>
  <si>
    <t>United States of America, Nebraska</t>
  </si>
  <si>
    <t>US-NE</t>
  </si>
  <si>
    <t>32.2204776952</t>
  </si>
  <si>
    <t>84.5713463063</t>
  </si>
  <si>
    <t>United States of America, Nevada</t>
  </si>
  <si>
    <t>US-NV</t>
  </si>
  <si>
    <t>-26.3822685337</t>
  </si>
  <si>
    <t>135.9868509</t>
  </si>
  <si>
    <t>United States of America, New Hampshire</t>
  </si>
  <si>
    <t>US-NH</t>
  </si>
  <si>
    <t>21.8095940381</t>
  </si>
  <si>
    <t>-99.2511306382</t>
  </si>
  <si>
    <t>United States of America, New Jersey</t>
  </si>
  <si>
    <t>US-NJ</t>
  </si>
  <si>
    <t>United States of America, New Mexico</t>
  </si>
  <si>
    <t>US-NM</t>
  </si>
  <si>
    <t>-5.50953147664</t>
  </si>
  <si>
    <t>37.0951986001</t>
  </si>
  <si>
    <t>United States of America, New York</t>
  </si>
  <si>
    <t>US-NY</t>
  </si>
  <si>
    <t>38.2144415109</t>
  </si>
  <si>
    <t>105.256771985</t>
  </si>
  <si>
    <t>United States of America, North Carolina</t>
  </si>
  <si>
    <t>US-NC</t>
  </si>
  <si>
    <t>United States of America, North Dakota</t>
  </si>
  <si>
    <t>US-ND</t>
  </si>
  <si>
    <t>United States of America, Ohio</t>
  </si>
  <si>
    <t>US-OH</t>
  </si>
  <si>
    <t>0.631925242963</t>
  </si>
  <si>
    <t>19.4720488185</t>
  </si>
  <si>
    <t>United States of America, Oklahoma</t>
  </si>
  <si>
    <t>US-OK</t>
  </si>
  <si>
    <t>-7.79665942325</t>
  </si>
  <si>
    <t>147.878212248</t>
  </si>
  <si>
    <t>United States of America, Oregon</t>
  </si>
  <si>
    <t>US-OR</t>
  </si>
  <si>
    <t>7.54880723118</t>
  </si>
  <si>
    <t>94.3894285779</t>
  </si>
  <si>
    <t>United States of America, Pennsylvania</t>
  </si>
  <si>
    <t>US-PA</t>
  </si>
  <si>
    <t>23.8836323758</t>
  </si>
  <si>
    <t>15.9667099565</t>
  </si>
  <si>
    <t>United States of America, Rhode Island</t>
  </si>
  <si>
    <t>US-RI</t>
  </si>
  <si>
    <t>63.0698630469</t>
  </si>
  <si>
    <t>13.8010098598</t>
  </si>
  <si>
    <t>United States of America, South Carolina</t>
  </si>
  <si>
    <t>US-SC</t>
  </si>
  <si>
    <t>-25.2828869146</t>
  </si>
  <si>
    <t>136.406721244</t>
  </si>
  <si>
    <t>United States of America, South Dakota</t>
  </si>
  <si>
    <t>US-SD</t>
  </si>
  <si>
    <t>-15.2991323878</t>
  </si>
  <si>
    <t>-158.90462565</t>
  </si>
  <si>
    <t>United States of America, Tennessee</t>
  </si>
  <si>
    <t>US-TN</t>
  </si>
  <si>
    <t>-15.0396024424</t>
  </si>
  <si>
    <t>-60.7393077459</t>
  </si>
  <si>
    <t>United States of America, Texas</t>
  </si>
  <si>
    <t>US-TX</t>
  </si>
  <si>
    <t>-25.4900597391</t>
  </si>
  <si>
    <t>22.5350177988</t>
  </si>
  <si>
    <t>United States of America, Utah</t>
  </si>
  <si>
    <t>US-UT</t>
  </si>
  <si>
    <t>United States of America, Vermont</t>
  </si>
  <si>
    <t>US-VT</t>
  </si>
  <si>
    <t>41.4852158506</t>
  </si>
  <si>
    <t>7.317939892</t>
  </si>
  <si>
    <t>United States of America, Virginia</t>
  </si>
  <si>
    <t>US-VA</t>
  </si>
  <si>
    <t>14.7414136183</t>
  </si>
  <si>
    <t>-1.1785251683</t>
  </si>
  <si>
    <t>United States of America, Washington</t>
  </si>
  <si>
    <t>US-WA</t>
  </si>
  <si>
    <t>28.4681643997</t>
  </si>
  <si>
    <t>43.3694647552</t>
  </si>
  <si>
    <t>United States of America, West Virginia</t>
  </si>
  <si>
    <t>US-WV</t>
  </si>
  <si>
    <t>39.622</t>
  </si>
  <si>
    <t>-98.606</t>
  </si>
  <si>
    <t>United States of America, Wisconsin</t>
  </si>
  <si>
    <t>US-WI</t>
  </si>
  <si>
    <t>United States of America, Wyoming</t>
  </si>
  <si>
    <t>US-WY</t>
  </si>
  <si>
    <t>60.5327829034</t>
  </si>
  <si>
    <t>-143.141803538</t>
  </si>
  <si>
    <t>28.3282233447</t>
  </si>
  <si>
    <t>-81.8998890766</t>
  </si>
  <si>
    <t>20.2519006094</t>
  </si>
  <si>
    <t>-156.350435076</t>
  </si>
  <si>
    <t>40.8119077976</t>
  </si>
  <si>
    <t>-82.2395749616</t>
  </si>
  <si>
    <t>34.9951368575</t>
  </si>
  <si>
    <t>-86.4752411726</t>
  </si>
  <si>
    <t>36.1893042759</t>
  </si>
  <si>
    <t>-97.9052853202</t>
  </si>
  <si>
    <t>30.9172174315</t>
  </si>
  <si>
    <t>-99.2126487428</t>
  </si>
  <si>
    <t>-32.8</t>
  </si>
  <si>
    <t>-56.012</t>
  </si>
  <si>
    <t>41.75</t>
  </si>
  <si>
    <t>63.17</t>
  </si>
  <si>
    <t>41.9041775266</t>
  </si>
  <si>
    <t>12.4511346138</t>
  </si>
  <si>
    <t>13.248</t>
  </si>
  <si>
    <t>-61.194</t>
  </si>
  <si>
    <t>7.125</t>
  </si>
  <si>
    <t>-66.166</t>
  </si>
  <si>
    <t>18.5099568045</t>
  </si>
  <si>
    <t>-64.4818926621</t>
  </si>
  <si>
    <t>17.9678894622</t>
  </si>
  <si>
    <t>-64.7869270922</t>
  </si>
  <si>
    <t>21.491</t>
  </si>
  <si>
    <t>105.314</t>
  </si>
  <si>
    <t>-15.376</t>
  </si>
  <si>
    <t>166.899</t>
  </si>
  <si>
    <t>46.6002120409</t>
  </si>
  <si>
    <t>-116.200187823</t>
  </si>
  <si>
    <t>48.5320673436</t>
  </si>
  <si>
    <t>6.48722066413</t>
  </si>
  <si>
    <t>-13.7842681723</t>
  </si>
  <si>
    <t>-177.143975234</t>
  </si>
  <si>
    <t>-13.652</t>
  </si>
  <si>
    <t>-172.414</t>
  </si>
  <si>
    <t>15.807</t>
  </si>
  <si>
    <t>48.355</t>
  </si>
  <si>
    <t>-12.777</t>
  </si>
  <si>
    <t>45.155</t>
  </si>
  <si>
    <t>-30.558</t>
  </si>
  <si>
    <t>23.121</t>
  </si>
  <si>
    <t>-14.614</t>
  </si>
  <si>
    <t>26.32</t>
  </si>
  <si>
    <t>-19</t>
  </si>
  <si>
    <t>gen_epd</t>
  </si>
  <si>
    <t>a1-a2_temp</t>
  </si>
  <si>
    <t>a3_temp</t>
  </si>
  <si>
    <t>End Uses</t>
  </si>
  <si>
    <t>LIST annual_production units</t>
  </si>
  <si>
    <t>To be entered by practitioner based on vendor location data and production mix data available</t>
  </si>
  <si>
    <t>Data Collection Method/Source Outputs</t>
  </si>
  <si>
    <t>Data Collection Method/Source Energy</t>
  </si>
  <si>
    <t>LIST: Fate or disposition(s) by % split</t>
  </si>
  <si>
    <t>LIST: Source water body type</t>
  </si>
  <si>
    <t>Uncertainty distribution</t>
  </si>
  <si>
    <t>Binary</t>
  </si>
  <si>
    <t>LIST: Receiver water body type</t>
  </si>
  <si>
    <t>Other water consumption</t>
  </si>
  <si>
    <t>Water treatment</t>
  </si>
  <si>
    <t>Emission data collection method</t>
  </si>
  <si>
    <t>1st level drop list</t>
  </si>
  <si>
    <t>2nd level drop list</t>
  </si>
  <si>
    <t>Siloed Drop Down BOM</t>
  </si>
  <si>
    <t>A: Global</t>
  </si>
  <si>
    <t>Inventory/production records</t>
  </si>
  <si>
    <t>Utility records</t>
  </si>
  <si>
    <t>sold to market</t>
  </si>
  <si>
    <t>municipal</t>
  </si>
  <si>
    <t>on-site pond</t>
  </si>
  <si>
    <t>incorporation into product</t>
  </si>
  <si>
    <t>None</t>
  </si>
  <si>
    <t xml:space="preserve">Direct measurement/monitored </t>
  </si>
  <si>
    <t>Group</t>
  </si>
  <si>
    <t>units/year</t>
  </si>
  <si>
    <t>B: Continental</t>
  </si>
  <si>
    <t>Calculated from equipment ratings</t>
  </si>
  <si>
    <t>internal reuse (pooled for reuse)</t>
  </si>
  <si>
    <t>Logarithmic normal distribution</t>
  </si>
  <si>
    <t>No</t>
  </si>
  <si>
    <t>off-site pond</t>
  </si>
  <si>
    <t>evaporation into air</t>
  </si>
  <si>
    <t>Rneporting tool (describe in additional information)</t>
  </si>
  <si>
    <t>C: Sub-region</t>
  </si>
  <si>
    <t>internal refurbishment (pooled for refurbishment)</t>
  </si>
  <si>
    <t>Normal distribution</t>
  </si>
  <si>
    <t>closed-circuit</t>
  </si>
  <si>
    <t>Engineering/stoichiometry/mass balance estimate</t>
  </si>
  <si>
    <t>Distribution Packaging (primary, secondary, tertiary)</t>
  </si>
  <si>
    <t>Unit time</t>
  </si>
  <si>
    <t>D: National</t>
  </si>
  <si>
    <t>Engineering estimate</t>
  </si>
  <si>
    <t>external reuse (sold for reuse)</t>
  </si>
  <si>
    <t>Triangle distribution</t>
  </si>
  <si>
    <t>trench drain</t>
  </si>
  <si>
    <t>Emission factor (describe in additiona information)</t>
  </si>
  <si>
    <t>Installation materials (consumed not incorporated)</t>
  </si>
  <si>
    <t>E: (Province/State/Region)</t>
  </si>
  <si>
    <t>Sales records</t>
  </si>
  <si>
    <t>Purchasing/invoices</t>
  </si>
  <si>
    <t>external reuse (donated for reuse)</t>
  </si>
  <si>
    <t>well</t>
  </si>
  <si>
    <t>Uniform distribution</t>
  </si>
  <si>
    <t>Other (describe in additional information)</t>
  </si>
  <si>
    <t xml:space="preserve">Refurbishment materials </t>
  </si>
  <si>
    <t>years</t>
  </si>
  <si>
    <t>F: (County/City)</t>
  </si>
  <si>
    <t>internal recycling</t>
  </si>
  <si>
    <t>stream</t>
  </si>
  <si>
    <t>Replaceable material</t>
  </si>
  <si>
    <t>G: (Site specific)</t>
  </si>
  <si>
    <t>external recycling</t>
  </si>
  <si>
    <t>Repair materials (consumed not incorporated)</t>
  </si>
  <si>
    <t>Repair materials (incorporated)</t>
  </si>
  <si>
    <t>Class Shock protection</t>
  </si>
  <si>
    <t>reservoir</t>
  </si>
  <si>
    <t>De-installation materials (consumed not incorporated)</t>
  </si>
  <si>
    <t>brackish</t>
  </si>
  <si>
    <t>I</t>
  </si>
  <si>
    <t>saline</t>
  </si>
  <si>
    <t>groundwater</t>
  </si>
  <si>
    <t>II</t>
  </si>
  <si>
    <t>hazardous waste incineration</t>
  </si>
  <si>
    <t>III</t>
  </si>
  <si>
    <t>treated onsite</t>
  </si>
  <si>
    <t>3rd level drop list</t>
  </si>
  <si>
    <t>holding pond</t>
  </si>
  <si>
    <t>packaging</t>
  </si>
  <si>
    <t>onsite storage</t>
  </si>
  <si>
    <t>other (describe in 'Other info')</t>
  </si>
  <si>
    <t>4th level drop list</t>
  </si>
  <si>
    <t>nylon 6 6 glass filled</t>
  </si>
  <si>
    <t>Active-burst mode ABM</t>
  </si>
  <si>
    <t>Unalloyed</t>
  </si>
  <si>
    <t>wood pallet</t>
  </si>
  <si>
    <t>Secondary Side Regulated SSR Constant Voltage CV output flyback controller</t>
  </si>
  <si>
    <t>Drilling conventional</t>
  </si>
  <si>
    <t>plastic pallet</t>
  </si>
  <si>
    <t>Color Tunability</t>
  </si>
  <si>
    <t>Oil based paint</t>
  </si>
  <si>
    <t>Motion Detecting</t>
  </si>
  <si>
    <t>Ambient Light Detecting</t>
  </si>
  <si>
    <t>Normally-on depletion metaloxide semi conductor field effect transistor MOSFET</t>
  </si>
  <si>
    <t>Constant voltage Indoor</t>
  </si>
  <si>
    <t xml:space="preserve">Tin plating </t>
  </si>
  <si>
    <t>Constant voltage Outdoor</t>
  </si>
  <si>
    <t>Constant current Indoor</t>
  </si>
  <si>
    <t xml:space="preserve">Constant current Outdoor </t>
  </si>
  <si>
    <t>5th level drop list</t>
  </si>
  <si>
    <t>Active burst mode ABM</t>
  </si>
  <si>
    <t>Quasi resonant or discontinuous conduction mode w power factor correction</t>
  </si>
  <si>
    <t>Normally on depletion metal oxide semi conductor field effect transistor  MOSFET</t>
  </si>
  <si>
    <t>Constant current Outdoor</t>
  </si>
  <si>
    <t>Tin plating</t>
  </si>
  <si>
    <t>Integrated blue tooth</t>
  </si>
  <si>
    <t>integrated color tuning</t>
  </si>
  <si>
    <t>Integrated light</t>
  </si>
  <si>
    <t>Non integrated blue tooth</t>
  </si>
  <si>
    <t>non integrated dimmable control external to luminaire</t>
  </si>
  <si>
    <t>non tunable</t>
  </si>
  <si>
    <t>Non integrated light</t>
  </si>
  <si>
    <t>Integrated wi fi</t>
  </si>
  <si>
    <t>non dimmable</t>
  </si>
  <si>
    <t>Non integrated wi fi</t>
  </si>
  <si>
    <t>Non integrated ZigBee</t>
  </si>
  <si>
    <t>6th level drop list</t>
  </si>
  <si>
    <t>Non integrated blue-tooth</t>
  </si>
  <si>
    <t>Integrated motion</t>
  </si>
  <si>
    <t>Non integrated motion</t>
  </si>
  <si>
    <t>Impact extruded 1-stroke</t>
  </si>
  <si>
    <t>Impact extruded 2-stroke</t>
  </si>
  <si>
    <t>Impact extruded 3-stroke</t>
  </si>
  <si>
    <t>Impact extruded 4-stroke</t>
  </si>
  <si>
    <t>Impact extruded 5-stroke</t>
  </si>
  <si>
    <t>No forming finishing only</t>
  </si>
  <si>
    <t>Turning average computer numerical controlled</t>
  </si>
  <si>
    <t>Turning average conventional</t>
  </si>
  <si>
    <t>Reporting period/duration:</t>
  </si>
  <si>
    <t xml:space="preserve"> (ideally min 12 months… )</t>
  </si>
  <si>
    <t>Material 1</t>
  </si>
  <si>
    <t>Material 2</t>
  </si>
  <si>
    <t>Material 3</t>
  </si>
  <si>
    <t>Material 4</t>
  </si>
  <si>
    <t>Material 5</t>
  </si>
  <si>
    <t>Material 6</t>
  </si>
  <si>
    <t>Material 7</t>
  </si>
  <si>
    <t>Material 8</t>
  </si>
  <si>
    <t>Material 9</t>
  </si>
  <si>
    <t>Material 10</t>
  </si>
  <si>
    <t>Material 11</t>
  </si>
  <si>
    <t>Material 12</t>
  </si>
  <si>
    <t>Material 13</t>
  </si>
  <si>
    <t>Material 14</t>
  </si>
  <si>
    <t>Material 15</t>
  </si>
  <si>
    <t>Material 16</t>
  </si>
  <si>
    <t>Material 17</t>
  </si>
  <si>
    <t>Material 18</t>
  </si>
  <si>
    <t>Material 19</t>
  </si>
  <si>
    <t>B1-B6: Includes electrical consumption of reference product during operational use, replacement of light source (including manufacture and distribution of light sources), other consumables and maintenance operations as needed, repair/replacement/refurbishment, and end-of-life treatment of potential waste, e.g., replaced light source or packaging, incurred during these activities.</t>
  </si>
  <si>
    <t>Average annual precipitation influences degradation rates at landfills. Depending on the geographic scope, landfill types are varied (e.g., wet, dry). Degradation rates at landfills influence production of decomposition gases, which influences emissions and amount of recovered energy produced at landfills via methane capture.</t>
  </si>
  <si>
    <t>A4-A5: Installation: includes power supplies even if not supplied with product, fixing elements in accordance with manufacturer's instructions, &amp; other possible accessories necessary for installation; the first light source if light source not sold with or integrated; and end-of-life treatment of packaging waste produced during installation</t>
  </si>
  <si>
    <t>The PCR of the PEP ecoPassport®</t>
  </si>
  <si>
    <t>ISO 14040 DS/EN ISO 14040:2006 – ”Environmental management – Life cycle assessment – Principles and framework” &amp; ISO 14044 DS/EN ISO 14044:2006 – ”Environmental management – Life cycle assessment – Requirements and guidelines”</t>
  </si>
  <si>
    <t>ISO 14025 DS/EN ISO 14025:2006 – ”Environmental labels and declarations – Type III environmental declarations – Principles and procedures”</t>
  </si>
  <si>
    <t>ISO/TS 14027:2017 – "Environmental labels and declarations — Development of product category rules"</t>
  </si>
  <si>
    <t>ISO 21930:2017 – "Sustainability in buildings and civil engineering works — Core rules for environmental product declarations of construction products and services"</t>
  </si>
  <si>
    <r>
      <rPr>
        <b/>
        <u/>
        <sz val="11"/>
        <color theme="1"/>
        <rFont val="Calibri"/>
        <family val="2"/>
        <scheme val="minor"/>
      </rPr>
      <t>Per ISO 21930:</t>
    </r>
    <r>
      <rPr>
        <sz val="11"/>
        <color theme="1"/>
        <rFont val="Calibri"/>
        <family val="2"/>
        <scheme val="minor"/>
      </rPr>
      <t xml:space="preserve">
"The manufacturer and/or program operator shall provide the EPD project documentation and
the EPD to the verifier. The project documentation contains basic data and supporting information
necessary for the EPD project as specified in Clause 7."</t>
    </r>
  </si>
  <si>
    <r>
      <t>2.</t>
    </r>
    <r>
      <rPr>
        <sz val="7"/>
        <rFont val="Times New Roman"/>
        <family val="1"/>
      </rPr>
      <t xml:space="preserve">       </t>
    </r>
    <r>
      <rPr>
        <sz val="11"/>
        <rFont val="Calibri"/>
        <family val="2"/>
        <scheme val="minor"/>
      </rPr>
      <t>Schemas that describe records with multiple pieces of information (e.g. organizations, plants, PCRs, impacts, resource use and output flows, etc.).  These records are expressed as JSON</t>
    </r>
    <r>
      <rPr>
        <vertAlign val="superscript"/>
        <sz val="11"/>
        <rFont val="Calibri"/>
        <family val="2"/>
        <scheme val="minor"/>
      </rPr>
      <t>[1]</t>
    </r>
    <r>
      <rPr>
        <sz val="11"/>
        <rFont val="Calibri"/>
        <family val="2"/>
        <scheme val="minor"/>
      </rPr>
      <t xml:space="preserve"> objects. </t>
    </r>
  </si>
  <si>
    <t>[1] JSON, or JavaScript Object Notation, is the most common text-based format used on the internet for exchanging structured data. Originally based on JavaScript, it is now supported and routinely used in all major programming languages and browsers because it is easy for both humans and machines to read and write.</t>
  </si>
  <si>
    <t>Complementary EPD Digitization Potential:</t>
  </si>
  <si>
    <r>
      <t xml:space="preserve">Per item product weight (from </t>
    </r>
    <r>
      <rPr>
        <b/>
        <sz val="11"/>
        <color theme="1"/>
        <rFont val="Calibri"/>
        <family val="2"/>
        <scheme val="minor"/>
      </rPr>
      <t>GEN_EPD</t>
    </r>
    <r>
      <rPr>
        <sz val="11"/>
        <color theme="1"/>
        <rFont val="Calibri"/>
        <family val="2"/>
        <scheme val="minor"/>
      </rPr>
      <t xml:space="preserve"> tab)</t>
    </r>
  </si>
  <si>
    <r>
      <t xml:space="preserve">Reporting period (from </t>
    </r>
    <r>
      <rPr>
        <b/>
        <sz val="11"/>
        <color theme="1"/>
        <rFont val="Calibri"/>
        <family val="2"/>
        <scheme val="minor"/>
      </rPr>
      <t>GEN_EPD</t>
    </r>
    <r>
      <rPr>
        <sz val="11"/>
        <color theme="1"/>
        <rFont val="Calibri"/>
        <family val="2"/>
        <scheme val="minor"/>
      </rPr>
      <t xml:space="preserve"> tab)</t>
    </r>
  </si>
  <si>
    <r>
      <t xml:space="preserve">Reporting basis (calculated from </t>
    </r>
    <r>
      <rPr>
        <b/>
        <sz val="11"/>
        <color theme="1"/>
        <rFont val="Calibri"/>
        <family val="2"/>
        <scheme val="minor"/>
      </rPr>
      <t>GEN_EPD</t>
    </r>
    <r>
      <rPr>
        <sz val="11"/>
        <color theme="1"/>
        <rFont val="Calibri"/>
        <family val="2"/>
        <scheme val="minor"/>
      </rPr>
      <t xml:space="preserve"> tab)</t>
    </r>
  </si>
  <si>
    <t>Mass balance check (sum product column E &amp; F)       --------------------&gt;&gt;&gt;&gt;&gt;&gt;&gt;&gt;</t>
  </si>
  <si>
    <t xml:space="preserve">A1-A2: Production; A1: Extraction and upstream production of raw materials and/or biomass materials; materials processing, reuse of products or materials from previous product systems, processing of secondary materials (as input for manufacturing but not waste processing from previous product system); generation of electricity, steam, and heat from primary and secondary energy resources used for extraction and processing of materials (including transport) excluding those from waste processing from previous product system; energy and other recovery processes from secondary fuels (except from waste processing from previous product system); waste management from manufacturing packaging and process wastes, and transport of raw materials and other inputs to upstream and product assembly facilities; includes internal transport. </t>
  </si>
  <si>
    <t>high intensity discharge HID lamp</t>
  </si>
  <si>
    <t>Additional elements not provided by manufacturer</t>
  </si>
  <si>
    <t xml:space="preserve">tkm </t>
  </si>
  <si>
    <r>
      <t>Per item product weight (from</t>
    </r>
    <r>
      <rPr>
        <b/>
        <sz val="11"/>
        <color theme="1"/>
        <rFont val="Calibri"/>
        <family val="2"/>
        <scheme val="minor"/>
      </rPr>
      <t xml:space="preserve"> GEN_EPD </t>
    </r>
    <r>
      <rPr>
        <sz val="11"/>
        <color theme="1"/>
        <rFont val="Calibri"/>
        <family val="2"/>
        <scheme val="minor"/>
      </rPr>
      <t>tab)</t>
    </r>
  </si>
  <si>
    <t>Outputs for Reporting Period</t>
  </si>
  <si>
    <t>Water evaporative or incorporative use (m3)</t>
  </si>
  <si>
    <t>A4: Transport of product to installation site, i.e., from factory gate to central warehouse or intermediate storage site, if relevant, and transportation to the installation site. Transport distance should be as specific as possible -can be estimated based on weight average distance to market of product.
A5: Installation coves the wastage of products and transport to site of materials needed for installation of product, including any ancillary materials and/or direct use of energy or consumption of freshwater required for installation at the site</t>
  </si>
  <si>
    <t>tkm by this mode</t>
  </si>
  <si>
    <t>Maintenance Includes Packaging &amp; Ancillary Items:</t>
  </si>
  <si>
    <t>Energy consumed for maintenance activity</t>
  </si>
  <si>
    <t>Water consumed for maintenance activity</t>
  </si>
  <si>
    <t>Note: At the product level, “replacement” of a broken component or part due to damage should be assigned to “maintenance” (B2) or “repair” (B3), whereas replacement of a whole construction product or construction element due to damage should be assigned to “replacement” at the  construction works level. NOTE 3 Replacement of a whole construction element as part of a concerted replacement program for the construction works would be considered as “refurbishment”.</t>
  </si>
  <si>
    <r>
      <rPr>
        <b/>
        <sz val="11"/>
        <color theme="1"/>
        <rFont val="Calibri"/>
        <family val="2"/>
        <scheme val="minor"/>
      </rPr>
      <t>Production (A1-A3)</t>
    </r>
    <r>
      <rPr>
        <sz val="11"/>
        <color theme="1"/>
        <rFont val="Calibri"/>
        <family val="2"/>
        <scheme val="minor"/>
      </rPr>
      <t xml:space="preserve"> ancillary, e.g., cleaning agents used for maintenance</t>
    </r>
  </si>
  <si>
    <r>
      <rPr>
        <b/>
        <sz val="11"/>
        <color theme="1"/>
        <rFont val="Calibri"/>
        <family val="2"/>
        <scheme val="minor"/>
      </rPr>
      <t>Production (A1-A3)</t>
    </r>
    <r>
      <rPr>
        <sz val="11"/>
        <color theme="1"/>
        <rFont val="Calibri"/>
        <family val="2"/>
        <scheme val="minor"/>
      </rPr>
      <t xml:space="preserve"> packaging disposed at maintenance</t>
    </r>
  </si>
  <si>
    <t>Avgerage distance from Facility to Building Site (km)</t>
  </si>
  <si>
    <t>note: this is a preview of the future toggle feature</t>
  </si>
  <si>
    <r>
      <t>E</t>
    </r>
    <r>
      <rPr>
        <b/>
        <i/>
        <vertAlign val="subscript"/>
        <sz val="12"/>
        <color theme="1"/>
        <rFont val="Calibri"/>
        <family val="2"/>
        <scheme val="minor"/>
      </rPr>
      <t xml:space="preserve">r(i) </t>
    </r>
    <r>
      <rPr>
        <sz val="11"/>
        <color theme="1"/>
        <rFont val="Calibri"/>
        <family val="2"/>
        <scheme val="minor"/>
      </rPr>
      <t>= Adjustment factor to align with functional unit of the reference product (in units of the indicator of category</t>
    </r>
    <r>
      <rPr>
        <i/>
        <sz val="11"/>
        <color theme="1"/>
        <rFont val="Calibri"/>
        <family val="2"/>
        <scheme val="minor"/>
      </rPr>
      <t xml:space="preserve"> </t>
    </r>
    <r>
      <rPr>
        <b/>
        <i/>
        <sz val="12"/>
        <color theme="1"/>
        <rFont val="Calibri"/>
        <family val="2"/>
        <scheme val="minor"/>
      </rPr>
      <t>i</t>
    </r>
    <r>
      <rPr>
        <sz val="11"/>
        <color theme="1"/>
        <rFont val="Calibri"/>
        <family val="2"/>
        <scheme val="minor"/>
      </rPr>
      <t>)</t>
    </r>
  </si>
  <si>
    <t>BOM</t>
  </si>
  <si>
    <t>Bill of Materials</t>
  </si>
  <si>
    <t>Inputs Feed A1-Upstream Materials Mfg. &amp; Incoming Transport, A4-A5 Deliver &amp; Install, &amp; B1-6 Use &amp; Maintenance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</si>
</sst>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0%"/>
    <numFmt numFmtId="165" formatCode="#,##0.0"/>
    <numFmt numFmtId="166" formatCode="00.0"/>
    <numFmt numFmtId="167" formatCode="00"/>
    <numFmt numFmtId="168" formatCode="0.000"/>
    <numFmt numFmtId="169" formatCode="0.0000"/>
    <numFmt numFmtId="170" formatCode="0.000000"/>
    <numFmt numFmtId="171" formatCode="#,##0.0000"/>
    <numFmt numFmtId="172" formatCode="0.000%"/>
    <numFmt numFmtId="173" formatCode="mm/dd/yy;@"/>
    <numFmt numFmtId="174" formatCode="0.0E+00"/>
  </numFmts>
  <fonts count="133">
    <font>
      <sz val="11"/>
      <color theme="1"/>
      <name val="Calibri"/>
      <family val="2"/>
      <scheme val="minor"/>
    </font>
    <font>
      <sz val="14"/>
      <color theme="1"/>
      <name val="Calibri"/>
      <family val="2"/>
      <scheme val="minor"/>
    </font>
    <font>
      <sz val="14"/>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4"/>
      <color theme="0"/>
      <name val="Calibri"/>
      <family val="2"/>
      <scheme val="minor"/>
    </font>
    <font>
      <sz val="8"/>
      <color theme="1"/>
      <name val="Calibri"/>
      <family val="2"/>
      <scheme val="minor"/>
    </font>
    <font>
      <sz val="9"/>
      <color indexed="81"/>
      <name val="Tahoma"/>
      <family val="2"/>
    </font>
    <font>
      <b/>
      <u/>
      <sz val="11"/>
      <color theme="1"/>
      <name val="Calibri"/>
      <family val="2"/>
      <scheme val="minor"/>
    </font>
    <font>
      <b/>
      <sz val="8"/>
      <color theme="1"/>
      <name val="Calibri"/>
      <family val="2"/>
      <scheme val="minor"/>
    </font>
    <font>
      <u/>
      <sz val="11"/>
      <color theme="10"/>
      <name val="Calibri"/>
      <family val="2"/>
      <scheme val="minor"/>
    </font>
    <font>
      <sz val="8"/>
      <color rgb="FFFF0000"/>
      <name val="Calibri"/>
      <family val="2"/>
      <scheme val="minor"/>
    </font>
    <font>
      <b/>
      <sz val="9"/>
      <color indexed="81"/>
      <name val="Tahoma"/>
      <family val="2"/>
    </font>
    <font>
      <b/>
      <sz val="11"/>
      <color rgb="FF7030A0"/>
      <name val="Calibri"/>
      <family val="2"/>
      <scheme val="minor"/>
    </font>
    <font>
      <b/>
      <sz val="14"/>
      <color rgb="FF7030A0"/>
      <name val="Calibri"/>
      <family val="2"/>
      <scheme val="minor"/>
    </font>
    <font>
      <sz val="8"/>
      <color theme="1"/>
      <name val="Times New Roman"/>
      <family val="1"/>
    </font>
    <font>
      <vertAlign val="superscript"/>
      <sz val="8"/>
      <color theme="1"/>
      <name val="Times New Roman"/>
      <family val="1"/>
    </font>
    <font>
      <b/>
      <sz val="8"/>
      <color theme="1"/>
      <name val="Times New Roman"/>
      <family val="1"/>
    </font>
    <font>
      <i/>
      <sz val="11"/>
      <color theme="1"/>
      <name val="Calibri"/>
      <family val="2"/>
      <scheme val="minor"/>
    </font>
    <font>
      <i/>
      <sz val="8"/>
      <color theme="1"/>
      <name val="Calibri"/>
      <family val="2"/>
      <scheme val="minor"/>
    </font>
    <font>
      <b/>
      <sz val="12"/>
      <color rgb="FF7030A0"/>
      <name val="Calibri"/>
      <family val="2"/>
      <scheme val="minor"/>
    </font>
    <font>
      <sz val="11"/>
      <name val="Calibri"/>
      <family val="2"/>
      <scheme val="minor"/>
    </font>
    <font>
      <b/>
      <sz val="18"/>
      <color theme="0"/>
      <name val="Calibri"/>
      <family val="2"/>
      <scheme val="minor"/>
    </font>
    <font>
      <b/>
      <sz val="14"/>
      <color theme="1"/>
      <name val="Calibri"/>
      <family val="2"/>
      <scheme val="minor"/>
    </font>
    <font>
      <sz val="8"/>
      <color theme="1"/>
      <name val="Calibri Light"/>
      <family val="2"/>
    </font>
    <font>
      <b/>
      <i/>
      <sz val="8"/>
      <color rgb="FF000000"/>
      <name val="Calibri Light"/>
      <family val="2"/>
    </font>
    <font>
      <b/>
      <u/>
      <sz val="11"/>
      <color rgb="FFFF0000"/>
      <name val="Calibri"/>
      <family val="2"/>
      <scheme val="minor"/>
    </font>
    <font>
      <sz val="10"/>
      <color theme="1"/>
      <name val="Calibri"/>
      <family val="2"/>
      <scheme val="minor"/>
    </font>
    <font>
      <b/>
      <sz val="10"/>
      <color theme="1"/>
      <name val="Calibri"/>
      <family val="2"/>
      <scheme val="minor"/>
    </font>
    <font>
      <i/>
      <sz val="10"/>
      <color theme="1"/>
      <name val="Calibri"/>
      <family val="2"/>
      <scheme val="minor"/>
    </font>
    <font>
      <sz val="10"/>
      <color theme="1"/>
      <name val="Arial"/>
      <family val="2"/>
    </font>
    <font>
      <sz val="8"/>
      <name val="Calibri"/>
      <family val="2"/>
      <scheme val="minor"/>
    </font>
    <font>
      <sz val="8"/>
      <color rgb="FF0000FF"/>
      <name val="Calibri"/>
      <family val="2"/>
      <scheme val="minor"/>
    </font>
    <font>
      <sz val="11"/>
      <color rgb="FF0000FF"/>
      <name val="Calibri"/>
      <family val="2"/>
      <scheme val="minor"/>
    </font>
    <font>
      <b/>
      <u/>
      <sz val="8"/>
      <color theme="1"/>
      <name val="Calibri"/>
      <family val="2"/>
      <scheme val="minor"/>
    </font>
    <font>
      <u/>
      <sz val="8"/>
      <color theme="10"/>
      <name val="Calibri"/>
      <family val="2"/>
      <scheme val="minor"/>
    </font>
    <font>
      <b/>
      <sz val="16"/>
      <color theme="0"/>
      <name val="Trebuchet MS"/>
      <family val="2"/>
    </font>
    <font>
      <sz val="11"/>
      <color theme="1"/>
      <name val="Trebuchet MS"/>
      <family val="2"/>
    </font>
    <font>
      <b/>
      <sz val="11"/>
      <color theme="1"/>
      <name val="Trebuchet MS"/>
      <family val="2"/>
    </font>
    <font>
      <sz val="14"/>
      <color rgb="FF3F3F3F"/>
      <name val="Arial"/>
      <family val="2"/>
    </font>
    <font>
      <b/>
      <u/>
      <sz val="11"/>
      <color theme="0"/>
      <name val="Calibri"/>
      <family val="2"/>
      <scheme val="minor"/>
    </font>
    <font>
      <b/>
      <u/>
      <sz val="18"/>
      <color theme="1"/>
      <name val="Calibri"/>
      <family val="2"/>
      <scheme val="minor"/>
    </font>
    <font>
      <i/>
      <sz val="11"/>
      <color rgb="FFFF0000"/>
      <name val="Calibri"/>
      <family val="2"/>
      <scheme val="minor"/>
    </font>
    <font>
      <b/>
      <u/>
      <sz val="14"/>
      <color theme="1"/>
      <name val="Calibri"/>
      <family val="2"/>
      <scheme val="minor"/>
    </font>
    <font>
      <b/>
      <i/>
      <sz val="12"/>
      <color theme="1"/>
      <name val="Calibri"/>
      <family val="2"/>
      <scheme val="minor"/>
    </font>
    <font>
      <b/>
      <i/>
      <vertAlign val="subscript"/>
      <sz val="12"/>
      <color theme="1"/>
      <name val="Calibri"/>
      <family val="2"/>
      <scheme val="minor"/>
    </font>
    <font>
      <sz val="18"/>
      <color theme="0"/>
      <name val="Calibri"/>
      <family val="2"/>
      <scheme val="minor"/>
    </font>
    <font>
      <b/>
      <u/>
      <sz val="11"/>
      <name val="Calibri"/>
      <family val="2"/>
      <scheme val="minor"/>
    </font>
    <font>
      <b/>
      <sz val="14"/>
      <name val="Calibri"/>
      <family val="2"/>
      <scheme val="minor"/>
    </font>
    <font>
      <sz val="11"/>
      <color rgb="FF00B050"/>
      <name val="Calibri"/>
      <family val="2"/>
      <scheme val="minor"/>
    </font>
    <font>
      <sz val="9"/>
      <color theme="1"/>
      <name val="Calibri Light"/>
      <family val="2"/>
    </font>
    <font>
      <sz val="8"/>
      <name val="Calibri Light"/>
      <family val="2"/>
    </font>
    <font>
      <sz val="10"/>
      <name val="Calibri"/>
      <family val="2"/>
      <scheme val="minor"/>
    </font>
    <font>
      <b/>
      <u/>
      <sz val="8"/>
      <name val="Calibri"/>
      <family val="2"/>
      <scheme val="minor"/>
    </font>
    <font>
      <sz val="14"/>
      <color rgb="FFFF0000"/>
      <name val="Calibri"/>
      <family val="2"/>
      <scheme val="minor"/>
    </font>
    <font>
      <sz val="10"/>
      <color rgb="FFFF0000"/>
      <name val="Calibri"/>
      <family val="2"/>
      <scheme val="minor"/>
    </font>
    <font>
      <sz val="12"/>
      <color rgb="FFFF0000"/>
      <name val="Calibri"/>
      <family val="2"/>
      <scheme val="minor"/>
    </font>
    <font>
      <b/>
      <sz val="16"/>
      <color theme="1"/>
      <name val="Calibri"/>
      <family val="2"/>
      <scheme val="minor"/>
    </font>
    <font>
      <b/>
      <i/>
      <sz val="12"/>
      <color rgb="FFFF0000"/>
      <name val="Calibri"/>
      <family val="2"/>
      <scheme val="minor"/>
    </font>
    <font>
      <sz val="12"/>
      <color theme="1"/>
      <name val="Calibri"/>
      <family val="2"/>
      <scheme val="minor"/>
    </font>
    <font>
      <b/>
      <sz val="11"/>
      <name val="Calibri"/>
      <family val="2"/>
    </font>
    <font>
      <sz val="11"/>
      <name val="Calibri"/>
      <family val="2"/>
    </font>
    <font>
      <sz val="7"/>
      <color rgb="FF454545"/>
      <name val="Courier New"/>
      <family val="3"/>
    </font>
    <font>
      <sz val="8"/>
      <name val="Calibri"/>
      <family val="2"/>
    </font>
    <font>
      <b/>
      <sz val="16"/>
      <color theme="0"/>
      <name val="Calibri"/>
      <family val="2"/>
      <scheme val="minor"/>
    </font>
    <font>
      <b/>
      <sz val="8"/>
      <name val="Calibri"/>
      <family val="2"/>
    </font>
    <font>
      <sz val="11"/>
      <color theme="0"/>
      <name val="Calibri"/>
      <family val="2"/>
      <scheme val="minor"/>
    </font>
    <font>
      <sz val="14"/>
      <color theme="1"/>
      <name val="Calibri"/>
      <family val="2"/>
      <scheme val="minor"/>
    </font>
    <font>
      <b/>
      <sz val="12"/>
      <color rgb="FF00B050"/>
      <name val="Calibri Light"/>
      <family val="2"/>
    </font>
    <font>
      <b/>
      <sz val="14"/>
      <color rgb="FF00B050"/>
      <name val="Calibri"/>
      <family val="2"/>
      <scheme val="minor"/>
    </font>
    <font>
      <b/>
      <sz val="11"/>
      <name val="Calibri"/>
      <family val="2"/>
      <scheme val="minor"/>
    </font>
    <font>
      <b/>
      <sz val="14"/>
      <color rgb="FF0000FF"/>
      <name val="Calibri"/>
      <family val="2"/>
      <scheme val="minor"/>
    </font>
    <font>
      <b/>
      <sz val="14"/>
      <color rgb="FFFF0000"/>
      <name val="Calibri"/>
      <family val="2"/>
      <scheme val="minor"/>
    </font>
    <font>
      <i/>
      <sz val="11"/>
      <name val="Calibri"/>
      <family val="2"/>
      <scheme val="minor"/>
    </font>
    <font>
      <sz val="11"/>
      <name val="Arial"/>
      <family val="2"/>
    </font>
    <font>
      <b/>
      <sz val="11"/>
      <name val="Geneva"/>
      <family val="2"/>
    </font>
    <font>
      <sz val="10"/>
      <name val="Gotham Book"/>
    </font>
    <font>
      <sz val="10"/>
      <color indexed="53"/>
      <name val="Gotham Book"/>
    </font>
    <font>
      <sz val="10"/>
      <color indexed="8"/>
      <name val="Arial"/>
      <family val="2"/>
    </font>
    <font>
      <sz val="8"/>
      <color rgb="FFFF0000"/>
      <name val="Calibri Light"/>
      <family val="2"/>
    </font>
    <font>
      <b/>
      <sz val="18"/>
      <color theme="0"/>
      <name val="Abadi Extra Light"/>
      <family val="2"/>
    </font>
    <font>
      <b/>
      <sz val="14"/>
      <color theme="1"/>
      <name val="Abadi Extra Light"/>
      <family val="2"/>
    </font>
    <font>
      <b/>
      <sz val="16"/>
      <name val="Abadi Extra Light"/>
      <family val="2"/>
    </font>
    <font>
      <b/>
      <sz val="8"/>
      <name val="Abadi Extra Light"/>
      <family val="2"/>
    </font>
    <font>
      <sz val="11"/>
      <name val="Abadi Extra Light"/>
      <family val="2"/>
    </font>
    <font>
      <b/>
      <sz val="18"/>
      <name val="Abadi Extra Light"/>
      <family val="2"/>
    </font>
    <font>
      <b/>
      <sz val="12"/>
      <name val="Abadi Extra Light"/>
      <family val="2"/>
    </font>
    <font>
      <b/>
      <sz val="8"/>
      <name val="Calibri Light"/>
      <family val="2"/>
      <scheme val="major"/>
    </font>
    <font>
      <sz val="8"/>
      <name val="Calibri Light"/>
      <family val="2"/>
      <scheme val="major"/>
    </font>
    <font>
      <b/>
      <sz val="9"/>
      <color rgb="FFFF0000"/>
      <name val="Calibri"/>
      <family val="2"/>
      <scheme val="minor"/>
    </font>
    <font>
      <sz val="18"/>
      <color theme="0"/>
      <name val="Abadi Extra Light"/>
      <family val="2"/>
    </font>
    <font>
      <sz val="18"/>
      <color theme="1"/>
      <name val="Abadi Extra Light"/>
      <family val="2"/>
    </font>
    <font>
      <i/>
      <u/>
      <sz val="14"/>
      <color rgb="FF0000FF"/>
      <name val="Calibri"/>
      <family val="2"/>
      <scheme val="minor"/>
    </font>
    <font>
      <b/>
      <sz val="12"/>
      <color theme="1"/>
      <name val="Abadi Extra Light"/>
      <family val="2"/>
    </font>
    <font>
      <b/>
      <vertAlign val="subscript"/>
      <sz val="12"/>
      <color theme="1"/>
      <name val="Abadi Extra Light"/>
      <family val="2"/>
    </font>
    <font>
      <b/>
      <vertAlign val="subscript"/>
      <sz val="14"/>
      <color theme="1"/>
      <name val="Abadi Extra Light"/>
      <family val="2"/>
    </font>
    <font>
      <sz val="14"/>
      <color theme="1"/>
      <name val="Abadi Extra Light"/>
      <family val="2"/>
    </font>
    <font>
      <sz val="14"/>
      <name val="Abadi Extra Light"/>
      <family val="2"/>
    </font>
    <font>
      <sz val="18"/>
      <color rgb="FFFF0000"/>
      <name val="Calibri"/>
      <family val="2"/>
      <scheme val="minor"/>
    </font>
    <font>
      <b/>
      <sz val="22"/>
      <color theme="0"/>
      <name val="Abadi Extra Light"/>
      <family val="2"/>
    </font>
    <font>
      <sz val="7"/>
      <name val="Times New Roman"/>
      <family val="1"/>
    </font>
    <font>
      <vertAlign val="superscript"/>
      <sz val="11"/>
      <name val="Calibri"/>
      <family val="2"/>
      <scheme val="minor"/>
    </font>
    <font>
      <b/>
      <sz val="8"/>
      <color rgb="FF00B050"/>
      <name val="Calibri"/>
      <family val="2"/>
      <scheme val="minor"/>
    </font>
    <font>
      <b/>
      <sz val="11"/>
      <color rgb="FF00B050"/>
      <name val="Calibri"/>
      <family val="2"/>
      <scheme val="minor"/>
    </font>
    <font>
      <b/>
      <sz val="18"/>
      <color rgb="FF00B050"/>
      <name val="Abadi Extra Light"/>
      <family val="2"/>
    </font>
    <font>
      <sz val="8"/>
      <color rgb="FF000000"/>
      <name val="Calibri Light"/>
      <family val="2"/>
    </font>
    <font>
      <b/>
      <sz val="18"/>
      <color rgb="FF0000FF"/>
      <name val="Calibri"/>
      <family val="2"/>
      <scheme val="minor"/>
    </font>
    <font>
      <u/>
      <sz val="11"/>
      <color rgb="FF0000FF"/>
      <name val="Calibri"/>
      <family val="2"/>
      <scheme val="minor"/>
    </font>
    <font>
      <b/>
      <u/>
      <sz val="12"/>
      <color theme="0"/>
      <name val="Calibri"/>
      <family val="2"/>
      <scheme val="minor"/>
    </font>
    <font>
      <b/>
      <sz val="16"/>
      <color rgb="FF0000FF"/>
      <name val="Calibri"/>
      <family val="2"/>
      <scheme val="minor"/>
    </font>
    <font>
      <b/>
      <sz val="16"/>
      <color rgb="FF00B050"/>
      <name val="Calibri"/>
      <family val="2"/>
      <scheme val="minor"/>
    </font>
    <font>
      <b/>
      <sz val="16"/>
      <color rgb="FFFF0000"/>
      <name val="Calibri"/>
      <family val="2"/>
      <scheme val="minor"/>
    </font>
    <font>
      <sz val="12"/>
      <color rgb="FF00B050"/>
      <name val="Calibri Light"/>
      <family val="2"/>
    </font>
    <font>
      <i/>
      <sz val="11"/>
      <color rgb="FF00B050"/>
      <name val="Calibri"/>
      <family val="2"/>
      <scheme val="minor"/>
    </font>
    <font>
      <sz val="12"/>
      <color rgb="FF00B050"/>
      <name val="Calibri"/>
      <family val="2"/>
      <scheme val="minor"/>
    </font>
    <font>
      <b/>
      <sz val="12"/>
      <color rgb="FF00B050"/>
      <name val="Calibri"/>
      <family val="2"/>
      <scheme val="minor"/>
    </font>
    <font>
      <sz val="7"/>
      <color rgb="FF00B050"/>
      <name val="Courier New"/>
      <family val="3"/>
    </font>
    <font>
      <i/>
      <sz val="10"/>
      <color theme="1"/>
      <name val="Calibri"/>
      <family val="2"/>
    </font>
    <font>
      <i/>
      <sz val="12"/>
      <color theme="1"/>
      <name val="Calibri"/>
      <family val="2"/>
    </font>
    <font>
      <sz val="12"/>
      <color theme="1"/>
      <name val="Calibri"/>
      <family val="2"/>
    </font>
    <font>
      <i/>
      <sz val="8"/>
      <color rgb="FF00B050"/>
      <name val="Calibri"/>
      <family val="2"/>
      <scheme val="minor"/>
    </font>
    <font>
      <sz val="8"/>
      <color rgb="FF00B050"/>
      <name val="Calibri"/>
      <family val="2"/>
      <scheme val="minor"/>
    </font>
    <font>
      <b/>
      <sz val="14"/>
      <color rgb="FF0000FF"/>
      <name val="Abadi Extra Light"/>
      <family val="2"/>
    </font>
    <font>
      <sz val="8"/>
      <color rgb="FF0000FF"/>
      <name val="Abadi Extra Light"/>
      <family val="2"/>
    </font>
    <font>
      <sz val="14"/>
      <name val="Calibri"/>
      <family val="2"/>
      <scheme val="minor"/>
    </font>
    <font>
      <sz val="11"/>
      <color theme="1"/>
      <name val="Calibri Light"/>
      <family val="2"/>
    </font>
    <font>
      <b/>
      <sz val="9"/>
      <color rgb="FF000000"/>
      <name val="Calibri Light"/>
      <family val="2"/>
    </font>
    <font>
      <b/>
      <sz val="10"/>
      <name val="Calibri"/>
      <family val="2"/>
      <scheme val="minor"/>
    </font>
    <font>
      <b/>
      <sz val="11"/>
      <color rgb="FFFF0000"/>
      <name val="Calibri"/>
      <family val="2"/>
      <scheme val="minor"/>
    </font>
    <font>
      <strike/>
      <sz val="11"/>
      <color theme="1"/>
      <name val="Calibri"/>
      <family val="2"/>
      <scheme val="minor"/>
    </font>
    <font>
      <b/>
      <u/>
      <sz val="11"/>
      <color theme="10"/>
      <name val="Calibri"/>
      <family val="2"/>
      <scheme val="minor"/>
    </font>
  </fonts>
  <fills count="41">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FF99CC"/>
        <bgColor indexed="64"/>
      </patternFill>
    </fill>
    <fill>
      <patternFill patternType="solid">
        <fgColor rgb="FF9999FF"/>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2"/>
        <bgColor indexed="64"/>
      </patternFill>
    </fill>
    <fill>
      <patternFill patternType="solid">
        <fgColor theme="1"/>
        <bgColor indexed="64"/>
      </patternFill>
    </fill>
    <fill>
      <patternFill patternType="solid">
        <fgColor theme="0"/>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rgb="FFE0CDFF"/>
        <bgColor indexed="64"/>
      </patternFill>
    </fill>
    <fill>
      <patternFill patternType="solid">
        <fgColor rgb="FFFFABAB"/>
        <bgColor indexed="64"/>
      </patternFill>
    </fill>
    <fill>
      <patternFill patternType="solid">
        <fgColor rgb="FFFFCC99"/>
        <bgColor indexed="64"/>
      </patternFill>
    </fill>
    <fill>
      <patternFill patternType="solid">
        <fgColor rgb="FFFFEBAB"/>
        <bgColor indexed="64"/>
      </patternFill>
    </fill>
    <fill>
      <patternFill patternType="solid">
        <fgColor rgb="FFFFFF99"/>
        <bgColor indexed="64"/>
      </patternFill>
    </fill>
    <fill>
      <patternFill patternType="solid">
        <fgColor rgb="FFD6EDBD"/>
        <bgColor indexed="64"/>
      </patternFill>
    </fill>
    <fill>
      <patternFill patternType="solid">
        <fgColor rgb="FF89FFBE"/>
        <bgColor indexed="64"/>
      </patternFill>
    </fill>
    <fill>
      <patternFill patternType="solid">
        <fgColor theme="1" tint="0.499984740745262"/>
        <bgColor indexed="64"/>
      </patternFill>
    </fill>
    <fill>
      <patternFill patternType="solid">
        <fgColor rgb="FFFFC000"/>
        <bgColor indexed="64"/>
      </patternFill>
    </fill>
    <fill>
      <patternFill patternType="solid">
        <fgColor theme="2" tint="-0.499984740745262"/>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66CCFF"/>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C5D9F1"/>
        <bgColor indexed="64"/>
      </patternFill>
    </fill>
    <fill>
      <patternFill patternType="lightGrid">
        <fgColor theme="2" tint="-0.749961851863155"/>
        <bgColor theme="1"/>
      </patternFill>
    </fill>
    <fill>
      <patternFill patternType="gray125">
        <fgColor theme="2"/>
        <bgColor theme="0" tint="-4.9989318521683403E-2"/>
      </patternFill>
    </fill>
    <fill>
      <patternFill patternType="solid">
        <fgColor rgb="FFCCCCFF"/>
        <bgColor indexed="64"/>
      </patternFill>
    </fill>
  </fills>
  <borders count="125">
    <border>
      <left/>
      <right/>
      <top/>
      <bottom/>
      <diagonal/>
    </border>
    <border>
      <left style="thin">
        <color auto="1"/>
      </left>
      <right style="thin">
        <color auto="1"/>
      </right>
      <top style="thin">
        <color auto="1"/>
      </top>
      <bottom style="thin">
        <color auto="1"/>
      </bottom>
      <diagonal/>
    </border>
    <border>
      <left style="thin">
        <color indexed="64"/>
      </left>
      <right/>
      <top/>
      <bottom/>
      <diagonal/>
    </border>
    <border>
      <left/>
      <right style="thin">
        <color auto="1"/>
      </right>
      <top/>
      <bottom/>
      <diagonal/>
    </border>
    <border>
      <left/>
      <right/>
      <top style="thin">
        <color auto="1"/>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medium">
        <color indexed="64"/>
      </top>
      <bottom/>
      <diagonal/>
    </border>
    <border>
      <left/>
      <right/>
      <top style="thin">
        <color auto="1"/>
      </top>
      <bottom style="thin">
        <color auto="1"/>
      </bottom>
      <diagonal/>
    </border>
    <border>
      <left style="thin">
        <color auto="1"/>
      </left>
      <right style="thin">
        <color auto="1"/>
      </right>
      <top/>
      <bottom style="thin">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auto="1"/>
      </left>
      <right/>
      <top/>
      <bottom style="thin">
        <color auto="1"/>
      </bottom>
      <diagonal/>
    </border>
    <border>
      <left/>
      <right/>
      <top/>
      <bottom style="thin">
        <color auto="1"/>
      </bottom>
      <diagonal/>
    </border>
    <border>
      <left style="medium">
        <color indexed="64"/>
      </left>
      <right style="thin">
        <color auto="1"/>
      </right>
      <top style="medium">
        <color indexed="64"/>
      </top>
      <bottom style="medium">
        <color indexed="64"/>
      </bottom>
      <diagonal/>
    </border>
    <border>
      <left/>
      <right style="medium">
        <color indexed="64"/>
      </right>
      <top style="medium">
        <color indexed="64"/>
      </top>
      <bottom style="thin">
        <color auto="1"/>
      </bottom>
      <diagonal/>
    </border>
    <border>
      <left/>
      <right style="thin">
        <color auto="1"/>
      </right>
      <top style="medium">
        <color indexed="64"/>
      </top>
      <bottom style="thin">
        <color auto="1"/>
      </bottom>
      <diagonal/>
    </border>
    <border>
      <left style="thin">
        <color auto="1"/>
      </left>
      <right/>
      <top style="medium">
        <color indexed="64"/>
      </top>
      <bottom style="thin">
        <color auto="1"/>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style="thin">
        <color indexed="64"/>
      </bottom>
      <diagonal/>
    </border>
    <border>
      <left/>
      <right/>
      <top/>
      <bottom style="double">
        <color indexed="64"/>
      </bottom>
      <diagonal/>
    </border>
    <border>
      <left style="dotted">
        <color theme="2" tint="-9.9978637043366805E-2"/>
      </left>
      <right/>
      <top/>
      <bottom/>
      <diagonal/>
    </border>
    <border>
      <left/>
      <right style="dotted">
        <color theme="2" tint="-9.9978637043366805E-2"/>
      </right>
      <top/>
      <bottom/>
      <diagonal/>
    </border>
    <border>
      <left style="dotted">
        <color theme="2" tint="-9.9978637043366805E-2"/>
      </left>
      <right/>
      <top/>
      <bottom style="dotted">
        <color theme="2" tint="-9.9978637043366805E-2"/>
      </bottom>
      <diagonal/>
    </border>
    <border>
      <left/>
      <right/>
      <top/>
      <bottom style="dotted">
        <color theme="2" tint="-9.9978637043366805E-2"/>
      </bottom>
      <diagonal/>
    </border>
    <border>
      <left/>
      <right style="dotted">
        <color theme="2" tint="-9.9978637043366805E-2"/>
      </right>
      <top/>
      <bottom style="dotted">
        <color theme="2" tint="-9.9978637043366805E-2"/>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dotted">
        <color indexed="64"/>
      </left>
      <right/>
      <top style="dotted">
        <color indexed="64"/>
      </top>
      <bottom style="dotted">
        <color indexed="64"/>
      </bottom>
      <diagonal/>
    </border>
    <border>
      <left style="thin">
        <color indexed="55"/>
      </left>
      <right style="thin">
        <color indexed="55"/>
      </right>
      <top style="thin">
        <color indexed="55"/>
      </top>
      <bottom style="thin">
        <color indexed="55"/>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thick">
        <color theme="7"/>
      </top>
      <bottom style="thick">
        <color theme="7"/>
      </bottom>
      <diagonal/>
    </border>
    <border>
      <left/>
      <right/>
      <top style="medium">
        <color theme="7"/>
      </top>
      <bottom style="medium">
        <color theme="7"/>
      </bottom>
      <diagonal/>
    </border>
    <border>
      <left style="dotted">
        <color indexed="64"/>
      </left>
      <right/>
      <top/>
      <bottom style="dotted">
        <color indexed="64"/>
      </bottom>
      <diagonal/>
    </border>
    <border>
      <left style="medium">
        <color indexed="64"/>
      </left>
      <right style="thin">
        <color auto="1"/>
      </right>
      <top style="medium">
        <color theme="7"/>
      </top>
      <bottom style="medium">
        <color theme="7"/>
      </bottom>
      <diagonal/>
    </border>
    <border>
      <left style="thin">
        <color auto="1"/>
      </left>
      <right style="thin">
        <color auto="1"/>
      </right>
      <top style="medium">
        <color theme="7"/>
      </top>
      <bottom style="medium">
        <color theme="7"/>
      </bottom>
      <diagonal/>
    </border>
    <border>
      <left style="thin">
        <color auto="1"/>
      </left>
      <right/>
      <top style="medium">
        <color theme="7"/>
      </top>
      <bottom style="medium">
        <color theme="7"/>
      </bottom>
      <diagonal/>
    </border>
    <border>
      <left/>
      <right/>
      <top style="thick">
        <color theme="7"/>
      </top>
      <bottom/>
      <diagonal/>
    </border>
    <border>
      <left/>
      <right/>
      <top/>
      <bottom style="thick">
        <color theme="7"/>
      </bottom>
      <diagonal/>
    </border>
    <border>
      <left style="medium">
        <color theme="7"/>
      </left>
      <right/>
      <top style="medium">
        <color theme="7"/>
      </top>
      <bottom style="medium">
        <color theme="7"/>
      </bottom>
      <diagonal/>
    </border>
    <border>
      <left/>
      <right style="medium">
        <color theme="7"/>
      </right>
      <top style="medium">
        <color theme="7"/>
      </top>
      <bottom style="medium">
        <color theme="7"/>
      </bottom>
      <diagonal/>
    </border>
    <border>
      <left style="thin">
        <color auto="1"/>
      </left>
      <right style="medium">
        <color theme="7"/>
      </right>
      <top style="medium">
        <color theme="7"/>
      </top>
      <bottom style="medium">
        <color theme="7"/>
      </bottom>
      <diagonal/>
    </border>
    <border>
      <left style="medium">
        <color theme="7"/>
      </left>
      <right style="thin">
        <color auto="1"/>
      </right>
      <top/>
      <bottom style="thin">
        <color auto="1"/>
      </bottom>
      <diagonal/>
    </border>
    <border>
      <left style="thin">
        <color auto="1"/>
      </left>
      <right style="medium">
        <color theme="7"/>
      </right>
      <top/>
      <bottom style="thin">
        <color auto="1"/>
      </bottom>
      <diagonal/>
    </border>
    <border>
      <left style="medium">
        <color theme="7"/>
      </left>
      <right style="thin">
        <color auto="1"/>
      </right>
      <top style="medium">
        <color theme="7"/>
      </top>
      <bottom style="medium">
        <color theme="7"/>
      </bottom>
      <diagonal/>
    </border>
    <border>
      <left style="medium">
        <color theme="7"/>
      </left>
      <right/>
      <top style="medium">
        <color theme="7"/>
      </top>
      <bottom/>
      <diagonal/>
    </border>
    <border>
      <left/>
      <right/>
      <top style="medium">
        <color theme="7"/>
      </top>
      <bottom/>
      <diagonal/>
    </border>
    <border>
      <left/>
      <right style="medium">
        <color theme="7"/>
      </right>
      <top style="medium">
        <color theme="7"/>
      </top>
      <bottom/>
      <diagonal/>
    </border>
    <border>
      <left style="medium">
        <color theme="7"/>
      </left>
      <right style="thin">
        <color auto="1"/>
      </right>
      <top style="medium">
        <color theme="7"/>
      </top>
      <bottom/>
      <diagonal/>
    </border>
    <border>
      <left style="thin">
        <color auto="1"/>
      </left>
      <right style="thin">
        <color auto="1"/>
      </right>
      <top style="medium">
        <color theme="7"/>
      </top>
      <bottom/>
      <diagonal/>
    </border>
    <border>
      <left style="thin">
        <color auto="1"/>
      </left>
      <right style="medium">
        <color theme="7"/>
      </right>
      <top style="medium">
        <color theme="7"/>
      </top>
      <bottom/>
      <diagonal/>
    </border>
    <border>
      <left style="thin">
        <color auto="1"/>
      </left>
      <right/>
      <top style="medium">
        <color theme="7"/>
      </top>
      <bottom/>
      <diagonal/>
    </border>
    <border>
      <left/>
      <right/>
      <top/>
      <bottom style="medium">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7"/>
      </left>
      <right/>
      <top/>
      <bottom/>
      <diagonal/>
    </border>
    <border>
      <left/>
      <right style="thin">
        <color theme="7"/>
      </right>
      <top/>
      <bottom/>
      <diagonal/>
    </border>
    <border>
      <left style="thin">
        <color theme="7"/>
      </left>
      <right/>
      <top/>
      <bottom style="thin">
        <color theme="7"/>
      </bottom>
      <diagonal/>
    </border>
    <border>
      <left/>
      <right/>
      <top/>
      <bottom style="thin">
        <color theme="7"/>
      </bottom>
      <diagonal/>
    </border>
    <border>
      <left/>
      <right style="thin">
        <color theme="7"/>
      </right>
      <top/>
      <bottom style="thin">
        <color theme="7"/>
      </bottom>
      <diagonal/>
    </border>
    <border>
      <left style="medium">
        <color theme="7"/>
      </left>
      <right style="thin">
        <color auto="1"/>
      </right>
      <top style="thin">
        <color auto="1"/>
      </top>
      <bottom/>
      <diagonal/>
    </border>
    <border>
      <left style="thin">
        <color auto="1"/>
      </left>
      <right style="medium">
        <color theme="7"/>
      </right>
      <top style="thin">
        <color auto="1"/>
      </top>
      <bottom/>
      <diagonal/>
    </border>
    <border>
      <left style="medium">
        <color theme="7"/>
      </left>
      <right/>
      <top/>
      <bottom style="medium">
        <color theme="7"/>
      </bottom>
      <diagonal/>
    </border>
    <border>
      <left/>
      <right style="medium">
        <color theme="7"/>
      </right>
      <top/>
      <bottom style="medium">
        <color theme="7"/>
      </bottom>
      <diagonal/>
    </border>
    <border>
      <left style="thin">
        <color auto="1"/>
      </left>
      <right style="medium">
        <color indexed="64"/>
      </right>
      <top style="thin">
        <color auto="1"/>
      </top>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indexed="55"/>
      </left>
      <right style="thin">
        <color indexed="55"/>
      </right>
      <top style="thin">
        <color indexed="55"/>
      </top>
      <bottom style="thin">
        <color indexed="55"/>
      </bottom>
      <diagonal/>
    </border>
    <border>
      <left style="thin">
        <color indexed="64"/>
      </left>
      <right style="thin">
        <color indexed="64"/>
      </right>
      <top style="thin">
        <color indexed="64"/>
      </top>
      <bottom style="thin">
        <color indexed="64"/>
      </bottom>
      <diagonal/>
    </border>
    <border>
      <left/>
      <right style="thin">
        <color auto="1"/>
      </right>
      <top/>
      <bottom style="thin">
        <color auto="1"/>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dotted">
        <color theme="2" tint="-9.9978637043366805E-2"/>
      </left>
      <right/>
      <top style="medium">
        <color indexed="64"/>
      </top>
      <bottom/>
      <diagonal/>
    </border>
    <border>
      <left style="thin">
        <color rgb="FFFFC000"/>
      </left>
      <right/>
      <top style="thin">
        <color rgb="FFFFC000"/>
      </top>
      <bottom/>
      <diagonal/>
    </border>
    <border>
      <left/>
      <right/>
      <top style="thin">
        <color rgb="FFFFC000"/>
      </top>
      <bottom/>
      <diagonal/>
    </border>
    <border>
      <left/>
      <right style="thin">
        <color rgb="FFFFC000"/>
      </right>
      <top style="thin">
        <color rgb="FFFFC000"/>
      </top>
      <bottom/>
      <diagonal/>
    </border>
    <border>
      <left style="thin">
        <color rgb="FFFFC000"/>
      </left>
      <right/>
      <top/>
      <bottom/>
      <diagonal/>
    </border>
    <border>
      <left/>
      <right style="thin">
        <color rgb="FFFFC000"/>
      </right>
      <top/>
      <bottom/>
      <diagonal/>
    </border>
    <border>
      <left style="thin">
        <color rgb="FFFFC000"/>
      </left>
      <right/>
      <top/>
      <bottom style="thin">
        <color rgb="FFFFC000"/>
      </bottom>
      <diagonal/>
    </border>
    <border>
      <left/>
      <right/>
      <top/>
      <bottom style="thin">
        <color rgb="FFFFC000"/>
      </bottom>
      <diagonal/>
    </border>
    <border>
      <left/>
      <right style="thin">
        <color rgb="FFFFC000"/>
      </right>
      <top/>
      <bottom style="thin">
        <color rgb="FFFFC000"/>
      </bottom>
      <diagonal/>
    </border>
    <border>
      <left style="medium">
        <color theme="7"/>
      </left>
      <right/>
      <top style="thick">
        <color theme="7"/>
      </top>
      <bottom style="medium">
        <color theme="7"/>
      </bottom>
      <diagonal/>
    </border>
    <border>
      <left/>
      <right style="medium">
        <color theme="7"/>
      </right>
      <top style="thick">
        <color theme="7"/>
      </top>
      <bottom style="medium">
        <color theme="7"/>
      </bottom>
      <diagonal/>
    </border>
    <border>
      <left style="medium">
        <color rgb="FF00B050"/>
      </left>
      <right style="medium">
        <color rgb="FF00B050"/>
      </right>
      <top style="medium">
        <color rgb="FF00B050"/>
      </top>
      <bottom style="medium">
        <color rgb="FF00B050"/>
      </bottom>
      <diagonal/>
    </border>
    <border>
      <left style="medium">
        <color indexed="64"/>
      </left>
      <right/>
      <top style="thin">
        <color auto="1"/>
      </top>
      <bottom style="thin">
        <color auto="1"/>
      </bottom>
      <diagonal/>
    </border>
    <border>
      <left style="thin">
        <color auto="1"/>
      </left>
      <right style="thin">
        <color indexed="64"/>
      </right>
      <top style="medium">
        <color indexed="64"/>
      </top>
      <bottom/>
      <diagonal/>
    </border>
    <border>
      <left/>
      <right style="thin">
        <color auto="1"/>
      </right>
      <top style="medium">
        <color indexed="64"/>
      </top>
      <bottom style="medium">
        <color indexed="64"/>
      </bottom>
      <diagonal/>
    </border>
    <border>
      <left style="medium">
        <color indexed="64"/>
      </left>
      <right/>
      <top style="medium">
        <color indexed="64"/>
      </top>
      <bottom style="thin">
        <color auto="1"/>
      </bottom>
      <diagonal/>
    </border>
    <border>
      <left/>
      <right style="thin">
        <color indexed="64"/>
      </right>
      <top style="thin">
        <color indexed="64"/>
      </top>
      <bottom style="thin">
        <color indexed="64"/>
      </bottom>
      <diagonal/>
    </border>
    <border>
      <left/>
      <right style="thin">
        <color auto="1"/>
      </right>
      <top style="medium">
        <color indexed="64"/>
      </top>
      <bottom/>
      <diagonal/>
    </border>
    <border>
      <left/>
      <right style="thin">
        <color auto="1"/>
      </right>
      <top/>
      <bottom style="medium">
        <color indexed="64"/>
      </bottom>
      <diagonal/>
    </border>
    <border>
      <left style="thin">
        <color auto="1"/>
      </left>
      <right style="thin">
        <color auto="1"/>
      </right>
      <top/>
      <bottom style="medium">
        <color indexed="64"/>
      </bottom>
      <diagonal/>
    </border>
    <border>
      <left style="medium">
        <color indexed="64"/>
      </left>
      <right style="thin">
        <color auto="1"/>
      </right>
      <top/>
      <bottom style="medium">
        <color indexed="64"/>
      </bottom>
      <diagonal/>
    </border>
    <border>
      <left style="thin">
        <color auto="1"/>
      </left>
      <right style="medium">
        <color indexed="64"/>
      </right>
      <top/>
      <bottom style="medium">
        <color indexed="64"/>
      </bottom>
      <diagonal/>
    </border>
    <border>
      <left style="medium">
        <color theme="7"/>
      </left>
      <right style="thin">
        <color auto="1"/>
      </right>
      <top style="thin">
        <color auto="1"/>
      </top>
      <bottom style="thin">
        <color auto="1"/>
      </bottom>
      <diagonal/>
    </border>
    <border>
      <left style="thin">
        <color auto="1"/>
      </left>
      <right style="medium">
        <color theme="7"/>
      </right>
      <top style="thin">
        <color auto="1"/>
      </top>
      <bottom style="thin">
        <color auto="1"/>
      </bottom>
      <diagonal/>
    </border>
    <border>
      <left/>
      <right style="thin">
        <color auto="1"/>
      </right>
      <top style="medium">
        <color theme="7"/>
      </top>
      <bottom style="medium">
        <color theme="7"/>
      </bottom>
      <diagonal/>
    </border>
    <border>
      <left style="medium">
        <color theme="7"/>
      </left>
      <right style="thin">
        <color auto="1"/>
      </right>
      <top style="thin">
        <color auto="1"/>
      </top>
      <bottom style="medium">
        <color theme="7"/>
      </bottom>
      <diagonal/>
    </border>
    <border>
      <left/>
      <right style="thin">
        <color auto="1"/>
      </right>
      <top style="thin">
        <color auto="1"/>
      </top>
      <bottom style="medium">
        <color theme="7"/>
      </bottom>
      <diagonal/>
    </border>
    <border>
      <left style="thin">
        <color auto="1"/>
      </left>
      <right style="thin">
        <color auto="1"/>
      </right>
      <top style="thin">
        <color auto="1"/>
      </top>
      <bottom style="medium">
        <color theme="7"/>
      </bottom>
      <diagonal/>
    </border>
    <border>
      <left style="thin">
        <color auto="1"/>
      </left>
      <right style="medium">
        <color theme="7"/>
      </right>
      <top style="thin">
        <color auto="1"/>
      </top>
      <bottom style="medium">
        <color theme="7"/>
      </bottom>
      <diagonal/>
    </border>
    <border>
      <left style="thin">
        <color auto="1"/>
      </left>
      <right/>
      <top style="thin">
        <color auto="1"/>
      </top>
      <bottom style="medium">
        <color theme="7"/>
      </bottom>
      <diagonal/>
    </border>
  </borders>
  <cellStyleXfs count="12">
    <xf numFmtId="0" fontId="0" fillId="0" borderId="0"/>
    <xf numFmtId="9" fontId="3" fillId="0" borderId="0" applyFont="0" applyFill="0" applyBorder="0" applyAlignment="0" applyProtection="0"/>
    <xf numFmtId="0" fontId="12" fillId="0" borderId="0" applyNumberFormat="0" applyFill="0" applyBorder="0" applyAlignment="0" applyProtection="0"/>
    <xf numFmtId="0" fontId="76" fillId="37" borderId="0" applyNumberFormat="0" applyFont="0" applyBorder="0" applyAlignment="0" applyProtection="0"/>
    <xf numFmtId="0" fontId="77" fillId="15" borderId="1" applyNumberFormat="0" applyFont="0" applyFill="0" applyAlignment="0" applyProtection="0">
      <alignment vertical="center"/>
    </xf>
    <xf numFmtId="0" fontId="77" fillId="15" borderId="44" applyNumberFormat="0" applyFont="0" applyFill="0" applyAlignment="0" applyProtection="0">
      <alignment vertical="center"/>
    </xf>
    <xf numFmtId="0" fontId="78" fillId="0" borderId="43">
      <alignment horizontal="center" vertical="center" wrapText="1"/>
    </xf>
    <xf numFmtId="0" fontId="79" fillId="0" borderId="43">
      <alignment horizontal="center" vertical="center" wrapText="1"/>
    </xf>
    <xf numFmtId="0" fontId="80" fillId="0" borderId="0"/>
    <xf numFmtId="0" fontId="77" fillId="15" borderId="84" applyNumberFormat="0" applyFont="0" applyFill="0" applyAlignment="0" applyProtection="0">
      <alignment vertical="center"/>
    </xf>
    <xf numFmtId="0" fontId="78" fillId="0" borderId="83">
      <alignment horizontal="center" vertical="center" wrapText="1"/>
    </xf>
    <xf numFmtId="0" fontId="79" fillId="0" borderId="83">
      <alignment horizontal="center" vertical="center" wrapText="1"/>
    </xf>
  </cellStyleXfs>
  <cellXfs count="930">
    <xf numFmtId="0" fontId="0" fillId="0" borderId="0" xfId="0"/>
    <xf numFmtId="11"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0" borderId="0" xfId="0" applyAlignment="1">
      <alignment horizontal="center"/>
    </xf>
    <xf numFmtId="0" fontId="8" fillId="0" borderId="0" xfId="0" applyFont="1"/>
    <xf numFmtId="0" fontId="10" fillId="0" borderId="0" xfId="0" applyFont="1"/>
    <xf numFmtId="0" fontId="0" fillId="14" borderId="0" xfId="0" applyFill="1"/>
    <xf numFmtId="164" fontId="0" fillId="0" borderId="0" xfId="1" applyNumberFormat="1" applyFont="1"/>
    <xf numFmtId="10" fontId="0" fillId="0" borderId="0" xfId="1" applyNumberFormat="1" applyFont="1"/>
    <xf numFmtId="0" fontId="0" fillId="16" borderId="0" xfId="0" applyFill="1"/>
    <xf numFmtId="0" fontId="12" fillId="0" borderId="0" xfId="2"/>
    <xf numFmtId="0" fontId="13" fillId="0" borderId="0" xfId="0" applyFont="1" applyAlignment="1">
      <alignment horizontal="center" vertical="center" wrapText="1"/>
    </xf>
    <xf numFmtId="0" fontId="0" fillId="10" borderId="0" xfId="0" applyFill="1"/>
    <xf numFmtId="0" fontId="0" fillId="15" borderId="9" xfId="0" applyFill="1" applyBorder="1"/>
    <xf numFmtId="0" fontId="0" fillId="15" borderId="0" xfId="0" applyFill="1" applyBorder="1"/>
    <xf numFmtId="0" fontId="0" fillId="15" borderId="10" xfId="0" applyFill="1" applyBorder="1"/>
    <xf numFmtId="0" fontId="0" fillId="0" borderId="9" xfId="0" applyBorder="1"/>
    <xf numFmtId="0" fontId="0" fillId="0" borderId="0" xfId="0" applyBorder="1"/>
    <xf numFmtId="0" fontId="0" fillId="0" borderId="10" xfId="0" applyBorder="1"/>
    <xf numFmtId="3" fontId="0" fillId="0" borderId="9" xfId="0" applyNumberFormat="1" applyBorder="1" applyAlignment="1">
      <alignment horizontal="center"/>
    </xf>
    <xf numFmtId="3" fontId="0" fillId="0" borderId="0" xfId="0" applyNumberFormat="1" applyBorder="1" applyAlignment="1">
      <alignment horizontal="center"/>
    </xf>
    <xf numFmtId="3" fontId="0" fillId="0" borderId="10" xfId="0" applyNumberFormat="1" applyBorder="1" applyAlignment="1">
      <alignment horizontal="center"/>
    </xf>
    <xf numFmtId="10" fontId="0" fillId="0" borderId="0" xfId="1" applyNumberFormat="1" applyFont="1" applyBorder="1" applyAlignment="1">
      <alignment horizontal="center"/>
    </xf>
    <xf numFmtId="10" fontId="0" fillId="0" borderId="10" xfId="1" applyNumberFormat="1" applyFont="1" applyBorder="1" applyAlignment="1">
      <alignment horizontal="center"/>
    </xf>
    <xf numFmtId="0" fontId="0" fillId="2" borderId="0" xfId="0" applyFill="1" applyBorder="1"/>
    <xf numFmtId="0" fontId="0" fillId="2" borderId="10" xfId="0" applyFill="1" applyBorder="1"/>
    <xf numFmtId="0" fontId="0" fillId="17" borderId="0" xfId="0" applyFill="1" applyBorder="1"/>
    <xf numFmtId="0" fontId="0" fillId="17" borderId="10" xfId="0" applyFill="1" applyBorder="1"/>
    <xf numFmtId="0" fontId="0" fillId="0" borderId="11" xfId="0" applyBorder="1"/>
    <xf numFmtId="0" fontId="0" fillId="0" borderId="12" xfId="0" applyBorder="1"/>
    <xf numFmtId="0" fontId="0" fillId="0" borderId="13" xfId="0" applyBorder="1"/>
    <xf numFmtId="0" fontId="0" fillId="12" borderId="0" xfId="0" applyFill="1" applyBorder="1"/>
    <xf numFmtId="4" fontId="0" fillId="0" borderId="0" xfId="1" applyNumberFormat="1" applyFont="1" applyBorder="1" applyAlignment="1">
      <alignment horizontal="center"/>
    </xf>
    <xf numFmtId="3" fontId="0" fillId="12" borderId="0" xfId="1" applyNumberFormat="1" applyFont="1" applyFill="1" applyBorder="1" applyAlignment="1">
      <alignment horizontal="center"/>
    </xf>
    <xf numFmtId="0" fontId="0" fillId="16" borderId="0" xfId="0" applyFill="1" applyBorder="1"/>
    <xf numFmtId="10" fontId="0" fillId="16" borderId="0" xfId="1" applyNumberFormat="1" applyFont="1" applyFill="1" applyBorder="1" applyAlignment="1">
      <alignment horizontal="center"/>
    </xf>
    <xf numFmtId="0" fontId="0" fillId="16" borderId="10" xfId="0" applyFill="1" applyBorder="1"/>
    <xf numFmtId="10" fontId="0" fillId="2" borderId="0" xfId="1" applyNumberFormat="1" applyFont="1" applyFill="1" applyBorder="1" applyAlignment="1">
      <alignment horizontal="center"/>
    </xf>
    <xf numFmtId="164" fontId="0" fillId="17" borderId="0" xfId="1" applyNumberFormat="1" applyFont="1" applyFill="1" applyBorder="1" applyAlignment="1">
      <alignment horizontal="center"/>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1" fillId="12" borderId="12" xfId="0" applyFont="1" applyFill="1" applyBorder="1" applyAlignment="1">
      <alignment horizontal="center" vertical="center" wrapText="1"/>
    </xf>
    <xf numFmtId="0" fontId="11" fillId="0" borderId="13" xfId="0" applyFont="1" applyBorder="1" applyAlignment="1">
      <alignment horizontal="center" vertical="center" wrapText="1"/>
    </xf>
    <xf numFmtId="2" fontId="0" fillId="0" borderId="9" xfId="1" applyNumberFormat="1" applyFont="1" applyBorder="1" applyAlignment="1">
      <alignment horizontal="center"/>
    </xf>
    <xf numFmtId="2" fontId="0" fillId="0" borderId="9" xfId="0" applyNumberFormat="1" applyBorder="1"/>
    <xf numFmtId="9" fontId="0" fillId="16" borderId="0" xfId="1" applyFont="1" applyFill="1" applyBorder="1" applyAlignment="1">
      <alignment horizontal="center"/>
    </xf>
    <xf numFmtId="2" fontId="0" fillId="0" borderId="9" xfId="0" applyNumberFormat="1" applyBorder="1" applyAlignment="1">
      <alignment horizontal="center"/>
    </xf>
    <xf numFmtId="0" fontId="0" fillId="0" borderId="0" xfId="0" applyBorder="1" applyAlignment="1">
      <alignment horizontal="center"/>
    </xf>
    <xf numFmtId="0" fontId="0" fillId="0" borderId="10" xfId="0" applyBorder="1" applyAlignment="1">
      <alignment horizontal="center"/>
    </xf>
    <xf numFmtId="9" fontId="0" fillId="2" borderId="0" xfId="1" applyFont="1" applyFill="1" applyBorder="1" applyAlignment="1">
      <alignment horizontal="center"/>
    </xf>
    <xf numFmtId="9" fontId="0" fillId="17" borderId="0" xfId="1" applyFont="1" applyFill="1" applyBorder="1" applyAlignment="1">
      <alignment horizontal="center"/>
    </xf>
    <xf numFmtId="10" fontId="0" fillId="17" borderId="0" xfId="1" applyNumberFormat="1" applyFont="1" applyFill="1" applyBorder="1" applyAlignment="1">
      <alignment horizontal="center"/>
    </xf>
    <xf numFmtId="164" fontId="0" fillId="0" borderId="0" xfId="1" applyNumberFormat="1" applyFont="1" applyBorder="1" applyAlignment="1">
      <alignment horizontal="center"/>
    </xf>
    <xf numFmtId="10" fontId="0" fillId="0" borderId="0" xfId="0" applyNumberFormat="1" applyBorder="1" applyAlignment="1">
      <alignment horizontal="center"/>
    </xf>
    <xf numFmtId="164" fontId="0" fillId="0" borderId="10" xfId="1" applyNumberFormat="1" applyFont="1" applyBorder="1" applyAlignment="1">
      <alignment horizontal="center"/>
    </xf>
    <xf numFmtId="10" fontId="0" fillId="0" borderId="10" xfId="0" applyNumberFormat="1" applyBorder="1" applyAlignment="1">
      <alignment horizontal="center"/>
    </xf>
    <xf numFmtId="164" fontId="0" fillId="0" borderId="0" xfId="1" applyNumberFormat="1" applyFont="1" applyBorder="1"/>
    <xf numFmtId="0" fontId="16" fillId="12" borderId="0" xfId="0" applyFont="1" applyFill="1" applyBorder="1" applyAlignment="1">
      <alignment horizontal="center" vertical="center"/>
    </xf>
    <xf numFmtId="9" fontId="0" fillId="11" borderId="0" xfId="1" applyFont="1" applyFill="1" applyBorder="1" applyAlignment="1">
      <alignment horizontal="center"/>
    </xf>
    <xf numFmtId="10" fontId="0" fillId="11" borderId="10" xfId="1" applyNumberFormat="1" applyFont="1" applyFill="1" applyBorder="1" applyAlignment="1">
      <alignment horizontal="center"/>
    </xf>
    <xf numFmtId="9" fontId="0" fillId="9" borderId="0" xfId="1" applyFont="1" applyFill="1" applyBorder="1" applyAlignment="1">
      <alignment horizontal="center"/>
    </xf>
    <xf numFmtId="10" fontId="0" fillId="9" borderId="10" xfId="1" applyNumberFormat="1" applyFont="1" applyFill="1" applyBorder="1" applyAlignment="1">
      <alignment horizontal="center"/>
    </xf>
    <xf numFmtId="9" fontId="0" fillId="18" borderId="0" xfId="1" applyFont="1" applyFill="1" applyBorder="1" applyAlignment="1">
      <alignment horizontal="center"/>
    </xf>
    <xf numFmtId="9" fontId="0" fillId="18" borderId="10" xfId="1" applyFont="1" applyFill="1" applyBorder="1" applyAlignment="1">
      <alignment horizontal="center"/>
    </xf>
    <xf numFmtId="2" fontId="0" fillId="18" borderId="9" xfId="0" applyNumberFormat="1" applyFill="1" applyBorder="1" applyAlignment="1">
      <alignment horizontal="center"/>
    </xf>
    <xf numFmtId="2" fontId="0" fillId="11" borderId="9" xfId="0" applyNumberFormat="1" applyFill="1" applyBorder="1" applyAlignment="1">
      <alignment horizontal="center"/>
    </xf>
    <xf numFmtId="2" fontId="0" fillId="9" borderId="9" xfId="0" applyNumberFormat="1" applyFill="1" applyBorder="1" applyAlignment="1">
      <alignment horizontal="center"/>
    </xf>
    <xf numFmtId="2" fontId="11" fillId="19" borderId="9" xfId="0" applyNumberFormat="1" applyFont="1" applyFill="1" applyBorder="1" applyAlignment="1">
      <alignment horizontal="left" vertical="center" wrapText="1"/>
    </xf>
    <xf numFmtId="2" fontId="11" fillId="18" borderId="9" xfId="0" applyNumberFormat="1" applyFont="1" applyFill="1" applyBorder="1" applyAlignment="1">
      <alignment horizontal="left" vertical="center" wrapText="1"/>
    </xf>
    <xf numFmtId="2" fontId="11" fillId="11" borderId="9" xfId="0" applyNumberFormat="1" applyFont="1" applyFill="1" applyBorder="1" applyAlignment="1">
      <alignment horizontal="left" vertical="center" wrapText="1"/>
    </xf>
    <xf numFmtId="2" fontId="11" fillId="9" borderId="9" xfId="0" applyNumberFormat="1" applyFont="1" applyFill="1" applyBorder="1" applyAlignment="1">
      <alignment horizontal="left" vertical="center" wrapText="1"/>
    </xf>
    <xf numFmtId="0" fontId="16" fillId="12" borderId="9" xfId="0" applyFont="1" applyFill="1" applyBorder="1" applyAlignment="1"/>
    <xf numFmtId="0" fontId="16" fillId="12" borderId="10" xfId="0" applyFont="1" applyFill="1" applyBorder="1" applyAlignment="1">
      <alignment horizontal="center" vertical="center"/>
    </xf>
    <xf numFmtId="0" fontId="16" fillId="12" borderId="9" xfId="0" applyFont="1" applyFill="1" applyBorder="1" applyAlignment="1">
      <alignment horizontal="center" vertical="center" wrapText="1"/>
    </xf>
    <xf numFmtId="0" fontId="7" fillId="14" borderId="6" xfId="0" applyFont="1" applyFill="1" applyBorder="1" applyAlignment="1"/>
    <xf numFmtId="0" fontId="17" fillId="0" borderId="14" xfId="0" applyFont="1" applyBorder="1" applyAlignment="1">
      <alignment vertical="center"/>
    </xf>
    <xf numFmtId="0" fontId="17" fillId="0" borderId="0" xfId="0" applyFont="1" applyAlignment="1">
      <alignment vertical="center"/>
    </xf>
    <xf numFmtId="3" fontId="17" fillId="0" borderId="0" xfId="0" applyNumberFormat="1" applyFont="1" applyAlignment="1">
      <alignment vertical="center"/>
    </xf>
    <xf numFmtId="0" fontId="17" fillId="0" borderId="12" xfId="0" applyFont="1" applyBorder="1" applyAlignment="1">
      <alignment vertical="center"/>
    </xf>
    <xf numFmtId="0" fontId="20" fillId="0" borderId="0" xfId="0" applyFont="1"/>
    <xf numFmtId="0" fontId="21" fillId="0" borderId="0" xfId="0" applyFont="1"/>
    <xf numFmtId="165" fontId="0" fillId="0" borderId="0" xfId="0" applyNumberFormat="1" applyBorder="1" applyAlignment="1">
      <alignment horizontal="center"/>
    </xf>
    <xf numFmtId="9" fontId="0" fillId="0" borderId="0" xfId="1" applyFont="1" applyBorder="1" applyAlignment="1">
      <alignment horizontal="center"/>
    </xf>
    <xf numFmtId="0" fontId="22" fillId="0" borderId="0" xfId="0" applyFont="1" applyBorder="1" applyAlignment="1">
      <alignment horizontal="center"/>
    </xf>
    <xf numFmtId="0" fontId="15" fillId="0" borderId="12" xfId="0" applyFont="1" applyBorder="1" applyAlignment="1">
      <alignment horizontal="center"/>
    </xf>
    <xf numFmtId="0" fontId="15" fillId="17" borderId="0" xfId="0" applyFont="1" applyFill="1" applyBorder="1" applyAlignment="1">
      <alignment horizontal="center" vertical="center"/>
    </xf>
    <xf numFmtId="0" fontId="15" fillId="2" borderId="0" xfId="0" applyFont="1" applyFill="1" applyBorder="1" applyAlignment="1">
      <alignment horizontal="center" vertical="center"/>
    </xf>
    <xf numFmtId="0" fontId="15" fillId="16" borderId="0" xfId="0" applyFont="1" applyFill="1" applyBorder="1" applyAlignment="1">
      <alignment horizontal="center" vertical="center"/>
    </xf>
    <xf numFmtId="9" fontId="0" fillId="0" borderId="0" xfId="1" applyNumberFormat="1" applyFont="1" applyBorder="1"/>
    <xf numFmtId="0" fontId="6" fillId="14" borderId="0" xfId="0" applyFont="1" applyFill="1" applyBorder="1" applyAlignment="1">
      <alignment horizontal="center" vertical="center"/>
    </xf>
    <xf numFmtId="0" fontId="0" fillId="0" borderId="0" xfId="0" applyAlignment="1">
      <alignment vertical="center"/>
    </xf>
    <xf numFmtId="0" fontId="0" fillId="14" borderId="0" xfId="0" applyFill="1" applyBorder="1" applyAlignment="1">
      <alignment horizontal="center"/>
    </xf>
    <xf numFmtId="0" fontId="0" fillId="0" borderId="0" xfId="0" applyAlignment="1">
      <alignment horizontal="center" vertical="center"/>
    </xf>
    <xf numFmtId="0" fontId="11" fillId="0" borderId="0" xfId="0" applyFont="1" applyAlignment="1">
      <alignment horizontal="center" wrapText="1"/>
    </xf>
    <xf numFmtId="0" fontId="0" fillId="13" borderId="0" xfId="0" applyFill="1"/>
    <xf numFmtId="0" fontId="24" fillId="13" borderId="0" xfId="0" applyFont="1" applyFill="1"/>
    <xf numFmtId="0" fontId="10" fillId="0" borderId="0" xfId="0" applyFont="1" applyAlignment="1">
      <alignment wrapText="1"/>
    </xf>
    <xf numFmtId="0" fontId="0" fillId="14" borderId="0" xfId="0" applyFill="1" applyBorder="1"/>
    <xf numFmtId="9" fontId="10" fillId="0" borderId="0" xfId="0" applyNumberFormat="1" applyFont="1" applyAlignment="1">
      <alignment horizontal="center" vertical="center"/>
    </xf>
    <xf numFmtId="0" fontId="6" fillId="0" borderId="0" xfId="0" applyFont="1" applyAlignment="1">
      <alignment horizontal="center" vertical="center"/>
    </xf>
    <xf numFmtId="0" fontId="6" fillId="0" borderId="0" xfId="0" applyFont="1" applyAlignment="1">
      <alignment horizontal="left" vertical="center"/>
    </xf>
    <xf numFmtId="0" fontId="10" fillId="0" borderId="0" xfId="0" applyFont="1" applyAlignment="1">
      <alignment horizontal="left" vertical="center"/>
    </xf>
    <xf numFmtId="0" fontId="6" fillId="14" borderId="0" xfId="0" applyFont="1" applyFill="1" applyAlignment="1">
      <alignment horizontal="left" vertical="center"/>
    </xf>
    <xf numFmtId="0" fontId="29" fillId="0" borderId="0" xfId="0" applyFont="1" applyAlignment="1">
      <alignment vertical="top"/>
    </xf>
    <xf numFmtId="0" fontId="24" fillId="13" borderId="0" xfId="0" applyFont="1" applyFill="1" applyAlignment="1">
      <alignment horizontal="center"/>
    </xf>
    <xf numFmtId="0" fontId="26" fillId="0" borderId="0" xfId="0" applyFont="1" applyBorder="1" applyAlignment="1">
      <alignment horizontal="center" vertical="center" wrapText="1"/>
    </xf>
    <xf numFmtId="0" fontId="0" fillId="0" borderId="0" xfId="0" applyAlignment="1">
      <alignment wrapText="1"/>
    </xf>
    <xf numFmtId="0" fontId="0" fillId="0" borderId="0" xfId="0" applyAlignment="1"/>
    <xf numFmtId="0" fontId="34" fillId="0" borderId="0" xfId="0" applyFont="1" applyAlignment="1">
      <alignment vertical="center" wrapText="1"/>
    </xf>
    <xf numFmtId="0" fontId="6" fillId="14" borderId="0" xfId="0" applyFont="1" applyFill="1" applyBorder="1" applyAlignment="1">
      <alignment horizontal="left" vertical="center"/>
    </xf>
    <xf numFmtId="0" fontId="6" fillId="0" borderId="0" xfId="0" applyFont="1" applyAlignment="1">
      <alignment wrapText="1"/>
    </xf>
    <xf numFmtId="0" fontId="6" fillId="14" borderId="0" xfId="0" applyFont="1" applyFill="1"/>
    <xf numFmtId="0" fontId="23" fillId="14" borderId="0" xfId="0" applyFont="1" applyFill="1" applyBorder="1" applyAlignment="1">
      <alignment horizontal="center"/>
    </xf>
    <xf numFmtId="0" fontId="0" fillId="14" borderId="0" xfId="0" applyFill="1" applyBorder="1" applyAlignment="1">
      <alignment horizontal="center" vertical="center"/>
    </xf>
    <xf numFmtId="0" fontId="0" fillId="0" borderId="0" xfId="0" applyFont="1"/>
    <xf numFmtId="0" fontId="30" fillId="0" borderId="20" xfId="0" applyFont="1" applyBorder="1"/>
    <xf numFmtId="0" fontId="29" fillId="0" borderId="15" xfId="0" applyFont="1" applyBorder="1"/>
    <xf numFmtId="0" fontId="0" fillId="0" borderId="15" xfId="0" applyBorder="1"/>
    <xf numFmtId="0" fontId="0" fillId="0" borderId="21" xfId="0" applyBorder="1"/>
    <xf numFmtId="0" fontId="30" fillId="0" borderId="9" xfId="0" applyFont="1" applyBorder="1"/>
    <xf numFmtId="0" fontId="30" fillId="0" borderId="0" xfId="0" applyFont="1" applyBorder="1"/>
    <xf numFmtId="0" fontId="29" fillId="0" borderId="9" xfId="0" applyFont="1" applyBorder="1"/>
    <xf numFmtId="0" fontId="29" fillId="0" borderId="0" xfId="0" applyFont="1" applyBorder="1"/>
    <xf numFmtId="0" fontId="31" fillId="0" borderId="0" xfId="0" applyFont="1" applyBorder="1"/>
    <xf numFmtId="0" fontId="32" fillId="0" borderId="11" xfId="0" applyFont="1" applyBorder="1" applyAlignment="1">
      <alignment wrapText="1"/>
    </xf>
    <xf numFmtId="0" fontId="29" fillId="0" borderId="12" xfId="0" applyFont="1" applyBorder="1"/>
    <xf numFmtId="0" fontId="24" fillId="13" borderId="0" xfId="0" applyFont="1" applyFill="1" applyBorder="1" applyAlignment="1">
      <alignment horizontal="left" vertical="center"/>
    </xf>
    <xf numFmtId="0" fontId="8" fillId="0" borderId="0" xfId="0" applyFont="1" applyBorder="1"/>
    <xf numFmtId="0" fontId="29" fillId="0" borderId="10" xfId="0" applyFont="1" applyBorder="1"/>
    <xf numFmtId="0" fontId="29" fillId="0" borderId="13" xfId="0" applyFont="1" applyBorder="1"/>
    <xf numFmtId="0" fontId="10" fillId="0" borderId="0" xfId="0" applyFont="1" applyBorder="1"/>
    <xf numFmtId="0" fontId="10" fillId="0" borderId="0" xfId="0" applyFont="1" applyBorder="1" applyAlignment="1">
      <alignment horizontal="left" vertical="center"/>
    </xf>
    <xf numFmtId="0" fontId="20" fillId="0" borderId="20" xfId="0" applyFont="1" applyBorder="1"/>
    <xf numFmtId="0" fontId="37" fillId="0" borderId="21" xfId="2" applyFont="1" applyBorder="1"/>
    <xf numFmtId="0" fontId="20" fillId="0" borderId="9" xfId="0" applyFont="1" applyBorder="1"/>
    <xf numFmtId="0" fontId="37" fillId="0" borderId="10" xfId="2" applyFont="1" applyBorder="1"/>
    <xf numFmtId="0" fontId="12" fillId="0" borderId="10" xfId="2" applyBorder="1"/>
    <xf numFmtId="0" fontId="29" fillId="0" borderId="0" xfId="0" applyFont="1" applyFill="1" applyBorder="1"/>
    <xf numFmtId="0" fontId="30" fillId="0" borderId="0" xfId="0" applyFont="1" applyFill="1" applyBorder="1" applyAlignment="1">
      <alignment horizontal="center"/>
    </xf>
    <xf numFmtId="0" fontId="29" fillId="0" borderId="0" xfId="0" applyFont="1" applyFill="1" applyBorder="1" applyAlignment="1">
      <alignment horizontal="center"/>
    </xf>
    <xf numFmtId="0" fontId="8" fillId="14" borderId="0" xfId="0" applyFont="1" applyFill="1" applyBorder="1" applyAlignment="1">
      <alignment horizontal="center"/>
    </xf>
    <xf numFmtId="0" fontId="29" fillId="0" borderId="0" xfId="0" applyFont="1" applyBorder="1" applyAlignment="1">
      <alignment horizontal="center" vertical="center"/>
    </xf>
    <xf numFmtId="0" fontId="29" fillId="0" borderId="0" xfId="0" applyFont="1" applyFill="1" applyBorder="1" applyAlignment="1">
      <alignment horizontal="center" vertical="center"/>
    </xf>
    <xf numFmtId="0" fontId="29" fillId="14" borderId="0" xfId="0" applyFont="1" applyFill="1" applyBorder="1" applyAlignment="1">
      <alignment horizontal="center"/>
    </xf>
    <xf numFmtId="0" fontId="29" fillId="0" borderId="0" xfId="0" applyFont="1" applyBorder="1" applyAlignment="1">
      <alignment horizontal="center"/>
    </xf>
    <xf numFmtId="0" fontId="29" fillId="14" borderId="0" xfId="0" applyFont="1" applyFill="1" applyBorder="1"/>
    <xf numFmtId="0" fontId="30" fillId="0" borderId="0" xfId="0" applyFont="1" applyBorder="1" applyAlignment="1">
      <alignment horizontal="center" vertical="center"/>
    </xf>
    <xf numFmtId="0" fontId="30" fillId="14" borderId="0" xfId="0" applyFont="1" applyFill="1" applyBorder="1" applyAlignment="1">
      <alignment horizontal="center"/>
    </xf>
    <xf numFmtId="0" fontId="30" fillId="0" borderId="0" xfId="0" applyFont="1" applyBorder="1" applyAlignment="1">
      <alignment horizontal="center"/>
    </xf>
    <xf numFmtId="0" fontId="38" fillId="13" borderId="0" xfId="0" applyFont="1" applyFill="1"/>
    <xf numFmtId="0" fontId="12" fillId="0" borderId="0" xfId="2" applyAlignment="1"/>
    <xf numFmtId="0" fontId="39" fillId="0" borderId="0" xfId="0" applyFont="1"/>
    <xf numFmtId="0" fontId="40" fillId="12" borderId="0" xfId="0" applyFont="1" applyFill="1"/>
    <xf numFmtId="0" fontId="41" fillId="0" borderId="0" xfId="0" applyFont="1"/>
    <xf numFmtId="0" fontId="41" fillId="0" borderId="0" xfId="0" applyFont="1" applyAlignment="1">
      <alignment horizontal="left" vertical="center"/>
    </xf>
    <xf numFmtId="0" fontId="0" fillId="14" borderId="0" xfId="0" applyFill="1" applyAlignment="1">
      <alignment horizontal="center" vertical="center"/>
    </xf>
    <xf numFmtId="0" fontId="0" fillId="14" borderId="0" xfId="0" applyFill="1" applyBorder="1" applyAlignment="1">
      <alignment vertical="center"/>
    </xf>
    <xf numFmtId="3" fontId="0" fillId="14" borderId="0" xfId="0" applyNumberFormat="1" applyFill="1" applyBorder="1" applyAlignment="1">
      <alignment horizontal="center"/>
    </xf>
    <xf numFmtId="0" fontId="4" fillId="13" borderId="0" xfId="0" applyFont="1" applyFill="1" applyAlignment="1">
      <alignment horizontal="center"/>
    </xf>
    <xf numFmtId="0" fontId="42" fillId="13" borderId="0" xfId="0" applyFont="1" applyFill="1" applyAlignment="1">
      <alignment horizontal="center" wrapText="1"/>
    </xf>
    <xf numFmtId="0" fontId="10" fillId="14" borderId="0" xfId="0" applyFont="1" applyFill="1" applyBorder="1" applyAlignment="1">
      <alignment horizontal="center" vertical="center"/>
    </xf>
    <xf numFmtId="9" fontId="10" fillId="14" borderId="0" xfId="0" applyNumberFormat="1" applyFont="1" applyFill="1" applyBorder="1" applyAlignment="1">
      <alignment horizontal="center" vertical="center"/>
    </xf>
    <xf numFmtId="0" fontId="10" fillId="14" borderId="0" xfId="0" applyFont="1" applyFill="1" applyBorder="1"/>
    <xf numFmtId="0" fontId="43" fillId="0" borderId="0" xfId="0" applyFont="1"/>
    <xf numFmtId="0" fontId="8" fillId="14" borderId="0" xfId="0" applyFont="1" applyFill="1" applyBorder="1"/>
    <xf numFmtId="0" fontId="8" fillId="14" borderId="0" xfId="0" applyFont="1" applyFill="1"/>
    <xf numFmtId="0" fontId="10" fillId="14" borderId="0" xfId="0" applyFont="1" applyFill="1" applyBorder="1" applyAlignment="1">
      <alignment horizontal="center" vertical="center" wrapText="1"/>
    </xf>
    <xf numFmtId="0" fontId="44" fillId="0" borderId="0" xfId="0" applyFont="1"/>
    <xf numFmtId="0" fontId="45" fillId="0" borderId="0" xfId="0" applyFont="1"/>
    <xf numFmtId="0" fontId="25" fillId="0" borderId="0" xfId="0" applyFont="1"/>
    <xf numFmtId="0" fontId="46" fillId="0" borderId="0" xfId="0" applyFont="1" applyAlignment="1">
      <alignment vertical="center"/>
    </xf>
    <xf numFmtId="0" fontId="48" fillId="0" borderId="0" xfId="0" applyFont="1"/>
    <xf numFmtId="9" fontId="0" fillId="0" borderId="0" xfId="0" applyNumberFormat="1"/>
    <xf numFmtId="0" fontId="0" fillId="0" borderId="33" xfId="0" applyBorder="1"/>
    <xf numFmtId="0" fontId="49" fillId="0" borderId="0" xfId="0" applyFont="1"/>
    <xf numFmtId="10" fontId="0" fillId="0" borderId="0" xfId="0" applyNumberFormat="1"/>
    <xf numFmtId="0" fontId="8" fillId="0" borderId="0" xfId="0" applyFont="1" applyAlignment="1">
      <alignment horizontal="center" vertical="center" wrapText="1"/>
    </xf>
    <xf numFmtId="0" fontId="8" fillId="0" borderId="0" xfId="0" applyFont="1" applyAlignment="1">
      <alignment horizontal="center" vertical="center"/>
    </xf>
    <xf numFmtId="0" fontId="36" fillId="0" borderId="0" xfId="0" applyFont="1" applyAlignment="1">
      <alignment horizontal="center" vertical="center"/>
    </xf>
    <xf numFmtId="0" fontId="46" fillId="0" borderId="0" xfId="0" applyFont="1" applyAlignment="1">
      <alignment vertical="center" wrapText="1"/>
    </xf>
    <xf numFmtId="0" fontId="36" fillId="12" borderId="16" xfId="0" applyFont="1" applyFill="1" applyBorder="1" applyAlignment="1">
      <alignment horizontal="center" vertical="center"/>
    </xf>
    <xf numFmtId="0" fontId="50" fillId="21" borderId="0" xfId="0" applyFont="1" applyFill="1" applyAlignment="1">
      <alignment horizontal="center"/>
    </xf>
    <xf numFmtId="0" fontId="50" fillId="22" borderId="0" xfId="0" applyFont="1" applyFill="1" applyAlignment="1">
      <alignment horizontal="center"/>
    </xf>
    <xf numFmtId="0" fontId="8" fillId="0" borderId="0" xfId="0" applyFont="1" applyBorder="1" applyAlignment="1">
      <alignment horizontal="center" vertical="center"/>
    </xf>
    <xf numFmtId="0" fontId="29" fillId="0" borderId="0" xfId="0" applyFont="1" applyAlignment="1">
      <alignment horizontal="left" vertical="center" wrapText="1"/>
    </xf>
    <xf numFmtId="0" fontId="51" fillId="0" borderId="0" xfId="0" applyFont="1"/>
    <xf numFmtId="0" fontId="13" fillId="0" borderId="0" xfId="0" applyFont="1" applyAlignment="1">
      <alignment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35" fillId="0" borderId="0" xfId="0" applyFont="1" applyFill="1" applyBorder="1"/>
    <xf numFmtId="0" fontId="5" fillId="0" borderId="0" xfId="0" applyFont="1" applyAlignment="1">
      <alignment vertical="center"/>
    </xf>
    <xf numFmtId="0" fontId="0" fillId="0" borderId="0" xfId="0" applyFont="1" applyAlignment="1">
      <alignment horizontal="center" vertical="center"/>
    </xf>
    <xf numFmtId="0" fontId="23" fillId="0" borderId="0" xfId="0" applyFont="1" applyAlignment="1">
      <alignment horizontal="center" vertical="center"/>
    </xf>
    <xf numFmtId="0" fontId="56" fillId="0" borderId="0" xfId="0" applyFont="1"/>
    <xf numFmtId="0" fontId="5" fillId="14" borderId="0" xfId="0" applyFont="1" applyFill="1" applyBorder="1"/>
    <xf numFmtId="0" fontId="27" fillId="4" borderId="6" xfId="0" applyFont="1" applyFill="1" applyBorder="1" applyAlignment="1">
      <alignment horizontal="center" vertical="center" wrapText="1"/>
    </xf>
    <xf numFmtId="0" fontId="27" fillId="4" borderId="8" xfId="0" applyFont="1" applyFill="1" applyBorder="1" applyAlignment="1">
      <alignment horizontal="center" vertical="center" wrapText="1"/>
    </xf>
    <xf numFmtId="0" fontId="27" fillId="4" borderId="27" xfId="0" applyFont="1" applyFill="1" applyBorder="1" applyAlignment="1">
      <alignment horizontal="center" vertical="center" wrapText="1"/>
    </xf>
    <xf numFmtId="0" fontId="27" fillId="4" borderId="7" xfId="0" applyFont="1" applyFill="1" applyBorder="1" applyAlignment="1">
      <alignment horizontal="center" vertical="center" wrapText="1"/>
    </xf>
    <xf numFmtId="0" fontId="27" fillId="4" borderId="28" xfId="0" applyFont="1" applyFill="1" applyBorder="1" applyAlignment="1">
      <alignment horizontal="center" vertical="center" wrapText="1"/>
    </xf>
    <xf numFmtId="0" fontId="27" fillId="4" borderId="26" xfId="0" applyFont="1" applyFill="1" applyBorder="1" applyAlignment="1">
      <alignment horizontal="center" vertical="center" wrapText="1"/>
    </xf>
    <xf numFmtId="0" fontId="24" fillId="0" borderId="0" xfId="0" applyFont="1" applyFill="1"/>
    <xf numFmtId="169" fontId="0" fillId="3" borderId="31" xfId="0" applyNumberFormat="1" applyFill="1" applyBorder="1" applyAlignment="1">
      <alignment horizontal="center" vertical="center"/>
    </xf>
    <xf numFmtId="0" fontId="34" fillId="0" borderId="0" xfId="0" applyFont="1"/>
    <xf numFmtId="0" fontId="6" fillId="0" borderId="22" xfId="0" applyFont="1" applyBorder="1" applyAlignment="1">
      <alignment horizontal="center" vertical="center" wrapText="1"/>
    </xf>
    <xf numFmtId="0" fontId="11" fillId="0" borderId="15"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0" xfId="0" applyFont="1" applyBorder="1" applyAlignment="1">
      <alignment horizontal="center" vertical="center" wrapText="1"/>
    </xf>
    <xf numFmtId="0" fontId="6" fillId="0" borderId="22" xfId="0" applyFont="1" applyBorder="1" applyAlignment="1">
      <alignment horizontal="center" vertical="center"/>
    </xf>
    <xf numFmtId="0" fontId="6" fillId="0" borderId="21" xfId="0" applyFont="1" applyBorder="1" applyAlignment="1">
      <alignment horizontal="center" vertical="center"/>
    </xf>
    <xf numFmtId="9" fontId="6" fillId="0" borderId="0" xfId="0" applyNumberFormat="1" applyFont="1" applyAlignment="1">
      <alignment horizontal="center" vertical="center"/>
    </xf>
    <xf numFmtId="0" fontId="6" fillId="0" borderId="31" xfId="0" applyFont="1" applyBorder="1" applyAlignment="1">
      <alignment horizontal="center" vertical="center"/>
    </xf>
    <xf numFmtId="0" fontId="11" fillId="0" borderId="27"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31" xfId="0" applyFont="1" applyBorder="1" applyAlignment="1">
      <alignment horizontal="center" vertical="center" wrapText="1"/>
    </xf>
    <xf numFmtId="0" fontId="6" fillId="0" borderId="27" xfId="0" applyFont="1" applyBorder="1" applyAlignment="1">
      <alignment horizontal="center" vertical="center"/>
    </xf>
    <xf numFmtId="0" fontId="6" fillId="0" borderId="6" xfId="0" applyFont="1" applyBorder="1" applyAlignment="1">
      <alignment horizontal="center" vertical="center"/>
    </xf>
    <xf numFmtId="0" fontId="6" fillId="0" borderId="8" xfId="0" applyFont="1" applyBorder="1" applyAlignment="1">
      <alignment horizontal="center" vertical="center"/>
    </xf>
    <xf numFmtId="0" fontId="6" fillId="0" borderId="0" xfId="0" applyFont="1" applyAlignment="1">
      <alignment horizontal="center" vertical="center" wrapText="1"/>
    </xf>
    <xf numFmtId="0" fontId="11" fillId="0" borderId="0" xfId="0" applyFont="1" applyFill="1" applyBorder="1" applyAlignment="1">
      <alignment horizontal="center" vertical="center" wrapText="1"/>
    </xf>
    <xf numFmtId="0" fontId="23" fillId="0" borderId="0" xfId="0" applyFont="1" applyAlignment="1">
      <alignment vertical="center"/>
    </xf>
    <xf numFmtId="0" fontId="45" fillId="0" borderId="0" xfId="0" applyFont="1" applyFill="1" applyBorder="1"/>
    <xf numFmtId="0" fontId="6" fillId="0" borderId="0" xfId="0" applyFont="1" applyFill="1" applyBorder="1" applyAlignment="1">
      <alignment horizontal="left" vertical="center"/>
    </xf>
    <xf numFmtId="0" fontId="0" fillId="0" borderId="0" xfId="0" applyFill="1" applyBorder="1" applyAlignment="1">
      <alignment horizontal="center"/>
    </xf>
    <xf numFmtId="9" fontId="0" fillId="0" borderId="0" xfId="1" applyFont="1" applyFill="1" applyAlignment="1">
      <alignment horizontal="center"/>
    </xf>
    <xf numFmtId="0" fontId="6" fillId="0" borderId="0" xfId="0" applyFont="1" applyBorder="1" applyAlignment="1">
      <alignment horizontal="center"/>
    </xf>
    <xf numFmtId="0" fontId="10" fillId="0" borderId="22" xfId="0" applyFont="1" applyBorder="1" applyAlignment="1">
      <alignment horizontal="center" vertical="center" wrapText="1"/>
    </xf>
    <xf numFmtId="0" fontId="36" fillId="0" borderId="15" xfId="0" applyFont="1" applyBorder="1" applyAlignment="1">
      <alignment horizontal="center" vertical="center" wrapText="1"/>
    </xf>
    <xf numFmtId="0" fontId="36" fillId="0" borderId="21" xfId="0" applyFont="1" applyBorder="1" applyAlignment="1">
      <alignment horizontal="center" vertical="center" wrapText="1"/>
    </xf>
    <xf numFmtId="0" fontId="57" fillId="0" borderId="0" xfId="0" applyFont="1" applyAlignment="1">
      <alignment horizontal="left" vertical="center" wrapText="1"/>
    </xf>
    <xf numFmtId="0" fontId="8" fillId="3" borderId="0" xfId="0" applyFont="1" applyFill="1" applyAlignment="1">
      <alignment wrapText="1"/>
    </xf>
    <xf numFmtId="0" fontId="63" fillId="3" borderId="0" xfId="0" applyFont="1" applyFill="1"/>
    <xf numFmtId="0" fontId="62" fillId="3" borderId="0" xfId="0" applyFont="1" applyFill="1"/>
    <xf numFmtId="0" fontId="0" fillId="3" borderId="0" xfId="0" applyFont="1" applyFill="1"/>
    <xf numFmtId="0" fontId="8" fillId="3" borderId="0" xfId="0" applyFont="1" applyFill="1" applyBorder="1" applyAlignment="1">
      <alignment horizontal="center" vertical="center" wrapText="1"/>
    </xf>
    <xf numFmtId="0" fontId="63" fillId="31" borderId="0" xfId="0" applyFont="1" applyFill="1"/>
    <xf numFmtId="0" fontId="0" fillId="31" borderId="0" xfId="0" applyFill="1"/>
    <xf numFmtId="0" fontId="62" fillId="31" borderId="0" xfId="0" applyFont="1" applyFill="1"/>
    <xf numFmtId="0" fontId="65" fillId="3" borderId="0" xfId="0" applyFont="1" applyFill="1" applyAlignment="1">
      <alignment wrapText="1"/>
    </xf>
    <xf numFmtId="0" fontId="8" fillId="32" borderId="0" xfId="0" applyFont="1" applyFill="1" applyAlignment="1">
      <alignment wrapText="1"/>
    </xf>
    <xf numFmtId="0" fontId="63" fillId="32" borderId="0" xfId="0" applyFont="1" applyFill="1"/>
    <xf numFmtId="0" fontId="0" fillId="32" borderId="0" xfId="0" applyFont="1" applyFill="1"/>
    <xf numFmtId="0" fontId="62" fillId="32" borderId="0" xfId="0" applyFont="1" applyFill="1"/>
    <xf numFmtId="0" fontId="0" fillId="32" borderId="0" xfId="0" applyFill="1"/>
    <xf numFmtId="0" fontId="8" fillId="0" borderId="0" xfId="0" applyFont="1" applyAlignment="1">
      <alignment vertical="center" wrapText="1"/>
    </xf>
    <xf numFmtId="0" fontId="67" fillId="0" borderId="0" xfId="0" applyFont="1" applyAlignment="1">
      <alignment vertical="center" wrapText="1"/>
    </xf>
    <xf numFmtId="0" fontId="67" fillId="0" borderId="0" xfId="0" applyFont="1" applyAlignment="1">
      <alignment horizontal="center" vertical="center" wrapText="1"/>
    </xf>
    <xf numFmtId="0" fontId="63" fillId="32" borderId="0" xfId="0" applyFont="1" applyFill="1" applyAlignment="1">
      <alignment horizontal="center" vertical="center"/>
    </xf>
    <xf numFmtId="0" fontId="8" fillId="32" borderId="0" xfId="0" applyFont="1" applyFill="1" applyAlignment="1">
      <alignment horizontal="center" vertical="center" wrapText="1"/>
    </xf>
    <xf numFmtId="0" fontId="63" fillId="3" borderId="0" xfId="0" applyFont="1" applyFill="1" applyAlignment="1">
      <alignment horizontal="center" vertical="center"/>
    </xf>
    <xf numFmtId="0" fontId="8" fillId="3" borderId="0" xfId="0" applyFont="1" applyFill="1" applyAlignment="1">
      <alignment horizontal="center" vertical="center" wrapText="1"/>
    </xf>
    <xf numFmtId="0" fontId="64" fillId="31" borderId="0" xfId="0" applyFont="1" applyFill="1" applyAlignment="1">
      <alignment horizontal="center" vertical="center"/>
    </xf>
    <xf numFmtId="0" fontId="62" fillId="3" borderId="0" xfId="0" applyFont="1" applyFill="1" applyAlignment="1">
      <alignment horizontal="center" vertical="center"/>
    </xf>
    <xf numFmtId="0" fontId="0" fillId="3" borderId="0" xfId="0" applyFill="1" applyAlignment="1">
      <alignment horizontal="center" vertical="center"/>
    </xf>
    <xf numFmtId="0" fontId="63" fillId="33" borderId="0" xfId="0" applyFont="1" applyFill="1"/>
    <xf numFmtId="0" fontId="0" fillId="33" borderId="0" xfId="0" applyFill="1"/>
    <xf numFmtId="0" fontId="62" fillId="33" borderId="0" xfId="0" applyFont="1" applyFill="1" applyAlignment="1">
      <alignment horizontal="center" vertical="center"/>
    </xf>
    <xf numFmtId="0" fontId="62" fillId="33" borderId="0" xfId="0" applyFont="1" applyFill="1"/>
    <xf numFmtId="0" fontId="64" fillId="32" borderId="0" xfId="0" applyFont="1" applyFill="1" applyAlignment="1">
      <alignment horizontal="center" vertical="center"/>
    </xf>
    <xf numFmtId="0" fontId="67" fillId="34" borderId="0" xfId="0" applyFont="1" applyFill="1" applyAlignment="1">
      <alignment vertical="center" wrapText="1"/>
    </xf>
    <xf numFmtId="0" fontId="0" fillId="34" borderId="0" xfId="0" applyFill="1"/>
    <xf numFmtId="0" fontId="8" fillId="31" borderId="0" xfId="0" applyFont="1" applyFill="1" applyAlignment="1">
      <alignment horizontal="center" vertical="center" wrapText="1"/>
    </xf>
    <xf numFmtId="0" fontId="8" fillId="33" borderId="0" xfId="0" applyFont="1" applyFill="1" applyAlignment="1">
      <alignment horizontal="center" vertical="center" wrapText="1"/>
    </xf>
    <xf numFmtId="0" fontId="0" fillId="0" borderId="0" xfId="0" applyAlignment="1">
      <alignment horizontal="center" vertical="center" wrapText="1"/>
    </xf>
    <xf numFmtId="170" fontId="0" fillId="0" borderId="0" xfId="0" applyNumberFormat="1"/>
    <xf numFmtId="0" fontId="0" fillId="0" borderId="24" xfId="0" applyFont="1" applyBorder="1" applyAlignment="1">
      <alignment horizontal="center"/>
    </xf>
    <xf numFmtId="0" fontId="6" fillId="3" borderId="0" xfId="0" applyFont="1" applyFill="1"/>
    <xf numFmtId="0" fontId="0" fillId="17" borderId="0" xfId="0" applyFill="1"/>
    <xf numFmtId="0" fontId="67" fillId="17" borderId="0" xfId="0" applyFont="1" applyFill="1" applyAlignment="1">
      <alignment vertical="center" wrapText="1"/>
    </xf>
    <xf numFmtId="0" fontId="36" fillId="14" borderId="0" xfId="0" applyFont="1" applyFill="1" applyBorder="1" applyAlignment="1">
      <alignment horizontal="center" vertical="center"/>
    </xf>
    <xf numFmtId="0" fontId="8" fillId="14" borderId="0" xfId="0" applyFont="1" applyFill="1" applyBorder="1" applyAlignment="1">
      <alignment horizontal="center" vertical="center"/>
    </xf>
    <xf numFmtId="0" fontId="8" fillId="3" borderId="0" xfId="0" applyFont="1" applyFill="1" applyAlignment="1">
      <alignment horizontal="center" vertical="center"/>
    </xf>
    <xf numFmtId="0" fontId="69" fillId="0" borderId="0" xfId="0" applyFont="1"/>
    <xf numFmtId="0" fontId="0" fillId="35" borderId="0" xfId="0" applyFill="1"/>
    <xf numFmtId="0" fontId="23" fillId="35" borderId="0" xfId="0" applyFont="1" applyFill="1"/>
    <xf numFmtId="0" fontId="0" fillId="3" borderId="4" xfId="0" applyFill="1" applyBorder="1"/>
    <xf numFmtId="0" fontId="6" fillId="3" borderId="4" xfId="0" applyFont="1" applyFill="1" applyBorder="1"/>
    <xf numFmtId="0" fontId="0" fillId="3" borderId="24" xfId="0" applyFill="1" applyBorder="1"/>
    <xf numFmtId="0" fontId="6" fillId="3" borderId="24" xfId="0" applyFont="1" applyFill="1" applyBorder="1"/>
    <xf numFmtId="0" fontId="25" fillId="36" borderId="16" xfId="0" applyFont="1" applyFill="1" applyBorder="1"/>
    <xf numFmtId="0" fontId="45" fillId="36" borderId="16" xfId="0" applyFont="1" applyFill="1" applyBorder="1"/>
    <xf numFmtId="0" fontId="6" fillId="36" borderId="33" xfId="0" applyFont="1" applyFill="1" applyBorder="1"/>
    <xf numFmtId="0" fontId="53" fillId="3" borderId="17" xfId="0" applyFont="1" applyFill="1" applyBorder="1" applyAlignment="1">
      <alignment horizontal="center" vertical="center" wrapText="1"/>
    </xf>
    <xf numFmtId="10" fontId="53" fillId="3" borderId="17" xfId="1" applyNumberFormat="1" applyFont="1" applyFill="1" applyBorder="1" applyAlignment="1">
      <alignment horizontal="center" vertical="center" wrapText="1"/>
    </xf>
    <xf numFmtId="2" fontId="71" fillId="0" borderId="0" xfId="0" applyNumberFormat="1" applyFont="1" applyAlignment="1">
      <alignment horizontal="center"/>
    </xf>
    <xf numFmtId="10" fontId="71" fillId="0" borderId="0" xfId="0" applyNumberFormat="1" applyFont="1" applyAlignment="1">
      <alignment horizontal="center"/>
    </xf>
    <xf numFmtId="0" fontId="11" fillId="0" borderId="0" xfId="0" applyFont="1" applyAlignment="1">
      <alignment horizontal="center"/>
    </xf>
    <xf numFmtId="0" fontId="27" fillId="4" borderId="5" xfId="0" applyFont="1" applyFill="1" applyBorder="1" applyAlignment="1">
      <alignment horizontal="center" vertical="center" wrapText="1"/>
    </xf>
    <xf numFmtId="0" fontId="27" fillId="4" borderId="19" xfId="0" applyFont="1" applyFill="1" applyBorder="1" applyAlignment="1">
      <alignment horizontal="center" vertical="center" wrapText="1"/>
    </xf>
    <xf numFmtId="0" fontId="0" fillId="0" borderId="0" xfId="0" applyAlignment="1">
      <alignment horizontal="right"/>
    </xf>
    <xf numFmtId="0" fontId="72" fillId="0" borderId="0" xfId="0" applyFont="1" applyAlignment="1">
      <alignment horizontal="center"/>
    </xf>
    <xf numFmtId="0" fontId="0" fillId="14" borderId="0" xfId="0" applyFill="1" applyBorder="1" applyAlignment="1">
      <alignment wrapText="1"/>
    </xf>
    <xf numFmtId="0" fontId="6" fillId="0" borderId="0" xfId="0" applyFont="1" applyAlignment="1">
      <alignment horizontal="center"/>
    </xf>
    <xf numFmtId="0" fontId="10" fillId="0" borderId="0" xfId="0" applyFont="1" applyFill="1" applyBorder="1" applyAlignment="1">
      <alignment horizontal="left"/>
    </xf>
    <xf numFmtId="0" fontId="23" fillId="14" borderId="0" xfId="0" applyFont="1" applyFill="1" applyBorder="1"/>
    <xf numFmtId="0" fontId="8" fillId="13" borderId="0" xfId="0" applyFont="1" applyFill="1" applyAlignment="1">
      <alignment vertical="center" wrapText="1"/>
    </xf>
    <xf numFmtId="0" fontId="6" fillId="20" borderId="0" xfId="0" applyFont="1" applyFill="1" applyAlignment="1">
      <alignment wrapText="1"/>
    </xf>
    <xf numFmtId="0" fontId="73" fillId="0" borderId="34" xfId="0" applyFont="1" applyBorder="1"/>
    <xf numFmtId="0" fontId="71" fillId="0" borderId="34" xfId="0" applyFont="1" applyBorder="1"/>
    <xf numFmtId="0" fontId="74" fillId="0" borderId="34" xfId="0" applyFont="1" applyBorder="1"/>
    <xf numFmtId="0" fontId="75" fillId="0" borderId="0" xfId="0" applyFont="1"/>
    <xf numFmtId="0" fontId="75" fillId="0" borderId="0" xfId="0" applyFont="1" applyAlignment="1">
      <alignment wrapText="1"/>
    </xf>
    <xf numFmtId="0" fontId="0" fillId="0" borderId="0" xfId="0"/>
    <xf numFmtId="0" fontId="0" fillId="14" borderId="0" xfId="0" applyFill="1"/>
    <xf numFmtId="0" fontId="0" fillId="0" borderId="0" xfId="0" applyAlignment="1">
      <alignment horizontal="center" vertical="center"/>
    </xf>
    <xf numFmtId="0" fontId="0" fillId="0" borderId="0" xfId="0" applyAlignment="1">
      <alignment horizontal="left"/>
    </xf>
    <xf numFmtId="0" fontId="0" fillId="14" borderId="0" xfId="0" applyFill="1" applyBorder="1"/>
    <xf numFmtId="0" fontId="0" fillId="0" borderId="0" xfId="0" applyBorder="1"/>
    <xf numFmtId="0" fontId="23" fillId="0" borderId="0" xfId="0" applyFont="1"/>
    <xf numFmtId="0" fontId="0" fillId="0" borderId="0" xfId="0" applyFill="1"/>
    <xf numFmtId="0" fontId="0" fillId="0" borderId="0" xfId="0" applyFill="1" applyBorder="1"/>
    <xf numFmtId="0" fontId="0" fillId="0" borderId="0" xfId="0" applyAlignment="1">
      <alignment horizontal="left" vertical="center"/>
    </xf>
    <xf numFmtId="0" fontId="6" fillId="0" borderId="0" xfId="0" applyFont="1"/>
    <xf numFmtId="0" fontId="35" fillId="0" borderId="0" xfId="0" applyFont="1"/>
    <xf numFmtId="0" fontId="5" fillId="0" borderId="0" xfId="0" applyFont="1"/>
    <xf numFmtId="0" fontId="68" fillId="13" borderId="0" xfId="0" applyFont="1" applyFill="1" applyAlignment="1">
      <alignment horizontal="center" vertical="center" wrapText="1"/>
    </xf>
    <xf numFmtId="0" fontId="68" fillId="13" borderId="0" xfId="0" applyFont="1" applyFill="1" applyAlignment="1">
      <alignment horizontal="center" vertical="center"/>
    </xf>
    <xf numFmtId="0" fontId="68" fillId="13" borderId="0" xfId="0" applyFont="1" applyFill="1"/>
    <xf numFmtId="0" fontId="4" fillId="13" borderId="0" xfId="0" applyFont="1" applyFill="1" applyAlignment="1">
      <alignment horizontal="left" vertical="center"/>
    </xf>
    <xf numFmtId="0" fontId="27" fillId="4" borderId="25" xfId="0" applyFont="1" applyFill="1" applyBorder="1" applyAlignment="1">
      <alignment horizontal="center" vertical="center" wrapText="1"/>
    </xf>
    <xf numFmtId="0" fontId="27" fillId="4" borderId="29" xfId="0" applyFont="1" applyFill="1" applyBorder="1" applyAlignment="1">
      <alignment horizontal="center" vertical="center" wrapText="1"/>
    </xf>
    <xf numFmtId="0" fontId="27" fillId="4" borderId="30" xfId="0" applyFont="1" applyFill="1" applyBorder="1" applyAlignment="1">
      <alignment horizontal="center" vertical="center" wrapText="1"/>
    </xf>
    <xf numFmtId="9" fontId="26" fillId="3" borderId="17" xfId="1" applyFont="1" applyFill="1" applyBorder="1" applyAlignment="1">
      <alignment horizontal="center" vertical="center" wrapText="1"/>
    </xf>
    <xf numFmtId="0" fontId="8" fillId="35" borderId="0" xfId="0" applyFont="1" applyFill="1" applyAlignment="1">
      <alignment horizontal="center" vertical="center" wrapText="1"/>
    </xf>
    <xf numFmtId="0" fontId="0" fillId="35" borderId="0" xfId="0" applyFill="1" applyAlignment="1">
      <alignment horizontal="center" vertical="center" wrapText="1"/>
    </xf>
    <xf numFmtId="0" fontId="0" fillId="35" borderId="0" xfId="0" applyFill="1" applyAlignment="1">
      <alignment horizontal="center" vertical="center"/>
    </xf>
    <xf numFmtId="0" fontId="8" fillId="14" borderId="0" xfId="0" applyFont="1" applyFill="1" applyAlignment="1">
      <alignment horizontal="center" vertical="center" wrapText="1"/>
    </xf>
    <xf numFmtId="0" fontId="63" fillId="14" borderId="0" xfId="0" applyFont="1" applyFill="1"/>
    <xf numFmtId="0" fontId="62" fillId="14" borderId="0" xfId="0" applyFont="1" applyFill="1" applyAlignment="1">
      <alignment horizontal="center" vertical="center"/>
    </xf>
    <xf numFmtId="0" fontId="62" fillId="14" borderId="0" xfId="0" applyFont="1" applyFill="1"/>
    <xf numFmtId="0" fontId="5" fillId="0" borderId="0" xfId="0" applyFont="1" applyAlignment="1"/>
    <xf numFmtId="0" fontId="60" fillId="0" borderId="0" xfId="0" applyFont="1" applyAlignment="1">
      <alignment vertical="top" wrapText="1"/>
    </xf>
    <xf numFmtId="0" fontId="5" fillId="14" borderId="0" xfId="0" applyFont="1" applyFill="1" applyBorder="1" applyAlignment="1">
      <alignment horizontal="center"/>
    </xf>
    <xf numFmtId="0" fontId="54" fillId="0" borderId="0" xfId="0" applyFont="1" applyAlignment="1">
      <alignment vertical="center" wrapText="1"/>
    </xf>
    <xf numFmtId="9" fontId="0" fillId="0" borderId="0" xfId="1" applyFont="1" applyFill="1" applyBorder="1" applyAlignment="1">
      <alignment horizontal="center"/>
    </xf>
    <xf numFmtId="0" fontId="29" fillId="0" borderId="0" xfId="0" applyFont="1"/>
    <xf numFmtId="0" fontId="30" fillId="0" borderId="0" xfId="0" applyFont="1" applyAlignment="1">
      <alignment horizontal="center"/>
    </xf>
    <xf numFmtId="0" fontId="30" fillId="0" borderId="0" xfId="0" applyFont="1" applyAlignment="1">
      <alignment horizontal="center" wrapText="1"/>
    </xf>
    <xf numFmtId="0" fontId="34" fillId="0" borderId="39" xfId="0" applyFont="1" applyBorder="1" applyAlignment="1">
      <alignment vertical="center" wrapText="1"/>
    </xf>
    <xf numFmtId="0" fontId="0" fillId="0" borderId="40" xfId="0" applyBorder="1" applyAlignment="1">
      <alignment vertical="center"/>
    </xf>
    <xf numFmtId="0" fontId="29" fillId="0" borderId="41" xfId="0" applyFont="1" applyBorder="1" applyAlignment="1">
      <alignment vertical="center" wrapText="1"/>
    </xf>
    <xf numFmtId="0" fontId="82" fillId="38" borderId="46" xfId="0" applyFont="1" applyFill="1" applyBorder="1" applyAlignment="1">
      <alignment vertical="center"/>
    </xf>
    <xf numFmtId="0" fontId="69" fillId="0" borderId="0" xfId="0" applyFont="1" applyAlignment="1">
      <alignment horizontal="left" vertical="center"/>
    </xf>
    <xf numFmtId="0" fontId="83" fillId="39" borderId="47" xfId="0" applyFont="1" applyFill="1" applyBorder="1" applyAlignment="1">
      <alignment horizontal="left" vertical="center"/>
    </xf>
    <xf numFmtId="0" fontId="6" fillId="0" borderId="0" xfId="0" applyFont="1" applyAlignment="1">
      <alignment horizontal="left" wrapText="1"/>
    </xf>
    <xf numFmtId="0" fontId="23" fillId="14" borderId="0" xfId="0" applyFont="1" applyFill="1" applyAlignment="1">
      <alignment horizontal="center" vertical="center"/>
    </xf>
    <xf numFmtId="0" fontId="84" fillId="4" borderId="47" xfId="0" applyFont="1" applyFill="1" applyBorder="1" applyAlignment="1">
      <alignment horizontal="center" vertical="center" textRotation="90"/>
    </xf>
    <xf numFmtId="0" fontId="86" fillId="13" borderId="0" xfId="0" applyFont="1" applyFill="1" applyAlignment="1">
      <alignment horizontal="center" vertical="center"/>
    </xf>
    <xf numFmtId="0" fontId="89" fillId="4" borderId="49" xfId="0" applyFont="1" applyFill="1" applyBorder="1" applyAlignment="1">
      <alignment horizontal="center" vertical="center" wrapText="1"/>
    </xf>
    <xf numFmtId="0" fontId="89" fillId="4" borderId="50" xfId="0" applyFont="1" applyFill="1" applyBorder="1" applyAlignment="1">
      <alignment horizontal="center" vertical="center" wrapText="1"/>
    </xf>
    <xf numFmtId="0" fontId="90" fillId="4" borderId="51" xfId="0" applyFont="1" applyFill="1" applyBorder="1" applyAlignment="1">
      <alignment horizontal="center" vertical="center" wrapText="1"/>
    </xf>
    <xf numFmtId="0" fontId="89" fillId="4" borderId="54" xfId="0" applyFont="1" applyFill="1" applyBorder="1" applyAlignment="1">
      <alignment vertical="center" wrapText="1"/>
    </xf>
    <xf numFmtId="0" fontId="89" fillId="4" borderId="56" xfId="0" applyFont="1" applyFill="1" applyBorder="1" applyAlignment="1">
      <alignment horizontal="center" vertical="center" wrapText="1"/>
    </xf>
    <xf numFmtId="0" fontId="90" fillId="4" borderId="56" xfId="0" applyFont="1" applyFill="1" applyBorder="1" applyAlignment="1">
      <alignment horizontal="center" vertical="center" wrapText="1"/>
    </xf>
    <xf numFmtId="0" fontId="89" fillId="19" borderId="59" xfId="0" applyFont="1" applyFill="1" applyBorder="1" applyAlignment="1">
      <alignment horizontal="center" vertical="center" wrapText="1"/>
    </xf>
    <xf numFmtId="0" fontId="45" fillId="12" borderId="0" xfId="0" applyFont="1" applyFill="1"/>
    <xf numFmtId="0" fontId="0" fillId="12" borderId="0" xfId="0" applyFill="1"/>
    <xf numFmtId="0" fontId="5" fillId="14" borderId="0" xfId="0" applyFont="1" applyFill="1" applyAlignment="1">
      <alignment horizontal="center" vertical="center"/>
    </xf>
    <xf numFmtId="0" fontId="0" fillId="14" borderId="0" xfId="0" applyFill="1" applyBorder="1" applyAlignment="1">
      <alignment horizontal="left"/>
    </xf>
    <xf numFmtId="0" fontId="0" fillId="0" borderId="0" xfId="0" applyAlignment="1">
      <alignment horizontal="left" vertical="center" wrapText="1"/>
    </xf>
    <xf numFmtId="0" fontId="25" fillId="0" borderId="0" xfId="0" applyFont="1" applyFill="1" applyBorder="1"/>
    <xf numFmtId="0" fontId="30" fillId="0" borderId="0" xfId="0" applyFont="1" applyFill="1" applyBorder="1"/>
    <xf numFmtId="0" fontId="0" fillId="0" borderId="0" xfId="0" applyAlignment="1">
      <alignment textRotation="90" wrapText="1"/>
    </xf>
    <xf numFmtId="0" fontId="20" fillId="0" borderId="0" xfId="0" applyFont="1" applyBorder="1" applyAlignment="1">
      <alignment textRotation="90" wrapText="1"/>
    </xf>
    <xf numFmtId="0" fontId="20" fillId="0" borderId="0" xfId="0" applyFont="1" applyAlignment="1">
      <alignment textRotation="90" wrapText="1"/>
    </xf>
    <xf numFmtId="0" fontId="0" fillId="12" borderId="45" xfId="0" applyFill="1" applyBorder="1" applyAlignment="1">
      <alignment horizontal="center" vertical="center"/>
    </xf>
    <xf numFmtId="0" fontId="91" fillId="0" borderId="0" xfId="0" applyFont="1" applyAlignment="1">
      <alignment wrapText="1"/>
    </xf>
    <xf numFmtId="0" fontId="92" fillId="14" borderId="0" xfId="0" applyFont="1" applyFill="1" applyAlignment="1">
      <alignment horizontal="center" vertical="center"/>
    </xf>
    <xf numFmtId="0" fontId="93" fillId="0" borderId="0" xfId="0" applyFont="1"/>
    <xf numFmtId="0" fontId="94" fillId="0" borderId="0" xfId="0" applyFont="1"/>
    <xf numFmtId="0" fontId="35" fillId="0" borderId="0" xfId="0" applyFont="1" applyFill="1" applyBorder="1" applyAlignment="1"/>
    <xf numFmtId="0" fontId="35" fillId="14" borderId="0" xfId="0" applyFont="1" applyFill="1" applyBorder="1"/>
    <xf numFmtId="0" fontId="34" fillId="14" borderId="0" xfId="0" applyFont="1" applyFill="1" applyBorder="1"/>
    <xf numFmtId="0" fontId="95" fillId="0" borderId="0" xfId="0" applyFont="1" applyAlignment="1">
      <alignment vertical="center"/>
    </xf>
    <xf numFmtId="0" fontId="101" fillId="38" borderId="46" xfId="0" applyFont="1" applyFill="1" applyBorder="1" applyAlignment="1">
      <alignment vertical="center"/>
    </xf>
    <xf numFmtId="0" fontId="85" fillId="4" borderId="47" xfId="0" applyFont="1" applyFill="1" applyBorder="1" applyAlignment="1">
      <alignment horizontal="center" vertical="center" textRotation="90"/>
    </xf>
    <xf numFmtId="0" fontId="35" fillId="0" borderId="0" xfId="0" applyFont="1" applyAlignment="1">
      <alignment horizontal="center" vertical="center"/>
    </xf>
    <xf numFmtId="0" fontId="82" fillId="38" borderId="52" xfId="0" applyFont="1" applyFill="1" applyBorder="1" applyAlignment="1">
      <alignment vertical="center"/>
    </xf>
    <xf numFmtId="0" fontId="104" fillId="0" borderId="0" xfId="0" applyFont="1" applyAlignment="1">
      <alignment horizontal="center" wrapText="1"/>
    </xf>
    <xf numFmtId="168" fontId="6" fillId="3" borderId="16" xfId="0" applyNumberFormat="1" applyFont="1" applyFill="1" applyBorder="1" applyAlignment="1">
      <alignment horizontal="center"/>
    </xf>
    <xf numFmtId="0" fontId="105" fillId="0" borderId="0" xfId="0" applyFont="1"/>
    <xf numFmtId="9" fontId="105" fillId="0" borderId="0" xfId="1" applyFont="1"/>
    <xf numFmtId="0" fontId="107" fillId="4" borderId="6" xfId="0" applyFont="1" applyFill="1" applyBorder="1" applyAlignment="1">
      <alignment horizontal="center" vertical="center" wrapText="1"/>
    </xf>
    <xf numFmtId="0" fontId="107" fillId="4" borderId="8" xfId="0" applyFont="1" applyFill="1" applyBorder="1" applyAlignment="1">
      <alignment horizontal="center" vertical="center" wrapText="1"/>
    </xf>
    <xf numFmtId="0" fontId="107" fillId="4" borderId="27" xfId="0" applyFont="1" applyFill="1" applyBorder="1" applyAlignment="1">
      <alignment horizontal="center" vertical="center" wrapText="1"/>
    </xf>
    <xf numFmtId="0" fontId="107" fillId="4" borderId="7" xfId="0" applyFont="1" applyFill="1" applyBorder="1" applyAlignment="1">
      <alignment horizontal="center" vertical="center" wrapText="1"/>
    </xf>
    <xf numFmtId="0" fontId="107" fillId="4" borderId="28" xfId="0" applyFont="1" applyFill="1" applyBorder="1" applyAlignment="1">
      <alignment horizontal="center" vertical="center" wrapText="1"/>
    </xf>
    <xf numFmtId="0" fontId="107" fillId="4" borderId="26" xfId="0" applyFont="1" applyFill="1" applyBorder="1" applyAlignment="1">
      <alignment horizontal="center" vertical="center" wrapText="1"/>
    </xf>
    <xf numFmtId="0" fontId="0" fillId="0" borderId="0" xfId="0" applyAlignment="1">
      <alignment horizontal="center" wrapText="1"/>
    </xf>
    <xf numFmtId="0" fontId="0" fillId="14" borderId="0" xfId="0" applyFill="1" applyAlignment="1">
      <alignment horizontal="left"/>
    </xf>
    <xf numFmtId="0" fontId="0" fillId="0" borderId="0" xfId="0" applyFont="1" applyAlignment="1">
      <alignment horizontal="center"/>
    </xf>
    <xf numFmtId="0" fontId="23" fillId="14" borderId="0" xfId="0" applyFont="1" applyFill="1" applyBorder="1" applyAlignment="1">
      <alignment horizontal="center" wrapText="1"/>
    </xf>
    <xf numFmtId="0" fontId="108" fillId="14" borderId="0" xfId="0" applyFont="1" applyFill="1" applyBorder="1" applyAlignment="1">
      <alignment horizontal="center" vertical="center"/>
    </xf>
    <xf numFmtId="0" fontId="73" fillId="0" borderId="0" xfId="0" applyFont="1"/>
    <xf numFmtId="0" fontId="0" fillId="0" borderId="0" xfId="0" applyFont="1" applyBorder="1"/>
    <xf numFmtId="0" fontId="0" fillId="0" borderId="0" xfId="0" applyFont="1" applyBorder="1" applyAlignment="1">
      <alignment textRotation="90" wrapText="1"/>
    </xf>
    <xf numFmtId="0" fontId="34" fillId="0" borderId="0" xfId="0" applyFont="1" applyFill="1" applyBorder="1"/>
    <xf numFmtId="0" fontId="70" fillId="14" borderId="0" xfId="0" applyFont="1" applyFill="1" applyAlignment="1">
      <alignment vertical="center" wrapText="1"/>
    </xf>
    <xf numFmtId="168" fontId="71" fillId="0" borderId="0" xfId="0" applyNumberFormat="1" applyFont="1" applyAlignment="1">
      <alignment horizontal="center"/>
    </xf>
    <xf numFmtId="0" fontId="0" fillId="3" borderId="0" xfId="0" applyFill="1" applyAlignment="1">
      <alignment horizontal="left" vertical="center"/>
    </xf>
    <xf numFmtId="0" fontId="0" fillId="3" borderId="0" xfId="0" applyFill="1" applyAlignment="1">
      <alignment horizontal="center" vertical="center" wrapText="1"/>
    </xf>
    <xf numFmtId="0" fontId="89" fillId="4" borderId="47" xfId="0" applyFont="1" applyFill="1" applyBorder="1" applyAlignment="1">
      <alignment vertical="center" wrapText="1"/>
    </xf>
    <xf numFmtId="0" fontId="8" fillId="0" borderId="17" xfId="0" applyFont="1" applyBorder="1" applyAlignment="1">
      <alignment horizontal="center" vertical="center"/>
    </xf>
    <xf numFmtId="0" fontId="8" fillId="0" borderId="84" xfId="0" applyFont="1" applyBorder="1" applyAlignment="1">
      <alignment horizontal="center" vertical="center"/>
    </xf>
    <xf numFmtId="0" fontId="8" fillId="16" borderId="84" xfId="0" applyFont="1" applyFill="1" applyBorder="1" applyAlignment="1">
      <alignment horizontal="center" vertical="center"/>
    </xf>
    <xf numFmtId="0" fontId="6" fillId="0" borderId="40" xfId="0" applyFont="1" applyBorder="1"/>
    <xf numFmtId="0" fontId="35" fillId="0" borderId="0" xfId="0" applyFont="1" applyBorder="1"/>
    <xf numFmtId="168" fontId="6" fillId="3" borderId="86" xfId="0" applyNumberFormat="1" applyFont="1" applyFill="1" applyBorder="1" applyAlignment="1">
      <alignment horizontal="center"/>
    </xf>
    <xf numFmtId="0" fontId="0" fillId="0" borderId="84" xfId="0" applyBorder="1" applyAlignment="1">
      <alignment vertical="center"/>
    </xf>
    <xf numFmtId="0" fontId="12" fillId="21" borderId="84" xfId="2" applyFill="1" applyBorder="1" applyAlignment="1">
      <alignment horizontal="center" vertical="center" wrapText="1"/>
    </xf>
    <xf numFmtId="0" fontId="0" fillId="0" borderId="86" xfId="0" applyBorder="1"/>
    <xf numFmtId="0" fontId="29" fillId="0" borderId="86" xfId="0" applyFont="1" applyBorder="1" applyAlignment="1">
      <alignment horizontal="left" vertical="center" wrapText="1"/>
    </xf>
    <xf numFmtId="0" fontId="29" fillId="0" borderId="86" xfId="0" applyFont="1" applyBorder="1" applyAlignment="1">
      <alignment vertical="center" wrapText="1"/>
    </xf>
    <xf numFmtId="3" fontId="0" fillId="3" borderId="84" xfId="0" applyNumberFormat="1" applyFill="1" applyBorder="1" applyAlignment="1">
      <alignment horizontal="center"/>
    </xf>
    <xf numFmtId="9" fontId="26" fillId="3" borderId="84" xfId="1" applyFont="1" applyFill="1" applyBorder="1" applyAlignment="1">
      <alignment horizontal="center" vertical="center" wrapText="1"/>
    </xf>
    <xf numFmtId="0" fontId="0" fillId="0" borderId="84" xfId="0" applyBorder="1"/>
    <xf numFmtId="0" fontId="0" fillId="0" borderId="86" xfId="0" applyFill="1" applyBorder="1"/>
    <xf numFmtId="0" fontId="6" fillId="0" borderId="86" xfId="0" applyFont="1" applyFill="1" applyBorder="1"/>
    <xf numFmtId="0" fontId="6" fillId="3" borderId="86" xfId="0" applyFont="1" applyFill="1" applyBorder="1" applyAlignment="1">
      <alignment horizontal="left"/>
    </xf>
    <xf numFmtId="168" fontId="6" fillId="3" borderId="84" xfId="0" applyNumberFormat="1" applyFont="1" applyFill="1" applyBorder="1" applyAlignment="1">
      <alignment horizontal="center"/>
    </xf>
    <xf numFmtId="0" fontId="0" fillId="2" borderId="86" xfId="0" applyFill="1" applyBorder="1"/>
    <xf numFmtId="0" fontId="0" fillId="0" borderId="86" xfId="0" applyBorder="1" applyAlignment="1">
      <alignment wrapText="1"/>
    </xf>
    <xf numFmtId="168" fontId="23" fillId="3" borderId="84" xfId="0" applyNumberFormat="1" applyFont="1" applyFill="1" applyBorder="1" applyAlignment="1">
      <alignment horizontal="center" vertical="center"/>
    </xf>
    <xf numFmtId="0" fontId="0" fillId="3" borderId="84" xfId="0" applyFill="1" applyBorder="1" applyAlignment="1">
      <alignment horizontal="center" vertical="center"/>
    </xf>
    <xf numFmtId="0" fontId="0" fillId="4" borderId="84" xfId="0" applyFill="1" applyBorder="1" applyAlignment="1">
      <alignment horizontal="center" vertical="center"/>
    </xf>
    <xf numFmtId="0" fontId="0" fillId="4" borderId="84" xfId="0" applyFill="1" applyBorder="1" applyAlignment="1">
      <alignment horizontal="center" vertical="center" wrapText="1"/>
    </xf>
    <xf numFmtId="2" fontId="0" fillId="3" borderId="87" xfId="0" applyNumberFormat="1" applyFill="1" applyBorder="1" applyAlignment="1">
      <alignment horizontal="center" vertical="center"/>
    </xf>
    <xf numFmtId="2" fontId="0" fillId="3" borderId="88" xfId="0" applyNumberFormat="1" applyFill="1" applyBorder="1" applyAlignment="1">
      <alignment horizontal="center" vertical="center"/>
    </xf>
    <xf numFmtId="2" fontId="26" fillId="3" borderId="84" xfId="0" applyNumberFormat="1" applyFont="1" applyFill="1" applyBorder="1" applyAlignment="1">
      <alignment horizontal="center" vertical="center" wrapText="1"/>
    </xf>
    <xf numFmtId="0" fontId="11" fillId="4" borderId="84" xfId="0" applyFont="1" applyFill="1" applyBorder="1" applyAlignment="1">
      <alignment horizontal="center" vertical="center" wrapText="1"/>
    </xf>
    <xf numFmtId="0" fontId="0" fillId="12" borderId="84" xfId="0" applyFill="1" applyBorder="1" applyAlignment="1">
      <alignment horizontal="center" vertical="center"/>
    </xf>
    <xf numFmtId="9" fontId="0" fillId="3" borderId="84" xfId="0" applyNumberFormat="1" applyFill="1" applyBorder="1" applyAlignment="1">
      <alignment horizontal="center" vertical="center"/>
    </xf>
    <xf numFmtId="9" fontId="5" fillId="3" borderId="84" xfId="0" applyNumberFormat="1" applyFont="1" applyFill="1" applyBorder="1" applyAlignment="1">
      <alignment horizontal="center" vertical="center"/>
    </xf>
    <xf numFmtId="9" fontId="0" fillId="3" borderId="86" xfId="0" applyNumberFormat="1" applyFill="1" applyBorder="1" applyAlignment="1">
      <alignment horizontal="center" vertical="center"/>
    </xf>
    <xf numFmtId="0" fontId="0" fillId="12" borderId="84" xfId="0" applyFill="1" applyBorder="1" applyAlignment="1">
      <alignment horizontal="center"/>
    </xf>
    <xf numFmtId="0" fontId="0" fillId="12" borderId="84" xfId="0" applyFont="1" applyFill="1" applyBorder="1" applyAlignment="1">
      <alignment horizontal="center"/>
    </xf>
    <xf numFmtId="164" fontId="0" fillId="3" borderId="84" xfId="0" applyNumberFormat="1" applyFill="1" applyBorder="1" applyAlignment="1">
      <alignment horizontal="center" vertical="center"/>
    </xf>
    <xf numFmtId="0" fontId="30" fillId="0" borderId="84" xfId="0" applyFont="1" applyFill="1" applyBorder="1"/>
    <xf numFmtId="9" fontId="0" fillId="0" borderId="84" xfId="1" applyFont="1" applyFill="1" applyBorder="1" applyAlignment="1">
      <alignment horizontal="center"/>
    </xf>
    <xf numFmtId="0" fontId="29" fillId="12" borderId="84" xfId="0" applyFont="1" applyFill="1" applyBorder="1" applyAlignment="1">
      <alignment horizontal="center"/>
    </xf>
    <xf numFmtId="0" fontId="29" fillId="2" borderId="84" xfId="0" applyFont="1" applyFill="1" applyBorder="1" applyAlignment="1">
      <alignment horizontal="center"/>
    </xf>
    <xf numFmtId="0" fontId="8" fillId="12" borderId="84" xfId="0" applyFont="1" applyFill="1" applyBorder="1" applyAlignment="1">
      <alignment horizontal="center" vertical="center"/>
    </xf>
    <xf numFmtId="0" fontId="36" fillId="12" borderId="86" xfId="0" applyFont="1" applyFill="1" applyBorder="1" applyAlignment="1">
      <alignment horizontal="center" vertical="center"/>
    </xf>
    <xf numFmtId="0" fontId="82" fillId="38" borderId="46" xfId="0" applyFont="1" applyFill="1" applyBorder="1" applyAlignment="1">
      <alignment horizontal="center" vertical="center" wrapText="1"/>
    </xf>
    <xf numFmtId="0" fontId="82" fillId="38" borderId="46" xfId="0" applyFont="1" applyFill="1" applyBorder="1" applyAlignment="1">
      <alignment horizontal="center" vertical="center"/>
    </xf>
    <xf numFmtId="0" fontId="110" fillId="28" borderId="84" xfId="2" applyFont="1" applyFill="1" applyBorder="1" applyAlignment="1">
      <alignment horizontal="center" vertical="center" wrapText="1"/>
    </xf>
    <xf numFmtId="0" fontId="0" fillId="14" borderId="0" xfId="0" applyFill="1" applyBorder="1" applyAlignment="1">
      <alignment vertical="center" wrapText="1"/>
    </xf>
    <xf numFmtId="0" fontId="49" fillId="0" borderId="0" xfId="0" applyFont="1" applyAlignment="1">
      <alignment vertical="center"/>
    </xf>
    <xf numFmtId="10" fontId="71" fillId="0" borderId="0" xfId="1" applyNumberFormat="1" applyFont="1" applyAlignment="1">
      <alignment horizontal="center"/>
    </xf>
    <xf numFmtId="0" fontId="115" fillId="0" borderId="0" xfId="0" applyFont="1" applyAlignment="1">
      <alignment vertical="center"/>
    </xf>
    <xf numFmtId="0" fontId="105" fillId="0" borderId="0" xfId="0" applyFont="1" applyBorder="1"/>
    <xf numFmtId="9" fontId="105" fillId="0" borderId="0" xfId="1" applyFont="1" applyBorder="1"/>
    <xf numFmtId="10" fontId="105" fillId="0" borderId="0" xfId="1" applyNumberFormat="1" applyFont="1" applyBorder="1"/>
    <xf numFmtId="9" fontId="105" fillId="0" borderId="0" xfId="0" applyNumberFormat="1" applyFont="1" applyBorder="1"/>
    <xf numFmtId="0" fontId="61" fillId="0" borderId="0" xfId="0" applyFont="1" applyAlignment="1">
      <alignment vertical="center"/>
    </xf>
    <xf numFmtId="0" fontId="118" fillId="0" borderId="0" xfId="0" applyFont="1" applyAlignment="1">
      <alignment horizontal="center"/>
    </xf>
    <xf numFmtId="0" fontId="51" fillId="0" borderId="0" xfId="0" applyFont="1" applyAlignment="1">
      <alignment horizontal="left"/>
    </xf>
    <xf numFmtId="0" fontId="93" fillId="0" borderId="0" xfId="0" applyFont="1" applyAlignment="1">
      <alignment horizontal="center"/>
    </xf>
    <xf numFmtId="0" fontId="117" fillId="0" borderId="0" xfId="0" applyFont="1" applyAlignment="1">
      <alignment horizontal="center" vertical="center"/>
    </xf>
    <xf numFmtId="0" fontId="116" fillId="0" borderId="0" xfId="0" applyFont="1" applyAlignment="1">
      <alignment horizontal="center"/>
    </xf>
    <xf numFmtId="0" fontId="48" fillId="0" borderId="0" xfId="0" applyFont="1" applyAlignment="1">
      <alignment horizontal="center"/>
    </xf>
    <xf numFmtId="0" fontId="82" fillId="38" borderId="46" xfId="0" applyFont="1" applyFill="1" applyBorder="1" applyAlignment="1">
      <alignment horizontal="left" vertical="center"/>
    </xf>
    <xf numFmtId="0" fontId="93" fillId="0" borderId="0" xfId="0" applyFont="1" applyAlignment="1">
      <alignment horizontal="left"/>
    </xf>
    <xf numFmtId="0" fontId="48" fillId="0" borderId="0" xfId="0" applyFont="1" applyAlignment="1">
      <alignment horizontal="left"/>
    </xf>
    <xf numFmtId="1" fontId="53" fillId="3" borderId="84" xfId="0" applyNumberFormat="1" applyFont="1" applyFill="1" applyBorder="1" applyAlignment="1">
      <alignment horizontal="center" vertical="center" wrapText="1"/>
    </xf>
    <xf numFmtId="1" fontId="26" fillId="3" borderId="84" xfId="0" applyNumberFormat="1" applyFont="1" applyFill="1" applyBorder="1" applyAlignment="1">
      <alignment horizontal="center" vertical="center" wrapText="1"/>
    </xf>
    <xf numFmtId="1" fontId="51" fillId="0" borderId="0" xfId="0" applyNumberFormat="1" applyFont="1" applyAlignment="1">
      <alignment horizontal="center"/>
    </xf>
    <xf numFmtId="3" fontId="51" fillId="0" borderId="0" xfId="0" applyNumberFormat="1" applyFont="1" applyAlignment="1">
      <alignment horizontal="center"/>
    </xf>
    <xf numFmtId="2" fontId="116" fillId="0" borderId="0" xfId="0" applyNumberFormat="1" applyFont="1" applyAlignment="1">
      <alignment vertical="center"/>
    </xf>
    <xf numFmtId="1" fontId="116" fillId="0" borderId="0" xfId="0" applyNumberFormat="1" applyFont="1" applyAlignment="1">
      <alignment vertical="center"/>
    </xf>
    <xf numFmtId="166" fontId="117" fillId="0" borderId="0" xfId="0" applyNumberFormat="1" applyFont="1" applyAlignment="1">
      <alignment horizontal="center" vertical="center"/>
    </xf>
    <xf numFmtId="1" fontId="0" fillId="35" borderId="0" xfId="0" applyNumberFormat="1" applyFill="1"/>
    <xf numFmtId="1" fontId="6" fillId="3" borderId="24" xfId="0" applyNumberFormat="1" applyFont="1" applyFill="1" applyBorder="1"/>
    <xf numFmtId="1" fontId="53" fillId="3" borderId="17" xfId="0" applyNumberFormat="1" applyFont="1" applyFill="1" applyBorder="1" applyAlignment="1">
      <alignment horizontal="center" vertical="center" wrapText="1"/>
    </xf>
    <xf numFmtId="0" fontId="5" fillId="0" borderId="0" xfId="0" applyFont="1" applyAlignment="1">
      <alignment horizontal="center" vertical="center"/>
    </xf>
    <xf numFmtId="2" fontId="23" fillId="3" borderId="84" xfId="0" applyNumberFormat="1" applyFont="1" applyFill="1" applyBorder="1" applyAlignment="1">
      <alignment horizontal="center"/>
    </xf>
    <xf numFmtId="166" fontId="23" fillId="3" borderId="84" xfId="0" applyNumberFormat="1" applyFont="1" applyFill="1" applyBorder="1" applyAlignment="1">
      <alignment horizontal="center"/>
    </xf>
    <xf numFmtId="0" fontId="51" fillId="0" borderId="0" xfId="0" applyFont="1" applyAlignment="1">
      <alignment vertical="center"/>
    </xf>
    <xf numFmtId="0" fontId="0" fillId="3" borderId="86" xfId="0" applyFill="1" applyBorder="1" applyAlignment="1">
      <alignment horizontal="center"/>
    </xf>
    <xf numFmtId="0" fontId="11" fillId="19" borderId="24" xfId="0" applyFont="1" applyFill="1" applyBorder="1" applyAlignment="1">
      <alignment horizontal="center" vertical="center" wrapText="1"/>
    </xf>
    <xf numFmtId="0" fontId="0" fillId="19" borderId="0" xfId="0" applyFill="1"/>
    <xf numFmtId="0" fontId="0" fillId="35" borderId="0" xfId="0" applyFill="1" applyAlignment="1">
      <alignment horizontal="left"/>
    </xf>
    <xf numFmtId="171" fontId="6" fillId="3" borderId="87" xfId="0" applyNumberFormat="1" applyFont="1" applyFill="1" applyBorder="1" applyAlignment="1">
      <alignment horizontal="center"/>
    </xf>
    <xf numFmtId="0" fontId="8" fillId="12" borderId="0" xfId="0" applyFont="1" applyFill="1" applyAlignment="1">
      <alignment horizontal="center" vertical="center" wrapText="1"/>
    </xf>
    <xf numFmtId="0" fontId="0" fillId="12" borderId="0" xfId="0" applyFill="1" applyAlignment="1">
      <alignment horizontal="left"/>
    </xf>
    <xf numFmtId="0" fontId="36" fillId="12" borderId="84" xfId="0" applyFont="1" applyFill="1" applyBorder="1" applyAlignment="1">
      <alignment horizontal="center" vertical="center" wrapText="1"/>
    </xf>
    <xf numFmtId="0" fontId="122" fillId="35" borderId="0" xfId="0" applyFont="1" applyFill="1" applyAlignment="1">
      <alignment horizontal="center" vertical="center" wrapText="1"/>
    </xf>
    <xf numFmtId="0" fontId="51" fillId="35" borderId="0" xfId="0" applyFont="1" applyFill="1" applyAlignment="1">
      <alignment horizontal="left"/>
    </xf>
    <xf numFmtId="0" fontId="51" fillId="35" borderId="0" xfId="0" applyFont="1" applyFill="1"/>
    <xf numFmtId="0" fontId="123" fillId="35" borderId="0" xfId="0" applyFont="1" applyFill="1" applyAlignment="1">
      <alignment horizontal="center" vertical="center" wrapText="1"/>
    </xf>
    <xf numFmtId="0" fontId="105" fillId="12" borderId="0" xfId="0" applyFont="1" applyFill="1"/>
    <xf numFmtId="168" fontId="6" fillId="3" borderId="41" xfId="0" applyNumberFormat="1" applyFont="1" applyFill="1" applyBorder="1" applyAlignment="1">
      <alignment horizontal="center"/>
    </xf>
    <xf numFmtId="0" fontId="6" fillId="0" borderId="0" xfId="0" applyFont="1" applyFill="1" applyBorder="1"/>
    <xf numFmtId="168" fontId="6" fillId="0" borderId="0" xfId="0" applyNumberFormat="1" applyFont="1" applyFill="1" applyBorder="1" applyAlignment="1">
      <alignment horizontal="center"/>
    </xf>
    <xf numFmtId="0" fontId="8" fillId="0" borderId="0" xfId="0" applyFont="1" applyFill="1" applyBorder="1" applyAlignment="1">
      <alignment horizontal="center"/>
    </xf>
    <xf numFmtId="0" fontId="51" fillId="0" borderId="0" xfId="0" applyFont="1" applyFill="1"/>
    <xf numFmtId="0" fontId="0" fillId="36" borderId="84" xfId="0" applyFill="1" applyBorder="1"/>
    <xf numFmtId="2" fontId="6" fillId="36" borderId="16" xfId="0" applyNumberFormat="1" applyFont="1" applyFill="1" applyBorder="1" applyAlignment="1">
      <alignment horizontal="center"/>
    </xf>
    <xf numFmtId="3" fontId="0" fillId="36" borderId="87" xfId="0" applyNumberFormat="1" applyFill="1" applyBorder="1" applyAlignment="1">
      <alignment horizontal="center"/>
    </xf>
    <xf numFmtId="0" fontId="6" fillId="36" borderId="84" xfId="0" applyFont="1" applyFill="1" applyBorder="1"/>
    <xf numFmtId="168" fontId="6" fillId="36" borderId="84" xfId="0" applyNumberFormat="1" applyFont="1" applyFill="1" applyBorder="1" applyAlignment="1">
      <alignment horizontal="center"/>
    </xf>
    <xf numFmtId="0" fontId="8" fillId="0" borderId="86"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0" xfId="0" applyFont="1" applyBorder="1" applyAlignment="1">
      <alignment horizontal="center" vertical="center"/>
    </xf>
    <xf numFmtId="0" fontId="6" fillId="0" borderId="110" xfId="0" applyFont="1" applyBorder="1" applyAlignment="1">
      <alignment horizontal="center" vertical="center"/>
    </xf>
    <xf numFmtId="0" fontId="6" fillId="0" borderId="26" xfId="0" applyFont="1" applyBorder="1" applyAlignment="1">
      <alignment horizontal="center" vertical="center"/>
    </xf>
    <xf numFmtId="0" fontId="104" fillId="0" borderId="85" xfId="0" applyFont="1" applyBorder="1" applyAlignment="1">
      <alignment horizontal="center" wrapText="1"/>
    </xf>
    <xf numFmtId="2" fontId="71" fillId="3" borderId="84" xfId="0" applyNumberFormat="1" applyFont="1" applyFill="1" applyBorder="1" applyAlignment="1">
      <alignment horizontal="center"/>
    </xf>
    <xf numFmtId="168" fontId="71" fillId="3" borderId="84" xfId="0" applyNumberFormat="1" applyFont="1" applyFill="1" applyBorder="1" applyAlignment="1">
      <alignment horizontal="center"/>
    </xf>
    <xf numFmtId="172" fontId="71" fillId="3" borderId="84" xfId="1" applyNumberFormat="1" applyFont="1" applyFill="1" applyBorder="1" applyAlignment="1">
      <alignment horizontal="center"/>
    </xf>
    <xf numFmtId="0" fontId="71" fillId="3" borderId="111" xfId="0" applyFont="1" applyFill="1" applyBorder="1" applyAlignment="1">
      <alignment horizontal="center" vertical="center"/>
    </xf>
    <xf numFmtId="0" fontId="52" fillId="2" borderId="84" xfId="0" applyFont="1" applyFill="1" applyBorder="1" applyAlignment="1">
      <alignment horizontal="center" vertical="center" wrapText="1"/>
    </xf>
    <xf numFmtId="0" fontId="52" fillId="16" borderId="84" xfId="0" applyFont="1" applyFill="1" applyBorder="1" applyAlignment="1">
      <alignment horizontal="center" vertical="center" wrapText="1"/>
    </xf>
    <xf numFmtId="0" fontId="52" fillId="3" borderId="84" xfId="0" applyFont="1" applyFill="1" applyBorder="1" applyAlignment="1">
      <alignment horizontal="center" vertical="center" wrapText="1"/>
    </xf>
    <xf numFmtId="0" fontId="52" fillId="17" borderId="84" xfId="0" applyFont="1" applyFill="1" applyBorder="1" applyAlignment="1">
      <alignment horizontal="center" vertical="center" wrapText="1"/>
    </xf>
    <xf numFmtId="0" fontId="36" fillId="35" borderId="0" xfId="0" applyFont="1" applyFill="1" applyAlignment="1">
      <alignment horizontal="center" vertical="center" wrapText="1"/>
    </xf>
    <xf numFmtId="0" fontId="27" fillId="4" borderId="115" xfId="0" applyFont="1" applyFill="1" applyBorder="1" applyAlignment="1">
      <alignment horizontal="center" vertical="center" wrapText="1"/>
    </xf>
    <xf numFmtId="0" fontId="27" fillId="4" borderId="114" xfId="0" applyFont="1" applyFill="1" applyBorder="1" applyAlignment="1">
      <alignment horizontal="center" vertical="center" wrapText="1"/>
    </xf>
    <xf numFmtId="0" fontId="27" fillId="4" borderId="116" xfId="0" applyFont="1" applyFill="1" applyBorder="1" applyAlignment="1">
      <alignment horizontal="center" vertical="center" wrapText="1"/>
    </xf>
    <xf numFmtId="0" fontId="25" fillId="0" borderId="0" xfId="0" applyFont="1" applyAlignment="1">
      <alignment horizontal="center" wrapText="1"/>
    </xf>
    <xf numFmtId="0" fontId="4" fillId="40" borderId="0" xfId="0" applyFont="1" applyFill="1" applyAlignment="1">
      <alignment horizontal="left" vertical="center"/>
    </xf>
    <xf numFmtId="0" fontId="68" fillId="40" borderId="0" xfId="0" applyFont="1" applyFill="1" applyAlignment="1">
      <alignment horizontal="center" vertical="center"/>
    </xf>
    <xf numFmtId="0" fontId="68" fillId="40" borderId="0" xfId="0" applyFont="1" applyFill="1" applyAlignment="1">
      <alignment horizontal="center" vertical="center" wrapText="1"/>
    </xf>
    <xf numFmtId="0" fontId="68" fillId="40" borderId="0" xfId="0" applyFont="1" applyFill="1"/>
    <xf numFmtId="0" fontId="8" fillId="40" borderId="0" xfId="0" applyFont="1" applyFill="1" applyAlignment="1">
      <alignment horizontal="center" vertical="center" wrapText="1"/>
    </xf>
    <xf numFmtId="0" fontId="67" fillId="40" borderId="0" xfId="0" applyFont="1" applyFill="1" applyAlignment="1">
      <alignment vertical="center" wrapText="1"/>
    </xf>
    <xf numFmtId="0" fontId="67" fillId="40" borderId="0" xfId="0" applyFont="1" applyFill="1" applyAlignment="1">
      <alignment horizontal="center" vertical="center" wrapText="1"/>
    </xf>
    <xf numFmtId="0" fontId="8" fillId="40" borderId="0" xfId="0" applyFont="1" applyFill="1" applyAlignment="1">
      <alignment vertical="center" wrapText="1"/>
    </xf>
    <xf numFmtId="2" fontId="68" fillId="40" borderId="0" xfId="0" applyNumberFormat="1" applyFont="1" applyFill="1" applyAlignment="1">
      <alignment horizontal="center" vertical="center"/>
    </xf>
    <xf numFmtId="2" fontId="68" fillId="40" borderId="0" xfId="0" applyNumberFormat="1" applyFont="1" applyFill="1"/>
    <xf numFmtId="0" fontId="51" fillId="3" borderId="0" xfId="0" applyFont="1" applyFill="1" applyAlignment="1">
      <alignment horizontal="left" vertical="center"/>
    </xf>
    <xf numFmtId="2" fontId="8" fillId="3" borderId="84" xfId="0" applyNumberFormat="1" applyFont="1" applyFill="1" applyBorder="1" applyAlignment="1">
      <alignment horizontal="center" vertical="center" wrapText="1"/>
    </xf>
    <xf numFmtId="2" fontId="0" fillId="3" borderId="84" xfId="0" applyNumberFormat="1" applyFill="1" applyBorder="1" applyAlignment="1">
      <alignment horizontal="center" vertical="center"/>
    </xf>
    <xf numFmtId="169" fontId="0" fillId="3" borderId="84" xfId="0" applyNumberFormat="1" applyFill="1" applyBorder="1" applyAlignment="1">
      <alignment horizontal="center"/>
    </xf>
    <xf numFmtId="2" fontId="0" fillId="3" borderId="84" xfId="0" applyNumberFormat="1" applyFill="1" applyBorder="1" applyAlignment="1">
      <alignment horizontal="center"/>
    </xf>
    <xf numFmtId="0" fontId="126" fillId="0" borderId="0" xfId="0" applyFont="1"/>
    <xf numFmtId="0" fontId="25" fillId="14" borderId="0" xfId="0" applyFont="1" applyFill="1" applyBorder="1"/>
    <xf numFmtId="3" fontId="0" fillId="14" borderId="0" xfId="0" applyNumberFormat="1" applyFill="1" applyBorder="1" applyAlignment="1">
      <alignment horizontal="center" vertical="center"/>
    </xf>
    <xf numFmtId="0" fontId="0" fillId="0" borderId="0" xfId="0" applyAlignment="1">
      <alignment vertical="top" wrapText="1"/>
    </xf>
    <xf numFmtId="0" fontId="0" fillId="0" borderId="0" xfId="0" applyAlignment="1">
      <alignment vertical="top"/>
    </xf>
    <xf numFmtId="0" fontId="128" fillId="4" borderId="95" xfId="0" applyFont="1" applyFill="1" applyBorder="1" applyAlignment="1">
      <alignment horizontal="center" vertical="center" wrapText="1"/>
    </xf>
    <xf numFmtId="0" fontId="0" fillId="0" borderId="0" xfId="0" applyFill="1" applyBorder="1" applyAlignment="1">
      <alignment vertical="center"/>
    </xf>
    <xf numFmtId="0" fontId="0" fillId="8" borderId="0" xfId="0" applyFill="1" applyBorder="1"/>
    <xf numFmtId="0" fontId="0" fillId="8" borderId="0" xfId="0" applyFill="1" applyBorder="1" applyAlignment="1">
      <alignment vertical="center"/>
    </xf>
    <xf numFmtId="169" fontId="6" fillId="8" borderId="0" xfId="0" applyNumberFormat="1" applyFont="1" applyFill="1" applyBorder="1" applyAlignment="1">
      <alignment horizontal="center" vertical="center"/>
    </xf>
    <xf numFmtId="2" fontId="6" fillId="8" borderId="0" xfId="0" applyNumberFormat="1" applyFont="1" applyFill="1" applyBorder="1" applyAlignment="1">
      <alignment horizontal="center" vertical="center"/>
    </xf>
    <xf numFmtId="0" fontId="95" fillId="8" borderId="96" xfId="0" applyFont="1" applyFill="1" applyBorder="1" applyAlignment="1">
      <alignment vertical="center"/>
    </xf>
    <xf numFmtId="0" fontId="0" fillId="8" borderId="97" xfId="0" applyFill="1" applyBorder="1"/>
    <xf numFmtId="0" fontId="0" fillId="8" borderId="97" xfId="0" applyFill="1" applyBorder="1" applyAlignment="1">
      <alignment vertical="center"/>
    </xf>
    <xf numFmtId="0" fontId="0" fillId="8" borderId="98" xfId="0" applyFill="1" applyBorder="1"/>
    <xf numFmtId="0" fontId="95" fillId="8" borderId="99" xfId="0" applyFont="1" applyFill="1" applyBorder="1" applyAlignment="1">
      <alignment vertical="center"/>
    </xf>
    <xf numFmtId="0" fontId="0" fillId="8" borderId="100" xfId="0" applyFill="1" applyBorder="1"/>
    <xf numFmtId="0" fontId="95" fillId="8" borderId="99" xfId="0" applyFont="1" applyFill="1" applyBorder="1" applyAlignment="1">
      <alignment vertical="center" wrapText="1"/>
    </xf>
    <xf numFmtId="0" fontId="83" fillId="8" borderId="99" xfId="0" applyFont="1" applyFill="1" applyBorder="1" applyAlignment="1">
      <alignment vertical="center"/>
    </xf>
    <xf numFmtId="0" fontId="28" fillId="8" borderId="100" xfId="0" applyFont="1" applyFill="1" applyBorder="1"/>
    <xf numFmtId="0" fontId="99" fillId="8" borderId="99" xfId="0" applyFont="1" applyFill="1" applyBorder="1" applyAlignment="1"/>
    <xf numFmtId="0" fontId="5" fillId="8" borderId="100" xfId="0" applyFont="1" applyFill="1" applyBorder="1"/>
    <xf numFmtId="0" fontId="0" fillId="8" borderId="99" xfId="0" applyFill="1" applyBorder="1" applyAlignment="1">
      <alignment vertical="center"/>
    </xf>
    <xf numFmtId="1" fontId="25" fillId="36" borderId="16" xfId="0" applyNumberFormat="1" applyFont="1" applyFill="1" applyBorder="1"/>
    <xf numFmtId="1" fontId="6" fillId="36" borderId="33" xfId="0" applyNumberFormat="1" applyFont="1" applyFill="1" applyBorder="1"/>
    <xf numFmtId="1" fontId="23" fillId="3" borderId="84" xfId="0" applyNumberFormat="1" applyFont="1" applyFill="1" applyBorder="1" applyAlignment="1">
      <alignment horizontal="center"/>
    </xf>
    <xf numFmtId="1" fontId="0" fillId="36" borderId="87" xfId="0" applyNumberFormat="1" applyFill="1" applyBorder="1" applyAlignment="1">
      <alignment horizontal="center"/>
    </xf>
    <xf numFmtId="0" fontId="129" fillId="0" borderId="84" xfId="0" applyFont="1" applyFill="1" applyBorder="1"/>
    <xf numFmtId="9" fontId="23" fillId="0" borderId="84" xfId="1" applyFont="1" applyFill="1" applyBorder="1" applyAlignment="1">
      <alignment horizontal="center"/>
    </xf>
    <xf numFmtId="9" fontId="23" fillId="0" borderId="0" xfId="1" applyFont="1" applyFill="1" applyBorder="1" applyAlignment="1">
      <alignment horizontal="center"/>
    </xf>
    <xf numFmtId="0" fontId="131" fillId="0" borderId="0" xfId="0" applyFont="1"/>
    <xf numFmtId="169" fontId="26" fillId="3" borderId="84" xfId="0" applyNumberFormat="1" applyFont="1" applyFill="1" applyBorder="1" applyAlignment="1">
      <alignment horizontal="center" vertical="center" wrapText="1"/>
    </xf>
    <xf numFmtId="0" fontId="34" fillId="0" borderId="111" xfId="0" applyFont="1" applyBorder="1" applyAlignment="1">
      <alignment vertical="center" wrapText="1"/>
    </xf>
    <xf numFmtId="0" fontId="2" fillId="39" borderId="47" xfId="0" applyFont="1" applyFill="1" applyBorder="1" applyAlignment="1">
      <alignment horizontal="left" vertical="center"/>
    </xf>
    <xf numFmtId="0" fontId="2" fillId="0" borderId="0" xfId="0" applyFont="1" applyAlignment="1">
      <alignment horizontal="left" vertical="center"/>
    </xf>
    <xf numFmtId="0" fontId="2" fillId="0" borderId="0" xfId="0" applyFont="1"/>
    <xf numFmtId="0" fontId="2" fillId="36" borderId="16" xfId="0" applyFont="1" applyFill="1" applyBorder="1"/>
    <xf numFmtId="9" fontId="0" fillId="3" borderId="111" xfId="0" applyNumberFormat="1" applyFill="1" applyBorder="1" applyAlignment="1">
      <alignment horizontal="center" vertical="center"/>
    </xf>
    <xf numFmtId="0" fontId="36" fillId="12" borderId="111" xfId="0" applyFont="1" applyFill="1" applyBorder="1" applyAlignment="1">
      <alignment horizontal="center" vertical="center"/>
    </xf>
    <xf numFmtId="0" fontId="0" fillId="0" borderId="84" xfId="0" applyBorder="1" applyAlignment="1">
      <alignment horizontal="center" vertical="center"/>
    </xf>
    <xf numFmtId="0" fontId="0" fillId="0" borderId="0" xfId="0" applyFont="1" applyBorder="1" applyAlignment="1">
      <alignment horizontal="center"/>
    </xf>
    <xf numFmtId="0" fontId="54" fillId="0" borderId="0" xfId="0" applyFont="1" applyAlignment="1">
      <alignment horizontal="left" vertical="center" wrapText="1"/>
    </xf>
    <xf numFmtId="0" fontId="90" fillId="4" borderId="59" xfId="0" applyFont="1" applyFill="1" applyBorder="1" applyAlignment="1">
      <alignment horizontal="center" vertical="center" wrapText="1"/>
    </xf>
    <xf numFmtId="0" fontId="90" fillId="4" borderId="50" xfId="0" applyFont="1" applyFill="1" applyBorder="1" applyAlignment="1">
      <alignment horizontal="center" vertical="center" wrapText="1"/>
    </xf>
    <xf numFmtId="0" fontId="85" fillId="13" borderId="0" xfId="0" applyFont="1" applyFill="1" applyBorder="1" applyAlignment="1">
      <alignment horizontal="center" vertical="center" wrapText="1"/>
    </xf>
    <xf numFmtId="0" fontId="85" fillId="13" borderId="10" xfId="0" applyFont="1" applyFill="1" applyBorder="1" applyAlignment="1">
      <alignment horizontal="center" vertical="center" wrapText="1"/>
    </xf>
    <xf numFmtId="0" fontId="34" fillId="0" borderId="0" xfId="0" applyFont="1" applyAlignment="1">
      <alignment horizontal="left" vertical="center" wrapText="1"/>
    </xf>
    <xf numFmtId="0" fontId="33" fillId="0" borderId="0" xfId="0" applyFont="1" applyAlignment="1">
      <alignment horizontal="left" vertical="center" wrapText="1"/>
    </xf>
    <xf numFmtId="0" fontId="6" fillId="0" borderId="0" xfId="0" applyFont="1" applyAlignment="1">
      <alignment horizontal="left" vertical="center" wrapText="1"/>
    </xf>
    <xf numFmtId="0" fontId="8" fillId="16" borderId="16" xfId="0" applyFont="1" applyFill="1" applyBorder="1" applyAlignment="1">
      <alignment horizontal="center" vertical="center"/>
    </xf>
    <xf numFmtId="0" fontId="36" fillId="12" borderId="84" xfId="0" applyFont="1" applyFill="1" applyBorder="1" applyAlignment="1">
      <alignment horizontal="center" vertical="center"/>
    </xf>
    <xf numFmtId="0" fontId="130" fillId="14" borderId="0" xfId="0" applyFont="1" applyFill="1"/>
    <xf numFmtId="0" fontId="132" fillId="4" borderId="84" xfId="2" applyFont="1" applyFill="1" applyBorder="1" applyAlignment="1">
      <alignment horizontal="center" vertical="center" wrapText="1"/>
    </xf>
    <xf numFmtId="0" fontId="132" fillId="3" borderId="84" xfId="2" applyFont="1" applyFill="1" applyBorder="1" applyAlignment="1">
      <alignment horizontal="center" vertical="center" wrapText="1"/>
    </xf>
    <xf numFmtId="0" fontId="12" fillId="20" borderId="40" xfId="2" applyFont="1" applyFill="1" applyBorder="1" applyAlignment="1">
      <alignment horizontal="center" vertical="center" wrapText="1"/>
    </xf>
    <xf numFmtId="0" fontId="132" fillId="8" borderId="84" xfId="2" applyFont="1" applyFill="1" applyBorder="1" applyAlignment="1">
      <alignment horizontal="center" vertical="center" wrapText="1"/>
    </xf>
    <xf numFmtId="0" fontId="0" fillId="0" borderId="0" xfId="0"/>
    <xf numFmtId="0" fontId="0" fillId="14" borderId="0" xfId="0" applyFill="1" applyBorder="1"/>
    <xf numFmtId="0" fontId="0" fillId="0" borderId="0" xfId="0" applyAlignment="1">
      <alignment wrapText="1"/>
    </xf>
    <xf numFmtId="0" fontId="0" fillId="0" borderId="0" xfId="0" applyAlignment="1"/>
    <xf numFmtId="0" fontId="0" fillId="14" borderId="0" xfId="0" applyFill="1" applyBorder="1" applyAlignment="1">
      <alignment horizontal="center" vertical="center"/>
    </xf>
    <xf numFmtId="0" fontId="12" fillId="22" borderId="84" xfId="2" quotePrefix="1" applyFill="1" applyBorder="1" applyAlignment="1">
      <alignment horizontal="center" vertical="center" wrapText="1"/>
    </xf>
    <xf numFmtId="0" fontId="12" fillId="23" borderId="84" xfId="2" applyFill="1" applyBorder="1" applyAlignment="1">
      <alignment horizontal="center" vertical="center" wrapText="1"/>
    </xf>
    <xf numFmtId="0" fontId="12" fillId="24" borderId="84" xfId="2" quotePrefix="1" applyFill="1" applyBorder="1" applyAlignment="1">
      <alignment horizontal="center" vertical="center" wrapText="1"/>
    </xf>
    <xf numFmtId="0" fontId="12" fillId="25" borderId="84" xfId="2" quotePrefix="1" applyFill="1" applyBorder="1" applyAlignment="1">
      <alignment horizontal="center" vertical="center" wrapText="1"/>
    </xf>
    <xf numFmtId="0" fontId="12" fillId="26" borderId="84" xfId="2" quotePrefix="1" applyFill="1" applyBorder="1" applyAlignment="1">
      <alignment horizontal="center" vertical="center" wrapText="1"/>
    </xf>
    <xf numFmtId="0" fontId="12" fillId="27" borderId="84" xfId="2" applyFill="1" applyBorder="1" applyAlignment="1">
      <alignment horizontal="center" vertical="center" wrapText="1"/>
    </xf>
    <xf numFmtId="3" fontId="0" fillId="3" borderId="84" xfId="0" applyNumberFormat="1" applyFill="1" applyBorder="1" applyAlignment="1">
      <alignment horizontal="center" wrapText="1"/>
    </xf>
    <xf numFmtId="0" fontId="12" fillId="16" borderId="84" xfId="2" quotePrefix="1" applyFill="1" applyBorder="1" applyAlignment="1">
      <alignment horizontal="center" vertical="center" wrapText="1"/>
    </xf>
    <xf numFmtId="0" fontId="12" fillId="0" borderId="0" xfId="2" applyProtection="1">
      <protection locked="0"/>
    </xf>
    <xf numFmtId="173" fontId="0" fillId="2" borderId="84" xfId="0" applyNumberFormat="1" applyFill="1" applyBorder="1" applyAlignment="1" applyProtection="1">
      <alignment horizontal="center" vertical="center"/>
      <protection locked="0"/>
    </xf>
    <xf numFmtId="173" fontId="0" fillId="17" borderId="84" xfId="0" applyNumberFormat="1" applyFill="1" applyBorder="1" applyAlignment="1" applyProtection="1">
      <alignment horizontal="center" vertical="center"/>
      <protection locked="0"/>
    </xf>
    <xf numFmtId="3" fontId="0" fillId="2" borderId="84" xfId="0" applyNumberFormat="1" applyFill="1" applyBorder="1" applyAlignment="1" applyProtection="1">
      <alignment horizontal="center" vertical="center"/>
      <protection locked="0"/>
    </xf>
    <xf numFmtId="0" fontId="0" fillId="16" borderId="84" xfId="0" applyFill="1" applyBorder="1" applyAlignment="1" applyProtection="1">
      <alignment vertical="center" wrapText="1"/>
      <protection locked="0"/>
    </xf>
    <xf numFmtId="166" fontId="0" fillId="2" borderId="84" xfId="0" applyNumberFormat="1" applyFill="1" applyBorder="1" applyAlignment="1" applyProtection="1">
      <alignment horizontal="center" vertical="center"/>
      <protection locked="0"/>
    </xf>
    <xf numFmtId="0" fontId="0" fillId="2" borderId="84" xfId="0" applyFill="1" applyBorder="1" applyAlignment="1" applyProtection="1">
      <alignment horizontal="center" vertical="center" wrapText="1"/>
      <protection locked="0"/>
    </xf>
    <xf numFmtId="0" fontId="0" fillId="2" borderId="84" xfId="0" applyFill="1" applyBorder="1" applyAlignment="1" applyProtection="1">
      <alignment horizontal="center" vertical="center"/>
      <protection locked="0"/>
    </xf>
    <xf numFmtId="167" fontId="0" fillId="35" borderId="84" xfId="0" applyNumberFormat="1" applyFill="1" applyBorder="1" applyAlignment="1" applyProtection="1">
      <alignment horizontal="center" vertical="center"/>
      <protection locked="0"/>
    </xf>
    <xf numFmtId="0" fontId="0" fillId="16" borderId="84" xfId="0" applyFill="1" applyBorder="1" applyAlignment="1" applyProtection="1">
      <alignment horizontal="center" vertical="center"/>
      <protection locked="0"/>
    </xf>
    <xf numFmtId="0" fontId="0" fillId="16" borderId="84" xfId="0" applyFill="1" applyBorder="1" applyAlignment="1" applyProtection="1">
      <alignment horizontal="center" vertical="center" wrapText="1"/>
      <protection locked="0"/>
    </xf>
    <xf numFmtId="2" fontId="0" fillId="2" borderId="106" xfId="0" applyNumberFormat="1" applyFill="1" applyBorder="1" applyAlignment="1" applyProtection="1">
      <alignment horizontal="center" vertical="center"/>
      <protection locked="0"/>
    </xf>
    <xf numFmtId="2" fontId="0" fillId="16" borderId="84" xfId="0" applyNumberFormat="1" applyFill="1" applyBorder="1" applyAlignment="1" applyProtection="1">
      <alignment horizontal="center" vertical="center"/>
      <protection locked="0"/>
    </xf>
    <xf numFmtId="0" fontId="0" fillId="2" borderId="84" xfId="0" applyFill="1" applyBorder="1" applyProtection="1">
      <protection locked="0"/>
    </xf>
    <xf numFmtId="0" fontId="131" fillId="2" borderId="84" xfId="0" applyFont="1" applyFill="1" applyBorder="1" applyProtection="1">
      <protection locked="0"/>
    </xf>
    <xf numFmtId="0" fontId="33" fillId="16" borderId="48" xfId="0" applyFont="1" applyFill="1" applyBorder="1" applyAlignment="1" applyProtection="1">
      <alignment horizontal="center" vertical="center" wrapText="1"/>
      <protection locked="0"/>
    </xf>
    <xf numFmtId="0" fontId="53" fillId="16" borderId="117" xfId="0" applyFont="1" applyFill="1" applyBorder="1" applyAlignment="1" applyProtection="1">
      <alignment vertical="center" wrapText="1"/>
      <protection locked="0"/>
    </xf>
    <xf numFmtId="0" fontId="53" fillId="16" borderId="85" xfId="0" applyFont="1" applyFill="1" applyBorder="1" applyAlignment="1" applyProtection="1">
      <alignment vertical="center" wrapText="1"/>
      <protection locked="0"/>
    </xf>
    <xf numFmtId="168" fontId="53" fillId="2" borderId="17" xfId="0" applyNumberFormat="1" applyFont="1" applyFill="1" applyBorder="1" applyAlignment="1" applyProtection="1">
      <alignment horizontal="center" vertical="center" wrapText="1"/>
      <protection locked="0"/>
    </xf>
    <xf numFmtId="2" fontId="53" fillId="2" borderId="17" xfId="0" applyNumberFormat="1" applyFont="1" applyFill="1" applyBorder="1" applyAlignment="1" applyProtection="1">
      <alignment horizontal="center" vertical="center" wrapText="1"/>
      <protection locked="0"/>
    </xf>
    <xf numFmtId="168" fontId="53" fillId="2" borderId="84" xfId="0" applyNumberFormat="1" applyFont="1" applyFill="1" applyBorder="1" applyAlignment="1" applyProtection="1">
      <alignment horizontal="center" vertical="center" wrapText="1"/>
      <protection locked="0"/>
    </xf>
    <xf numFmtId="2" fontId="53" fillId="2" borderId="84" xfId="0" applyNumberFormat="1" applyFont="1" applyFill="1" applyBorder="1" applyAlignment="1" applyProtection="1">
      <alignment horizontal="center" vertical="center" wrapText="1"/>
      <protection locked="0"/>
    </xf>
    <xf numFmtId="169" fontId="53" fillId="2" borderId="84" xfId="0" applyNumberFormat="1" applyFont="1" applyFill="1" applyBorder="1" applyAlignment="1" applyProtection="1">
      <alignment horizontal="center" vertical="center" wrapText="1"/>
      <protection locked="0"/>
    </xf>
    <xf numFmtId="174" fontId="53" fillId="2" borderId="84" xfId="0" applyNumberFormat="1" applyFont="1" applyFill="1" applyBorder="1" applyAlignment="1" applyProtection="1">
      <alignment horizontal="center" vertical="center" wrapText="1"/>
      <protection locked="0"/>
    </xf>
    <xf numFmtId="0" fontId="33" fillId="16" borderId="42" xfId="0" applyFont="1" applyFill="1" applyBorder="1" applyAlignment="1" applyProtection="1">
      <alignment horizontal="center" vertical="center" wrapText="1"/>
      <protection locked="0"/>
    </xf>
    <xf numFmtId="166" fontId="53" fillId="2" borderId="84" xfId="0" applyNumberFormat="1" applyFont="1" applyFill="1" applyBorder="1" applyAlignment="1" applyProtection="1">
      <alignment horizontal="center" vertical="center" wrapText="1"/>
      <protection locked="0"/>
    </xf>
    <xf numFmtId="0" fontId="23" fillId="16" borderId="42" xfId="0" applyFont="1" applyFill="1" applyBorder="1" applyAlignment="1" applyProtection="1">
      <alignment horizontal="center" vertical="center"/>
      <protection locked="0"/>
    </xf>
    <xf numFmtId="0" fontId="53" fillId="16" borderId="111" xfId="0" applyFont="1" applyFill="1" applyBorder="1" applyAlignment="1" applyProtection="1">
      <alignment vertical="center" wrapText="1"/>
      <protection locked="0"/>
    </xf>
    <xf numFmtId="0" fontId="53" fillId="2" borderId="84" xfId="0" applyFont="1" applyFill="1" applyBorder="1" applyAlignment="1" applyProtection="1">
      <alignment horizontal="center" vertical="center" wrapText="1"/>
      <protection locked="0"/>
    </xf>
    <xf numFmtId="0" fontId="53" fillId="16" borderId="39" xfId="0" applyFont="1" applyFill="1" applyBorder="1" applyAlignment="1" applyProtection="1">
      <alignment vertical="center" wrapText="1"/>
      <protection locked="0"/>
    </xf>
    <xf numFmtId="0" fontId="53" fillId="2" borderId="40" xfId="0" applyFont="1" applyFill="1" applyBorder="1" applyAlignment="1" applyProtection="1">
      <alignment horizontal="center" vertical="center" wrapText="1"/>
      <protection locked="0"/>
    </xf>
    <xf numFmtId="0" fontId="53" fillId="16" borderId="84" xfId="0" applyFont="1" applyFill="1" applyBorder="1" applyAlignment="1" applyProtection="1">
      <alignment vertical="center" wrapText="1"/>
      <protection locked="0"/>
    </xf>
    <xf numFmtId="0" fontId="53" fillId="2" borderId="58" xfId="0" applyFont="1" applyFill="1" applyBorder="1" applyAlignment="1" applyProtection="1">
      <alignment horizontal="center" vertical="center" wrapText="1"/>
      <protection locked="0"/>
    </xf>
    <xf numFmtId="0" fontId="53" fillId="2" borderId="57" xfId="0" applyFont="1" applyFill="1" applyBorder="1" applyAlignment="1" applyProtection="1">
      <alignment horizontal="center" vertical="center" wrapText="1"/>
      <protection locked="0"/>
    </xf>
    <xf numFmtId="0" fontId="53" fillId="2" borderId="17" xfId="0" applyFont="1" applyFill="1" applyBorder="1" applyAlignment="1" applyProtection="1">
      <alignment horizontal="center" vertical="center" wrapText="1"/>
      <protection locked="0"/>
    </xf>
    <xf numFmtId="0" fontId="53" fillId="2" borderId="23" xfId="0" applyFont="1" applyFill="1" applyBorder="1" applyAlignment="1" applyProtection="1">
      <alignment horizontal="center" vertical="center" wrapText="1"/>
      <protection locked="0"/>
    </xf>
    <xf numFmtId="9" fontId="53" fillId="2" borderId="57" xfId="1" applyFont="1" applyFill="1" applyBorder="1" applyAlignment="1" applyProtection="1">
      <alignment horizontal="center" vertical="center" wrapText="1"/>
      <protection locked="0"/>
    </xf>
    <xf numFmtId="0" fontId="53" fillId="2" borderId="118" xfId="0" applyFont="1" applyFill="1" applyBorder="1" applyAlignment="1" applyProtection="1">
      <alignment horizontal="center" vertical="center" wrapText="1"/>
      <protection locked="0"/>
    </xf>
    <xf numFmtId="0" fontId="53" fillId="2" borderId="117" xfId="0" applyFont="1" applyFill="1" applyBorder="1" applyAlignment="1" applyProtection="1">
      <alignment horizontal="center" vertical="center" wrapText="1"/>
      <protection locked="0"/>
    </xf>
    <xf numFmtId="0" fontId="53" fillId="2" borderId="86" xfId="0" applyFont="1" applyFill="1" applyBorder="1" applyAlignment="1" applyProtection="1">
      <alignment horizontal="center" vertical="center" wrapText="1"/>
      <protection locked="0"/>
    </xf>
    <xf numFmtId="9" fontId="53" fillId="2" borderId="117" xfId="1" applyFont="1" applyFill="1" applyBorder="1" applyAlignment="1" applyProtection="1">
      <alignment horizontal="center" vertical="center" wrapText="1"/>
      <protection locked="0"/>
    </xf>
    <xf numFmtId="0" fontId="53" fillId="2" borderId="77" xfId="0" applyFont="1" applyFill="1" applyBorder="1" applyAlignment="1" applyProtection="1">
      <alignment horizontal="center" vertical="center" wrapText="1"/>
      <protection locked="0"/>
    </xf>
    <xf numFmtId="0" fontId="53" fillId="2" borderId="76" xfId="0" applyFont="1" applyFill="1" applyBorder="1" applyAlignment="1" applyProtection="1">
      <alignment horizontal="center" vertical="center" wrapText="1"/>
      <protection locked="0"/>
    </xf>
    <xf numFmtId="0" fontId="53" fillId="2" borderId="41" xfId="0" applyFont="1" applyFill="1" applyBorder="1" applyAlignment="1" applyProtection="1">
      <alignment horizontal="center" vertical="center" wrapText="1"/>
      <protection locked="0"/>
    </xf>
    <xf numFmtId="9" fontId="53" fillId="2" borderId="76" xfId="1" applyFont="1" applyFill="1" applyBorder="1" applyAlignment="1" applyProtection="1">
      <alignment horizontal="center" vertical="center" wrapText="1"/>
      <protection locked="0"/>
    </xf>
    <xf numFmtId="0" fontId="53" fillId="16" borderId="17" xfId="0" applyFont="1" applyFill="1" applyBorder="1" applyAlignment="1" applyProtection="1">
      <alignment horizontal="center" vertical="center" wrapText="1"/>
      <protection locked="0"/>
    </xf>
    <xf numFmtId="0" fontId="53" fillId="16" borderId="58" xfId="0" applyFont="1" applyFill="1" applyBorder="1" applyAlignment="1" applyProtection="1">
      <alignment horizontal="center" vertical="center" wrapText="1"/>
      <protection locked="0"/>
    </xf>
    <xf numFmtId="0" fontId="53" fillId="2" borderId="57" xfId="0" applyFont="1" applyFill="1" applyBorder="1" applyAlignment="1" applyProtection="1">
      <alignment vertical="center" wrapText="1"/>
      <protection locked="0"/>
    </xf>
    <xf numFmtId="0" fontId="53" fillId="2" borderId="17" xfId="0" applyFont="1" applyFill="1" applyBorder="1" applyAlignment="1" applyProtection="1">
      <alignment vertical="center" wrapText="1"/>
      <protection locked="0"/>
    </xf>
    <xf numFmtId="167" fontId="53" fillId="2" borderId="58" xfId="0" applyNumberFormat="1" applyFont="1" applyFill="1" applyBorder="1" applyAlignment="1" applyProtection="1">
      <alignment horizontal="center" vertical="center" wrapText="1"/>
      <protection locked="0"/>
    </xf>
    <xf numFmtId="9" fontId="53" fillId="16" borderId="57" xfId="1" applyFont="1" applyFill="1" applyBorder="1" applyAlignment="1" applyProtection="1">
      <alignment horizontal="center" vertical="center" wrapText="1"/>
      <protection locked="0"/>
    </xf>
    <xf numFmtId="0" fontId="53" fillId="16" borderId="84" xfId="0" applyFont="1" applyFill="1" applyBorder="1" applyAlignment="1" applyProtection="1">
      <alignment horizontal="center" vertical="center" wrapText="1"/>
      <protection locked="0"/>
    </xf>
    <xf numFmtId="0" fontId="53" fillId="16" borderId="118" xfId="0" applyFont="1" applyFill="1" applyBorder="1" applyAlignment="1" applyProtection="1">
      <alignment horizontal="center" vertical="center" wrapText="1"/>
      <protection locked="0"/>
    </xf>
    <xf numFmtId="0" fontId="53" fillId="2" borderId="117" xfId="0" applyFont="1" applyFill="1" applyBorder="1" applyAlignment="1" applyProtection="1">
      <alignment vertical="center" wrapText="1"/>
      <protection locked="0"/>
    </xf>
    <xf numFmtId="0" fontId="53" fillId="2" borderId="84" xfId="0" applyFont="1" applyFill="1" applyBorder="1" applyAlignment="1" applyProtection="1">
      <alignment vertical="center" wrapText="1"/>
      <protection locked="0"/>
    </xf>
    <xf numFmtId="167" fontId="53" fillId="2" borderId="118" xfId="0" applyNumberFormat="1" applyFont="1" applyFill="1" applyBorder="1" applyAlignment="1" applyProtection="1">
      <alignment horizontal="center" vertical="center" wrapText="1"/>
      <protection locked="0"/>
    </xf>
    <xf numFmtId="9" fontId="53" fillId="16" borderId="117" xfId="1" applyFont="1" applyFill="1" applyBorder="1" applyAlignment="1" applyProtection="1">
      <alignment horizontal="center" vertical="center" wrapText="1"/>
      <protection locked="0"/>
    </xf>
    <xf numFmtId="1" fontId="53" fillId="2" borderId="118" xfId="0" applyNumberFormat="1" applyFont="1" applyFill="1" applyBorder="1" applyAlignment="1" applyProtection="1">
      <alignment horizontal="center" vertical="center" wrapText="1"/>
      <protection locked="0"/>
    </xf>
    <xf numFmtId="3" fontId="53" fillId="2" borderId="118" xfId="0" applyNumberFormat="1" applyFont="1" applyFill="1" applyBorder="1" applyAlignment="1" applyProtection="1">
      <alignment horizontal="center" vertical="center" wrapText="1"/>
      <protection locked="0"/>
    </xf>
    <xf numFmtId="166" fontId="53" fillId="2" borderId="118" xfId="0" applyNumberFormat="1" applyFont="1" applyFill="1" applyBorder="1" applyAlignment="1" applyProtection="1">
      <alignment horizontal="center" vertical="center" wrapText="1"/>
      <protection locked="0"/>
    </xf>
    <xf numFmtId="0" fontId="53" fillId="16" borderId="40" xfId="0" applyFont="1" applyFill="1" applyBorder="1" applyAlignment="1" applyProtection="1">
      <alignment horizontal="center" vertical="center" wrapText="1"/>
      <protection locked="0"/>
    </xf>
    <xf numFmtId="0" fontId="53" fillId="16" borderId="77" xfId="0" applyFont="1" applyFill="1" applyBorder="1" applyAlignment="1" applyProtection="1">
      <alignment horizontal="center" vertical="center" wrapText="1"/>
      <protection locked="0"/>
    </xf>
    <xf numFmtId="9" fontId="53" fillId="16" borderId="76" xfId="1" applyFont="1" applyFill="1" applyBorder="1" applyAlignment="1" applyProtection="1">
      <alignment horizontal="center" vertical="center" wrapText="1"/>
      <protection locked="0"/>
    </xf>
    <xf numFmtId="0" fontId="53" fillId="16" borderId="117" xfId="0" applyFont="1" applyFill="1" applyBorder="1" applyAlignment="1" applyProtection="1">
      <alignment horizontal="center" vertical="center" wrapText="1"/>
      <protection locked="0"/>
    </xf>
    <xf numFmtId="3" fontId="53" fillId="16" borderId="118" xfId="0" applyNumberFormat="1" applyFont="1" applyFill="1" applyBorder="1" applyAlignment="1" applyProtection="1">
      <alignment horizontal="center" vertical="center" wrapText="1"/>
      <protection locked="0"/>
    </xf>
    <xf numFmtId="0" fontId="53" fillId="16" borderId="118" xfId="0" applyFont="1" applyFill="1" applyBorder="1" applyAlignment="1" applyProtection="1">
      <alignment vertical="center" wrapText="1"/>
      <protection locked="0"/>
    </xf>
    <xf numFmtId="0" fontId="53" fillId="16" borderId="76" xfId="0" applyFont="1" applyFill="1" applyBorder="1" applyAlignment="1" applyProtection="1">
      <alignment horizontal="center" vertical="center" wrapText="1"/>
      <protection locked="0"/>
    </xf>
    <xf numFmtId="0" fontId="53" fillId="16" borderId="57" xfId="0" applyFont="1" applyFill="1" applyBorder="1" applyAlignment="1" applyProtection="1">
      <alignment vertical="center" wrapText="1"/>
      <protection locked="0"/>
    </xf>
    <xf numFmtId="0" fontId="53" fillId="16" borderId="17" xfId="0" applyFont="1" applyFill="1" applyBorder="1" applyAlignment="1" applyProtection="1">
      <alignment vertical="center" wrapText="1"/>
      <protection locked="0"/>
    </xf>
    <xf numFmtId="0" fontId="53" fillId="16" borderId="58" xfId="0" applyFont="1" applyFill="1" applyBorder="1" applyAlignment="1" applyProtection="1">
      <alignment vertical="center" wrapText="1"/>
      <protection locked="0"/>
    </xf>
    <xf numFmtId="0" fontId="53" fillId="16" borderId="77" xfId="0" applyFont="1" applyFill="1" applyBorder="1" applyAlignment="1" applyProtection="1">
      <alignment vertical="center" wrapText="1"/>
      <protection locked="0"/>
    </xf>
    <xf numFmtId="0" fontId="53" fillId="16" borderId="23" xfId="0" applyFont="1" applyFill="1" applyBorder="1" applyAlignment="1" applyProtection="1">
      <alignment horizontal="center" vertical="center" wrapText="1"/>
      <protection locked="0"/>
    </xf>
    <xf numFmtId="0" fontId="53" fillId="16" borderId="57" xfId="0" applyFont="1" applyFill="1" applyBorder="1" applyAlignment="1" applyProtection="1">
      <alignment horizontal="center" vertical="center" wrapText="1"/>
      <protection locked="0"/>
    </xf>
    <xf numFmtId="0" fontId="23" fillId="16" borderId="58" xfId="0" applyFont="1" applyFill="1" applyBorder="1" applyProtection="1">
      <protection locked="0"/>
    </xf>
    <xf numFmtId="0" fontId="53" fillId="16" borderId="86" xfId="0" applyFont="1" applyFill="1" applyBorder="1" applyAlignment="1" applyProtection="1">
      <alignment horizontal="center" vertical="center" wrapText="1"/>
      <protection locked="0"/>
    </xf>
    <xf numFmtId="0" fontId="23" fillId="16" borderId="118" xfId="0" applyFont="1" applyFill="1" applyBorder="1" applyProtection="1">
      <protection locked="0"/>
    </xf>
    <xf numFmtId="0" fontId="53" fillId="16" borderId="41" xfId="0" applyFont="1" applyFill="1" applyBorder="1" applyAlignment="1" applyProtection="1">
      <alignment horizontal="center" vertical="center" wrapText="1"/>
      <protection locked="0"/>
    </xf>
    <xf numFmtId="0" fontId="23" fillId="16" borderId="77" xfId="0" applyFont="1" applyFill="1" applyBorder="1" applyProtection="1">
      <protection locked="0"/>
    </xf>
    <xf numFmtId="0" fontId="53" fillId="16" borderId="120" xfId="0" applyFont="1" applyFill="1" applyBorder="1" applyAlignment="1" applyProtection="1">
      <alignment vertical="center" wrapText="1"/>
      <protection locked="0"/>
    </xf>
    <xf numFmtId="0" fontId="53" fillId="16" borderId="121" xfId="0" applyFont="1" applyFill="1" applyBorder="1" applyAlignment="1" applyProtection="1">
      <alignment vertical="center" wrapText="1"/>
      <protection locked="0"/>
    </xf>
    <xf numFmtId="0" fontId="53" fillId="2" borderId="122" xfId="0" applyFont="1" applyFill="1" applyBorder="1" applyAlignment="1" applyProtection="1">
      <alignment horizontal="center" vertical="center" wrapText="1"/>
      <protection locked="0"/>
    </xf>
    <xf numFmtId="1" fontId="53" fillId="3" borderId="122" xfId="0" applyNumberFormat="1" applyFont="1" applyFill="1" applyBorder="1" applyAlignment="1">
      <alignment horizontal="center" vertical="center" wrapText="1"/>
    </xf>
    <xf numFmtId="10" fontId="53" fillId="3" borderId="122" xfId="1" applyNumberFormat="1" applyFont="1" applyFill="1" applyBorder="1" applyAlignment="1">
      <alignment horizontal="center" vertical="center" wrapText="1"/>
    </xf>
    <xf numFmtId="0" fontId="53" fillId="2" borderId="123" xfId="0" applyFont="1" applyFill="1" applyBorder="1" applyAlignment="1" applyProtection="1">
      <alignment horizontal="center" vertical="center" wrapText="1"/>
      <protection locked="0"/>
    </xf>
    <xf numFmtId="0" fontId="53" fillId="2" borderId="120" xfId="0" applyFont="1" applyFill="1" applyBorder="1" applyAlignment="1" applyProtection="1">
      <alignment horizontal="center" vertical="center" wrapText="1"/>
      <protection locked="0"/>
    </xf>
    <xf numFmtId="0" fontId="53" fillId="2" borderId="124" xfId="0" applyFont="1" applyFill="1" applyBorder="1" applyAlignment="1" applyProtection="1">
      <alignment horizontal="center" vertical="center" wrapText="1"/>
      <protection locked="0"/>
    </xf>
    <xf numFmtId="9" fontId="53" fillId="2" borderId="120" xfId="1" applyFont="1" applyFill="1" applyBorder="1" applyAlignment="1" applyProtection="1">
      <alignment horizontal="center" vertical="center" wrapText="1"/>
      <protection locked="0"/>
    </xf>
    <xf numFmtId="0" fontId="53" fillId="3" borderId="122" xfId="0" applyFont="1" applyFill="1" applyBorder="1" applyAlignment="1">
      <alignment horizontal="center" vertical="center" wrapText="1"/>
    </xf>
    <xf numFmtId="0" fontId="53" fillId="16" borderId="122" xfId="0" applyFont="1" applyFill="1" applyBorder="1" applyAlignment="1" applyProtection="1">
      <alignment horizontal="center" vertical="center" wrapText="1"/>
      <protection locked="0"/>
    </xf>
    <xf numFmtId="0" fontId="53" fillId="16" borderId="123" xfId="0" applyFont="1" applyFill="1" applyBorder="1" applyAlignment="1" applyProtection="1">
      <alignment horizontal="center" vertical="center" wrapText="1"/>
      <protection locked="0"/>
    </xf>
    <xf numFmtId="9" fontId="53" fillId="16" borderId="120" xfId="1" applyFont="1" applyFill="1" applyBorder="1" applyAlignment="1" applyProtection="1">
      <alignment horizontal="center" vertical="center" wrapText="1"/>
      <protection locked="0"/>
    </xf>
    <xf numFmtId="0" fontId="53" fillId="16" borderId="120" xfId="0" applyFont="1" applyFill="1" applyBorder="1" applyAlignment="1" applyProtection="1">
      <alignment horizontal="center" vertical="center" wrapText="1"/>
      <protection locked="0"/>
    </xf>
    <xf numFmtId="0" fontId="53" fillId="16" borderId="123" xfId="0" applyFont="1" applyFill="1" applyBorder="1" applyAlignment="1" applyProtection="1">
      <alignment vertical="center" wrapText="1"/>
      <protection locked="0"/>
    </xf>
    <xf numFmtId="0" fontId="53" fillId="16" borderId="124" xfId="0" applyFont="1" applyFill="1" applyBorder="1" applyAlignment="1" applyProtection="1">
      <alignment horizontal="center" vertical="center" wrapText="1"/>
      <protection locked="0"/>
    </xf>
    <xf numFmtId="0" fontId="23" fillId="16" borderId="123" xfId="0" applyFont="1" applyFill="1" applyBorder="1" applyProtection="1">
      <protection locked="0"/>
    </xf>
    <xf numFmtId="10" fontId="0" fillId="2" borderId="84" xfId="0" applyNumberFormat="1" applyFill="1" applyBorder="1" applyAlignment="1" applyProtection="1">
      <alignment horizontal="center"/>
      <protection locked="0"/>
    </xf>
    <xf numFmtId="4" fontId="0" fillId="2" borderId="87" xfId="0" applyNumberFormat="1" applyFill="1" applyBorder="1" applyAlignment="1" applyProtection="1">
      <alignment horizontal="center"/>
      <protection locked="0"/>
    </xf>
    <xf numFmtId="0" fontId="8" fillId="17" borderId="111" xfId="0" applyFont="1" applyFill="1" applyBorder="1" applyAlignment="1" applyProtection="1">
      <alignment horizontal="center"/>
      <protection locked="0"/>
    </xf>
    <xf numFmtId="0" fontId="8" fillId="17" borderId="84" xfId="0" applyFont="1" applyFill="1" applyBorder="1" applyAlignment="1" applyProtection="1">
      <alignment horizontal="center"/>
      <protection locked="0"/>
    </xf>
    <xf numFmtId="0" fontId="8" fillId="17" borderId="89" xfId="0" applyFont="1" applyFill="1" applyBorder="1" applyAlignment="1" applyProtection="1">
      <alignment horizontal="center"/>
      <protection locked="0"/>
    </xf>
    <xf numFmtId="0" fontId="0" fillId="2" borderId="87" xfId="0" applyFill="1" applyBorder="1" applyAlignment="1" applyProtection="1">
      <alignment horizontal="center"/>
      <protection locked="0"/>
    </xf>
    <xf numFmtId="0" fontId="0" fillId="2" borderId="88" xfId="0" applyFill="1" applyBorder="1" applyAlignment="1" applyProtection="1">
      <alignment horizontal="center"/>
      <protection locked="0"/>
    </xf>
    <xf numFmtId="0" fontId="0" fillId="2" borderId="87" xfId="0" applyFill="1" applyBorder="1" applyProtection="1">
      <protection locked="0"/>
    </xf>
    <xf numFmtId="0" fontId="8" fillId="17" borderId="111" xfId="0" applyFont="1" applyFill="1" applyBorder="1" applyProtection="1">
      <protection locked="0"/>
    </xf>
    <xf numFmtId="0" fontId="8" fillId="17" borderId="84" xfId="0" applyFont="1" applyFill="1" applyBorder="1" applyProtection="1">
      <protection locked="0"/>
    </xf>
    <xf numFmtId="0" fontId="8" fillId="17" borderId="89" xfId="0" applyFont="1" applyFill="1" applyBorder="1" applyProtection="1">
      <protection locked="0"/>
    </xf>
    <xf numFmtId="0" fontId="8" fillId="17" borderId="90" xfId="0" applyFont="1" applyFill="1" applyBorder="1" applyProtection="1">
      <protection locked="0"/>
    </xf>
    <xf numFmtId="0" fontId="0" fillId="2" borderId="88" xfId="0" applyFill="1" applyBorder="1" applyProtection="1">
      <protection locked="0"/>
    </xf>
    <xf numFmtId="0" fontId="8" fillId="17" borderId="91" xfId="0" applyFont="1" applyFill="1" applyBorder="1" applyProtection="1">
      <protection locked="0"/>
    </xf>
    <xf numFmtId="0" fontId="8" fillId="17" borderId="92" xfId="0" applyFont="1" applyFill="1" applyBorder="1" applyProtection="1">
      <protection locked="0"/>
    </xf>
    <xf numFmtId="0" fontId="8" fillId="17" borderId="93" xfId="0" applyFont="1" applyFill="1" applyBorder="1" applyProtection="1">
      <protection locked="0"/>
    </xf>
    <xf numFmtId="0" fontId="8" fillId="17" borderId="94" xfId="0" applyFont="1" applyFill="1" applyBorder="1" applyProtection="1">
      <protection locked="0"/>
    </xf>
    <xf numFmtId="0" fontId="0" fillId="17" borderId="90" xfId="0" applyFill="1" applyBorder="1" applyAlignment="1" applyProtection="1">
      <alignment horizontal="center"/>
      <protection locked="0"/>
    </xf>
    <xf numFmtId="0" fontId="0" fillId="17" borderId="89" xfId="0" applyFill="1" applyBorder="1" applyAlignment="1" applyProtection="1">
      <alignment horizontal="center"/>
      <protection locked="0"/>
    </xf>
    <xf numFmtId="0" fontId="0" fillId="17" borderId="111" xfId="0" applyFill="1" applyBorder="1" applyAlignment="1" applyProtection="1">
      <alignment horizontal="center"/>
      <protection locked="0"/>
    </xf>
    <xf numFmtId="0" fontId="8" fillId="17" borderId="92" xfId="0" applyFont="1" applyFill="1" applyBorder="1" applyAlignment="1" applyProtection="1">
      <alignment horizontal="center"/>
      <protection locked="0"/>
    </xf>
    <xf numFmtId="0" fontId="8" fillId="17" borderId="93" xfId="0" applyFont="1" applyFill="1" applyBorder="1" applyAlignment="1" applyProtection="1">
      <alignment horizontal="center"/>
      <protection locked="0"/>
    </xf>
    <xf numFmtId="0" fontId="0" fillId="17" borderId="94" xfId="0" applyFill="1" applyBorder="1" applyAlignment="1" applyProtection="1">
      <alignment horizontal="center"/>
      <protection locked="0"/>
    </xf>
    <xf numFmtId="0" fontId="0" fillId="17" borderId="93" xfId="0" applyFill="1" applyBorder="1" applyAlignment="1" applyProtection="1">
      <alignment horizontal="center"/>
      <protection locked="0"/>
    </xf>
    <xf numFmtId="0" fontId="0" fillId="17" borderId="91" xfId="0" applyFill="1" applyBorder="1" applyAlignment="1" applyProtection="1">
      <alignment horizontal="center"/>
      <protection locked="0"/>
    </xf>
    <xf numFmtId="3" fontId="0" fillId="2" borderId="87" xfId="0" applyNumberFormat="1" applyFill="1" applyBorder="1" applyAlignment="1" applyProtection="1">
      <alignment horizontal="center"/>
      <protection locked="0"/>
    </xf>
    <xf numFmtId="3" fontId="0" fillId="2" borderId="81" xfId="0" applyNumberFormat="1" applyFill="1" applyBorder="1" applyAlignment="1" applyProtection="1">
      <alignment horizontal="center"/>
      <protection locked="0"/>
    </xf>
    <xf numFmtId="0" fontId="0" fillId="2" borderId="81" xfId="0" applyFill="1" applyBorder="1" applyAlignment="1" applyProtection="1">
      <alignment horizontal="center"/>
      <protection locked="0"/>
    </xf>
    <xf numFmtId="0" fontId="0" fillId="17" borderId="80" xfId="0" applyFill="1" applyBorder="1" applyAlignment="1" applyProtection="1">
      <alignment horizontal="center"/>
      <protection locked="0"/>
    </xf>
    <xf numFmtId="0" fontId="0" fillId="17" borderId="82" xfId="0" applyFill="1" applyBorder="1" applyAlignment="1" applyProtection="1">
      <alignment horizontal="center"/>
      <protection locked="0"/>
    </xf>
    <xf numFmtId="0" fontId="0" fillId="17" borderId="39" xfId="0" applyFill="1" applyBorder="1" applyAlignment="1" applyProtection="1">
      <alignment horizontal="center"/>
      <protection locked="0"/>
    </xf>
    <xf numFmtId="0" fontId="0" fillId="16" borderId="24" xfId="0" applyFill="1" applyBorder="1" applyAlignment="1" applyProtection="1">
      <alignment horizontal="center"/>
      <protection locked="0"/>
    </xf>
    <xf numFmtId="3" fontId="0" fillId="2" borderId="31" xfId="0" applyNumberFormat="1" applyFill="1" applyBorder="1" applyAlignment="1" applyProtection="1">
      <alignment horizontal="center"/>
      <protection locked="0"/>
    </xf>
    <xf numFmtId="0" fontId="0" fillId="2" borderId="7" xfId="0" applyFill="1" applyBorder="1" applyAlignment="1" applyProtection="1">
      <alignment horizontal="center"/>
      <protection locked="0"/>
    </xf>
    <xf numFmtId="0" fontId="0" fillId="16" borderId="88" xfId="0" applyFill="1" applyBorder="1" applyAlignment="1" applyProtection="1">
      <alignment horizontal="center"/>
      <protection locked="0"/>
    </xf>
    <xf numFmtId="0" fontId="0" fillId="2" borderId="111" xfId="0" applyFill="1" applyBorder="1" applyAlignment="1" applyProtection="1">
      <alignment horizontal="center"/>
      <protection locked="0"/>
    </xf>
    <xf numFmtId="0" fontId="0" fillId="2" borderId="92" xfId="0" applyFill="1" applyBorder="1" applyAlignment="1" applyProtection="1">
      <alignment horizontal="center"/>
      <protection locked="0"/>
    </xf>
    <xf numFmtId="0" fontId="0" fillId="2" borderId="93" xfId="0" applyFill="1" applyBorder="1" applyAlignment="1" applyProtection="1">
      <alignment horizontal="center"/>
      <protection locked="0"/>
    </xf>
    <xf numFmtId="0" fontId="0" fillId="16" borderId="32" xfId="0" applyFill="1" applyBorder="1" applyAlignment="1" applyProtection="1">
      <alignment horizontal="left" vertical="top"/>
      <protection locked="0"/>
    </xf>
    <xf numFmtId="0" fontId="0" fillId="16" borderId="24" xfId="0" applyFill="1" applyBorder="1" applyAlignment="1" applyProtection="1">
      <alignment horizontal="left" vertical="top"/>
      <protection locked="0"/>
    </xf>
    <xf numFmtId="0" fontId="0" fillId="2" borderId="31" xfId="0" applyFill="1" applyBorder="1" applyProtection="1">
      <protection locked="0"/>
    </xf>
    <xf numFmtId="0" fontId="26" fillId="2" borderId="84" xfId="0" applyFont="1" applyFill="1" applyBorder="1" applyAlignment="1" applyProtection="1">
      <alignment horizontal="center" vertical="center" wrapText="1"/>
      <protection locked="0"/>
    </xf>
    <xf numFmtId="0" fontId="26" fillId="2" borderId="17" xfId="0" applyFont="1" applyFill="1" applyBorder="1" applyAlignment="1" applyProtection="1">
      <alignment horizontal="center" vertical="center" wrapText="1"/>
      <protection locked="0"/>
    </xf>
    <xf numFmtId="0" fontId="81" fillId="2" borderId="17" xfId="0" applyFont="1" applyFill="1" applyBorder="1" applyAlignment="1" applyProtection="1">
      <alignment horizontal="center" vertical="center" wrapText="1"/>
      <protection locked="0"/>
    </xf>
    <xf numFmtId="0" fontId="81" fillId="2" borderId="84" xfId="0" applyFont="1" applyFill="1" applyBorder="1" applyAlignment="1" applyProtection="1">
      <alignment horizontal="center" vertical="center" wrapText="1"/>
      <protection locked="0"/>
    </xf>
    <xf numFmtId="0" fontId="5" fillId="2" borderId="84" xfId="0" applyFont="1" applyFill="1" applyBorder="1" applyAlignment="1" applyProtection="1">
      <alignment horizontal="center"/>
      <protection locked="0"/>
    </xf>
    <xf numFmtId="0" fontId="51" fillId="2" borderId="84" xfId="0" applyFont="1" applyFill="1" applyBorder="1" applyAlignment="1" applyProtection="1">
      <alignment horizontal="center"/>
      <protection locked="0"/>
    </xf>
    <xf numFmtId="0" fontId="5" fillId="17" borderId="84" xfId="0" applyFont="1" applyFill="1" applyBorder="1" applyAlignment="1" applyProtection="1">
      <alignment horizontal="center"/>
      <protection locked="0"/>
    </xf>
    <xf numFmtId="0" fontId="5" fillId="14" borderId="0" xfId="0" applyFont="1" applyFill="1" applyBorder="1" applyAlignment="1" applyProtection="1">
      <protection locked="0"/>
    </xf>
    <xf numFmtId="0" fontId="0" fillId="2" borderId="84" xfId="0" applyFill="1" applyBorder="1" applyAlignment="1" applyProtection="1">
      <alignment horizontal="center"/>
      <protection locked="0"/>
    </xf>
    <xf numFmtId="0" fontId="0" fillId="2" borderId="86" xfId="0" applyFill="1" applyBorder="1" applyAlignment="1" applyProtection="1">
      <alignment horizontal="center" vertical="center"/>
      <protection locked="0"/>
    </xf>
    <xf numFmtId="0" fontId="0" fillId="16" borderId="86" xfId="0" applyFill="1" applyBorder="1" applyAlignment="1" applyProtection="1">
      <alignment horizontal="center" vertical="center"/>
      <protection locked="0"/>
    </xf>
    <xf numFmtId="0" fontId="0" fillId="16" borderId="84" xfId="0" applyFill="1" applyBorder="1" applyAlignment="1" applyProtection="1">
      <alignment horizontal="center"/>
      <protection locked="0"/>
    </xf>
    <xf numFmtId="0" fontId="5" fillId="2" borderId="84" xfId="0" applyFont="1" applyFill="1" applyBorder="1" applyProtection="1">
      <protection locked="0"/>
    </xf>
    <xf numFmtId="0" fontId="5" fillId="2" borderId="17" xfId="0" applyFont="1" applyFill="1" applyBorder="1" applyProtection="1">
      <protection locked="0"/>
    </xf>
    <xf numFmtId="0" fontId="5" fillId="2" borderId="84" xfId="0" applyFont="1" applyFill="1" applyBorder="1" applyAlignment="1" applyProtection="1">
      <protection locked="0"/>
    </xf>
    <xf numFmtId="0" fontId="60" fillId="2" borderId="84" xfId="0" applyFont="1" applyFill="1" applyBorder="1" applyAlignment="1" applyProtection="1">
      <alignment vertical="top" wrapText="1"/>
      <protection locked="0"/>
    </xf>
    <xf numFmtId="0" fontId="23" fillId="2" borderId="84" xfId="0" applyFont="1" applyFill="1" applyBorder="1" applyAlignment="1" applyProtection="1">
      <alignment horizontal="center"/>
      <protection locked="0"/>
    </xf>
    <xf numFmtId="0" fontId="26" fillId="17" borderId="84" xfId="0" applyFont="1" applyFill="1" applyBorder="1" applyAlignment="1" applyProtection="1">
      <alignment horizontal="center" vertical="center" wrapText="1"/>
      <protection locked="0"/>
    </xf>
    <xf numFmtId="0" fontId="26" fillId="17" borderId="94" xfId="0" applyFont="1" applyFill="1" applyBorder="1" applyAlignment="1" applyProtection="1">
      <alignment horizontal="center" vertical="center" wrapText="1"/>
      <protection locked="0"/>
    </xf>
    <xf numFmtId="9" fontId="26" fillId="17" borderId="93" xfId="1" applyFont="1" applyFill="1" applyBorder="1" applyAlignment="1" applyProtection="1">
      <alignment horizontal="center" vertical="center" wrapText="1"/>
      <protection locked="0"/>
    </xf>
    <xf numFmtId="0" fontId="26" fillId="17" borderId="91" xfId="0" applyFont="1" applyFill="1" applyBorder="1" applyAlignment="1" applyProtection="1">
      <alignment horizontal="center" vertical="center" wrapText="1"/>
      <protection locked="0"/>
    </xf>
    <xf numFmtId="0" fontId="26" fillId="17" borderId="93" xfId="0" applyFont="1" applyFill="1" applyBorder="1" applyAlignment="1" applyProtection="1">
      <alignment horizontal="center" vertical="center" wrapText="1"/>
      <protection locked="0"/>
    </xf>
    <xf numFmtId="0" fontId="53" fillId="17" borderId="93" xfId="0" applyFont="1" applyFill="1" applyBorder="1" applyAlignment="1" applyProtection="1">
      <alignment horizontal="center" vertical="center" wrapText="1"/>
      <protection locked="0"/>
    </xf>
    <xf numFmtId="0" fontId="59" fillId="0" borderId="34" xfId="0" applyFont="1" applyBorder="1" applyAlignment="1">
      <alignment horizontal="left" wrapText="1"/>
    </xf>
    <xf numFmtId="0" fontId="59" fillId="0" borderId="0" xfId="0" applyFont="1" applyBorder="1" applyAlignment="1">
      <alignment horizontal="left" wrapText="1"/>
    </xf>
    <xf numFmtId="0" fontId="0" fillId="0" borderId="84" xfId="0" applyBorder="1" applyAlignment="1">
      <alignment horizontal="center" vertical="center"/>
    </xf>
    <xf numFmtId="0" fontId="127" fillId="2" borderId="84" xfId="0" applyFont="1" applyFill="1" applyBorder="1" applyAlignment="1">
      <alignment horizontal="center" vertical="center" wrapText="1"/>
    </xf>
    <xf numFmtId="0" fontId="127" fillId="16" borderId="84" xfId="0" applyFont="1" applyFill="1" applyBorder="1" applyAlignment="1">
      <alignment horizontal="center" vertical="center" wrapText="1"/>
    </xf>
    <xf numFmtId="0" fontId="127" fillId="3" borderId="84" xfId="0" applyFont="1" applyFill="1" applyBorder="1" applyAlignment="1">
      <alignment horizontal="center" vertical="center" wrapText="1"/>
    </xf>
    <xf numFmtId="0" fontId="127" fillId="17" borderId="84" xfId="0" applyFont="1" applyFill="1" applyBorder="1" applyAlignment="1">
      <alignment horizontal="center" vertical="center" wrapText="1"/>
    </xf>
    <xf numFmtId="0" fontId="56" fillId="12" borderId="54" xfId="0" applyFont="1" applyFill="1" applyBorder="1" applyAlignment="1">
      <alignment horizontal="center" vertical="center" wrapText="1"/>
    </xf>
    <xf numFmtId="0" fontId="56" fillId="12" borderId="119" xfId="0" applyFont="1" applyFill="1" applyBorder="1" applyAlignment="1">
      <alignment horizontal="center" vertical="center" wrapText="1"/>
    </xf>
    <xf numFmtId="0" fontId="100" fillId="12" borderId="54" xfId="0" applyFont="1" applyFill="1" applyBorder="1" applyAlignment="1">
      <alignment horizontal="center" vertical="center" wrapText="1"/>
    </xf>
    <xf numFmtId="0" fontId="100" fillId="12" borderId="47" xfId="0" applyFont="1" applyFill="1" applyBorder="1" applyAlignment="1">
      <alignment horizontal="center" vertical="center" wrapText="1"/>
    </xf>
    <xf numFmtId="0" fontId="100" fillId="12" borderId="55" xfId="0" applyFont="1" applyFill="1" applyBorder="1" applyAlignment="1">
      <alignment horizontal="center" vertical="center" wrapText="1"/>
    </xf>
    <xf numFmtId="0" fontId="0" fillId="0" borderId="0" xfId="0" applyFont="1" applyBorder="1" applyAlignment="1">
      <alignment horizontal="center"/>
    </xf>
    <xf numFmtId="1" fontId="6" fillId="16" borderId="84" xfId="1" applyNumberFormat="1" applyFont="1" applyFill="1" applyBorder="1" applyAlignment="1" applyProtection="1">
      <alignment horizontal="center" vertical="center" wrapText="1"/>
      <protection locked="0"/>
    </xf>
    <xf numFmtId="0" fontId="6" fillId="16" borderId="84" xfId="0" applyFont="1" applyFill="1" applyBorder="1" applyAlignment="1" applyProtection="1">
      <alignment horizontal="center" vertical="center" wrapText="1"/>
      <protection locked="0"/>
    </xf>
    <xf numFmtId="0" fontId="58" fillId="12" borderId="50" xfId="0" applyFont="1" applyFill="1" applyBorder="1" applyAlignment="1">
      <alignment horizontal="center" vertical="center" wrapText="1"/>
    </xf>
    <xf numFmtId="0" fontId="58" fillId="12" borderId="56" xfId="0" applyFont="1" applyFill="1" applyBorder="1" applyAlignment="1">
      <alignment horizontal="center" vertical="center" wrapText="1"/>
    </xf>
    <xf numFmtId="0" fontId="23" fillId="0" borderId="0" xfId="0" applyFont="1" applyFill="1" applyBorder="1" applyAlignment="1">
      <alignment horizontal="left" vertical="center" wrapText="1"/>
    </xf>
    <xf numFmtId="0" fontId="0" fillId="2" borderId="84" xfId="0" applyFill="1" applyBorder="1" applyAlignment="1" applyProtection="1">
      <alignment horizontal="center" vertical="center" wrapText="1"/>
      <protection locked="0"/>
    </xf>
    <xf numFmtId="0" fontId="0" fillId="16" borderId="84" xfId="0" applyFill="1" applyBorder="1" applyAlignment="1" applyProtection="1">
      <alignment horizontal="center" vertical="center" wrapText="1"/>
      <protection locked="0"/>
    </xf>
    <xf numFmtId="0" fontId="0" fillId="16" borderId="84" xfId="0" applyFill="1" applyBorder="1" applyAlignment="1" applyProtection="1">
      <alignment horizontal="center" vertical="center"/>
      <protection locked="0"/>
    </xf>
    <xf numFmtId="0" fontId="0" fillId="12" borderId="68" xfId="0" applyFill="1" applyBorder="1" applyAlignment="1">
      <alignment horizontal="center" vertical="center" wrapText="1"/>
    </xf>
    <xf numFmtId="0" fontId="0" fillId="12" borderId="69" xfId="0" applyFill="1" applyBorder="1" applyAlignment="1">
      <alignment horizontal="center" vertical="center" wrapText="1"/>
    </xf>
    <xf numFmtId="0" fontId="0" fillId="12" borderId="70" xfId="0" applyFill="1" applyBorder="1" applyAlignment="1">
      <alignment horizontal="center" vertical="center" wrapText="1"/>
    </xf>
    <xf numFmtId="0" fontId="0" fillId="12" borderId="71" xfId="0" applyFill="1" applyBorder="1" applyAlignment="1">
      <alignment horizontal="center" vertical="center" wrapText="1"/>
    </xf>
    <xf numFmtId="0" fontId="0" fillId="12" borderId="0" xfId="0" applyFill="1" applyBorder="1" applyAlignment="1">
      <alignment horizontal="center" vertical="center" wrapText="1"/>
    </xf>
    <xf numFmtId="0" fontId="0" fillId="12" borderId="72" xfId="0" applyFill="1" applyBorder="1" applyAlignment="1">
      <alignment horizontal="center" vertical="center" wrapText="1"/>
    </xf>
    <xf numFmtId="0" fontId="0" fillId="12" borderId="73" xfId="0" applyFill="1" applyBorder="1" applyAlignment="1">
      <alignment horizontal="center" vertical="center" wrapText="1"/>
    </xf>
    <xf numFmtId="0" fontId="0" fillId="12" borderId="74" xfId="0" applyFill="1" applyBorder="1" applyAlignment="1">
      <alignment horizontal="center" vertical="center" wrapText="1"/>
    </xf>
    <xf numFmtId="0" fontId="0" fillId="12" borderId="75" xfId="0" applyFill="1" applyBorder="1" applyAlignment="1">
      <alignment horizontal="center" vertical="center" wrapText="1"/>
    </xf>
    <xf numFmtId="14" fontId="0" fillId="16" borderId="86" xfId="0" applyNumberFormat="1" applyFill="1" applyBorder="1" applyAlignment="1" applyProtection="1">
      <alignment horizontal="center"/>
      <protection locked="0"/>
    </xf>
    <xf numFmtId="0" fontId="0" fillId="16" borderId="111" xfId="0" applyFill="1" applyBorder="1" applyAlignment="1" applyProtection="1">
      <alignment horizontal="center"/>
      <protection locked="0"/>
    </xf>
    <xf numFmtId="0" fontId="0" fillId="0" borderId="2" xfId="0" applyBorder="1" applyAlignment="1">
      <alignment horizontal="center" vertical="center"/>
    </xf>
    <xf numFmtId="0" fontId="0" fillId="0" borderId="3" xfId="0" applyBorder="1" applyAlignment="1">
      <alignment horizontal="center" vertical="center"/>
    </xf>
    <xf numFmtId="0" fontId="2" fillId="8" borderId="99" xfId="0" applyFont="1" applyFill="1" applyBorder="1" applyAlignment="1">
      <alignment horizontal="left" vertical="top" wrapText="1"/>
    </xf>
    <xf numFmtId="0" fontId="2" fillId="8" borderId="0" xfId="0" applyFont="1" applyFill="1" applyBorder="1" applyAlignment="1">
      <alignment horizontal="left" vertical="top" wrapText="1"/>
    </xf>
    <xf numFmtId="0" fontId="2" fillId="8" borderId="100" xfId="0" applyFont="1" applyFill="1" applyBorder="1" applyAlignment="1">
      <alignment horizontal="left" vertical="top" wrapText="1"/>
    </xf>
    <xf numFmtId="0" fontId="2" fillId="8" borderId="101" xfId="0" applyFont="1" applyFill="1" applyBorder="1" applyAlignment="1">
      <alignment horizontal="left" vertical="top" wrapText="1"/>
    </xf>
    <xf numFmtId="0" fontId="2" fillId="8" borderId="102" xfId="0" applyFont="1" applyFill="1" applyBorder="1" applyAlignment="1">
      <alignment horizontal="left" vertical="top" wrapText="1"/>
    </xf>
    <xf numFmtId="0" fontId="2" fillId="8" borderId="103" xfId="0" applyFont="1" applyFill="1" applyBorder="1" applyAlignment="1">
      <alignment horizontal="left" vertical="top" wrapText="1"/>
    </xf>
    <xf numFmtId="0" fontId="23" fillId="0" borderId="0" xfId="0" applyFont="1" applyAlignment="1">
      <alignment horizontal="left" vertical="center" wrapText="1"/>
    </xf>
    <xf numFmtId="0" fontId="20" fillId="0" borderId="0" xfId="0" applyFont="1" applyFill="1" applyAlignment="1">
      <alignment horizontal="left" vertical="center" wrapText="1"/>
    </xf>
    <xf numFmtId="0" fontId="109" fillId="0" borderId="0" xfId="2" applyFont="1" applyAlignment="1" applyProtection="1">
      <alignment horizontal="left" vertical="center" wrapText="1"/>
      <protection locked="0"/>
    </xf>
    <xf numFmtId="0" fontId="0" fillId="0" borderId="0" xfId="0" applyFill="1" applyAlignment="1">
      <alignment horizontal="left" vertical="center" wrapText="1"/>
    </xf>
    <xf numFmtId="0" fontId="0" fillId="16" borderId="84" xfId="0" applyFill="1" applyBorder="1" applyAlignment="1" applyProtection="1">
      <alignment horizontal="left" vertical="center"/>
      <protection locked="0"/>
    </xf>
    <xf numFmtId="0" fontId="12" fillId="16" borderId="84" xfId="2" applyFill="1" applyBorder="1" applyAlignment="1" applyProtection="1">
      <alignment horizontal="left" vertical="center" wrapText="1"/>
      <protection locked="0"/>
    </xf>
    <xf numFmtId="0" fontId="0" fillId="16" borderId="84" xfId="0" applyFill="1" applyBorder="1" applyAlignment="1" applyProtection="1">
      <alignment horizontal="left" vertical="center" wrapText="1"/>
      <protection locked="0"/>
    </xf>
    <xf numFmtId="0" fontId="34" fillId="0" borderId="67" xfId="0" applyFont="1" applyFill="1" applyBorder="1" applyAlignment="1">
      <alignment horizontal="center" wrapText="1"/>
    </xf>
    <xf numFmtId="0" fontId="35" fillId="0" borderId="60" xfId="0" applyFont="1" applyBorder="1" applyAlignment="1">
      <alignment horizontal="left" vertical="center" wrapText="1"/>
    </xf>
    <xf numFmtId="0" fontId="35" fillId="0" borderId="62" xfId="0" applyFont="1" applyBorder="1" applyAlignment="1">
      <alignment horizontal="left" vertical="center" wrapText="1"/>
    </xf>
    <xf numFmtId="0" fontId="35" fillId="0" borderId="78" xfId="0" applyFont="1" applyBorder="1" applyAlignment="1">
      <alignment horizontal="left" vertical="center" wrapText="1"/>
    </xf>
    <xf numFmtId="0" fontId="35" fillId="0" borderId="79" xfId="0" applyFont="1" applyBorder="1" applyAlignment="1">
      <alignment horizontal="left" vertical="center" wrapText="1"/>
    </xf>
    <xf numFmtId="0" fontId="54" fillId="0" borderId="0" xfId="0" applyFont="1" applyAlignment="1">
      <alignment horizontal="left" vertical="center" wrapText="1"/>
    </xf>
    <xf numFmtId="0" fontId="90" fillId="4" borderId="59" xfId="0" applyFont="1" applyFill="1" applyBorder="1" applyAlignment="1">
      <alignment horizontal="center" vertical="center" wrapText="1"/>
    </xf>
    <xf numFmtId="0" fontId="90" fillId="4" borderId="50" xfId="0" applyFont="1" applyFill="1" applyBorder="1" applyAlignment="1">
      <alignment horizontal="center" vertical="center" wrapText="1"/>
    </xf>
    <xf numFmtId="0" fontId="85" fillId="13" borderId="9" xfId="0" applyFont="1" applyFill="1" applyBorder="1" applyAlignment="1">
      <alignment horizontal="center" vertical="center" wrapText="1"/>
    </xf>
    <xf numFmtId="0" fontId="85" fillId="13" borderId="0" xfId="0" applyFont="1" applyFill="1" applyBorder="1" applyAlignment="1">
      <alignment horizontal="center" vertical="center" wrapText="1"/>
    </xf>
    <xf numFmtId="0" fontId="85" fillId="13" borderId="10" xfId="0" applyFont="1" applyFill="1" applyBorder="1" applyAlignment="1">
      <alignment horizontal="center" vertical="center" wrapText="1"/>
    </xf>
    <xf numFmtId="0" fontId="85" fillId="4" borderId="60" xfId="0" applyFont="1" applyFill="1" applyBorder="1" applyAlignment="1">
      <alignment horizontal="center" vertical="center" wrapText="1"/>
    </xf>
    <xf numFmtId="0" fontId="85" fillId="4" borderId="61" xfId="0" applyFont="1" applyFill="1" applyBorder="1" applyAlignment="1">
      <alignment horizontal="center" vertical="center" wrapText="1"/>
    </xf>
    <xf numFmtId="0" fontId="85" fillId="4" borderId="62" xfId="0" applyFont="1" applyFill="1" applyBorder="1" applyAlignment="1">
      <alignment horizontal="center" vertical="center" wrapText="1"/>
    </xf>
    <xf numFmtId="0" fontId="34" fillId="0" borderId="0" xfId="0" applyFont="1" applyAlignment="1">
      <alignment horizontal="left" vertical="center" wrapText="1"/>
    </xf>
    <xf numFmtId="0" fontId="55" fillId="0" borderId="0" xfId="0" applyFont="1" applyAlignment="1">
      <alignment horizontal="left" vertical="center" wrapText="1"/>
    </xf>
    <xf numFmtId="0" fontId="85" fillId="4" borderId="9" xfId="0" applyFont="1" applyFill="1" applyBorder="1" applyAlignment="1">
      <alignment horizontal="center" vertical="center" wrapText="1"/>
    </xf>
    <xf numFmtId="0" fontId="85" fillId="4" borderId="0" xfId="0" applyFont="1" applyFill="1" applyBorder="1" applyAlignment="1">
      <alignment horizontal="center" vertical="center" wrapText="1"/>
    </xf>
    <xf numFmtId="0" fontId="88" fillId="4" borderId="54" xfId="0" applyFont="1" applyFill="1" applyBorder="1" applyAlignment="1">
      <alignment horizontal="center" vertical="center" wrapText="1"/>
    </xf>
    <xf numFmtId="0" fontId="88" fillId="4" borderId="47" xfId="0" applyFont="1" applyFill="1" applyBorder="1" applyAlignment="1">
      <alignment horizontal="center" vertical="center" wrapText="1"/>
    </xf>
    <xf numFmtId="0" fontId="88" fillId="4" borderId="55" xfId="0" applyFont="1" applyFill="1" applyBorder="1" applyAlignment="1">
      <alignment horizontal="center" vertical="center" wrapText="1"/>
    </xf>
    <xf numFmtId="0" fontId="88" fillId="4" borderId="3" xfId="0" applyFont="1" applyFill="1" applyBorder="1" applyAlignment="1">
      <alignment horizontal="center" vertical="center" wrapText="1"/>
    </xf>
    <xf numFmtId="0" fontId="88" fillId="4" borderId="45" xfId="0" applyFont="1" applyFill="1" applyBorder="1" applyAlignment="1">
      <alignment horizontal="center" vertical="center" wrapText="1"/>
    </xf>
    <xf numFmtId="0" fontId="88" fillId="4" borderId="2" xfId="0" applyFont="1" applyFill="1" applyBorder="1" applyAlignment="1">
      <alignment horizontal="center" vertical="center" wrapText="1"/>
    </xf>
    <xf numFmtId="0" fontId="88" fillId="4" borderId="59" xfId="0" applyFont="1" applyFill="1" applyBorder="1" applyAlignment="1">
      <alignment horizontal="center" vertical="center" wrapText="1"/>
    </xf>
    <xf numFmtId="0" fontId="88" fillId="4" borderId="50" xfId="0" applyFont="1" applyFill="1" applyBorder="1" applyAlignment="1">
      <alignment horizontal="center" vertical="center" wrapText="1"/>
    </xf>
    <xf numFmtId="0" fontId="88" fillId="4" borderId="56" xfId="0" applyFont="1" applyFill="1" applyBorder="1" applyAlignment="1">
      <alignment horizontal="center" vertical="center" wrapText="1"/>
    </xf>
    <xf numFmtId="0" fontId="82" fillId="30" borderId="54" xfId="0" applyFont="1" applyFill="1" applyBorder="1" applyAlignment="1">
      <alignment horizontal="center" vertical="center" wrapText="1"/>
    </xf>
    <xf numFmtId="0" fontId="82" fillId="30" borderId="47" xfId="0" applyFont="1" applyFill="1" applyBorder="1" applyAlignment="1">
      <alignment horizontal="center" vertical="center" wrapText="1"/>
    </xf>
    <xf numFmtId="0" fontId="82" fillId="30" borderId="55" xfId="0" applyFont="1" applyFill="1" applyBorder="1" applyAlignment="1">
      <alignment horizontal="center" vertical="center" wrapText="1"/>
    </xf>
    <xf numFmtId="0" fontId="87" fillId="19" borderId="54" xfId="0" applyFont="1" applyFill="1" applyBorder="1" applyAlignment="1">
      <alignment horizontal="left" vertical="center" wrapText="1"/>
    </xf>
    <xf numFmtId="0" fontId="87" fillId="19" borderId="47" xfId="0" applyFont="1" applyFill="1" applyBorder="1" applyAlignment="1">
      <alignment horizontal="left" vertical="center" wrapText="1"/>
    </xf>
    <xf numFmtId="0" fontId="87" fillId="19" borderId="61" xfId="0" applyFont="1" applyFill="1" applyBorder="1" applyAlignment="1">
      <alignment horizontal="left" vertical="center" wrapText="1"/>
    </xf>
    <xf numFmtId="0" fontId="87" fillId="19" borderId="62" xfId="0" applyFont="1" applyFill="1" applyBorder="1" applyAlignment="1">
      <alignment horizontal="left" vertical="center" wrapText="1"/>
    </xf>
    <xf numFmtId="0" fontId="82" fillId="38" borderId="52" xfId="0" applyFont="1" applyFill="1" applyBorder="1" applyAlignment="1">
      <alignment horizontal="center" vertical="center"/>
    </xf>
    <xf numFmtId="0" fontId="82" fillId="38" borderId="53" xfId="0" applyFont="1" applyFill="1" applyBorder="1" applyAlignment="1">
      <alignment horizontal="center" vertical="center"/>
    </xf>
    <xf numFmtId="0" fontId="106" fillId="38" borderId="47" xfId="0" applyFont="1" applyFill="1" applyBorder="1" applyAlignment="1">
      <alignment horizontal="center" vertical="center"/>
    </xf>
    <xf numFmtId="0" fontId="24" fillId="13" borderId="0" xfId="0" applyFont="1" applyFill="1" applyAlignment="1">
      <alignment horizontal="center" vertical="center"/>
    </xf>
    <xf numFmtId="0" fontId="24" fillId="13" borderId="10" xfId="0" applyFont="1" applyFill="1" applyBorder="1" applyAlignment="1">
      <alignment horizontal="center" vertical="center"/>
    </xf>
    <xf numFmtId="0" fontId="88" fillId="4" borderId="63" xfId="0" applyFont="1" applyFill="1" applyBorder="1" applyAlignment="1">
      <alignment horizontal="center" vertical="center" wrapText="1"/>
    </xf>
    <xf numFmtId="0" fontId="88" fillId="4" borderId="64" xfId="0" applyFont="1" applyFill="1" applyBorder="1" applyAlignment="1">
      <alignment horizontal="center" vertical="center" wrapText="1"/>
    </xf>
    <xf numFmtId="0" fontId="88" fillId="4" borderId="65" xfId="0" applyFont="1" applyFill="1" applyBorder="1" applyAlignment="1">
      <alignment horizontal="center" vertical="center" wrapText="1"/>
    </xf>
    <xf numFmtId="0" fontId="88" fillId="4" borderId="66" xfId="0" applyFont="1" applyFill="1" applyBorder="1" applyAlignment="1">
      <alignment horizontal="center" vertical="center" wrapText="1"/>
    </xf>
    <xf numFmtId="0" fontId="70" fillId="14" borderId="0" xfId="0" applyFont="1" applyFill="1" applyBorder="1" applyAlignment="1">
      <alignment horizontal="left" vertical="center" wrapText="1"/>
    </xf>
    <xf numFmtId="0" fontId="90" fillId="4" borderId="104" xfId="0" applyFont="1" applyFill="1" applyBorder="1" applyAlignment="1">
      <alignment horizontal="center" vertical="center" wrapText="1"/>
    </xf>
    <xf numFmtId="0" fontId="90" fillId="4" borderId="105" xfId="0" applyFont="1" applyFill="1" applyBorder="1" applyAlignment="1">
      <alignment horizontal="center" vertical="center" wrapText="1"/>
    </xf>
    <xf numFmtId="0" fontId="33" fillId="0" borderId="0" xfId="0" applyFont="1" applyAlignment="1">
      <alignment horizontal="left" vertical="center" wrapText="1"/>
    </xf>
    <xf numFmtId="0" fontId="27" fillId="14" borderId="0" xfId="0" applyFont="1" applyFill="1" applyBorder="1" applyAlignment="1">
      <alignment horizontal="center" wrapText="1"/>
    </xf>
    <xf numFmtId="0" fontId="26" fillId="3" borderId="84" xfId="0" applyFont="1" applyFill="1" applyBorder="1" applyAlignment="1">
      <alignment horizontal="center" vertical="center" wrapText="1"/>
    </xf>
    <xf numFmtId="0" fontId="6" fillId="0" borderId="0" xfId="0" applyFont="1" applyAlignment="1">
      <alignment horizontal="left" vertical="center" wrapText="1"/>
    </xf>
    <xf numFmtId="0" fontId="0" fillId="16" borderId="24" xfId="0" applyFill="1" applyBorder="1" applyAlignment="1" applyProtection="1">
      <alignment horizontal="center"/>
      <protection locked="0"/>
    </xf>
    <xf numFmtId="0" fontId="8" fillId="13" borderId="107" xfId="0" applyFont="1" applyFill="1" applyBorder="1" applyAlignment="1">
      <alignment horizontal="center"/>
    </xf>
    <xf numFmtId="0" fontId="8" fillId="13" borderId="16" xfId="0" applyFont="1" applyFill="1" applyBorder="1" applyAlignment="1">
      <alignment horizontal="center"/>
    </xf>
    <xf numFmtId="0" fontId="125" fillId="39" borderId="47" xfId="0" applyFont="1" applyFill="1" applyBorder="1" applyAlignment="1">
      <alignment horizontal="left" vertical="center" wrapText="1"/>
    </xf>
    <xf numFmtId="0" fontId="0" fillId="16" borderId="32" xfId="0" applyFill="1" applyBorder="1" applyAlignment="1" applyProtection="1">
      <alignment horizontal="center"/>
      <protection locked="0"/>
    </xf>
    <xf numFmtId="0" fontId="35" fillId="14" borderId="25" xfId="0" applyFont="1" applyFill="1" applyBorder="1" applyAlignment="1">
      <alignment horizontal="center"/>
    </xf>
    <xf numFmtId="0" fontId="35" fillId="14" borderId="30" xfId="0" applyFont="1" applyFill="1" applyBorder="1" applyAlignment="1">
      <alignment horizontal="center"/>
    </xf>
    <xf numFmtId="0" fontId="0" fillId="2" borderId="113" xfId="0" applyFill="1" applyBorder="1" applyAlignment="1" applyProtection="1">
      <alignment horizontal="center"/>
      <protection locked="0"/>
    </xf>
    <xf numFmtId="0" fontId="0" fillId="2" borderId="114" xfId="0" applyFill="1" applyBorder="1" applyAlignment="1" applyProtection="1">
      <alignment horizontal="center"/>
      <protection locked="0"/>
    </xf>
    <xf numFmtId="0" fontId="6" fillId="0" borderId="0" xfId="0" applyFont="1" applyBorder="1" applyAlignment="1">
      <alignment horizontal="center" vertical="center" wrapText="1"/>
    </xf>
    <xf numFmtId="0" fontId="5" fillId="2" borderId="112" xfId="0" applyFont="1" applyFill="1" applyBorder="1" applyAlignment="1" applyProtection="1">
      <alignment horizontal="center"/>
      <protection locked="0"/>
    </xf>
    <xf numFmtId="0" fontId="5" fillId="2" borderId="108" xfId="0" applyFont="1" applyFill="1" applyBorder="1" applyAlignment="1" applyProtection="1">
      <alignment horizontal="center"/>
      <protection locked="0"/>
    </xf>
    <xf numFmtId="0" fontId="0" fillId="16" borderId="32" xfId="0" applyFill="1" applyBorder="1" applyAlignment="1" applyProtection="1">
      <alignment horizontal="left" vertical="top"/>
      <protection locked="0"/>
    </xf>
    <xf numFmtId="0" fontId="0" fillId="16" borderId="24" xfId="0" applyFill="1" applyBorder="1" applyAlignment="1" applyProtection="1">
      <alignment horizontal="left" vertical="top"/>
      <protection locked="0"/>
    </xf>
    <xf numFmtId="0" fontId="0" fillId="13" borderId="108" xfId="0" applyFill="1" applyBorder="1" applyAlignment="1">
      <alignment horizontal="center"/>
    </xf>
    <xf numFmtId="0" fontId="0" fillId="13" borderId="17" xfId="0" applyFill="1" applyBorder="1" applyAlignment="1">
      <alignment horizontal="center"/>
    </xf>
    <xf numFmtId="0" fontId="0" fillId="2" borderId="91" xfId="0" applyFill="1" applyBorder="1" applyAlignment="1" applyProtection="1">
      <alignment horizontal="center"/>
      <protection locked="0"/>
    </xf>
    <xf numFmtId="0" fontId="0" fillId="2" borderId="92" xfId="0" applyFill="1" applyBorder="1" applyAlignment="1" applyProtection="1">
      <alignment horizontal="center"/>
      <protection locked="0"/>
    </xf>
    <xf numFmtId="0" fontId="0" fillId="2" borderId="18" xfId="0" applyFill="1" applyBorder="1" applyAlignment="1" applyProtection="1">
      <alignment horizontal="center"/>
      <protection locked="0"/>
    </xf>
    <xf numFmtId="0" fontId="0" fillId="2" borderId="109" xfId="0" applyFill="1" applyBorder="1" applyAlignment="1" applyProtection="1">
      <alignment horizontal="center"/>
      <protection locked="0"/>
    </xf>
    <xf numFmtId="0" fontId="54" fillId="0" borderId="52" xfId="0" applyFont="1" applyBorder="1" applyAlignment="1">
      <alignment horizontal="left" vertical="center" wrapText="1"/>
    </xf>
    <xf numFmtId="0" fontId="54" fillId="0" borderId="0" xfId="0" applyFont="1" applyBorder="1" applyAlignment="1">
      <alignment horizontal="left" vertical="center" wrapText="1"/>
    </xf>
    <xf numFmtId="0" fontId="0" fillId="2" borderId="84" xfId="0" applyFill="1" applyBorder="1" applyAlignment="1" applyProtection="1">
      <alignment horizontal="center" vertical="center"/>
      <protection locked="0"/>
    </xf>
    <xf numFmtId="0" fontId="105" fillId="0" borderId="86" xfId="0" applyFont="1" applyBorder="1" applyAlignment="1">
      <alignment horizontal="center"/>
    </xf>
    <xf numFmtId="0" fontId="105" fillId="0" borderId="16" xfId="0" applyFont="1" applyBorder="1" applyAlignment="1">
      <alignment horizontal="center"/>
    </xf>
    <xf numFmtId="0" fontId="105" fillId="0" borderId="111" xfId="0" applyFont="1" applyBorder="1" applyAlignment="1">
      <alignment horizontal="center"/>
    </xf>
    <xf numFmtId="0" fontId="51" fillId="2" borderId="84" xfId="0" applyFont="1" applyFill="1" applyBorder="1" applyAlignment="1" applyProtection="1">
      <alignment horizontal="center"/>
      <protection locked="0"/>
    </xf>
    <xf numFmtId="0" fontId="6" fillId="0" borderId="0" xfId="0" applyFont="1" applyAlignment="1">
      <alignment horizontal="center" wrapText="1"/>
    </xf>
    <xf numFmtId="0" fontId="6" fillId="0" borderId="24" xfId="0" applyFont="1" applyBorder="1" applyAlignment="1">
      <alignment horizontal="center" wrapText="1"/>
    </xf>
    <xf numFmtId="0" fontId="29" fillId="0" borderId="61" xfId="0" applyFont="1" applyBorder="1" applyAlignment="1">
      <alignment horizontal="left" wrapText="1"/>
    </xf>
    <xf numFmtId="0" fontId="0" fillId="0" borderId="0" xfId="0" applyAlignment="1">
      <alignment horizontal="left" wrapText="1"/>
    </xf>
    <xf numFmtId="0" fontId="0" fillId="4" borderId="84" xfId="0" applyFill="1" applyBorder="1" applyAlignment="1">
      <alignment horizontal="center"/>
    </xf>
    <xf numFmtId="0" fontId="0" fillId="0" borderId="0" xfId="0" applyFont="1" applyBorder="1" applyAlignment="1">
      <alignment horizontal="center" textRotation="90" wrapText="1"/>
    </xf>
    <xf numFmtId="0" fontId="6" fillId="0" borderId="24" xfId="0" applyFont="1" applyBorder="1" applyAlignment="1">
      <alignment horizontal="center"/>
    </xf>
    <xf numFmtId="0" fontId="0" fillId="4" borderId="84" xfId="0" applyFill="1" applyBorder="1" applyAlignment="1">
      <alignment horizontal="center" wrapText="1"/>
    </xf>
    <xf numFmtId="0" fontId="54" fillId="0" borderId="67" xfId="0" applyFont="1" applyBorder="1" applyAlignment="1">
      <alignment horizontal="left" vertical="center" wrapText="1"/>
    </xf>
    <xf numFmtId="0" fontId="123" fillId="12" borderId="0" xfId="0" applyFont="1" applyFill="1" applyAlignment="1">
      <alignment horizontal="left" vertical="center" wrapText="1"/>
    </xf>
    <xf numFmtId="0" fontId="105" fillId="12" borderId="0" xfId="0" applyFont="1" applyFill="1" applyAlignment="1">
      <alignment horizontal="left"/>
    </xf>
    <xf numFmtId="0" fontId="66" fillId="13" borderId="0" xfId="0" applyFont="1" applyFill="1" applyAlignment="1">
      <alignment horizontal="center" vertical="center" wrapText="1"/>
    </xf>
    <xf numFmtId="0" fontId="59" fillId="20" borderId="18" xfId="0" applyFont="1" applyFill="1" applyBorder="1" applyAlignment="1">
      <alignment horizontal="center" vertical="center"/>
    </xf>
    <xf numFmtId="0" fontId="59" fillId="20" borderId="14" xfId="0" applyFont="1" applyFill="1" applyBorder="1" applyAlignment="1">
      <alignment horizontal="center" vertical="center"/>
    </xf>
    <xf numFmtId="0" fontId="59" fillId="20" borderId="19" xfId="0" applyFont="1" applyFill="1" applyBorder="1" applyAlignment="1">
      <alignment horizontal="center" vertical="center"/>
    </xf>
    <xf numFmtId="0" fontId="66" fillId="30" borderId="9" xfId="0" applyFont="1" applyFill="1" applyBorder="1" applyAlignment="1">
      <alignment horizontal="center" vertical="center"/>
    </xf>
    <xf numFmtId="0" fontId="66" fillId="30" borderId="0" xfId="0" applyFont="1" applyFill="1" applyBorder="1" applyAlignment="1">
      <alignment horizontal="center" vertical="center"/>
    </xf>
    <xf numFmtId="0" fontId="19" fillId="0" borderId="0" xfId="0" applyFont="1" applyAlignment="1">
      <alignment horizontal="center" vertical="center"/>
    </xf>
    <xf numFmtId="0" fontId="18" fillId="0" borderId="15" xfId="0" applyFont="1" applyBorder="1" applyAlignment="1">
      <alignment vertical="center"/>
    </xf>
    <xf numFmtId="0" fontId="25" fillId="12" borderId="7" xfId="0" applyFont="1" applyFill="1" applyBorder="1" applyAlignment="1">
      <alignment horizontal="center" vertical="center"/>
    </xf>
    <xf numFmtId="0" fontId="25" fillId="12" borderId="8" xfId="0" applyFont="1" applyFill="1" applyBorder="1" applyAlignment="1">
      <alignment horizontal="center" vertical="center"/>
    </xf>
    <xf numFmtId="0" fontId="25" fillId="12" borderId="6" xfId="0" applyFont="1" applyFill="1" applyBorder="1" applyAlignment="1">
      <alignment horizontal="center" vertical="center" wrapText="1"/>
    </xf>
    <xf numFmtId="0" fontId="8" fillId="15" borderId="84" xfId="0" applyFont="1" applyFill="1" applyBorder="1" applyAlignment="1">
      <alignment horizontal="center" vertical="center" wrapText="1"/>
    </xf>
    <xf numFmtId="0" fontId="19" fillId="0" borderId="15" xfId="0" applyFont="1" applyBorder="1" applyAlignment="1">
      <alignment horizontal="center" vertical="center"/>
    </xf>
    <xf numFmtId="0" fontId="8" fillId="16" borderId="86" xfId="0" applyFont="1" applyFill="1" applyBorder="1" applyAlignment="1">
      <alignment horizontal="center" vertical="center"/>
    </xf>
    <xf numFmtId="0" fontId="8" fillId="16" borderId="16" xfId="0" applyFont="1" applyFill="1" applyBorder="1" applyAlignment="1">
      <alignment horizontal="center" vertical="center"/>
    </xf>
    <xf numFmtId="0" fontId="8" fillId="16" borderId="111" xfId="0" applyFont="1" applyFill="1" applyBorder="1" applyAlignment="1">
      <alignment horizontal="center" vertical="center"/>
    </xf>
    <xf numFmtId="0" fontId="36" fillId="12" borderId="84" xfId="0" applyFont="1" applyFill="1" applyBorder="1" applyAlignment="1">
      <alignment horizontal="center" vertical="center"/>
    </xf>
    <xf numFmtId="0" fontId="25" fillId="29" borderId="23" xfId="0" applyFont="1" applyFill="1" applyBorder="1" applyAlignment="1">
      <alignment horizontal="center" vertical="center"/>
    </xf>
    <xf numFmtId="0" fontId="25" fillId="29" borderId="24" xfId="0" applyFont="1" applyFill="1" applyBorder="1" applyAlignment="1">
      <alignment horizontal="center" vertical="center"/>
    </xf>
    <xf numFmtId="0" fontId="29" fillId="14" borderId="4" xfId="0" applyFont="1" applyFill="1" applyBorder="1" applyAlignment="1">
      <alignment horizontal="center" wrapText="1"/>
    </xf>
    <xf numFmtId="0" fontId="29" fillId="14" borderId="24" xfId="0" applyFont="1" applyFill="1" applyBorder="1" applyAlignment="1">
      <alignment horizontal="center" wrapText="1"/>
    </xf>
  </cellXfs>
  <cellStyles count="12">
    <cellStyle name="All Borders" xfId="4" xr:uid="{10E30D41-5DBA-41E8-89F3-4772639B09BA}"/>
    <cellStyle name="All Borders 2" xfId="5" xr:uid="{A8DB5CD5-45CF-46A5-95D0-C4EF6C69E375}"/>
    <cellStyle name="All Borders 2 2" xfId="9" xr:uid="{AFE5C584-D817-4279-9C64-5DF853975A78}"/>
    <cellStyle name="Blue Shade" xfId="3" xr:uid="{72692CB5-AD8C-4C39-B3FC-EE9DF08DF350}"/>
    <cellStyle name="CAS RN" xfId="6" xr:uid="{EA43F227-CC56-4A51-BEF0-A254EF5D6CCF}"/>
    <cellStyle name="CAS RN 2" xfId="10" xr:uid="{BBF23E49-E76C-4798-9E5C-A43CC59C3F5D}"/>
    <cellStyle name="Chemical Name" xfId="7" xr:uid="{AE06FEAF-E5A0-4143-B515-B4953BC8FC85}"/>
    <cellStyle name="Chemical Name 2" xfId="11" xr:uid="{FBC3E2BA-DD37-4F01-B4CF-361A37B8A162}"/>
    <cellStyle name="Hyperlink" xfId="2" builtinId="8"/>
    <cellStyle name="Normal" xfId="0" builtinId="0"/>
    <cellStyle name="Normal 2" xfId="8" xr:uid="{6AF4A493-C7A0-46F8-80B3-E6D361ADEEA4}"/>
    <cellStyle name="Percent" xfId="1" builtinId="5"/>
  </cellStyles>
  <dxfs count="7">
    <dxf>
      <font>
        <b val="0"/>
        <i val="0"/>
        <strike val="0"/>
        <condense val="0"/>
        <extend val="0"/>
        <outline val="0"/>
        <shadow val="0"/>
        <u val="none"/>
        <vertAlign val="baseline"/>
        <sz val="10"/>
        <color theme="1"/>
        <name val="Calibri"/>
        <family val="2"/>
        <scheme val="minor"/>
      </font>
      <alignment horizontal="general" vertical="center" textRotation="0" wrapText="1" indent="0" justifyLastLine="0" shrinkToFit="0" readingOrder="0"/>
      <border diagonalUp="0" diagonalDown="0">
        <left style="thin">
          <color auto="1"/>
        </left>
        <right/>
        <top style="thin">
          <color auto="1"/>
        </top>
        <bottom style="thin">
          <color auto="1"/>
        </bottom>
        <vertical/>
        <horizontal/>
      </border>
    </dxf>
    <dxf>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rgb="FF0000FF"/>
        <name val="Calibri"/>
        <family val="2"/>
        <scheme val="minor"/>
      </font>
      <alignment horizontal="general" vertical="center" textRotation="0" wrapText="1"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bottom style="thick">
          <color theme="7"/>
        </bottom>
      </border>
    </dxf>
    <dxf>
      <font>
        <b/>
        <i val="0"/>
        <strike val="0"/>
        <condense val="0"/>
        <extend val="0"/>
        <outline val="0"/>
        <shadow val="0"/>
        <u val="none"/>
        <vertAlign val="baseline"/>
        <sz val="10"/>
        <color auto="1"/>
        <name val="Calibri"/>
        <family val="2"/>
        <scheme val="minor"/>
      </font>
      <fill>
        <patternFill patternType="solid">
          <fgColor indexed="64"/>
          <bgColor theme="2" tint="-9.9978637043366805E-2"/>
        </patternFill>
      </fill>
      <alignment horizontal="center" vertical="center" textRotation="0" indent="0" justifyLastLine="0" shrinkToFit="0" readingOrder="0"/>
      <border diagonalUp="0" diagonalDown="0" outline="0">
        <left style="thin">
          <color auto="1"/>
        </left>
        <right style="thin">
          <color auto="1"/>
        </right>
        <top/>
        <bottom/>
      </border>
    </dxf>
  </dxfs>
  <tableStyles count="0" defaultTableStyle="TableStyleMedium2" defaultPivotStyle="PivotStyleLight16"/>
  <colors>
    <mruColors>
      <color rgb="FFFFCCCC"/>
      <color rgb="FFCCCCFF"/>
      <color rgb="FF0000FF"/>
      <color rgb="FF66CCFF"/>
      <color rgb="FFFFFF99"/>
      <color rgb="FFFFCC99"/>
      <color rgb="FFFFABAB"/>
      <color rgb="FFE0CDFF"/>
      <color rgb="FF89FFBE"/>
      <color rgb="FFD6ED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559708</xdr:colOff>
      <xdr:row>1</xdr:row>
      <xdr:rowOff>155120</xdr:rowOff>
    </xdr:from>
    <xdr:to>
      <xdr:col>20</xdr:col>
      <xdr:colOff>125639</xdr:colOff>
      <xdr:row>26</xdr:row>
      <xdr:rowOff>101780</xdr:rowOff>
    </xdr:to>
    <xdr:sp macro="" textlink="">
      <xdr:nvSpPr>
        <xdr:cNvPr id="3" name="Text Box 2">
          <a:extLst>
            <a:ext uri="{FF2B5EF4-FFF2-40B4-BE49-F238E27FC236}">
              <a16:creationId xmlns:a16="http://schemas.microsoft.com/office/drawing/2014/main" id="{43C72571-6EFC-4E2E-9F70-8D7B4E8E88EA}"/>
            </a:ext>
          </a:extLst>
        </xdr:cNvPr>
        <xdr:cNvSpPr txBox="1">
          <a:spLocks noChangeArrowheads="1"/>
        </xdr:cNvSpPr>
      </xdr:nvSpPr>
      <xdr:spPr bwMode="auto">
        <a:xfrm>
          <a:off x="7265308" y="602795"/>
          <a:ext cx="5052331" cy="4480560"/>
        </a:xfrm>
        <a:prstGeom prst="rect">
          <a:avLst/>
        </a:prstGeom>
        <a:solidFill>
          <a:schemeClr val="accent4"/>
        </a:solidFill>
        <a:ln w="53975" cmpd="thickThin">
          <a:solidFill>
            <a:schemeClr val="bg2">
              <a:lumMod val="50000"/>
            </a:schemeClr>
          </a:solidFill>
          <a:miter lim="800000"/>
          <a:headEnd/>
          <a:tailEnd/>
        </a:ln>
        <a:effectLst>
          <a:outerShdw blurRad="50800" dist="38100" dir="2700000" algn="tl" rotWithShape="0">
            <a:prstClr val="black">
              <a:alpha val="40000"/>
            </a:prstClr>
          </a:outerShdw>
        </a:effectLst>
      </xdr:spPr>
      <xdr:txBody>
        <a:bodyPr vertOverflow="clip" wrap="square" lIns="36576" tIns="22860" rIns="36576" bIns="0" anchor="ctr" upright="1"/>
        <a:lstStyle/>
        <a:p>
          <a:r>
            <a:rPr lang="en-US" sz="1100">
              <a:effectLst/>
              <a:latin typeface="+mn-lt"/>
              <a:ea typeface="+mn-ea"/>
              <a:cs typeface="+mn-cs"/>
            </a:rPr>
            <a:t>This material was prepared as an account of work sponsored by an agency of the United States Government.  Neither the United States Government nor the United States Department of Energy, nor Battelle, nor any of their employees, nor any jurisdiction or organization that has cooperated in the development of these materials, makes any warranty, express or implied, or assumes any legal liability or responsibility for the accuracy, completeness, or usefulness or any information, apparatus, product, software, or process disclosed, or represents that its use would not infringe privately owned rights.</a:t>
          </a:r>
        </a:p>
        <a:p>
          <a:endParaRPr lang="en-US" sz="1100">
            <a:effectLst/>
            <a:latin typeface="+mn-lt"/>
            <a:ea typeface="+mn-ea"/>
            <a:cs typeface="+mn-cs"/>
          </a:endParaRPr>
        </a:p>
        <a:p>
          <a:r>
            <a:rPr lang="en-US" sz="1100">
              <a:effectLst/>
              <a:latin typeface="+mn-lt"/>
              <a:ea typeface="+mn-ea"/>
              <a:cs typeface="+mn-cs"/>
            </a:rPr>
            <a:t>Reference herein to any specific commercial product, process, or service by trade name, trademark, manufacturer, or otherwise does not necessarily constitute or imply its endorsement, recommendation, or favoring by the United States Government or any agency thereof, or Battelle Memorial Institute. The views and opinions of authors expressed herein do not necessarily state or reflect those of the United States Government or any agency thereof.</a:t>
          </a:r>
        </a:p>
        <a:p>
          <a:endParaRPr lang="en-US" sz="1100">
            <a:effectLst/>
            <a:latin typeface="+mn-lt"/>
            <a:ea typeface="+mn-ea"/>
            <a:cs typeface="+mn-cs"/>
          </a:endParaRPr>
        </a:p>
        <a:p>
          <a:pPr algn="ctr"/>
          <a:r>
            <a:rPr lang="en-US" sz="1100">
              <a:effectLst/>
              <a:latin typeface="+mn-lt"/>
              <a:ea typeface="+mn-ea"/>
              <a:cs typeface="+mn-cs"/>
            </a:rPr>
            <a:t>PACIFIC NORTHWEST NATIONAL LABORATORY</a:t>
          </a:r>
        </a:p>
        <a:p>
          <a:pPr algn="ctr"/>
          <a:r>
            <a:rPr lang="en-US" sz="1100" i="1">
              <a:effectLst/>
              <a:latin typeface="+mn-lt"/>
              <a:ea typeface="+mn-ea"/>
              <a:cs typeface="+mn-cs"/>
            </a:rPr>
            <a:t>operated by</a:t>
          </a:r>
          <a:endParaRPr lang="en-US" sz="1100">
            <a:effectLst/>
            <a:latin typeface="+mn-lt"/>
            <a:ea typeface="+mn-ea"/>
            <a:cs typeface="+mn-cs"/>
          </a:endParaRPr>
        </a:p>
        <a:p>
          <a:pPr algn="ctr"/>
          <a:r>
            <a:rPr lang="en-US" sz="1100">
              <a:effectLst/>
              <a:latin typeface="+mn-lt"/>
              <a:ea typeface="+mn-ea"/>
              <a:cs typeface="+mn-cs"/>
            </a:rPr>
            <a:t>BATTELLE</a:t>
          </a:r>
        </a:p>
        <a:p>
          <a:pPr algn="ctr"/>
          <a:r>
            <a:rPr lang="en-US" sz="1100" i="1">
              <a:effectLst/>
              <a:latin typeface="+mn-lt"/>
              <a:ea typeface="+mn-ea"/>
              <a:cs typeface="+mn-cs"/>
            </a:rPr>
            <a:t>for the</a:t>
          </a:r>
          <a:endParaRPr lang="en-US" sz="1100">
            <a:effectLst/>
            <a:latin typeface="+mn-lt"/>
            <a:ea typeface="+mn-ea"/>
            <a:cs typeface="+mn-cs"/>
          </a:endParaRPr>
        </a:p>
        <a:p>
          <a:pPr algn="ctr"/>
          <a:r>
            <a:rPr lang="en-US" sz="1100">
              <a:effectLst/>
              <a:latin typeface="+mn-lt"/>
              <a:ea typeface="+mn-ea"/>
              <a:cs typeface="+mn-cs"/>
            </a:rPr>
            <a:t>UNITED STATES DEPARTMENT OF ENERGY</a:t>
          </a:r>
        </a:p>
        <a:p>
          <a:pPr algn="ctr"/>
          <a:r>
            <a:rPr lang="en-US" sz="1100" i="1">
              <a:effectLst/>
              <a:latin typeface="+mn-lt"/>
              <a:ea typeface="+mn-ea"/>
              <a:cs typeface="+mn-cs"/>
            </a:rPr>
            <a:t>under Contract DE-AC05-76RL01830</a:t>
          </a:r>
          <a:endParaRPr lang="en-US" sz="1100">
            <a:effectLst/>
            <a:latin typeface="+mn-lt"/>
            <a:ea typeface="+mn-ea"/>
            <a:cs typeface="+mn-cs"/>
          </a:endParaRPr>
        </a:p>
      </xdr:txBody>
    </xdr:sp>
    <xdr:clientData/>
  </xdr:twoCellAnchor>
  <xdr:twoCellAnchor editAs="oneCell">
    <xdr:from>
      <xdr:col>0</xdr:col>
      <xdr:colOff>122920</xdr:colOff>
      <xdr:row>1</xdr:row>
      <xdr:rowOff>144689</xdr:rowOff>
    </xdr:from>
    <xdr:to>
      <xdr:col>11</xdr:col>
      <xdr:colOff>374196</xdr:colOff>
      <xdr:row>26</xdr:row>
      <xdr:rowOff>91349</xdr:rowOff>
    </xdr:to>
    <xdr:sp macro="" textlink="">
      <xdr:nvSpPr>
        <xdr:cNvPr id="6" name="Text Box 1">
          <a:extLst>
            <a:ext uri="{FF2B5EF4-FFF2-40B4-BE49-F238E27FC236}">
              <a16:creationId xmlns:a16="http://schemas.microsoft.com/office/drawing/2014/main" id="{EB0212B0-8219-4CE3-9E30-3859B176D5EA}"/>
            </a:ext>
          </a:extLst>
        </xdr:cNvPr>
        <xdr:cNvSpPr txBox="1">
          <a:spLocks noChangeArrowheads="1"/>
        </xdr:cNvSpPr>
      </xdr:nvSpPr>
      <xdr:spPr bwMode="auto">
        <a:xfrm>
          <a:off x="122920" y="592364"/>
          <a:ext cx="6956876" cy="4480560"/>
        </a:xfrm>
        <a:prstGeom prst="rect">
          <a:avLst/>
        </a:prstGeom>
        <a:solidFill>
          <a:schemeClr val="accent4"/>
        </a:solidFill>
        <a:ln w="53975" cmpd="thickThin">
          <a:solidFill>
            <a:schemeClr val="bg2">
              <a:lumMod val="50000"/>
            </a:schemeClr>
          </a:solidFill>
          <a:miter lim="800000"/>
          <a:headEnd/>
          <a:tailEnd/>
        </a:ln>
        <a:effectLst>
          <a:outerShdw blurRad="50800" dist="38100" dir="2700000" algn="tl" rotWithShape="0">
            <a:prstClr val="black">
              <a:alpha val="40000"/>
            </a:prstClr>
          </a:outerShdw>
        </a:effectLst>
      </xdr:spPr>
      <xdr:txBody>
        <a:bodyPr vertOverflow="clip" wrap="square" lIns="36576" tIns="22860" rIns="36576" bIns="0" anchor="ctr" upright="1"/>
        <a:lstStyle/>
        <a:p>
          <a:pPr marL="0" marR="0" algn="ctr">
            <a:spcBef>
              <a:spcPts val="1200"/>
            </a:spcBef>
            <a:spcAft>
              <a:spcPts val="1500"/>
            </a:spcAft>
          </a:pPr>
          <a:r>
            <a:rPr lang="en-US" sz="1100" b="1" i="0" u="none" strike="noStrike" kern="1400" spc="25" baseline="0">
              <a:solidFill>
                <a:sysClr val="windowText" lastClr="000000"/>
              </a:solidFill>
              <a:latin typeface="+mj-lt"/>
              <a:cs typeface="Times New Roman" pitchFamily="18" charset="0"/>
            </a:rPr>
            <a:t>LIFE CYCLE INVENTORY (LCI) TEMPLATE for Luminaire Products</a:t>
          </a:r>
          <a:endParaRPr lang="en-US" sz="1100" b="0" i="0" u="none" strike="noStrike" baseline="0">
            <a:solidFill>
              <a:srgbClr val="000000"/>
            </a:solidFill>
            <a:latin typeface="+mj-lt"/>
            <a:cs typeface="Arial"/>
          </a:endParaRPr>
        </a:p>
        <a:p>
          <a:pPr algn="ctr"/>
          <a:r>
            <a:rPr lang="en-US" sz="1100">
              <a:effectLst/>
              <a:latin typeface="+mn-lt"/>
              <a:ea typeface="+mn-ea"/>
              <a:cs typeface="+mn-cs"/>
            </a:rPr>
            <a:t>Copyright © 2023, Battelle Memorial Institute</a:t>
          </a:r>
          <a:br>
            <a:rPr lang="en-US" sz="1100">
              <a:effectLst/>
              <a:latin typeface="+mn-lt"/>
              <a:ea typeface="+mn-ea"/>
              <a:cs typeface="+mn-cs"/>
            </a:rPr>
          </a:br>
          <a:r>
            <a:rPr lang="en-US" sz="1100">
              <a:effectLst/>
              <a:latin typeface="+mn-lt"/>
              <a:ea typeface="+mn-ea"/>
              <a:cs typeface="+mn-cs"/>
            </a:rPr>
            <a:t>All rights reserved.</a:t>
          </a:r>
          <a:br>
            <a:rPr lang="en-US" sz="1100">
              <a:effectLst/>
              <a:latin typeface="+mn-lt"/>
              <a:ea typeface="+mn-ea"/>
              <a:cs typeface="+mn-cs"/>
            </a:rPr>
          </a:br>
          <a:endParaRPr lang="en-US" sz="1100">
            <a:effectLst/>
            <a:latin typeface="+mn-lt"/>
            <a:ea typeface="+mn-ea"/>
            <a:cs typeface="+mn-cs"/>
          </a:endParaRPr>
        </a:p>
        <a:p>
          <a:pPr lvl="0"/>
          <a:r>
            <a:rPr lang="en-US" sz="1100">
              <a:effectLst/>
              <a:latin typeface="+mn-lt"/>
              <a:ea typeface="+mn-ea"/>
              <a:cs typeface="+mn-cs"/>
            </a:rPr>
            <a:t>1. Battelle Memorial Institute (hereinafter Battelle) hereby grants permission to any person or entity lawfully obtaining a copy of this software and associated documentation files (hereinafter “the Software”) to redistribute and use the Software in source and binary forms, with or without modification.  Such person or entity may use, copy, modify, merge, publish, distribute, sublicense, and/or sell copies of the Software, and may permit others to do so, subject to the following conditions:</a:t>
          </a:r>
        </a:p>
        <a:p>
          <a:pPr lvl="0"/>
          <a:r>
            <a:rPr lang="en-US" sz="1100">
              <a:effectLst/>
              <a:latin typeface="+mn-lt"/>
              <a:ea typeface="+mn-ea"/>
              <a:cs typeface="+mn-cs"/>
            </a:rPr>
            <a:t>•  </a:t>
          </a:r>
          <a:r>
            <a:rPr lang="en-US" sz="1050">
              <a:effectLst/>
              <a:latin typeface="+mn-lt"/>
              <a:ea typeface="+mn-ea"/>
              <a:cs typeface="+mn-cs"/>
            </a:rPr>
            <a:t>Redistributions of source code must retain the above copyright notice, this list of conditions and the following disclaimers. </a:t>
          </a:r>
        </a:p>
        <a:p>
          <a:pPr lvl="0"/>
          <a:r>
            <a:rPr lang="en-US" sz="1100">
              <a:effectLst/>
              <a:latin typeface="+mn-lt"/>
              <a:ea typeface="+mn-ea"/>
              <a:cs typeface="+mn-cs"/>
            </a:rPr>
            <a:t>•  </a:t>
          </a:r>
          <a:r>
            <a:rPr lang="en-US" sz="1050">
              <a:effectLst/>
              <a:latin typeface="+mn-lt"/>
              <a:ea typeface="+mn-ea"/>
              <a:cs typeface="+mn-cs"/>
            </a:rPr>
            <a:t>Redistributions in binary form must reproduce the above copyright notice, this list of conditions and the following disclaimer in the documentation and/or other materials provided with the distribution. </a:t>
          </a:r>
        </a:p>
        <a:p>
          <a:pPr lvl="0"/>
          <a:r>
            <a:rPr lang="en-US" sz="1100">
              <a:effectLst/>
              <a:latin typeface="+mn-lt"/>
              <a:ea typeface="+mn-ea"/>
              <a:cs typeface="+mn-cs"/>
            </a:rPr>
            <a:t>•  </a:t>
          </a:r>
          <a:r>
            <a:rPr lang="en-US" sz="1050">
              <a:effectLst/>
              <a:latin typeface="+mn-lt"/>
              <a:ea typeface="+mn-ea"/>
              <a:cs typeface="+mn-cs"/>
            </a:rPr>
            <a:t>Other than as used herein, neither the name Battelle Memorial Institute or Battelle may be used in any form whatsoever without the express written consent of Battelle. </a:t>
          </a:r>
        </a:p>
        <a:p>
          <a:pPr lvl="0"/>
          <a:r>
            <a:rPr lang="en-US" sz="1100">
              <a:effectLst/>
              <a:latin typeface="+mn-lt"/>
              <a:ea typeface="+mn-ea"/>
              <a:cs typeface="+mn-cs"/>
            </a:rPr>
            <a:t> </a:t>
          </a:r>
        </a:p>
        <a:p>
          <a:pPr lvl="0"/>
          <a:r>
            <a:rPr lang="en-US" sz="1100">
              <a:effectLst/>
              <a:latin typeface="+mn-lt"/>
              <a:ea typeface="+mn-ea"/>
              <a:cs typeface="+mn-cs"/>
            </a:rPr>
            <a:t>2. THIS SOFTWARE IS PROVIDED BY THE COPYRIGHT HOLDERS AND CONTRIBUTORS "AS IS" AND ANY EXPRESS OR IMPLIED WARRANTIES, INCLUDING, BUT NOT LIMITED TO, THE IMPLIED WARRANTIES OF MERCHANTABILITY AND FITNESS FOR A PARTICULAR PURPOSE ARE DISCLAIMED. IN NO EVENT SHALL BATTELLE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a:t>
          </a:r>
        </a:p>
      </xdr:txBody>
    </xdr:sp>
    <xdr:clientData/>
  </xdr:twoCellAnchor>
  <xdr:oneCellAnchor>
    <xdr:from>
      <xdr:col>1</xdr:col>
      <xdr:colOff>251733</xdr:colOff>
      <xdr:row>27</xdr:row>
      <xdr:rowOff>95250</xdr:rowOff>
    </xdr:from>
    <xdr:ext cx="184731" cy="264560"/>
    <xdr:sp macro="" textlink="">
      <xdr:nvSpPr>
        <xdr:cNvPr id="5" name="TextBox 4">
          <a:extLst>
            <a:ext uri="{FF2B5EF4-FFF2-40B4-BE49-F238E27FC236}">
              <a16:creationId xmlns:a16="http://schemas.microsoft.com/office/drawing/2014/main" id="{AEB1D736-876D-5065-0AB3-79DB6E27A23B}"/>
            </a:ext>
          </a:extLst>
        </xdr:cNvPr>
        <xdr:cNvSpPr txBox="1"/>
      </xdr:nvSpPr>
      <xdr:spPr>
        <a:xfrm>
          <a:off x="864054" y="5504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14</xdr:col>
      <xdr:colOff>696950</xdr:colOff>
      <xdr:row>45</xdr:row>
      <xdr:rowOff>221748</xdr:rowOff>
    </xdr:from>
    <xdr:ext cx="5533951" cy="937629"/>
    <xdr:sp macro="" textlink="">
      <xdr:nvSpPr>
        <xdr:cNvPr id="2" name="Rectangle 1">
          <a:extLst>
            <a:ext uri="{FF2B5EF4-FFF2-40B4-BE49-F238E27FC236}">
              <a16:creationId xmlns:a16="http://schemas.microsoft.com/office/drawing/2014/main" id="{32D724EE-AED5-427E-BDB6-7C249E2359F2}"/>
            </a:ext>
          </a:extLst>
        </xdr:cNvPr>
        <xdr:cNvSpPr/>
      </xdr:nvSpPr>
      <xdr:spPr>
        <a:xfrm>
          <a:off x="10872825" y="9968998"/>
          <a:ext cx="5533951"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FUNCTIONAL</a:t>
          </a:r>
          <a:r>
            <a:rPr lang="en-US" sz="54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UNIT</a:t>
          </a:r>
          <a:endPar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148167</xdr:colOff>
      <xdr:row>33</xdr:row>
      <xdr:rowOff>63499</xdr:rowOff>
    </xdr:from>
    <xdr:to>
      <xdr:col>2</xdr:col>
      <xdr:colOff>85896</xdr:colOff>
      <xdr:row>41</xdr:row>
      <xdr:rowOff>9525</xdr:rowOff>
    </xdr:to>
    <xdr:pic>
      <xdr:nvPicPr>
        <xdr:cNvPr id="4" name="Picture 1">
          <a:extLst>
            <a:ext uri="{FF2B5EF4-FFF2-40B4-BE49-F238E27FC236}">
              <a16:creationId xmlns:a16="http://schemas.microsoft.com/office/drawing/2014/main" id="{B7CBCB3C-C1CF-47AF-B5BC-EF049A7115F5}"/>
            </a:ext>
          </a:extLst>
        </xdr:cNvPr>
        <xdr:cNvPicPr>
          <a:picLocks noChangeAspect="1"/>
        </xdr:cNvPicPr>
      </xdr:nvPicPr>
      <xdr:blipFill>
        <a:blip xmlns:r="http://schemas.openxmlformats.org/officeDocument/2006/relationships" r:embed="rId1"/>
        <a:stretch>
          <a:fillRect/>
        </a:stretch>
      </xdr:blipFill>
      <xdr:spPr>
        <a:xfrm>
          <a:off x="148167" y="8826499"/>
          <a:ext cx="3563579" cy="13906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210814</xdr:colOff>
      <xdr:row>52</xdr:row>
      <xdr:rowOff>34925</xdr:rowOff>
    </xdr:from>
    <xdr:to>
      <xdr:col>20</xdr:col>
      <xdr:colOff>0</xdr:colOff>
      <xdr:row>70</xdr:row>
      <xdr:rowOff>135381</xdr:rowOff>
    </xdr:to>
    <xdr:pic>
      <xdr:nvPicPr>
        <xdr:cNvPr id="2" name="Picture 1">
          <a:extLst>
            <a:ext uri="{FF2B5EF4-FFF2-40B4-BE49-F238E27FC236}">
              <a16:creationId xmlns:a16="http://schemas.microsoft.com/office/drawing/2014/main" id="{22DC10C2-0DE9-4EC5-BC3C-C316B334079A}"/>
            </a:ext>
          </a:extLst>
        </xdr:cNvPr>
        <xdr:cNvPicPr>
          <a:picLocks noChangeAspect="1"/>
        </xdr:cNvPicPr>
      </xdr:nvPicPr>
      <xdr:blipFill>
        <a:blip xmlns:r="http://schemas.openxmlformats.org/officeDocument/2006/relationships" r:embed="rId1"/>
        <a:stretch>
          <a:fillRect/>
        </a:stretch>
      </xdr:blipFill>
      <xdr:spPr>
        <a:xfrm>
          <a:off x="7392664" y="11198225"/>
          <a:ext cx="4351661" cy="3415156"/>
        </a:xfrm>
        <a:prstGeom prst="rect">
          <a:avLst/>
        </a:prstGeom>
      </xdr:spPr>
    </xdr:pic>
    <xdr:clientData/>
  </xdr:twoCellAnchor>
  <xdr:twoCellAnchor editAs="oneCell">
    <xdr:from>
      <xdr:col>21</xdr:col>
      <xdr:colOff>158750</xdr:colOff>
      <xdr:row>45</xdr:row>
      <xdr:rowOff>101600</xdr:rowOff>
    </xdr:from>
    <xdr:to>
      <xdr:col>33</xdr:col>
      <xdr:colOff>483666</xdr:colOff>
      <xdr:row>93</xdr:row>
      <xdr:rowOff>52082</xdr:rowOff>
    </xdr:to>
    <xdr:pic>
      <xdr:nvPicPr>
        <xdr:cNvPr id="3" name="Picture 2">
          <a:extLst>
            <a:ext uri="{FF2B5EF4-FFF2-40B4-BE49-F238E27FC236}">
              <a16:creationId xmlns:a16="http://schemas.microsoft.com/office/drawing/2014/main" id="{E046E6DA-6410-4A9C-A629-6CBB92B28A01}"/>
            </a:ext>
          </a:extLst>
        </xdr:cNvPr>
        <xdr:cNvPicPr>
          <a:picLocks noChangeAspect="1"/>
        </xdr:cNvPicPr>
      </xdr:nvPicPr>
      <xdr:blipFill>
        <a:blip xmlns:r="http://schemas.openxmlformats.org/officeDocument/2006/relationships" r:embed="rId2"/>
        <a:stretch>
          <a:fillRect/>
        </a:stretch>
      </xdr:blipFill>
      <xdr:spPr>
        <a:xfrm>
          <a:off x="12512675" y="9988550"/>
          <a:ext cx="7643291" cy="91865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67</xdr:col>
      <xdr:colOff>400050</xdr:colOff>
      <xdr:row>38</xdr:row>
      <xdr:rowOff>50536</xdr:rowOff>
    </xdr:from>
    <xdr:to>
      <xdr:col>78</xdr:col>
      <xdr:colOff>428625</xdr:colOff>
      <xdr:row>55</xdr:row>
      <xdr:rowOff>144779</xdr:rowOff>
    </xdr:to>
    <xdr:pic>
      <xdr:nvPicPr>
        <xdr:cNvPr id="2" name="Picture 1">
          <a:extLst>
            <a:ext uri="{FF2B5EF4-FFF2-40B4-BE49-F238E27FC236}">
              <a16:creationId xmlns:a16="http://schemas.microsoft.com/office/drawing/2014/main" id="{DFF0D71E-FFE7-4580-98AA-8723AF2ED53B}"/>
            </a:ext>
          </a:extLst>
        </xdr:cNvPr>
        <xdr:cNvPicPr>
          <a:picLocks noChangeAspect="1"/>
        </xdr:cNvPicPr>
      </xdr:nvPicPr>
      <xdr:blipFill>
        <a:blip xmlns:r="http://schemas.openxmlformats.org/officeDocument/2006/relationships" r:embed="rId1"/>
        <a:stretch>
          <a:fillRect/>
        </a:stretch>
      </xdr:blipFill>
      <xdr:spPr>
        <a:xfrm>
          <a:off x="42748200" y="2765161"/>
          <a:ext cx="6734175" cy="31708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130175</xdr:colOff>
      <xdr:row>4</xdr:row>
      <xdr:rowOff>209550</xdr:rowOff>
    </xdr:from>
    <xdr:to>
      <xdr:col>1</xdr:col>
      <xdr:colOff>549275</xdr:colOff>
      <xdr:row>4</xdr:row>
      <xdr:rowOff>209550</xdr:rowOff>
    </xdr:to>
    <xdr:cxnSp macro="">
      <xdr:nvCxnSpPr>
        <xdr:cNvPr id="3" name="Straight Arrow Connector 2">
          <a:extLst>
            <a:ext uri="{FF2B5EF4-FFF2-40B4-BE49-F238E27FC236}">
              <a16:creationId xmlns:a16="http://schemas.microsoft.com/office/drawing/2014/main" id="{11C1B901-B219-4447-AC38-095935A467F2}"/>
            </a:ext>
          </a:extLst>
        </xdr:cNvPr>
        <xdr:cNvCxnSpPr/>
      </xdr:nvCxnSpPr>
      <xdr:spPr>
        <a:xfrm>
          <a:off x="873125" y="1009650"/>
          <a:ext cx="419100" cy="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339725</xdr:colOff>
      <xdr:row>10</xdr:row>
      <xdr:rowOff>0</xdr:rowOff>
    </xdr:from>
    <xdr:to>
      <xdr:col>3</xdr:col>
      <xdr:colOff>339725</xdr:colOff>
      <xdr:row>13</xdr:row>
      <xdr:rowOff>104775</xdr:rowOff>
    </xdr:to>
    <xdr:cxnSp macro="">
      <xdr:nvCxnSpPr>
        <xdr:cNvPr id="4" name="Straight Arrow Connector 3">
          <a:extLst>
            <a:ext uri="{FF2B5EF4-FFF2-40B4-BE49-F238E27FC236}">
              <a16:creationId xmlns:a16="http://schemas.microsoft.com/office/drawing/2014/main" id="{8E112408-5BD7-413F-BEE6-F357C989C3BF}"/>
            </a:ext>
          </a:extLst>
        </xdr:cNvPr>
        <xdr:cNvCxnSpPr/>
      </xdr:nvCxnSpPr>
      <xdr:spPr>
        <a:xfrm>
          <a:off x="2568575" y="2266950"/>
          <a:ext cx="0" cy="37147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309562</xdr:colOff>
      <xdr:row>25</xdr:row>
      <xdr:rowOff>38100</xdr:rowOff>
    </xdr:from>
    <xdr:to>
      <xdr:col>3</xdr:col>
      <xdr:colOff>314325</xdr:colOff>
      <xdr:row>29</xdr:row>
      <xdr:rowOff>95250</xdr:rowOff>
    </xdr:to>
    <xdr:cxnSp macro="">
      <xdr:nvCxnSpPr>
        <xdr:cNvPr id="10" name="Straight Arrow Connector 9">
          <a:extLst>
            <a:ext uri="{FF2B5EF4-FFF2-40B4-BE49-F238E27FC236}">
              <a16:creationId xmlns:a16="http://schemas.microsoft.com/office/drawing/2014/main" id="{3E45B808-124B-40E2-91F6-2513341A4995}"/>
            </a:ext>
          </a:extLst>
        </xdr:cNvPr>
        <xdr:cNvCxnSpPr/>
      </xdr:nvCxnSpPr>
      <xdr:spPr>
        <a:xfrm flipH="1">
          <a:off x="2541984" y="5455444"/>
          <a:ext cx="4763" cy="5810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1187450</xdr:colOff>
      <xdr:row>45</xdr:row>
      <xdr:rowOff>53975</xdr:rowOff>
    </xdr:from>
    <xdr:to>
      <xdr:col>14</xdr:col>
      <xdr:colOff>1190625</xdr:colOff>
      <xdr:row>63</xdr:row>
      <xdr:rowOff>47625</xdr:rowOff>
    </xdr:to>
    <xdr:cxnSp macro="">
      <xdr:nvCxnSpPr>
        <xdr:cNvPr id="5" name="Straight Arrow Connector 4">
          <a:extLst>
            <a:ext uri="{FF2B5EF4-FFF2-40B4-BE49-F238E27FC236}">
              <a16:creationId xmlns:a16="http://schemas.microsoft.com/office/drawing/2014/main" id="{CA05C580-6960-4A74-9E56-D219CDD55B10}"/>
            </a:ext>
          </a:extLst>
        </xdr:cNvPr>
        <xdr:cNvCxnSpPr/>
      </xdr:nvCxnSpPr>
      <xdr:spPr>
        <a:xfrm>
          <a:off x="11731625" y="13074650"/>
          <a:ext cx="3175" cy="23939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1114425</xdr:colOff>
      <xdr:row>81</xdr:row>
      <xdr:rowOff>0</xdr:rowOff>
    </xdr:from>
    <xdr:to>
      <xdr:col>14</xdr:col>
      <xdr:colOff>1119188</xdr:colOff>
      <xdr:row>85</xdr:row>
      <xdr:rowOff>57150</xdr:rowOff>
    </xdr:to>
    <xdr:cxnSp macro="">
      <xdr:nvCxnSpPr>
        <xdr:cNvPr id="6" name="Straight Arrow Connector 5">
          <a:extLst>
            <a:ext uri="{FF2B5EF4-FFF2-40B4-BE49-F238E27FC236}">
              <a16:creationId xmlns:a16="http://schemas.microsoft.com/office/drawing/2014/main" id="{1A459E5C-680B-499C-905C-8FA7C3EC8744}"/>
            </a:ext>
          </a:extLst>
        </xdr:cNvPr>
        <xdr:cNvCxnSpPr/>
      </xdr:nvCxnSpPr>
      <xdr:spPr>
        <a:xfrm flipH="1">
          <a:off x="10534650" y="19221450"/>
          <a:ext cx="4763" cy="6286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892706-9332-433F-A660-051CA03635C1}" name="Table1" displayName="Table1" ref="A17:D31" totalsRowShown="0" headerRowDxfId="6" headerRowBorderDxfId="5" tableBorderDxfId="4" totalsRowBorderDxfId="3">
  <autoFilter ref="A17:D31" xr:uid="{71892706-9332-433F-A660-051CA03635C1}"/>
  <tableColumns count="4">
    <tableColumn id="1" xr3:uid="{412B2F42-E344-4F61-ABC4-738E200CB7A6}" name="What's in it?" dataDxfId="2"/>
    <tableColumn id="2" xr3:uid="{05C92F7B-59AE-4E45-860C-5DB772AED950}" name="Tab Description" dataDxfId="1"/>
    <tableColumn id="3" xr3:uid="{33DF7CD4-912F-447E-9294-205499433DE8}" name="Tab Title"/>
    <tableColumn id="4" xr3:uid="{DE04CAEF-B7E0-4E67-A441-4328F1FA8E84}" name="Tab Contents"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iso.org/standard/38131.html" TargetMode="External"/><Relationship Id="rId1" Type="http://schemas.openxmlformats.org/officeDocument/2006/relationships/hyperlink" Target="https://www.iso.org/standard/38498.html" TargetMode="Externa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docs.google.com/spreadsheets/d/1q2TW0GlLlK7yH3k5TSsWGmXyL94KPI9VUWWv9vid63A/edit" TargetMode="External"/><Relationship Id="rId1" Type="http://schemas.openxmlformats.org/officeDocument/2006/relationships/hyperlink" Target="https://docs.google.com/document/d/1rvWl0W2nmCohaaHXG1P-uX5cDKHv_vD9zfTV5A6qM7A/edit?usp=sharing" TargetMode="Externa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pubs.acs.org/doi/suppl/10.1021/acs.est.9b03413/suppl_file/es9b03413_si_001.pdf" TargetMode="External"/><Relationship Id="rId1" Type="http://schemas.openxmlformats.org/officeDocument/2006/relationships/hyperlink" Target="https://iopscience.iop.org/article/10.1088/1748-9326/ab9e1e" TargetMode="External"/><Relationship Id="rId6" Type="http://schemas.openxmlformats.org/officeDocument/2006/relationships/comments" Target="../comments2.xml"/><Relationship Id="rId5" Type="http://schemas.openxmlformats.org/officeDocument/2006/relationships/vmlDrawing" Target="../drawings/vmlDrawing3.vml"/><Relationship Id="rId4"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iso.org/iso-3166-country-codes.html"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document/d/1rvWl0W2nmCohaaHXG1P-uX5cDKHv_vD9zfTV5A6qM7A/ed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9BD2C-DCF7-48B0-A9CA-D33B2EF6004E}">
  <dimension ref="A1:R16"/>
  <sheetViews>
    <sheetView showGridLines="0" tabSelected="1" zoomScaleNormal="100" workbookViewId="0">
      <selection sqref="A1:F1"/>
    </sheetView>
  </sheetViews>
  <sheetFormatPr defaultRowHeight="14.4"/>
  <sheetData>
    <row r="1" spans="1:18" s="351" customFormat="1" ht="35.85" customHeight="1" thickTop="1" thickBot="1">
      <c r="A1" s="351" t="s">
        <v>0</v>
      </c>
    </row>
    <row r="2" spans="1:18" ht="15" thickTop="1">
      <c r="A2" s="312"/>
      <c r="B2" s="312"/>
      <c r="C2" s="312"/>
      <c r="D2" s="312"/>
      <c r="E2" s="312"/>
      <c r="F2" s="312"/>
      <c r="G2" s="312"/>
      <c r="H2" s="312"/>
      <c r="I2" s="312"/>
      <c r="J2" s="312"/>
      <c r="K2" s="312"/>
      <c r="L2" s="312"/>
      <c r="M2" s="312"/>
      <c r="N2" s="312"/>
      <c r="O2" s="312"/>
      <c r="P2" s="312"/>
      <c r="Q2" s="312"/>
      <c r="R2" s="312"/>
    </row>
    <row r="3" spans="1:18">
      <c r="A3" s="312"/>
      <c r="B3" s="312"/>
      <c r="C3" s="312"/>
      <c r="D3" s="312"/>
      <c r="E3" s="312"/>
      <c r="F3" s="312"/>
      <c r="G3" s="312"/>
      <c r="H3" s="549"/>
      <c r="I3" s="550"/>
      <c r="J3" s="550"/>
      <c r="K3" s="550"/>
      <c r="L3" s="550"/>
      <c r="M3" s="550"/>
      <c r="N3" s="550"/>
      <c r="O3" s="550"/>
      <c r="P3" s="550"/>
      <c r="Q3" s="550"/>
      <c r="R3" s="550"/>
    </row>
    <row r="4" spans="1:18">
      <c r="A4" s="312"/>
      <c r="B4" s="312"/>
      <c r="C4" s="312"/>
      <c r="D4" s="312"/>
      <c r="E4" s="312"/>
      <c r="F4" s="312"/>
      <c r="G4" s="312"/>
      <c r="H4" s="550"/>
      <c r="I4" s="550"/>
      <c r="J4" s="550"/>
      <c r="K4" s="550"/>
      <c r="L4" s="550"/>
      <c r="M4" s="550"/>
      <c r="N4" s="550"/>
      <c r="O4" s="550"/>
      <c r="P4" s="550"/>
      <c r="Q4" s="550"/>
      <c r="R4" s="550"/>
    </row>
    <row r="5" spans="1:18">
      <c r="A5" s="312"/>
      <c r="B5" s="312"/>
      <c r="C5" s="312"/>
      <c r="D5" s="312"/>
      <c r="E5" s="312"/>
      <c r="F5" s="312"/>
      <c r="G5" s="312"/>
      <c r="H5" s="550"/>
      <c r="I5" s="550"/>
      <c r="J5" s="550"/>
      <c r="K5" s="550"/>
      <c r="L5" s="550"/>
      <c r="M5" s="550"/>
      <c r="N5" s="550"/>
      <c r="O5" s="550"/>
      <c r="P5" s="550"/>
      <c r="Q5" s="550"/>
      <c r="R5" s="550"/>
    </row>
    <row r="6" spans="1:18">
      <c r="A6" s="312"/>
      <c r="B6" s="312"/>
      <c r="C6" s="312"/>
      <c r="D6" s="312"/>
      <c r="E6" s="312"/>
      <c r="F6" s="312"/>
      <c r="G6" s="312"/>
      <c r="H6" s="550"/>
      <c r="I6" s="550"/>
      <c r="J6" s="550"/>
      <c r="K6" s="550"/>
      <c r="L6" s="550"/>
      <c r="M6" s="550"/>
      <c r="N6" s="550"/>
      <c r="O6" s="550"/>
      <c r="P6" s="550"/>
      <c r="Q6" s="550"/>
      <c r="R6" s="550"/>
    </row>
    <row r="7" spans="1:18">
      <c r="A7" s="312"/>
      <c r="B7" s="312"/>
      <c r="C7" s="312"/>
      <c r="D7" s="312"/>
      <c r="E7" s="312"/>
      <c r="F7" s="312"/>
      <c r="G7" s="312"/>
      <c r="H7" s="550"/>
      <c r="I7" s="550"/>
      <c r="J7" s="550"/>
      <c r="K7" s="550"/>
      <c r="L7" s="550"/>
      <c r="M7" s="550"/>
      <c r="N7" s="550"/>
      <c r="O7" s="550"/>
      <c r="P7" s="550"/>
      <c r="Q7" s="550"/>
      <c r="R7" s="550"/>
    </row>
    <row r="8" spans="1:18">
      <c r="A8" s="312"/>
      <c r="B8" s="312"/>
      <c r="C8" s="312"/>
      <c r="D8" s="312"/>
      <c r="E8" s="312"/>
      <c r="F8" s="312"/>
      <c r="G8" s="312"/>
      <c r="H8" s="550"/>
      <c r="I8" s="550"/>
      <c r="J8" s="550"/>
      <c r="K8" s="550"/>
      <c r="L8" s="550"/>
      <c r="M8" s="550"/>
      <c r="N8" s="550"/>
      <c r="O8" s="550"/>
      <c r="P8" s="550"/>
      <c r="Q8" s="550"/>
      <c r="R8" s="550"/>
    </row>
    <row r="9" spans="1:18">
      <c r="A9" s="312"/>
      <c r="B9" s="312"/>
      <c r="C9" s="312"/>
      <c r="D9" s="312"/>
      <c r="E9" s="312"/>
      <c r="F9" s="312"/>
      <c r="G9" s="312"/>
      <c r="H9" s="550"/>
      <c r="I9" s="550"/>
      <c r="J9" s="550"/>
      <c r="K9" s="550"/>
      <c r="L9" s="550"/>
      <c r="M9" s="550"/>
      <c r="N9" s="550"/>
      <c r="O9" s="550"/>
      <c r="P9" s="550"/>
      <c r="Q9" s="550"/>
      <c r="R9" s="550"/>
    </row>
    <row r="10" spans="1:18">
      <c r="A10" s="312"/>
      <c r="B10" s="312"/>
      <c r="C10" s="312"/>
      <c r="D10" s="312"/>
      <c r="E10" s="312"/>
      <c r="F10" s="312"/>
      <c r="G10" s="312"/>
      <c r="H10" s="550"/>
      <c r="I10" s="550"/>
      <c r="J10" s="550"/>
      <c r="K10" s="550"/>
      <c r="L10" s="550"/>
      <c r="M10" s="550"/>
      <c r="N10" s="550"/>
      <c r="O10" s="550"/>
      <c r="P10" s="550"/>
      <c r="Q10" s="550"/>
      <c r="R10" s="550"/>
    </row>
    <row r="11" spans="1:18">
      <c r="A11" s="312"/>
      <c r="B11" s="312"/>
      <c r="C11" s="312"/>
      <c r="D11" s="312"/>
      <c r="E11" s="312"/>
      <c r="F11" s="312"/>
      <c r="G11" s="312"/>
      <c r="H11" s="550"/>
      <c r="I11" s="550"/>
      <c r="J11" s="550"/>
      <c r="K11" s="550"/>
      <c r="L11" s="550"/>
      <c r="M11" s="550"/>
      <c r="N11" s="550"/>
      <c r="O11" s="550"/>
      <c r="P11" s="550"/>
      <c r="Q11" s="550"/>
      <c r="R11" s="550"/>
    </row>
    <row r="12" spans="1:18">
      <c r="A12" s="312"/>
      <c r="B12" s="312"/>
      <c r="C12" s="312"/>
      <c r="D12" s="312"/>
      <c r="E12" s="312"/>
      <c r="F12" s="312"/>
      <c r="G12" s="312"/>
      <c r="H12" s="550"/>
      <c r="I12" s="550"/>
      <c r="J12" s="550"/>
      <c r="K12" s="550"/>
      <c r="L12" s="550"/>
      <c r="M12" s="550"/>
      <c r="N12" s="550"/>
      <c r="O12" s="550"/>
      <c r="P12" s="550"/>
      <c r="Q12" s="550"/>
      <c r="R12" s="550"/>
    </row>
    <row r="13" spans="1:18">
      <c r="A13" s="312"/>
      <c r="B13" s="312"/>
      <c r="C13" s="312"/>
      <c r="D13" s="312"/>
      <c r="E13" s="312"/>
      <c r="F13" s="312"/>
      <c r="G13" s="312"/>
      <c r="H13" s="550"/>
      <c r="I13" s="550"/>
      <c r="J13" s="550"/>
      <c r="K13" s="550"/>
      <c r="L13" s="550"/>
      <c r="M13" s="550"/>
      <c r="N13" s="550"/>
      <c r="O13" s="550"/>
      <c r="P13" s="550"/>
      <c r="Q13" s="550"/>
      <c r="R13" s="550"/>
    </row>
    <row r="14" spans="1:18">
      <c r="A14" s="312"/>
      <c r="B14" s="312"/>
      <c r="C14" s="312"/>
      <c r="D14" s="312"/>
      <c r="E14" s="312"/>
      <c r="F14" s="312"/>
      <c r="G14" s="312"/>
      <c r="H14" s="550"/>
      <c r="I14" s="550"/>
      <c r="J14" s="550"/>
      <c r="K14" s="550"/>
      <c r="L14" s="550"/>
      <c r="M14" s="550"/>
      <c r="N14" s="550"/>
      <c r="O14" s="550"/>
      <c r="P14" s="550"/>
      <c r="Q14" s="550"/>
      <c r="R14" s="550"/>
    </row>
    <row r="15" spans="1:18">
      <c r="A15" s="312"/>
      <c r="B15" s="312"/>
      <c r="C15" s="312"/>
      <c r="D15" s="312"/>
      <c r="E15" s="312"/>
      <c r="F15" s="312"/>
      <c r="G15" s="312"/>
      <c r="H15" s="550"/>
      <c r="I15" s="550"/>
      <c r="J15" s="550"/>
      <c r="K15" s="550"/>
      <c r="L15" s="550"/>
      <c r="M15" s="550"/>
      <c r="N15" s="550"/>
      <c r="O15" s="550"/>
      <c r="P15" s="550"/>
      <c r="Q15" s="550"/>
      <c r="R15" s="550"/>
    </row>
    <row r="16" spans="1:18">
      <c r="A16" s="312"/>
      <c r="B16" s="312"/>
      <c r="C16" s="312"/>
      <c r="D16" s="312"/>
      <c r="E16" s="312"/>
      <c r="F16" s="312"/>
      <c r="G16" s="312"/>
      <c r="H16" s="550"/>
      <c r="I16" s="550"/>
      <c r="J16" s="550"/>
      <c r="K16" s="550"/>
      <c r="L16" s="550"/>
      <c r="M16" s="550"/>
      <c r="N16" s="550"/>
      <c r="O16" s="550"/>
      <c r="P16" s="550"/>
      <c r="Q16" s="550"/>
      <c r="R16" s="550"/>
    </row>
  </sheetData>
  <sheetProtection algorithmName="SHA-512" hashValue="+i12p40K/yhadQgtA3U7fh8GRR4JvSCfIuvmiT34oKzCdUxun8ek1/anT2rTjf+3QyL87naokQfQ/yxD9+r2Sw==" saltValue="J486XcdmchH8I038g8Vtaw==" spinCount="100000" sheet="1" formatCells="0" formatColumns="0" formatRows="0" insertColumns="0" insertRows="0" insertHyperlinks="0" deleteColumns="0" deleteRows="0" sort="0" autoFilter="0" pivotTables="0"/>
  <pageMargins left="0.7" right="0.7" top="0.75" bottom="0.75" header="0.3" footer="0.3"/>
  <pageSetup orientation="portrait" r:id="rId1"/>
  <headerFooter>
    <oddHeader>&amp;C&amp;G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FD7B3-0E8C-4C1A-9382-CC7292CE74D7}">
  <sheetPr codeName="Sheet1">
    <tabColor theme="0"/>
    <pageSetUpPr fitToPage="1"/>
  </sheetPr>
  <dimension ref="A1:N45"/>
  <sheetViews>
    <sheetView showGridLines="0" zoomScaleNormal="100" zoomScalePageLayoutView="40" workbookViewId="0">
      <selection sqref="A1:F1"/>
    </sheetView>
  </sheetViews>
  <sheetFormatPr defaultRowHeight="14.4"/>
  <cols>
    <col min="1" max="1" width="11.77734375" customWidth="1"/>
    <col min="2" max="2" width="42.5546875" customWidth="1"/>
    <col min="3" max="3" width="32.5546875" customWidth="1"/>
    <col min="4" max="4" width="65.21875" customWidth="1"/>
    <col min="5" max="5" width="3.5546875" customWidth="1"/>
    <col min="6" max="6" width="18.5546875" customWidth="1"/>
    <col min="7" max="10" width="22.5546875" customWidth="1"/>
    <col min="11" max="11" width="4.44140625" customWidth="1"/>
  </cols>
  <sheetData>
    <row r="1" spans="1:14" s="351" customFormat="1" ht="35.85" customHeight="1" thickTop="1" thickBot="1">
      <c r="A1" s="351" t="s">
        <v>0</v>
      </c>
    </row>
    <row r="2" spans="1:14" ht="24.6" customHeight="1" thickTop="1">
      <c r="A2" s="176" t="s">
        <v>1</v>
      </c>
      <c r="B2" s="312"/>
      <c r="C2" s="312"/>
      <c r="D2" s="312"/>
      <c r="E2" s="312"/>
      <c r="F2" s="312"/>
      <c r="G2" s="312"/>
      <c r="H2" s="312"/>
      <c r="I2" s="312"/>
      <c r="J2" s="312"/>
      <c r="K2" s="312"/>
      <c r="L2" s="312"/>
      <c r="M2" s="312"/>
      <c r="N2" s="312"/>
    </row>
    <row r="3" spans="1:14">
      <c r="A3" s="86" t="s">
        <v>2</v>
      </c>
      <c r="B3" s="312"/>
      <c r="C3" s="312"/>
      <c r="D3" s="312"/>
      <c r="E3" s="312"/>
      <c r="F3" s="312"/>
      <c r="G3" s="312"/>
      <c r="H3" s="312"/>
      <c r="I3" s="312"/>
      <c r="J3" s="312"/>
      <c r="K3" s="312"/>
      <c r="L3" s="312"/>
      <c r="M3" s="312"/>
      <c r="N3" s="312"/>
    </row>
    <row r="4" spans="1:14">
      <c r="A4" s="312"/>
      <c r="B4" s="312"/>
      <c r="C4" s="312"/>
      <c r="D4" s="312"/>
      <c r="E4" s="312"/>
      <c r="F4" s="114"/>
      <c r="G4" s="312"/>
      <c r="H4" s="312"/>
      <c r="I4" s="312"/>
      <c r="J4" s="312"/>
      <c r="K4" s="312"/>
      <c r="L4" s="312"/>
      <c r="M4" s="312"/>
      <c r="N4" s="312"/>
    </row>
    <row r="5" spans="1:14">
      <c r="A5" s="312"/>
      <c r="B5" s="121" t="s">
        <v>3</v>
      </c>
      <c r="C5" s="615" t="s">
        <v>4</v>
      </c>
      <c r="D5" s="310" t="s">
        <v>5</v>
      </c>
      <c r="E5" s="174"/>
      <c r="F5" s="114" t="s">
        <v>10906</v>
      </c>
      <c r="G5" s="312"/>
      <c r="H5" s="312"/>
      <c r="I5" s="312"/>
      <c r="J5" s="312"/>
      <c r="K5" s="312"/>
      <c r="L5" s="312"/>
      <c r="M5" s="312"/>
      <c r="N5" s="312"/>
    </row>
    <row r="6" spans="1:14">
      <c r="A6" s="312"/>
      <c r="B6" s="121" t="s">
        <v>6</v>
      </c>
      <c r="C6" s="615" t="s">
        <v>7</v>
      </c>
      <c r="D6" s="310" t="s">
        <v>8</v>
      </c>
      <c r="E6" s="174"/>
      <c r="F6" s="114" t="s">
        <v>10907</v>
      </c>
      <c r="G6" s="312"/>
      <c r="H6" s="312"/>
      <c r="I6" s="312"/>
      <c r="J6" s="312"/>
      <c r="K6" s="312"/>
      <c r="L6" s="312"/>
      <c r="M6" s="312"/>
      <c r="N6" s="312"/>
    </row>
    <row r="7" spans="1:14">
      <c r="A7" s="312"/>
      <c r="B7" s="121" t="s">
        <v>9</v>
      </c>
      <c r="C7" s="323" t="s">
        <v>10</v>
      </c>
      <c r="D7" s="310" t="s">
        <v>11</v>
      </c>
      <c r="E7" s="174"/>
      <c r="F7" s="605" t="s">
        <v>10908</v>
      </c>
      <c r="G7" s="312"/>
      <c r="H7" s="312"/>
      <c r="I7" s="312"/>
      <c r="J7" s="312"/>
      <c r="K7" s="312"/>
      <c r="L7" s="312"/>
      <c r="M7" s="312"/>
      <c r="N7" s="312"/>
    </row>
    <row r="8" spans="1:14">
      <c r="A8" s="312"/>
      <c r="B8" s="121" t="s">
        <v>12</v>
      </c>
      <c r="C8" s="323" t="s">
        <v>13</v>
      </c>
      <c r="D8" s="310" t="s">
        <v>14</v>
      </c>
      <c r="E8" s="174"/>
      <c r="F8" s="605" t="s">
        <v>10909</v>
      </c>
      <c r="G8" s="312"/>
      <c r="H8" s="312"/>
      <c r="I8" s="312"/>
      <c r="J8" s="312"/>
      <c r="K8" s="312"/>
      <c r="L8" s="312"/>
      <c r="M8" s="312"/>
      <c r="N8" s="312"/>
    </row>
    <row r="9" spans="1:14">
      <c r="A9" s="312"/>
      <c r="B9" s="121" t="s">
        <v>15</v>
      </c>
      <c r="C9" s="323" t="s">
        <v>16</v>
      </c>
      <c r="D9" s="310" t="s">
        <v>17</v>
      </c>
      <c r="E9" s="312"/>
      <c r="F9" s="114" t="s">
        <v>18</v>
      </c>
      <c r="G9" s="312"/>
      <c r="H9" s="312"/>
      <c r="I9" s="312"/>
      <c r="J9" s="312"/>
      <c r="K9" s="312"/>
      <c r="L9" s="312"/>
      <c r="M9" s="312"/>
      <c r="N9" s="312"/>
    </row>
    <row r="10" spans="1:14">
      <c r="A10" s="312"/>
      <c r="B10" s="121" t="s">
        <v>19</v>
      </c>
      <c r="C10" s="323" t="s">
        <v>20</v>
      </c>
      <c r="D10" s="310" t="s">
        <v>19</v>
      </c>
      <c r="E10" s="312"/>
      <c r="F10" s="114" t="s">
        <v>21</v>
      </c>
      <c r="G10" s="312"/>
      <c r="H10" s="312"/>
      <c r="I10" s="312"/>
      <c r="J10" s="312"/>
      <c r="K10" s="312"/>
      <c r="L10" s="312"/>
      <c r="M10" s="312"/>
      <c r="N10" s="312"/>
    </row>
    <row r="11" spans="1:14">
      <c r="A11" s="312"/>
      <c r="B11" s="121" t="s">
        <v>22</v>
      </c>
      <c r="C11" s="323" t="s">
        <v>23</v>
      </c>
      <c r="D11" s="311" t="s">
        <v>24</v>
      </c>
      <c r="E11" s="312"/>
      <c r="F11" s="114" t="s">
        <v>25</v>
      </c>
      <c r="G11" s="312"/>
      <c r="H11" s="312"/>
      <c r="I11" s="312"/>
      <c r="J11" s="312"/>
      <c r="K11" s="312"/>
      <c r="L11" s="312"/>
      <c r="M11" s="312"/>
      <c r="N11" s="312"/>
    </row>
    <row r="12" spans="1:14" ht="28.8">
      <c r="A12" s="312"/>
      <c r="B12" s="121" t="s">
        <v>26</v>
      </c>
      <c r="C12" s="323" t="s">
        <v>27</v>
      </c>
      <c r="D12" s="311" t="s">
        <v>28</v>
      </c>
      <c r="E12" s="113"/>
      <c r="F12" s="114" t="s">
        <v>10905</v>
      </c>
      <c r="G12" s="312"/>
      <c r="H12" s="312"/>
      <c r="I12" s="312"/>
      <c r="J12" s="312"/>
      <c r="K12" s="312"/>
      <c r="L12" s="312"/>
      <c r="M12" s="312"/>
      <c r="N12" s="312"/>
    </row>
    <row r="13" spans="1:14">
      <c r="A13" s="312"/>
      <c r="B13" s="121" t="s">
        <v>29</v>
      </c>
      <c r="C13" s="323" t="s">
        <v>30</v>
      </c>
      <c r="D13" s="310" t="s">
        <v>31</v>
      </c>
      <c r="E13" s="312"/>
      <c r="F13" s="114" t="s">
        <v>32</v>
      </c>
      <c r="G13" s="312"/>
      <c r="H13" s="312"/>
      <c r="I13" s="312"/>
      <c r="J13" s="312"/>
      <c r="K13" s="312"/>
      <c r="L13" s="312"/>
      <c r="M13" s="312"/>
      <c r="N13" s="312"/>
    </row>
    <row r="14" spans="1:14">
      <c r="A14" s="312"/>
      <c r="B14" s="121" t="s">
        <v>33</v>
      </c>
      <c r="C14" s="323" t="s">
        <v>34</v>
      </c>
      <c r="D14" s="310" t="s">
        <v>35</v>
      </c>
      <c r="E14" s="312"/>
      <c r="F14" s="114" t="s">
        <v>36</v>
      </c>
      <c r="G14" s="312"/>
      <c r="H14" s="312"/>
      <c r="I14" s="312"/>
      <c r="J14" s="312"/>
      <c r="K14" s="312"/>
      <c r="L14" s="312"/>
      <c r="M14" s="312"/>
      <c r="N14" s="312"/>
    </row>
    <row r="15" spans="1:14">
      <c r="A15" s="312"/>
      <c r="B15" s="312"/>
      <c r="C15" s="323"/>
      <c r="D15" s="318"/>
      <c r="E15" s="312"/>
      <c r="F15" s="114"/>
      <c r="G15" s="312"/>
      <c r="H15" s="312"/>
      <c r="I15" s="312"/>
      <c r="J15" s="312"/>
      <c r="K15" s="312"/>
      <c r="L15" s="312"/>
      <c r="M15" s="312"/>
      <c r="N15" s="312"/>
    </row>
    <row r="16" spans="1:14" ht="29.55" customHeight="1" thickBot="1">
      <c r="A16" s="312"/>
      <c r="B16" s="312"/>
      <c r="C16" s="312"/>
      <c r="D16" s="312"/>
      <c r="E16" s="312"/>
      <c r="F16" s="774" t="s">
        <v>37</v>
      </c>
      <c r="G16" s="775"/>
      <c r="H16" s="775"/>
      <c r="I16" s="775"/>
      <c r="J16" s="775"/>
      <c r="K16" s="775"/>
      <c r="L16" s="775"/>
      <c r="M16" s="775"/>
      <c r="N16" s="775"/>
    </row>
    <row r="17" spans="1:14" ht="47.1" customHeight="1" thickTop="1" thickBot="1">
      <c r="A17" s="453" t="s">
        <v>38</v>
      </c>
      <c r="B17" s="454" t="s">
        <v>39</v>
      </c>
      <c r="C17" s="454" t="s">
        <v>40</v>
      </c>
      <c r="D17" s="454" t="s">
        <v>41</v>
      </c>
      <c r="E17" s="312"/>
      <c r="F17" s="774"/>
      <c r="G17" s="775"/>
      <c r="H17" s="775"/>
      <c r="I17" s="775"/>
      <c r="J17" s="775"/>
      <c r="K17" s="775"/>
      <c r="L17" s="775"/>
      <c r="M17" s="775"/>
      <c r="N17" s="775"/>
    </row>
    <row r="18" spans="1:14" ht="40.049999999999997" customHeight="1" thickTop="1" thickBot="1">
      <c r="A18" s="578" t="s">
        <v>42</v>
      </c>
      <c r="B18" s="418" t="s">
        <v>43</v>
      </c>
      <c r="C18" s="419" t="s">
        <v>44</v>
      </c>
      <c r="D18" s="422" t="s">
        <v>45</v>
      </c>
      <c r="E18" s="312"/>
      <c r="F18" s="351" t="s">
        <v>46</v>
      </c>
      <c r="G18" s="351"/>
      <c r="H18" s="351"/>
      <c r="I18" s="351"/>
      <c r="J18" s="351"/>
      <c r="K18" s="312"/>
      <c r="L18" s="324"/>
      <c r="M18" s="312"/>
      <c r="N18" s="312"/>
    </row>
    <row r="19" spans="1:14" ht="53.55" customHeight="1" thickTop="1">
      <c r="A19" s="578" t="s">
        <v>42</v>
      </c>
      <c r="B19" s="418" t="s">
        <v>10937</v>
      </c>
      <c r="C19" s="607" t="s">
        <v>10936</v>
      </c>
      <c r="D19" s="422" t="s">
        <v>10938</v>
      </c>
      <c r="E19" s="191"/>
      <c r="F19" s="551" t="s">
        <v>50</v>
      </c>
      <c r="G19" s="551" t="s">
        <v>51</v>
      </c>
      <c r="H19" s="551" t="s">
        <v>52</v>
      </c>
      <c r="I19" s="551" t="s">
        <v>53</v>
      </c>
      <c r="J19" s="551" t="s">
        <v>54</v>
      </c>
      <c r="K19" s="312"/>
      <c r="L19" s="324"/>
      <c r="M19" s="312"/>
      <c r="N19" s="312"/>
    </row>
    <row r="20" spans="1:14" ht="35.1" customHeight="1">
      <c r="A20" s="578" t="s">
        <v>42</v>
      </c>
      <c r="B20" s="418" t="s">
        <v>47</v>
      </c>
      <c r="C20" s="614" t="s">
        <v>48</v>
      </c>
      <c r="D20" s="421" t="s">
        <v>49</v>
      </c>
      <c r="E20" s="191"/>
      <c r="F20" s="776">
        <v>1</v>
      </c>
      <c r="G20" s="777" t="s">
        <v>58</v>
      </c>
      <c r="H20" s="778" t="s">
        <v>59</v>
      </c>
      <c r="I20" s="780" t="s">
        <v>60</v>
      </c>
      <c r="J20" s="779" t="s">
        <v>61</v>
      </c>
      <c r="K20" s="312"/>
      <c r="L20" s="324"/>
      <c r="M20" s="312"/>
      <c r="N20" s="312"/>
    </row>
    <row r="21" spans="1:14" ht="68.55" customHeight="1">
      <c r="A21" s="578" t="s">
        <v>42</v>
      </c>
      <c r="B21" s="418" t="s">
        <v>55</v>
      </c>
      <c r="C21" s="608" t="s">
        <v>56</v>
      </c>
      <c r="D21" s="421" t="s">
        <v>57</v>
      </c>
      <c r="E21" s="312"/>
      <c r="F21" s="776"/>
      <c r="G21" s="777"/>
      <c r="H21" s="778"/>
      <c r="I21" s="780"/>
      <c r="J21" s="779"/>
      <c r="K21" s="312"/>
      <c r="L21" s="324"/>
      <c r="M21" s="312"/>
      <c r="N21" s="312"/>
    </row>
    <row r="22" spans="1:14" ht="72" customHeight="1">
      <c r="A22" s="578" t="s">
        <v>42</v>
      </c>
      <c r="B22" s="418" t="s">
        <v>62</v>
      </c>
      <c r="C22" s="609" t="s">
        <v>63</v>
      </c>
      <c r="D22" s="422" t="s">
        <v>10904</v>
      </c>
      <c r="E22" s="324"/>
      <c r="F22" s="585">
        <v>2</v>
      </c>
      <c r="G22" s="522" t="s">
        <v>66</v>
      </c>
      <c r="H22" s="523" t="s">
        <v>66</v>
      </c>
      <c r="I22" s="525" t="s">
        <v>66</v>
      </c>
      <c r="J22" s="524" t="s">
        <v>66</v>
      </c>
      <c r="K22" s="312"/>
      <c r="L22" s="312"/>
      <c r="M22" s="312"/>
      <c r="N22" s="312"/>
    </row>
    <row r="23" spans="1:14" ht="108.6" customHeight="1">
      <c r="A23" s="578" t="s">
        <v>42</v>
      </c>
      <c r="B23" s="418" t="s">
        <v>64</v>
      </c>
      <c r="C23" s="610" t="s">
        <v>65</v>
      </c>
      <c r="D23" s="422" t="s">
        <v>10902</v>
      </c>
      <c r="E23" s="324"/>
      <c r="F23" s="307"/>
      <c r="G23" s="317"/>
      <c r="H23" s="317"/>
      <c r="I23" s="317"/>
      <c r="J23" s="194"/>
      <c r="K23" s="312"/>
      <c r="L23" s="312"/>
      <c r="M23" s="312"/>
      <c r="N23" s="312"/>
    </row>
    <row r="24" spans="1:14" ht="64.5" customHeight="1">
      <c r="A24" s="578" t="s">
        <v>42</v>
      </c>
      <c r="B24" s="418" t="s">
        <v>67</v>
      </c>
      <c r="C24" s="611" t="s">
        <v>68</v>
      </c>
      <c r="D24" s="422" t="s">
        <v>69</v>
      </c>
      <c r="E24" s="324"/>
      <c r="F24" s="307"/>
      <c r="G24" s="317"/>
      <c r="H24" s="317"/>
      <c r="I24" s="317"/>
      <c r="J24" s="194"/>
      <c r="K24" s="312"/>
      <c r="L24" s="312"/>
      <c r="M24" s="312"/>
      <c r="N24" s="312"/>
    </row>
    <row r="25" spans="1:14" ht="41.1" customHeight="1">
      <c r="A25" s="578" t="s">
        <v>42</v>
      </c>
      <c r="B25" s="418" t="s">
        <v>70</v>
      </c>
      <c r="C25" s="612" t="s">
        <v>71</v>
      </c>
      <c r="D25" s="422" t="s">
        <v>72</v>
      </c>
      <c r="E25" s="324"/>
      <c r="F25" s="308"/>
      <c r="G25" s="317"/>
      <c r="H25" s="317"/>
      <c r="I25" s="317"/>
      <c r="J25" s="194"/>
      <c r="K25" s="312"/>
      <c r="L25" s="312"/>
      <c r="M25" s="312"/>
      <c r="N25" s="312"/>
    </row>
    <row r="26" spans="1:14" ht="74.099999999999994" customHeight="1">
      <c r="A26" s="578" t="s">
        <v>82</v>
      </c>
      <c r="B26" s="418" t="s">
        <v>83</v>
      </c>
      <c r="C26" s="599" t="s">
        <v>84</v>
      </c>
      <c r="D26" s="422" t="s">
        <v>85</v>
      </c>
      <c r="E26" s="324"/>
      <c r="F26" s="309"/>
      <c r="G26" s="317"/>
      <c r="H26" s="317"/>
      <c r="I26" s="317"/>
      <c r="J26" s="194"/>
      <c r="K26" s="312"/>
      <c r="L26" s="312"/>
      <c r="M26" s="312"/>
      <c r="N26" s="312"/>
    </row>
    <row r="27" spans="1:14" ht="35.549999999999997" customHeight="1">
      <c r="A27" s="578" t="s">
        <v>73</v>
      </c>
      <c r="B27" s="418" t="s">
        <v>79</v>
      </c>
      <c r="C27" s="598" t="s">
        <v>80</v>
      </c>
      <c r="D27" s="422" t="s">
        <v>81</v>
      </c>
      <c r="E27" s="324"/>
      <c r="F27" s="312"/>
      <c r="G27" s="312"/>
      <c r="H27" s="312"/>
      <c r="I27" s="312"/>
      <c r="J27" s="312"/>
      <c r="K27" s="312"/>
      <c r="L27" s="312"/>
      <c r="M27" s="312"/>
      <c r="N27" s="192"/>
    </row>
    <row r="28" spans="1:14" ht="62.55" customHeight="1">
      <c r="A28" s="578" t="s">
        <v>73</v>
      </c>
      <c r="B28" s="418" t="s">
        <v>77</v>
      </c>
      <c r="C28" s="601" t="s">
        <v>78</v>
      </c>
      <c r="D28" s="422" t="s">
        <v>10903</v>
      </c>
      <c r="E28" s="324"/>
      <c r="F28" s="312"/>
      <c r="G28" s="312"/>
      <c r="H28" s="312"/>
      <c r="I28" s="312"/>
      <c r="J28" s="312"/>
      <c r="K28" s="312"/>
      <c r="L28" s="312"/>
      <c r="M28" s="312"/>
      <c r="N28" s="192"/>
    </row>
    <row r="29" spans="1:14" ht="27.6">
      <c r="A29" s="578" t="s">
        <v>73</v>
      </c>
      <c r="B29" s="418" t="s">
        <v>86</v>
      </c>
      <c r="C29" s="598" t="s">
        <v>87</v>
      </c>
      <c r="D29" s="422" t="s">
        <v>88</v>
      </c>
      <c r="E29" s="324"/>
      <c r="F29" s="312"/>
      <c r="G29" s="312"/>
      <c r="H29" s="312"/>
      <c r="I29" s="312"/>
      <c r="J29" s="312"/>
      <c r="K29" s="312"/>
      <c r="L29" s="312"/>
      <c r="M29" s="312"/>
      <c r="N29" s="312"/>
    </row>
    <row r="30" spans="1:14">
      <c r="A30" s="348" t="s">
        <v>73</v>
      </c>
      <c r="B30" s="349" t="s">
        <v>89</v>
      </c>
      <c r="C30" s="600" t="s">
        <v>90</v>
      </c>
      <c r="D30" s="350" t="s">
        <v>91</v>
      </c>
      <c r="E30" s="324"/>
      <c r="F30" s="312"/>
      <c r="G30" s="312"/>
      <c r="H30" s="312"/>
      <c r="I30" s="312"/>
      <c r="J30" s="312"/>
      <c r="K30" s="312"/>
      <c r="L30" s="312"/>
      <c r="M30" s="312"/>
      <c r="N30" s="312"/>
    </row>
    <row r="31" spans="1:14" ht="62.1" customHeight="1">
      <c r="A31" s="578" t="s">
        <v>73</v>
      </c>
      <c r="B31" s="418" t="s">
        <v>74</v>
      </c>
      <c r="C31" s="455" t="s">
        <v>75</v>
      </c>
      <c r="D31" s="422" t="s">
        <v>76</v>
      </c>
      <c r="E31" s="324"/>
      <c r="F31" s="195"/>
      <c r="G31" s="196"/>
      <c r="H31" s="196"/>
      <c r="I31" s="196"/>
      <c r="J31" s="197"/>
      <c r="K31" s="312"/>
      <c r="L31" s="312"/>
      <c r="M31" s="312"/>
      <c r="N31" s="192"/>
    </row>
    <row r="32" spans="1:14">
      <c r="A32" s="115"/>
      <c r="B32" s="312"/>
      <c r="C32" s="312"/>
      <c r="D32" s="324"/>
      <c r="E32" s="312"/>
      <c r="F32" s="312"/>
      <c r="G32" s="312"/>
      <c r="H32" s="312"/>
      <c r="I32" s="312"/>
      <c r="J32" s="312"/>
      <c r="K32" s="312"/>
      <c r="L32" s="312"/>
      <c r="M32" s="312"/>
      <c r="N32" s="312"/>
    </row>
    <row r="33" spans="1:14">
      <c r="A33" s="115"/>
      <c r="B33" s="312"/>
      <c r="C33" s="312"/>
      <c r="D33" s="324"/>
    </row>
    <row r="34" spans="1:14">
      <c r="A34" s="115"/>
      <c r="B34" s="312"/>
      <c r="C34" s="312"/>
      <c r="D34" s="312"/>
    </row>
    <row r="38" spans="1:14">
      <c r="E38" s="312"/>
      <c r="F38" s="12"/>
      <c r="G38" s="110"/>
      <c r="H38" s="312"/>
      <c r="I38" s="312"/>
      <c r="J38" s="312"/>
      <c r="K38" s="312"/>
      <c r="L38" s="312"/>
      <c r="M38" s="312"/>
      <c r="N38" s="312"/>
    </row>
    <row r="40" spans="1:14">
      <c r="A40" s="312"/>
      <c r="B40" s="312"/>
      <c r="C40" s="312"/>
      <c r="D40" s="312"/>
    </row>
    <row r="45" spans="1:14">
      <c r="K45" s="193"/>
    </row>
  </sheetData>
  <sheetProtection algorithmName="SHA-512" hashValue="IeUctYawgS9LRNFRVHkhblu2PBjZcDJrSEksquKU7OISc+eVJXQwlGZC9OTHoPMHnXi4up6fZIlfiMJdrejDxA==" saltValue="rTKSDolX7WZUPz0m0EKaAw==" spinCount="100000" sheet="1" objects="1" scenarios="1" selectLockedCells="1"/>
  <mergeCells count="6">
    <mergeCell ref="F16:N17"/>
    <mergeCell ref="F20:F21"/>
    <mergeCell ref="G20:G21"/>
    <mergeCell ref="H20:H21"/>
    <mergeCell ref="J20:J21"/>
    <mergeCell ref="I20:I21"/>
  </mergeCells>
  <phoneticPr fontId="33" type="noConversion"/>
  <dataValidations count="2">
    <dataValidation errorStyle="information" allowBlank="1" showInputMessage="1" showErrorMessage="1" errorTitle="Information" error="Please provide a name for each material even if it is numbered for confidentiality_x000a_" promptTitle="Material/component input name" prompt="Name of component or material from procurement records, data or spec sheet, industry name_x000a_" sqref="G20:J20" xr:uid="{D6BC850A-55BC-477B-A74F-BC859D67021B}"/>
    <dataValidation errorStyle="information" allowBlank="1" showErrorMessage="1" errorTitle="Information" error="Please provide a name for each material even if it is numbered for confidentiality_x000a_" promptTitle="Material/component input name" prompt="Name of component or material from procurement records, data or spec sheet, industry name_x000a_" sqref="G22:J24" xr:uid="{ACF9A545-E38F-4A79-A42B-AA725E57CAAB}"/>
  </dataValidations>
  <hyperlinks>
    <hyperlink ref="C18" location="gen_epd!A1" display="GEN_EPD" xr:uid="{4D865BA3-00B5-471F-9480-358370E63FE6}"/>
    <hyperlink ref="C20" location="'A1-A2 Upstream Mfg'!A1" display="A1-A2: Upstream Mfg" xr:uid="{546E3B77-098C-4799-9708-48BD5D1C2837}"/>
    <hyperlink ref="C21" location="'A3 Foreground Assembly'!A1" display="A3: Foreground Mfg" xr:uid="{F5AB91A7-77DB-4176-9A14-78FF2CFF07B2}"/>
    <hyperlink ref="C22" location="'A4-A5 Deliver Install'!A1" display="A4-A5: Deliver &amp; Install" xr:uid="{280BA90B-1501-4DAF-92A4-519EAA3BF091}"/>
    <hyperlink ref="C23" location="'B1-B6 USE'!A1" display="B1-B6: Use" xr:uid="{AA0355C1-19F0-4F81-B5DF-701F848BED95}"/>
    <hyperlink ref="C24" location="'C1-C4 Disposal'!A1" display="C1-C4: Disposal" xr:uid="{58B33342-142D-43CF-9F98-7200B57CE8AC}"/>
    <hyperlink ref="C28" location="eol_lf_type_region!A1" display="eol_lf_type_region" xr:uid="{6B3D40CC-4F36-456E-A12A-55F1C1C10C5F}"/>
    <hyperlink ref="C27" location="natl_stat!A1" display="natl_stat" xr:uid="{DCEB5E8F-71E0-4CEE-B678-8D70AC737B37}"/>
    <hyperlink ref="C30" location="master_list_menus!A1" display="master_list_menus" xr:uid="{B5A6BCEB-BAA9-44B7-8158-726A6EF5F4EF}"/>
    <hyperlink ref="C25" location="'D Beyond System'!A1" display="D: Beyond System" xr:uid="{FF9BD588-5BBE-42A8-8548-6441A294BB2E}"/>
    <hyperlink ref="C31" location="Contents!A1" display="openEPD_units &amp; conversions" xr:uid="{3317EF61-D744-4DBA-8B45-A36D7B709ED4}"/>
    <hyperlink ref="C29" location="ei_geo!A1" display="ei_geo" xr:uid="{4D4825F7-0297-4CB9-953D-377BCD5C81E6}"/>
    <hyperlink ref="C26" location="SQL!A1" display="SQL" xr:uid="{A7D24101-E4E5-4D00-AC05-3891E286E10E}"/>
    <hyperlink ref="C5" r:id="rId1" xr:uid="{6809EC90-ADE4-492D-8820-79AA82CD69AD}"/>
    <hyperlink ref="C6" r:id="rId2" xr:uid="{3EE303E8-6D81-4394-B6FC-A6627FD66255}"/>
    <hyperlink ref="C19" location="BOM!A1" display="BOM" xr:uid="{20A870C7-FAC5-4405-88F1-7C1315BF6048}"/>
  </hyperlinks>
  <pageMargins left="0.7" right="0.7" top="0.75" bottom="0.75" header="0.3" footer="0.3"/>
  <pageSetup scale="25" orientation="portrait"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CB65F-BEFB-43F8-94EA-E2514C25A874}">
  <sheetPr codeName="Sheet2"/>
  <dimension ref="A1:K2959"/>
  <sheetViews>
    <sheetView workbookViewId="0">
      <pane xSplit="1" ySplit="1" topLeftCell="B68" activePane="bottomRight" state="frozen"/>
      <selection pane="topRight" activeCell="E1" sqref="E1"/>
      <selection pane="bottomLeft" activeCell="E1" sqref="E1"/>
      <selection pane="bottomRight" activeCell="E1" sqref="E1"/>
    </sheetView>
  </sheetViews>
  <sheetFormatPr defaultRowHeight="14.4"/>
  <cols>
    <col min="1" max="1" width="68.5546875" customWidth="1"/>
    <col min="4" max="4" width="46" customWidth="1"/>
  </cols>
  <sheetData>
    <row r="1" spans="1:11">
      <c r="A1" s="312" t="s">
        <v>92</v>
      </c>
      <c r="B1" s="312" t="s">
        <v>93</v>
      </c>
      <c r="C1" s="312" t="s">
        <v>94</v>
      </c>
      <c r="D1" s="312" t="s">
        <v>95</v>
      </c>
      <c r="E1" s="312" t="s">
        <v>96</v>
      </c>
      <c r="F1" s="312" t="s">
        <v>97</v>
      </c>
      <c r="G1" s="312" t="s">
        <v>98</v>
      </c>
      <c r="H1" s="312" t="s">
        <v>99</v>
      </c>
      <c r="I1" s="312" t="s">
        <v>100</v>
      </c>
      <c r="J1" s="312" t="s">
        <v>101</v>
      </c>
      <c r="K1" s="312" t="s">
        <v>102</v>
      </c>
    </row>
    <row r="2" spans="1:11">
      <c r="A2" s="312" t="s">
        <v>103</v>
      </c>
      <c r="B2" s="312" t="s">
        <v>104</v>
      </c>
      <c r="C2" s="312" t="s">
        <v>105</v>
      </c>
      <c r="D2" s="312" t="s">
        <v>106</v>
      </c>
      <c r="E2" s="312" t="s">
        <v>107</v>
      </c>
      <c r="F2" s="312">
        <v>1825</v>
      </c>
      <c r="G2" s="312" t="s">
        <v>108</v>
      </c>
      <c r="H2" s="312">
        <v>1827</v>
      </c>
      <c r="I2" s="312" t="s">
        <v>107</v>
      </c>
      <c r="J2" s="312">
        <v>1913</v>
      </c>
      <c r="K2" s="312" t="s">
        <v>109</v>
      </c>
    </row>
    <row r="3" spans="1:11">
      <c r="A3" s="312" t="s">
        <v>110</v>
      </c>
      <c r="B3" s="312" t="s">
        <v>111</v>
      </c>
      <c r="C3" s="312" t="s">
        <v>105</v>
      </c>
      <c r="D3" s="312" t="s">
        <v>106</v>
      </c>
      <c r="E3" s="312" t="s">
        <v>107</v>
      </c>
      <c r="F3" s="312">
        <v>1825</v>
      </c>
      <c r="G3" s="312" t="s">
        <v>108</v>
      </c>
      <c r="H3" s="312">
        <v>1827</v>
      </c>
      <c r="I3" s="312" t="s">
        <v>107</v>
      </c>
      <c r="J3" s="312">
        <v>1913</v>
      </c>
      <c r="K3" s="312" t="s">
        <v>109</v>
      </c>
    </row>
    <row r="4" spans="1:11">
      <c r="A4" s="312" t="s">
        <v>112</v>
      </c>
      <c r="B4" s="312" t="s">
        <v>113</v>
      </c>
      <c r="C4" s="312" t="s">
        <v>105</v>
      </c>
      <c r="D4" s="312" t="s">
        <v>114</v>
      </c>
      <c r="E4" s="312" t="s">
        <v>107</v>
      </c>
      <c r="F4" s="312">
        <v>1825</v>
      </c>
      <c r="G4" s="312" t="s">
        <v>108</v>
      </c>
      <c r="H4" s="312">
        <v>1827</v>
      </c>
      <c r="I4" s="312" t="s">
        <v>107</v>
      </c>
      <c r="J4" s="312">
        <v>1913</v>
      </c>
      <c r="K4" s="312" t="s">
        <v>109</v>
      </c>
    </row>
    <row r="5" spans="1:11">
      <c r="A5" s="312" t="s">
        <v>115</v>
      </c>
      <c r="B5" s="312" t="s">
        <v>116</v>
      </c>
      <c r="C5" s="312" t="s">
        <v>105</v>
      </c>
      <c r="D5" s="312" t="s">
        <v>117</v>
      </c>
      <c r="E5" s="312" t="s">
        <v>107</v>
      </c>
      <c r="F5" s="312">
        <v>1825</v>
      </c>
      <c r="G5" s="312" t="s">
        <v>108</v>
      </c>
      <c r="H5" s="312">
        <v>1827</v>
      </c>
      <c r="I5" s="312" t="s">
        <v>107</v>
      </c>
      <c r="J5" s="312">
        <v>1913</v>
      </c>
      <c r="K5" s="312" t="s">
        <v>109</v>
      </c>
    </row>
    <row r="6" spans="1:11">
      <c r="A6" s="312" t="s">
        <v>118</v>
      </c>
      <c r="B6" s="312" t="s">
        <v>119</v>
      </c>
      <c r="C6" s="312" t="s">
        <v>105</v>
      </c>
      <c r="D6" s="312" t="s">
        <v>117</v>
      </c>
      <c r="E6" s="312" t="s">
        <v>107</v>
      </c>
      <c r="F6" s="312">
        <v>1825</v>
      </c>
      <c r="G6" s="312" t="s">
        <v>108</v>
      </c>
      <c r="H6" s="312">
        <v>1827</v>
      </c>
      <c r="I6" s="312" t="s">
        <v>107</v>
      </c>
      <c r="J6" s="312">
        <v>1913</v>
      </c>
      <c r="K6" s="312" t="s">
        <v>109</v>
      </c>
    </row>
    <row r="7" spans="1:11">
      <c r="A7" s="312" t="s">
        <v>120</v>
      </c>
      <c r="B7" s="312" t="s">
        <v>121</v>
      </c>
      <c r="C7" s="312" t="s">
        <v>105</v>
      </c>
      <c r="D7" s="312" t="s">
        <v>114</v>
      </c>
      <c r="E7" s="312" t="s">
        <v>107</v>
      </c>
      <c r="F7" s="312">
        <v>1825</v>
      </c>
      <c r="G7" s="312" t="s">
        <v>108</v>
      </c>
      <c r="H7" s="312">
        <v>1827</v>
      </c>
      <c r="I7" s="312" t="s">
        <v>107</v>
      </c>
      <c r="J7" s="312">
        <v>1913</v>
      </c>
      <c r="K7" s="312" t="s">
        <v>109</v>
      </c>
    </row>
    <row r="8" spans="1:11">
      <c r="A8" s="312" t="s">
        <v>122</v>
      </c>
      <c r="B8" s="312" t="s">
        <v>123</v>
      </c>
      <c r="C8" s="312" t="s">
        <v>105</v>
      </c>
      <c r="D8" s="312" t="s">
        <v>117</v>
      </c>
      <c r="E8" s="312" t="s">
        <v>107</v>
      </c>
      <c r="F8" s="312">
        <v>1825</v>
      </c>
      <c r="G8" s="312" t="s">
        <v>108</v>
      </c>
      <c r="H8" s="312">
        <v>1827</v>
      </c>
      <c r="I8" s="312" t="s">
        <v>107</v>
      </c>
      <c r="J8" s="312">
        <v>1913</v>
      </c>
      <c r="K8" s="312" t="s">
        <v>109</v>
      </c>
    </row>
    <row r="9" spans="1:11">
      <c r="A9" s="312" t="s">
        <v>124</v>
      </c>
      <c r="B9" s="312" t="s">
        <v>125</v>
      </c>
      <c r="C9" s="312" t="s">
        <v>105</v>
      </c>
      <c r="D9" s="312" t="s">
        <v>117</v>
      </c>
      <c r="E9" s="312" t="s">
        <v>107</v>
      </c>
      <c r="F9" s="312">
        <v>1825</v>
      </c>
      <c r="G9" s="312" t="s">
        <v>108</v>
      </c>
      <c r="H9" s="312">
        <v>1827</v>
      </c>
      <c r="I9" s="312" t="s">
        <v>107</v>
      </c>
      <c r="J9" s="312">
        <v>1913</v>
      </c>
      <c r="K9" s="312" t="s">
        <v>109</v>
      </c>
    </row>
    <row r="10" spans="1:11">
      <c r="A10" s="312" t="s">
        <v>126</v>
      </c>
      <c r="B10" s="312" t="s">
        <v>127</v>
      </c>
      <c r="C10" s="312" t="s">
        <v>105</v>
      </c>
      <c r="D10" s="312" t="s">
        <v>114</v>
      </c>
      <c r="E10" s="312" t="s">
        <v>107</v>
      </c>
      <c r="F10" s="312">
        <v>1825</v>
      </c>
      <c r="G10" s="312" t="s">
        <v>108</v>
      </c>
      <c r="H10" s="312">
        <v>1827</v>
      </c>
      <c r="I10" s="312" t="s">
        <v>107</v>
      </c>
      <c r="J10" s="312">
        <v>1913</v>
      </c>
      <c r="K10" s="312" t="s">
        <v>109</v>
      </c>
    </row>
    <row r="11" spans="1:11">
      <c r="A11" s="312" t="s">
        <v>128</v>
      </c>
      <c r="B11" s="312" t="s">
        <v>129</v>
      </c>
      <c r="C11" s="312" t="s">
        <v>105</v>
      </c>
      <c r="D11" s="312" t="s">
        <v>114</v>
      </c>
      <c r="E11" s="312" t="s">
        <v>107</v>
      </c>
      <c r="F11" s="312">
        <v>1825</v>
      </c>
      <c r="G11" s="312" t="s">
        <v>108</v>
      </c>
      <c r="H11" s="312">
        <v>1827</v>
      </c>
      <c r="I11" s="312" t="s">
        <v>107</v>
      </c>
      <c r="J11" s="312">
        <v>1913</v>
      </c>
      <c r="K11" s="312" t="s">
        <v>109</v>
      </c>
    </row>
    <row r="12" spans="1:11">
      <c r="A12" s="312" t="s">
        <v>130</v>
      </c>
      <c r="B12" s="312" t="s">
        <v>131</v>
      </c>
      <c r="C12" s="312" t="s">
        <v>105</v>
      </c>
      <c r="D12" s="312" t="s">
        <v>114</v>
      </c>
      <c r="E12" s="312" t="s">
        <v>107</v>
      </c>
      <c r="F12" s="312">
        <v>1825</v>
      </c>
      <c r="G12" s="312" t="s">
        <v>108</v>
      </c>
      <c r="H12" s="312">
        <v>1827</v>
      </c>
      <c r="I12" s="312" t="s">
        <v>107</v>
      </c>
      <c r="J12" s="312">
        <v>1913</v>
      </c>
      <c r="K12" s="312" t="s">
        <v>109</v>
      </c>
    </row>
    <row r="13" spans="1:11">
      <c r="A13" s="312" t="s">
        <v>132</v>
      </c>
      <c r="B13" s="312" t="s">
        <v>133</v>
      </c>
      <c r="C13" s="312" t="s">
        <v>105</v>
      </c>
      <c r="D13" s="312" t="s">
        <v>114</v>
      </c>
      <c r="E13" s="312" t="s">
        <v>107</v>
      </c>
      <c r="F13" s="312">
        <v>1825</v>
      </c>
      <c r="G13" s="312" t="s">
        <v>108</v>
      </c>
      <c r="H13" s="312">
        <v>1827</v>
      </c>
      <c r="I13" s="312" t="s">
        <v>107</v>
      </c>
      <c r="J13" s="312">
        <v>1913</v>
      </c>
      <c r="K13" s="312" t="s">
        <v>109</v>
      </c>
    </row>
    <row r="14" spans="1:11">
      <c r="A14" s="312" t="s">
        <v>134</v>
      </c>
      <c r="B14" s="312" t="s">
        <v>135</v>
      </c>
      <c r="C14" s="312" t="s">
        <v>105</v>
      </c>
      <c r="D14" s="312" t="s">
        <v>114</v>
      </c>
      <c r="E14" s="312" t="s">
        <v>107</v>
      </c>
      <c r="F14" s="312">
        <v>1825</v>
      </c>
      <c r="G14" s="312" t="s">
        <v>108</v>
      </c>
      <c r="H14" s="312">
        <v>1827</v>
      </c>
      <c r="I14" s="312" t="s">
        <v>107</v>
      </c>
      <c r="J14" s="312">
        <v>1913</v>
      </c>
      <c r="K14" s="312" t="s">
        <v>109</v>
      </c>
    </row>
    <row r="15" spans="1:11">
      <c r="A15" s="312" t="s">
        <v>136</v>
      </c>
      <c r="B15" s="312" t="s">
        <v>137</v>
      </c>
      <c r="C15" s="312" t="s">
        <v>105</v>
      </c>
      <c r="D15" s="312" t="s">
        <v>114</v>
      </c>
      <c r="E15" s="312" t="s">
        <v>107</v>
      </c>
      <c r="F15" s="312">
        <v>1825</v>
      </c>
      <c r="G15" s="312" t="s">
        <v>108</v>
      </c>
      <c r="H15" s="312">
        <v>1827</v>
      </c>
      <c r="I15" s="312" t="s">
        <v>107</v>
      </c>
      <c r="J15" s="312">
        <v>1913</v>
      </c>
      <c r="K15" s="312" t="s">
        <v>109</v>
      </c>
    </row>
    <row r="16" spans="1:11">
      <c r="A16" s="312" t="s">
        <v>138</v>
      </c>
      <c r="B16" s="312" t="s">
        <v>139</v>
      </c>
      <c r="C16" s="312" t="s">
        <v>105</v>
      </c>
      <c r="D16" s="312" t="s">
        <v>114</v>
      </c>
      <c r="E16" s="312" t="s">
        <v>107</v>
      </c>
      <c r="F16" s="312">
        <v>1825</v>
      </c>
      <c r="G16" s="312" t="s">
        <v>108</v>
      </c>
      <c r="H16" s="312">
        <v>1827</v>
      </c>
      <c r="I16" s="312" t="s">
        <v>107</v>
      </c>
      <c r="J16" s="312">
        <v>1913</v>
      </c>
      <c r="K16" s="312" t="s">
        <v>109</v>
      </c>
    </row>
    <row r="17" spans="1:11">
      <c r="A17" s="312" t="s">
        <v>140</v>
      </c>
      <c r="B17" s="312" t="s">
        <v>141</v>
      </c>
      <c r="C17" s="312" t="s">
        <v>105</v>
      </c>
      <c r="D17" s="312" t="s">
        <v>114</v>
      </c>
      <c r="E17" s="312" t="s">
        <v>107</v>
      </c>
      <c r="F17" s="312">
        <v>1825</v>
      </c>
      <c r="G17" s="312" t="s">
        <v>108</v>
      </c>
      <c r="H17" s="312">
        <v>1827</v>
      </c>
      <c r="I17" s="312" t="s">
        <v>107</v>
      </c>
      <c r="J17" s="312">
        <v>1913</v>
      </c>
      <c r="K17" s="312" t="s">
        <v>109</v>
      </c>
    </row>
    <row r="18" spans="1:11">
      <c r="A18" s="312" t="s">
        <v>142</v>
      </c>
      <c r="B18" s="312" t="s">
        <v>143</v>
      </c>
      <c r="C18" s="312" t="s">
        <v>105</v>
      </c>
      <c r="D18" s="312" t="s">
        <v>114</v>
      </c>
      <c r="E18" s="312" t="s">
        <v>107</v>
      </c>
      <c r="F18" s="312">
        <v>1825</v>
      </c>
      <c r="G18" s="312" t="s">
        <v>108</v>
      </c>
      <c r="H18" s="312">
        <v>1827</v>
      </c>
      <c r="I18" s="312" t="s">
        <v>107</v>
      </c>
      <c r="J18" s="312">
        <v>1913</v>
      </c>
      <c r="K18" s="312" t="s">
        <v>109</v>
      </c>
    </row>
    <row r="19" spans="1:11">
      <c r="A19" s="312" t="s">
        <v>144</v>
      </c>
      <c r="B19" s="312" t="s">
        <v>145</v>
      </c>
      <c r="C19" s="312" t="s">
        <v>105</v>
      </c>
      <c r="D19" s="312" t="s">
        <v>114</v>
      </c>
      <c r="E19" s="312" t="s">
        <v>107</v>
      </c>
      <c r="F19" s="312">
        <v>1825</v>
      </c>
      <c r="G19" s="312" t="s">
        <v>108</v>
      </c>
      <c r="H19" s="312">
        <v>1827</v>
      </c>
      <c r="I19" s="312" t="s">
        <v>107</v>
      </c>
      <c r="J19" s="312">
        <v>1913</v>
      </c>
      <c r="K19" s="312" t="s">
        <v>109</v>
      </c>
    </row>
    <row r="20" spans="1:11">
      <c r="A20" s="312" t="s">
        <v>146</v>
      </c>
      <c r="B20" s="312" t="s">
        <v>147</v>
      </c>
      <c r="C20" s="312" t="s">
        <v>105</v>
      </c>
      <c r="D20" s="312" t="s">
        <v>117</v>
      </c>
      <c r="E20" s="312" t="s">
        <v>107</v>
      </c>
      <c r="F20" s="312">
        <v>1825</v>
      </c>
      <c r="G20" s="312" t="s">
        <v>108</v>
      </c>
      <c r="H20" s="312">
        <v>1827</v>
      </c>
      <c r="I20" s="312" t="s">
        <v>107</v>
      </c>
      <c r="J20" s="312">
        <v>1913</v>
      </c>
      <c r="K20" s="312" t="s">
        <v>109</v>
      </c>
    </row>
    <row r="21" spans="1:11">
      <c r="A21" s="312" t="s">
        <v>148</v>
      </c>
      <c r="B21" s="312" t="s">
        <v>149</v>
      </c>
      <c r="C21" s="312" t="s">
        <v>105</v>
      </c>
      <c r="D21" s="312" t="s">
        <v>114</v>
      </c>
      <c r="E21" s="312" t="s">
        <v>107</v>
      </c>
      <c r="F21" s="312">
        <v>1825</v>
      </c>
      <c r="G21" s="312" t="s">
        <v>108</v>
      </c>
      <c r="H21" s="312">
        <v>1827</v>
      </c>
      <c r="I21" s="312" t="s">
        <v>107</v>
      </c>
      <c r="J21" s="312">
        <v>1913</v>
      </c>
      <c r="K21" s="312" t="s">
        <v>109</v>
      </c>
    </row>
    <row r="22" spans="1:11">
      <c r="A22" s="312" t="s">
        <v>150</v>
      </c>
      <c r="B22" s="312" t="s">
        <v>151</v>
      </c>
      <c r="C22" s="312" t="s">
        <v>105</v>
      </c>
      <c r="D22" s="312" t="s">
        <v>114</v>
      </c>
      <c r="E22" s="312" t="s">
        <v>107</v>
      </c>
      <c r="F22" s="312">
        <v>1825</v>
      </c>
      <c r="G22" s="312" t="s">
        <v>108</v>
      </c>
      <c r="H22" s="312">
        <v>1827</v>
      </c>
      <c r="I22" s="312" t="s">
        <v>107</v>
      </c>
      <c r="J22" s="312">
        <v>1913</v>
      </c>
      <c r="K22" s="312" t="s">
        <v>109</v>
      </c>
    </row>
    <row r="23" spans="1:11">
      <c r="A23" s="312" t="s">
        <v>152</v>
      </c>
      <c r="B23" s="312" t="s">
        <v>153</v>
      </c>
      <c r="C23" s="312" t="s">
        <v>105</v>
      </c>
      <c r="D23" s="312" t="s">
        <v>114</v>
      </c>
      <c r="E23" s="312" t="s">
        <v>107</v>
      </c>
      <c r="F23" s="312">
        <v>1825</v>
      </c>
      <c r="G23" s="312" t="s">
        <v>108</v>
      </c>
      <c r="H23" s="312">
        <v>1827</v>
      </c>
      <c r="I23" s="312" t="s">
        <v>107</v>
      </c>
      <c r="J23" s="312">
        <v>1913</v>
      </c>
      <c r="K23" s="312" t="s">
        <v>109</v>
      </c>
    </row>
    <row r="24" spans="1:11">
      <c r="A24" s="312" t="s">
        <v>154</v>
      </c>
      <c r="B24" s="312" t="s">
        <v>155</v>
      </c>
      <c r="C24" s="312" t="s">
        <v>105</v>
      </c>
      <c r="D24" s="312" t="s">
        <v>114</v>
      </c>
      <c r="E24" s="312" t="s">
        <v>107</v>
      </c>
      <c r="F24" s="312">
        <v>1825</v>
      </c>
      <c r="G24" s="312" t="s">
        <v>108</v>
      </c>
      <c r="H24" s="312">
        <v>1827</v>
      </c>
      <c r="I24" s="312" t="s">
        <v>107</v>
      </c>
      <c r="J24" s="312">
        <v>1913</v>
      </c>
      <c r="K24" s="312" t="s">
        <v>109</v>
      </c>
    </row>
    <row r="25" spans="1:11">
      <c r="A25" s="312" t="s">
        <v>156</v>
      </c>
      <c r="B25" s="312" t="s">
        <v>157</v>
      </c>
      <c r="C25" s="312" t="s">
        <v>105</v>
      </c>
      <c r="D25" s="312" t="s">
        <v>114</v>
      </c>
      <c r="E25" s="312" t="s">
        <v>107</v>
      </c>
      <c r="F25" s="312">
        <v>1825</v>
      </c>
      <c r="G25" s="312" t="s">
        <v>108</v>
      </c>
      <c r="H25" s="312">
        <v>1827</v>
      </c>
      <c r="I25" s="312" t="s">
        <v>107</v>
      </c>
      <c r="J25" s="312">
        <v>1913</v>
      </c>
      <c r="K25" s="312" t="s">
        <v>109</v>
      </c>
    </row>
    <row r="26" spans="1:11">
      <c r="A26" s="312" t="s">
        <v>158</v>
      </c>
      <c r="B26" s="312" t="s">
        <v>159</v>
      </c>
      <c r="C26" s="312" t="s">
        <v>105</v>
      </c>
      <c r="D26" s="312" t="s">
        <v>114</v>
      </c>
      <c r="E26" s="312" t="s">
        <v>107</v>
      </c>
      <c r="F26" s="312">
        <v>1825</v>
      </c>
      <c r="G26" s="312" t="s">
        <v>108</v>
      </c>
      <c r="H26" s="312">
        <v>1827</v>
      </c>
      <c r="I26" s="312" t="s">
        <v>107</v>
      </c>
      <c r="J26" s="312">
        <v>1913</v>
      </c>
      <c r="K26" s="312" t="s">
        <v>109</v>
      </c>
    </row>
    <row r="27" spans="1:11">
      <c r="A27" s="312" t="s">
        <v>160</v>
      </c>
      <c r="B27" s="312" t="s">
        <v>161</v>
      </c>
      <c r="C27" s="312" t="s">
        <v>105</v>
      </c>
      <c r="D27" s="312" t="s">
        <v>114</v>
      </c>
      <c r="E27" s="312" t="s">
        <v>107</v>
      </c>
      <c r="F27" s="312">
        <v>1825</v>
      </c>
      <c r="G27" s="312" t="s">
        <v>108</v>
      </c>
      <c r="H27" s="312">
        <v>1827</v>
      </c>
      <c r="I27" s="312" t="s">
        <v>107</v>
      </c>
      <c r="J27" s="312">
        <v>1913</v>
      </c>
      <c r="K27" s="312" t="s">
        <v>109</v>
      </c>
    </row>
    <row r="28" spans="1:11">
      <c r="A28" s="312" t="s">
        <v>162</v>
      </c>
      <c r="B28" s="312" t="s">
        <v>163</v>
      </c>
      <c r="C28" s="312" t="s">
        <v>105</v>
      </c>
      <c r="D28" s="312" t="s">
        <v>114</v>
      </c>
      <c r="E28" s="312" t="s">
        <v>107</v>
      </c>
      <c r="F28" s="312">
        <v>1825</v>
      </c>
      <c r="G28" s="312" t="s">
        <v>108</v>
      </c>
      <c r="H28" s="312">
        <v>1827</v>
      </c>
      <c r="I28" s="312" t="s">
        <v>107</v>
      </c>
      <c r="J28" s="312">
        <v>1913</v>
      </c>
      <c r="K28" s="312" t="s">
        <v>109</v>
      </c>
    </row>
    <row r="29" spans="1:11">
      <c r="A29" s="312" t="s">
        <v>164</v>
      </c>
      <c r="B29" s="312" t="s">
        <v>165</v>
      </c>
      <c r="C29" s="312" t="s">
        <v>105</v>
      </c>
      <c r="D29" s="312" t="s">
        <v>166</v>
      </c>
      <c r="E29" s="312" t="s">
        <v>167</v>
      </c>
      <c r="F29" s="312">
        <v>1705</v>
      </c>
      <c r="G29" s="312" t="s">
        <v>168</v>
      </c>
      <c r="H29" s="312">
        <v>1707</v>
      </c>
      <c r="I29" s="312" t="s">
        <v>167</v>
      </c>
      <c r="J29" s="312">
        <v>1899</v>
      </c>
      <c r="K29" s="312" t="s">
        <v>169</v>
      </c>
    </row>
    <row r="30" spans="1:11">
      <c r="A30" s="312" t="s">
        <v>170</v>
      </c>
      <c r="B30" s="1" t="s">
        <v>171</v>
      </c>
      <c r="C30" s="312" t="s">
        <v>105</v>
      </c>
      <c r="D30" s="312" t="s">
        <v>114</v>
      </c>
      <c r="E30" s="312" t="s">
        <v>107</v>
      </c>
      <c r="F30" s="312">
        <v>1825</v>
      </c>
      <c r="G30" s="312" t="s">
        <v>108</v>
      </c>
      <c r="H30" s="312">
        <v>1827</v>
      </c>
      <c r="I30" s="312" t="s">
        <v>107</v>
      </c>
      <c r="J30" s="312">
        <v>1913</v>
      </c>
      <c r="K30" s="312" t="s">
        <v>109</v>
      </c>
    </row>
    <row r="31" spans="1:11">
      <c r="A31" s="312" t="s">
        <v>172</v>
      </c>
      <c r="B31" s="312" t="s">
        <v>173</v>
      </c>
      <c r="C31" s="312" t="s">
        <v>105</v>
      </c>
      <c r="D31" s="312" t="s">
        <v>106</v>
      </c>
      <c r="E31" s="312" t="s">
        <v>107</v>
      </c>
      <c r="F31" s="312">
        <v>1825</v>
      </c>
      <c r="G31" s="312" t="s">
        <v>108</v>
      </c>
      <c r="H31" s="312">
        <v>1827</v>
      </c>
      <c r="I31" s="312" t="s">
        <v>107</v>
      </c>
      <c r="J31" s="312">
        <v>1913</v>
      </c>
      <c r="K31" s="312" t="s">
        <v>109</v>
      </c>
    </row>
    <row r="32" spans="1:11">
      <c r="A32" s="312" t="s">
        <v>174</v>
      </c>
      <c r="B32" s="312" t="s">
        <v>175</v>
      </c>
      <c r="C32" s="312" t="s">
        <v>105</v>
      </c>
      <c r="D32" s="312" t="s">
        <v>114</v>
      </c>
      <c r="E32" s="312" t="s">
        <v>107</v>
      </c>
      <c r="F32" s="312">
        <v>1825</v>
      </c>
      <c r="G32" s="312" t="s">
        <v>108</v>
      </c>
      <c r="H32" s="312">
        <v>1827</v>
      </c>
      <c r="I32" s="312" t="s">
        <v>107</v>
      </c>
      <c r="J32" s="312">
        <v>1913</v>
      </c>
      <c r="K32" s="312" t="s">
        <v>109</v>
      </c>
    </row>
    <row r="33" spans="1:11">
      <c r="A33" s="312" t="s">
        <v>176</v>
      </c>
      <c r="B33" s="312" t="s">
        <v>177</v>
      </c>
      <c r="C33" s="312" t="s">
        <v>105</v>
      </c>
      <c r="D33" s="312" t="s">
        <v>114</v>
      </c>
      <c r="E33" s="312" t="s">
        <v>107</v>
      </c>
      <c r="F33" s="312">
        <v>1825</v>
      </c>
      <c r="G33" s="312" t="s">
        <v>108</v>
      </c>
      <c r="H33" s="312">
        <v>1827</v>
      </c>
      <c r="I33" s="312" t="s">
        <v>107</v>
      </c>
      <c r="J33" s="312">
        <v>1913</v>
      </c>
      <c r="K33" s="312" t="s">
        <v>109</v>
      </c>
    </row>
    <row r="34" spans="1:11">
      <c r="A34" s="312" t="s">
        <v>178</v>
      </c>
      <c r="B34" s="312" t="s">
        <v>179</v>
      </c>
      <c r="C34" s="312" t="s">
        <v>105</v>
      </c>
      <c r="D34" s="312" t="s">
        <v>114</v>
      </c>
      <c r="E34" s="312" t="s">
        <v>107</v>
      </c>
      <c r="F34" s="312">
        <v>1825</v>
      </c>
      <c r="G34" s="312" t="s">
        <v>108</v>
      </c>
      <c r="H34" s="312">
        <v>1827</v>
      </c>
      <c r="I34" s="312" t="s">
        <v>107</v>
      </c>
      <c r="J34" s="312">
        <v>1913</v>
      </c>
      <c r="K34" s="312" t="s">
        <v>109</v>
      </c>
    </row>
    <row r="35" spans="1:11">
      <c r="A35" s="312" t="s">
        <v>180</v>
      </c>
      <c r="B35" s="312" t="s">
        <v>181</v>
      </c>
      <c r="C35" s="312" t="s">
        <v>105</v>
      </c>
      <c r="D35" s="312" t="s">
        <v>114</v>
      </c>
      <c r="E35" s="312" t="s">
        <v>107</v>
      </c>
      <c r="F35" s="312">
        <v>1825</v>
      </c>
      <c r="G35" s="312" t="s">
        <v>108</v>
      </c>
      <c r="H35" s="312">
        <v>1827</v>
      </c>
      <c r="I35" s="312" t="s">
        <v>107</v>
      </c>
      <c r="J35" s="312">
        <v>1913</v>
      </c>
      <c r="K35" s="312" t="s">
        <v>109</v>
      </c>
    </row>
    <row r="36" spans="1:11">
      <c r="A36" s="312" t="s">
        <v>182</v>
      </c>
      <c r="B36" s="312" t="s">
        <v>183</v>
      </c>
      <c r="C36" s="312" t="s">
        <v>105</v>
      </c>
      <c r="D36" s="312" t="s">
        <v>184</v>
      </c>
      <c r="E36" s="312" t="s">
        <v>107</v>
      </c>
      <c r="F36" s="312">
        <v>1825</v>
      </c>
      <c r="G36" s="312" t="s">
        <v>108</v>
      </c>
      <c r="H36" s="312">
        <v>1827</v>
      </c>
      <c r="I36" s="312" t="s">
        <v>107</v>
      </c>
      <c r="J36" s="312">
        <v>1913</v>
      </c>
      <c r="K36" s="312" t="s">
        <v>109</v>
      </c>
    </row>
    <row r="37" spans="1:11">
      <c r="A37" s="312" t="s">
        <v>185</v>
      </c>
      <c r="B37" s="312" t="s">
        <v>186</v>
      </c>
      <c r="C37" s="312" t="s">
        <v>105</v>
      </c>
      <c r="D37" s="312" t="s">
        <v>114</v>
      </c>
      <c r="E37" s="312" t="s">
        <v>107</v>
      </c>
      <c r="F37" s="312">
        <v>1825</v>
      </c>
      <c r="G37" s="312" t="s">
        <v>108</v>
      </c>
      <c r="H37" s="312">
        <v>1827</v>
      </c>
      <c r="I37" s="312" t="s">
        <v>107</v>
      </c>
      <c r="J37" s="312">
        <v>1913</v>
      </c>
      <c r="K37" s="312" t="s">
        <v>109</v>
      </c>
    </row>
    <row r="38" spans="1:11">
      <c r="A38" s="312" t="s">
        <v>187</v>
      </c>
      <c r="B38" s="312" t="s">
        <v>188</v>
      </c>
      <c r="C38" s="312" t="s">
        <v>105</v>
      </c>
      <c r="D38" s="312" t="s">
        <v>114</v>
      </c>
      <c r="E38" s="312" t="s">
        <v>107</v>
      </c>
      <c r="F38" s="312">
        <v>1825</v>
      </c>
      <c r="G38" s="312" t="s">
        <v>108</v>
      </c>
      <c r="H38" s="312">
        <v>1827</v>
      </c>
      <c r="I38" s="312" t="s">
        <v>107</v>
      </c>
      <c r="J38" s="312">
        <v>1913</v>
      </c>
      <c r="K38" s="312" t="s">
        <v>109</v>
      </c>
    </row>
    <row r="39" spans="1:11">
      <c r="A39" s="312" t="s">
        <v>189</v>
      </c>
      <c r="B39" s="312" t="s">
        <v>190</v>
      </c>
      <c r="C39" s="312" t="s">
        <v>105</v>
      </c>
      <c r="D39" s="312" t="s">
        <v>114</v>
      </c>
      <c r="E39" s="312" t="s">
        <v>107</v>
      </c>
      <c r="F39" s="312">
        <v>1825</v>
      </c>
      <c r="G39" s="312" t="s">
        <v>108</v>
      </c>
      <c r="H39" s="312">
        <v>1827</v>
      </c>
      <c r="I39" s="312" t="s">
        <v>107</v>
      </c>
      <c r="J39" s="312">
        <v>1913</v>
      </c>
      <c r="K39" s="312" t="s">
        <v>109</v>
      </c>
    </row>
    <row r="40" spans="1:11">
      <c r="A40" s="312" t="s">
        <v>191</v>
      </c>
      <c r="B40" s="312" t="s">
        <v>192</v>
      </c>
      <c r="C40" s="312" t="s">
        <v>105</v>
      </c>
      <c r="D40" s="312" t="s">
        <v>114</v>
      </c>
      <c r="E40" s="312" t="s">
        <v>107</v>
      </c>
      <c r="F40" s="312">
        <v>1825</v>
      </c>
      <c r="G40" s="312" t="s">
        <v>108</v>
      </c>
      <c r="H40" s="312">
        <v>1827</v>
      </c>
      <c r="I40" s="312" t="s">
        <v>107</v>
      </c>
      <c r="J40" s="312">
        <v>1913</v>
      </c>
      <c r="K40" s="312" t="s">
        <v>109</v>
      </c>
    </row>
    <row r="41" spans="1:11">
      <c r="A41" s="312" t="s">
        <v>193</v>
      </c>
      <c r="B41" s="312" t="s">
        <v>194</v>
      </c>
      <c r="C41" s="312" t="s">
        <v>105</v>
      </c>
      <c r="D41" s="312" t="s">
        <v>106</v>
      </c>
      <c r="E41" s="312" t="s">
        <v>107</v>
      </c>
      <c r="F41" s="312">
        <v>1825</v>
      </c>
      <c r="G41" s="312" t="s">
        <v>108</v>
      </c>
      <c r="H41" s="312">
        <v>1827</v>
      </c>
      <c r="I41" s="312" t="s">
        <v>107</v>
      </c>
      <c r="J41" s="312">
        <v>1913</v>
      </c>
      <c r="K41" s="312" t="s">
        <v>109</v>
      </c>
    </row>
    <row r="42" spans="1:11">
      <c r="A42" s="312" t="s">
        <v>195</v>
      </c>
      <c r="B42" s="312" t="s">
        <v>196</v>
      </c>
      <c r="C42" s="312" t="s">
        <v>105</v>
      </c>
      <c r="D42" s="312" t="s">
        <v>114</v>
      </c>
      <c r="E42" s="312" t="s">
        <v>107</v>
      </c>
      <c r="F42" s="312">
        <v>1825</v>
      </c>
      <c r="G42" s="312" t="s">
        <v>108</v>
      </c>
      <c r="H42" s="312">
        <v>1827</v>
      </c>
      <c r="I42" s="312" t="s">
        <v>107</v>
      </c>
      <c r="J42" s="312">
        <v>1913</v>
      </c>
      <c r="K42" s="312" t="s">
        <v>109</v>
      </c>
    </row>
    <row r="43" spans="1:11">
      <c r="A43" s="312" t="s">
        <v>197</v>
      </c>
      <c r="B43" s="312" t="s">
        <v>198</v>
      </c>
      <c r="C43" s="312" t="s">
        <v>105</v>
      </c>
      <c r="D43" s="312" t="s">
        <v>114</v>
      </c>
      <c r="E43" s="312" t="s">
        <v>107</v>
      </c>
      <c r="F43" s="312">
        <v>1825</v>
      </c>
      <c r="G43" s="312" t="s">
        <v>108</v>
      </c>
      <c r="H43" s="312">
        <v>1827</v>
      </c>
      <c r="I43" s="312" t="s">
        <v>107</v>
      </c>
      <c r="J43" s="312">
        <v>1913</v>
      </c>
      <c r="K43" s="312" t="s">
        <v>109</v>
      </c>
    </row>
    <row r="44" spans="1:11">
      <c r="A44" s="312" t="s">
        <v>199</v>
      </c>
      <c r="B44" s="312" t="s">
        <v>200</v>
      </c>
      <c r="C44" s="312" t="s">
        <v>105</v>
      </c>
      <c r="D44" s="312" t="s">
        <v>201</v>
      </c>
      <c r="E44" s="312" t="s">
        <v>107</v>
      </c>
      <c r="F44" s="312">
        <v>1825</v>
      </c>
      <c r="G44" s="312" t="s">
        <v>108</v>
      </c>
      <c r="H44" s="312">
        <v>1827</v>
      </c>
      <c r="I44" s="312" t="s">
        <v>107</v>
      </c>
      <c r="J44" s="312">
        <v>1913</v>
      </c>
      <c r="K44" s="312" t="s">
        <v>109</v>
      </c>
    </row>
    <row r="45" spans="1:11">
      <c r="A45" s="312" t="s">
        <v>202</v>
      </c>
      <c r="B45" s="312" t="s">
        <v>203</v>
      </c>
      <c r="C45" s="312" t="s">
        <v>105</v>
      </c>
      <c r="D45" s="312" t="s">
        <v>201</v>
      </c>
      <c r="E45" s="312" t="s">
        <v>107</v>
      </c>
      <c r="F45" s="312">
        <v>1825</v>
      </c>
      <c r="G45" s="312" t="s">
        <v>108</v>
      </c>
      <c r="H45" s="312">
        <v>1827</v>
      </c>
      <c r="I45" s="312" t="s">
        <v>107</v>
      </c>
      <c r="J45" s="312">
        <v>1913</v>
      </c>
      <c r="K45" s="312" t="s">
        <v>109</v>
      </c>
    </row>
    <row r="46" spans="1:11">
      <c r="A46" s="312" t="s">
        <v>204</v>
      </c>
      <c r="B46" s="312" t="s">
        <v>205</v>
      </c>
      <c r="C46" s="312" t="s">
        <v>105</v>
      </c>
      <c r="D46" s="312" t="s">
        <v>201</v>
      </c>
      <c r="E46" s="312" t="s">
        <v>107</v>
      </c>
      <c r="F46" s="312">
        <v>1825</v>
      </c>
      <c r="G46" s="312" t="s">
        <v>108</v>
      </c>
      <c r="H46" s="312">
        <v>1827</v>
      </c>
      <c r="I46" s="312" t="s">
        <v>107</v>
      </c>
      <c r="J46" s="312">
        <v>1913</v>
      </c>
      <c r="K46" s="312" t="s">
        <v>109</v>
      </c>
    </row>
    <row r="47" spans="1:11">
      <c r="A47" s="312" t="s">
        <v>206</v>
      </c>
      <c r="B47" s="312" t="s">
        <v>207</v>
      </c>
      <c r="C47" s="312" t="s">
        <v>105</v>
      </c>
      <c r="D47" s="312" t="s">
        <v>201</v>
      </c>
      <c r="E47" s="312" t="s">
        <v>107</v>
      </c>
      <c r="F47" s="312">
        <v>1825</v>
      </c>
      <c r="G47" s="312" t="s">
        <v>108</v>
      </c>
      <c r="H47" s="312">
        <v>1827</v>
      </c>
      <c r="I47" s="312" t="s">
        <v>107</v>
      </c>
      <c r="J47" s="312">
        <v>1913</v>
      </c>
      <c r="K47" s="312" t="s">
        <v>109</v>
      </c>
    </row>
    <row r="48" spans="1:11">
      <c r="A48" s="312" t="s">
        <v>208</v>
      </c>
      <c r="B48" s="312" t="s">
        <v>209</v>
      </c>
      <c r="C48" s="312" t="s">
        <v>105</v>
      </c>
      <c r="D48" s="312" t="s">
        <v>114</v>
      </c>
      <c r="E48" s="312" t="s">
        <v>107</v>
      </c>
      <c r="F48" s="312">
        <v>1825</v>
      </c>
      <c r="G48" s="312" t="s">
        <v>108</v>
      </c>
      <c r="H48" s="312">
        <v>1827</v>
      </c>
      <c r="I48" s="312" t="s">
        <v>107</v>
      </c>
      <c r="J48" s="312">
        <v>1913</v>
      </c>
      <c r="K48" s="312" t="s">
        <v>109</v>
      </c>
    </row>
    <row r="49" spans="1:11">
      <c r="A49" s="312" t="s">
        <v>210</v>
      </c>
      <c r="B49" s="312" t="s">
        <v>211</v>
      </c>
      <c r="C49" s="312" t="s">
        <v>105</v>
      </c>
      <c r="D49" s="312" t="s">
        <v>184</v>
      </c>
      <c r="E49" s="312" t="s">
        <v>107</v>
      </c>
      <c r="F49" s="312">
        <v>1825</v>
      </c>
      <c r="G49" s="312" t="s">
        <v>108</v>
      </c>
      <c r="H49" s="312">
        <v>1827</v>
      </c>
      <c r="I49" s="312" t="s">
        <v>107</v>
      </c>
      <c r="J49" s="312">
        <v>1913</v>
      </c>
      <c r="K49" s="312" t="s">
        <v>109</v>
      </c>
    </row>
    <row r="50" spans="1:11">
      <c r="A50" s="312" t="s">
        <v>212</v>
      </c>
      <c r="B50" s="312" t="s">
        <v>213</v>
      </c>
      <c r="C50" s="312" t="s">
        <v>105</v>
      </c>
      <c r="D50" s="312" t="s">
        <v>114</v>
      </c>
      <c r="E50" s="312" t="s">
        <v>107</v>
      </c>
      <c r="F50" s="312">
        <v>1825</v>
      </c>
      <c r="G50" s="312" t="s">
        <v>108</v>
      </c>
      <c r="H50" s="312">
        <v>1827</v>
      </c>
      <c r="I50" s="312" t="s">
        <v>107</v>
      </c>
      <c r="J50" s="312">
        <v>1913</v>
      </c>
      <c r="K50" s="312" t="s">
        <v>109</v>
      </c>
    </row>
    <row r="51" spans="1:11">
      <c r="A51" s="312" t="s">
        <v>214</v>
      </c>
      <c r="B51" s="312" t="s">
        <v>215</v>
      </c>
      <c r="C51" s="312" t="s">
        <v>105</v>
      </c>
      <c r="D51" s="312" t="s">
        <v>216</v>
      </c>
      <c r="E51" s="312" t="s">
        <v>107</v>
      </c>
      <c r="F51" s="312">
        <v>1825</v>
      </c>
      <c r="G51" s="312" t="s">
        <v>108</v>
      </c>
      <c r="H51" s="312">
        <v>1827</v>
      </c>
      <c r="I51" s="312" t="s">
        <v>107</v>
      </c>
      <c r="J51" s="312">
        <v>1913</v>
      </c>
      <c r="K51" s="312" t="s">
        <v>109</v>
      </c>
    </row>
    <row r="52" spans="1:11">
      <c r="A52" s="312" t="s">
        <v>217</v>
      </c>
      <c r="B52" s="312" t="s">
        <v>218</v>
      </c>
      <c r="C52" s="312" t="s">
        <v>105</v>
      </c>
      <c r="D52" s="312" t="s">
        <v>114</v>
      </c>
      <c r="E52" s="312" t="s">
        <v>107</v>
      </c>
      <c r="F52" s="312">
        <v>1825</v>
      </c>
      <c r="G52" s="312" t="s">
        <v>108</v>
      </c>
      <c r="H52" s="312">
        <v>1827</v>
      </c>
      <c r="I52" s="312" t="s">
        <v>107</v>
      </c>
      <c r="J52" s="312">
        <v>1913</v>
      </c>
      <c r="K52" s="312" t="s">
        <v>109</v>
      </c>
    </row>
    <row r="53" spans="1:11">
      <c r="A53" s="312" t="s">
        <v>219</v>
      </c>
      <c r="B53" s="312" t="s">
        <v>220</v>
      </c>
      <c r="C53" s="312" t="s">
        <v>105</v>
      </c>
      <c r="D53" s="312" t="s">
        <v>221</v>
      </c>
      <c r="E53" s="312" t="s">
        <v>107</v>
      </c>
      <c r="F53" s="312">
        <v>1825</v>
      </c>
      <c r="G53" s="312" t="s">
        <v>108</v>
      </c>
      <c r="H53" s="312">
        <v>1827</v>
      </c>
      <c r="I53" s="312" t="s">
        <v>107</v>
      </c>
      <c r="J53" s="312">
        <v>1913</v>
      </c>
      <c r="K53" s="312" t="s">
        <v>109</v>
      </c>
    </row>
    <row r="54" spans="1:11">
      <c r="A54" s="312" t="s">
        <v>222</v>
      </c>
      <c r="B54" s="312" t="s">
        <v>223</v>
      </c>
      <c r="C54" s="312" t="s">
        <v>105</v>
      </c>
      <c r="D54" s="312" t="s">
        <v>216</v>
      </c>
      <c r="E54" s="312" t="s">
        <v>107</v>
      </c>
      <c r="F54" s="312">
        <v>1825</v>
      </c>
      <c r="G54" s="312" t="s">
        <v>108</v>
      </c>
      <c r="H54" s="312">
        <v>1827</v>
      </c>
      <c r="I54" s="312" t="s">
        <v>107</v>
      </c>
      <c r="J54" s="312">
        <v>1913</v>
      </c>
      <c r="K54" s="312" t="s">
        <v>109</v>
      </c>
    </row>
    <row r="55" spans="1:11">
      <c r="A55" s="312" t="s">
        <v>224</v>
      </c>
      <c r="B55" s="312" t="s">
        <v>225</v>
      </c>
      <c r="C55" s="312" t="s">
        <v>105</v>
      </c>
      <c r="D55" s="312" t="s">
        <v>114</v>
      </c>
      <c r="E55" s="312" t="s">
        <v>107</v>
      </c>
      <c r="F55" s="312">
        <v>1825</v>
      </c>
      <c r="G55" s="312" t="s">
        <v>108</v>
      </c>
      <c r="H55" s="312">
        <v>1827</v>
      </c>
      <c r="I55" s="312" t="s">
        <v>107</v>
      </c>
      <c r="J55" s="312">
        <v>1913</v>
      </c>
      <c r="K55" s="312" t="s">
        <v>109</v>
      </c>
    </row>
    <row r="56" spans="1:11">
      <c r="A56" s="312" t="s">
        <v>226</v>
      </c>
      <c r="B56" s="312" t="s">
        <v>227</v>
      </c>
      <c r="C56" s="312" t="s">
        <v>105</v>
      </c>
      <c r="D56" s="312" t="s">
        <v>228</v>
      </c>
      <c r="E56" s="312" t="s">
        <v>107</v>
      </c>
      <c r="F56" s="312">
        <v>1825</v>
      </c>
      <c r="G56" s="312" t="s">
        <v>108</v>
      </c>
      <c r="H56" s="312">
        <v>1827</v>
      </c>
      <c r="I56" s="312" t="s">
        <v>107</v>
      </c>
      <c r="J56" s="312">
        <v>1913</v>
      </c>
      <c r="K56" s="312" t="s">
        <v>109</v>
      </c>
    </row>
    <row r="57" spans="1:11">
      <c r="A57" s="312" t="s">
        <v>229</v>
      </c>
      <c r="B57" s="312" t="s">
        <v>230</v>
      </c>
      <c r="C57" s="312" t="s">
        <v>105</v>
      </c>
      <c r="D57" s="312" t="s">
        <v>228</v>
      </c>
      <c r="E57" s="312" t="s">
        <v>107</v>
      </c>
      <c r="F57" s="312">
        <v>1825</v>
      </c>
      <c r="G57" s="312" t="s">
        <v>108</v>
      </c>
      <c r="H57" s="312">
        <v>1827</v>
      </c>
      <c r="I57" s="312" t="s">
        <v>107</v>
      </c>
      <c r="J57" s="312">
        <v>1913</v>
      </c>
      <c r="K57" s="312" t="s">
        <v>109</v>
      </c>
    </row>
    <row r="58" spans="1:11">
      <c r="A58" s="312" t="s">
        <v>231</v>
      </c>
      <c r="B58" s="312" t="s">
        <v>232</v>
      </c>
      <c r="C58" s="312" t="s">
        <v>105</v>
      </c>
      <c r="D58" s="312" t="s">
        <v>228</v>
      </c>
      <c r="E58" s="312" t="s">
        <v>107</v>
      </c>
      <c r="F58" s="312">
        <v>1825</v>
      </c>
      <c r="G58" s="312" t="s">
        <v>108</v>
      </c>
      <c r="H58" s="312">
        <v>1827</v>
      </c>
      <c r="I58" s="312" t="s">
        <v>107</v>
      </c>
      <c r="J58" s="312">
        <v>1913</v>
      </c>
      <c r="K58" s="312" t="s">
        <v>109</v>
      </c>
    </row>
    <row r="59" spans="1:11">
      <c r="A59" s="312" t="s">
        <v>233</v>
      </c>
      <c r="B59" s="312" t="s">
        <v>234</v>
      </c>
      <c r="C59" s="312" t="s">
        <v>105</v>
      </c>
      <c r="D59" s="312" t="s">
        <v>235</v>
      </c>
      <c r="E59" s="312" t="s">
        <v>167</v>
      </c>
      <c r="F59" s="312">
        <v>1705</v>
      </c>
      <c r="G59" s="312" t="s">
        <v>168</v>
      </c>
      <c r="H59" s="312">
        <v>1707</v>
      </c>
      <c r="I59" s="312" t="s">
        <v>167</v>
      </c>
      <c r="J59" s="312">
        <v>1899</v>
      </c>
      <c r="K59" s="312" t="s">
        <v>169</v>
      </c>
    </row>
    <row r="60" spans="1:11">
      <c r="A60" s="312" t="s">
        <v>236</v>
      </c>
      <c r="B60" s="312" t="s">
        <v>237</v>
      </c>
      <c r="C60" s="312" t="s">
        <v>105</v>
      </c>
      <c r="D60" s="312" t="s">
        <v>235</v>
      </c>
      <c r="E60" s="312" t="s">
        <v>167</v>
      </c>
      <c r="F60" s="312">
        <v>1705</v>
      </c>
      <c r="G60" s="312" t="s">
        <v>168</v>
      </c>
      <c r="H60" s="312">
        <v>1707</v>
      </c>
      <c r="I60" s="312" t="s">
        <v>167</v>
      </c>
      <c r="J60" s="312">
        <v>1899</v>
      </c>
      <c r="K60" s="312" t="s">
        <v>169</v>
      </c>
    </row>
    <row r="61" spans="1:11">
      <c r="A61" s="312" t="s">
        <v>238</v>
      </c>
      <c r="B61" s="312" t="s">
        <v>239</v>
      </c>
      <c r="C61" s="312" t="s">
        <v>105</v>
      </c>
      <c r="D61" s="312" t="s">
        <v>166</v>
      </c>
      <c r="E61" s="312" t="s">
        <v>167</v>
      </c>
      <c r="F61" s="312">
        <v>1705</v>
      </c>
      <c r="G61" s="312" t="s">
        <v>168</v>
      </c>
      <c r="H61" s="312">
        <v>1707</v>
      </c>
      <c r="I61" s="312" t="s">
        <v>167</v>
      </c>
      <c r="J61" s="312">
        <v>1899</v>
      </c>
      <c r="K61" s="312" t="s">
        <v>169</v>
      </c>
    </row>
    <row r="62" spans="1:11">
      <c r="A62" s="312" t="s">
        <v>240</v>
      </c>
      <c r="B62" s="312" t="s">
        <v>241</v>
      </c>
      <c r="C62" s="312" t="s">
        <v>105</v>
      </c>
      <c r="D62" s="312" t="s">
        <v>166</v>
      </c>
      <c r="E62" s="312" t="s">
        <v>167</v>
      </c>
      <c r="F62" s="312">
        <v>1705</v>
      </c>
      <c r="G62" s="312" t="s">
        <v>168</v>
      </c>
      <c r="H62" s="312">
        <v>1707</v>
      </c>
      <c r="I62" s="312" t="s">
        <v>167</v>
      </c>
      <c r="J62" s="312">
        <v>1899</v>
      </c>
      <c r="K62" s="312" t="s">
        <v>169</v>
      </c>
    </row>
    <row r="63" spans="1:11">
      <c r="A63" s="312" t="s">
        <v>242</v>
      </c>
      <c r="B63" s="312" t="s">
        <v>243</v>
      </c>
      <c r="C63" s="312" t="s">
        <v>105</v>
      </c>
      <c r="D63" s="312" t="s">
        <v>166</v>
      </c>
      <c r="E63" s="312" t="s">
        <v>167</v>
      </c>
      <c r="F63" s="312">
        <v>1705</v>
      </c>
      <c r="G63" s="312" t="s">
        <v>168</v>
      </c>
      <c r="H63" s="312">
        <v>1707</v>
      </c>
      <c r="I63" s="312" t="s">
        <v>167</v>
      </c>
      <c r="J63" s="312">
        <v>1899</v>
      </c>
      <c r="K63" s="312" t="s">
        <v>169</v>
      </c>
    </row>
    <row r="64" spans="1:11">
      <c r="A64" s="312" t="s">
        <v>244</v>
      </c>
      <c r="B64" s="312" t="s">
        <v>245</v>
      </c>
      <c r="C64" s="312" t="s">
        <v>105</v>
      </c>
      <c r="D64" s="312" t="s">
        <v>166</v>
      </c>
      <c r="E64" s="312" t="s">
        <v>167</v>
      </c>
      <c r="F64" s="312">
        <v>1705</v>
      </c>
      <c r="G64" s="312" t="s">
        <v>168</v>
      </c>
      <c r="H64" s="312">
        <v>1707</v>
      </c>
      <c r="I64" s="312" t="s">
        <v>167</v>
      </c>
      <c r="J64" s="312">
        <v>1899</v>
      </c>
      <c r="K64" s="312" t="s">
        <v>169</v>
      </c>
    </row>
    <row r="65" spans="1:11">
      <c r="A65" s="312" t="s">
        <v>246</v>
      </c>
      <c r="B65" s="312" t="s">
        <v>247</v>
      </c>
      <c r="C65" s="312" t="s">
        <v>105</v>
      </c>
      <c r="D65" s="312" t="s">
        <v>166</v>
      </c>
      <c r="E65" s="312" t="s">
        <v>167</v>
      </c>
      <c r="F65" s="312">
        <v>1705</v>
      </c>
      <c r="G65" s="312" t="s">
        <v>168</v>
      </c>
      <c r="H65" s="312">
        <v>1707</v>
      </c>
      <c r="I65" s="312" t="s">
        <v>167</v>
      </c>
      <c r="J65" s="312">
        <v>1899</v>
      </c>
      <c r="K65" s="312" t="s">
        <v>169</v>
      </c>
    </row>
    <row r="66" spans="1:11">
      <c r="A66" s="312" t="s">
        <v>248</v>
      </c>
      <c r="B66" s="312" t="s">
        <v>249</v>
      </c>
      <c r="C66" s="312" t="s">
        <v>105</v>
      </c>
      <c r="D66" s="312" t="s">
        <v>235</v>
      </c>
      <c r="E66" s="312" t="s">
        <v>167</v>
      </c>
      <c r="F66" s="312">
        <v>1705</v>
      </c>
      <c r="G66" s="312" t="s">
        <v>168</v>
      </c>
      <c r="H66" s="312">
        <v>1707</v>
      </c>
      <c r="I66" s="312" t="s">
        <v>167</v>
      </c>
      <c r="J66" s="312">
        <v>1899</v>
      </c>
      <c r="K66" s="312" t="s">
        <v>169</v>
      </c>
    </row>
    <row r="67" spans="1:11">
      <c r="A67" s="312" t="s">
        <v>250</v>
      </c>
      <c r="B67" s="312" t="s">
        <v>251</v>
      </c>
      <c r="C67" s="312" t="s">
        <v>105</v>
      </c>
      <c r="D67" s="312" t="s">
        <v>252</v>
      </c>
      <c r="E67" s="312" t="s">
        <v>167</v>
      </c>
      <c r="F67" s="312">
        <v>1705</v>
      </c>
      <c r="G67" s="312" t="s">
        <v>168</v>
      </c>
      <c r="H67" s="312">
        <v>1707</v>
      </c>
      <c r="I67" s="312" t="s">
        <v>167</v>
      </c>
      <c r="J67" s="312">
        <v>1899</v>
      </c>
      <c r="K67" s="312" t="s">
        <v>169</v>
      </c>
    </row>
    <row r="68" spans="1:11">
      <c r="A68" s="312" t="s">
        <v>253</v>
      </c>
      <c r="B68" s="312" t="s">
        <v>254</v>
      </c>
      <c r="C68" s="312" t="s">
        <v>105</v>
      </c>
      <c r="D68" s="312" t="s">
        <v>255</v>
      </c>
      <c r="E68" s="312" t="s">
        <v>167</v>
      </c>
      <c r="F68" s="312">
        <v>1705</v>
      </c>
      <c r="G68" s="312" t="s">
        <v>168</v>
      </c>
      <c r="H68" s="312">
        <v>1707</v>
      </c>
      <c r="I68" s="312" t="s">
        <v>167</v>
      </c>
      <c r="J68" s="312">
        <v>1899</v>
      </c>
      <c r="K68" s="312" t="s">
        <v>169</v>
      </c>
    </row>
    <row r="69" spans="1:11">
      <c r="A69" s="312" t="s">
        <v>256</v>
      </c>
      <c r="B69" s="312" t="s">
        <v>257</v>
      </c>
      <c r="C69" s="312" t="s">
        <v>105</v>
      </c>
      <c r="D69" s="312" t="s">
        <v>255</v>
      </c>
      <c r="E69" s="312" t="s">
        <v>167</v>
      </c>
      <c r="F69" s="312">
        <v>1705</v>
      </c>
      <c r="G69" s="312" t="s">
        <v>168</v>
      </c>
      <c r="H69" s="312">
        <v>1707</v>
      </c>
      <c r="I69" s="312" t="s">
        <v>167</v>
      </c>
      <c r="J69" s="312">
        <v>1899</v>
      </c>
      <c r="K69" s="312" t="s">
        <v>169</v>
      </c>
    </row>
    <row r="70" spans="1:11">
      <c r="A70" s="312" t="s">
        <v>258</v>
      </c>
      <c r="B70" s="312" t="s">
        <v>259</v>
      </c>
      <c r="C70" s="312" t="s">
        <v>105</v>
      </c>
      <c r="D70" s="312" t="s">
        <v>255</v>
      </c>
      <c r="E70" s="312" t="s">
        <v>167</v>
      </c>
      <c r="F70" s="312">
        <v>1705</v>
      </c>
      <c r="G70" s="312" t="s">
        <v>168</v>
      </c>
      <c r="H70" s="312">
        <v>1707</v>
      </c>
      <c r="I70" s="312" t="s">
        <v>167</v>
      </c>
      <c r="J70" s="312">
        <v>1899</v>
      </c>
      <c r="K70" s="312" t="s">
        <v>169</v>
      </c>
    </row>
    <row r="71" spans="1:11">
      <c r="A71" s="312" t="s">
        <v>260</v>
      </c>
      <c r="B71" s="312" t="s">
        <v>261</v>
      </c>
      <c r="C71" s="312" t="s">
        <v>105</v>
      </c>
      <c r="D71" s="312" t="s">
        <v>255</v>
      </c>
      <c r="E71" s="312" t="s">
        <v>167</v>
      </c>
      <c r="F71" s="312">
        <v>1705</v>
      </c>
      <c r="G71" s="312" t="s">
        <v>168</v>
      </c>
      <c r="H71" s="312">
        <v>1707</v>
      </c>
      <c r="I71" s="312" t="s">
        <v>167</v>
      </c>
      <c r="J71" s="312">
        <v>1899</v>
      </c>
      <c r="K71" s="312" t="s">
        <v>169</v>
      </c>
    </row>
    <row r="72" spans="1:11">
      <c r="A72" s="312" t="s">
        <v>262</v>
      </c>
      <c r="B72" s="312" t="s">
        <v>263</v>
      </c>
      <c r="C72" s="312" t="s">
        <v>105</v>
      </c>
      <c r="D72" s="312" t="s">
        <v>255</v>
      </c>
      <c r="E72" s="312" t="s">
        <v>167</v>
      </c>
      <c r="F72" s="312">
        <v>1705</v>
      </c>
      <c r="G72" s="312" t="s">
        <v>168</v>
      </c>
      <c r="H72" s="312">
        <v>1707</v>
      </c>
      <c r="I72" s="312" t="s">
        <v>167</v>
      </c>
      <c r="J72" s="312">
        <v>1899</v>
      </c>
      <c r="K72" s="312" t="s">
        <v>169</v>
      </c>
    </row>
    <row r="73" spans="1:11">
      <c r="A73" s="312" t="s">
        <v>264</v>
      </c>
      <c r="B73" s="312" t="s">
        <v>265</v>
      </c>
      <c r="C73" s="312" t="s">
        <v>105</v>
      </c>
      <c r="D73" s="312" t="s">
        <v>255</v>
      </c>
      <c r="E73" s="312" t="s">
        <v>167</v>
      </c>
      <c r="F73" s="312">
        <v>1705</v>
      </c>
      <c r="G73" s="312" t="s">
        <v>168</v>
      </c>
      <c r="H73" s="312">
        <v>1707</v>
      </c>
      <c r="I73" s="312" t="s">
        <v>167</v>
      </c>
      <c r="J73" s="312">
        <v>1899</v>
      </c>
      <c r="K73" s="312" t="s">
        <v>169</v>
      </c>
    </row>
    <row r="74" spans="1:11">
      <c r="A74" s="312" t="s">
        <v>266</v>
      </c>
      <c r="B74" s="312" t="s">
        <v>267</v>
      </c>
      <c r="C74" s="312" t="s">
        <v>105</v>
      </c>
      <c r="D74" s="312" t="s">
        <v>255</v>
      </c>
      <c r="E74" s="312" t="s">
        <v>167</v>
      </c>
      <c r="F74" s="312">
        <v>1705</v>
      </c>
      <c r="G74" s="312" t="s">
        <v>168</v>
      </c>
      <c r="H74" s="312">
        <v>1707</v>
      </c>
      <c r="I74" s="312" t="s">
        <v>167</v>
      </c>
      <c r="J74" s="312">
        <v>1899</v>
      </c>
      <c r="K74" s="312" t="s">
        <v>169</v>
      </c>
    </row>
    <row r="75" spans="1:11">
      <c r="A75" s="312" t="s">
        <v>268</v>
      </c>
      <c r="B75" s="312" t="s">
        <v>269</v>
      </c>
      <c r="C75" s="312" t="s">
        <v>105</v>
      </c>
      <c r="D75" s="312" t="s">
        <v>255</v>
      </c>
      <c r="E75" s="312" t="s">
        <v>167</v>
      </c>
      <c r="F75" s="312">
        <v>1705</v>
      </c>
      <c r="G75" s="312" t="s">
        <v>168</v>
      </c>
      <c r="H75" s="312">
        <v>1707</v>
      </c>
      <c r="I75" s="312" t="s">
        <v>167</v>
      </c>
      <c r="J75" s="312">
        <v>1899</v>
      </c>
      <c r="K75" s="312" t="s">
        <v>169</v>
      </c>
    </row>
    <row r="76" spans="1:11">
      <c r="A76" s="312" t="s">
        <v>270</v>
      </c>
      <c r="B76" s="312" t="s">
        <v>271</v>
      </c>
      <c r="C76" s="312" t="s">
        <v>105</v>
      </c>
      <c r="D76" s="312" t="s">
        <v>255</v>
      </c>
      <c r="E76" s="312" t="s">
        <v>167</v>
      </c>
      <c r="F76" s="312">
        <v>1705</v>
      </c>
      <c r="G76" s="312" t="s">
        <v>168</v>
      </c>
      <c r="H76" s="312">
        <v>1707</v>
      </c>
      <c r="I76" s="312" t="s">
        <v>167</v>
      </c>
      <c r="J76" s="312">
        <v>1899</v>
      </c>
      <c r="K76" s="312" t="s">
        <v>169</v>
      </c>
    </row>
    <row r="77" spans="1:11">
      <c r="A77" s="312" t="s">
        <v>272</v>
      </c>
      <c r="B77" s="312" t="s">
        <v>273</v>
      </c>
      <c r="C77" s="312" t="s">
        <v>105</v>
      </c>
      <c r="D77" s="312" t="s">
        <v>255</v>
      </c>
      <c r="E77" s="312" t="s">
        <v>167</v>
      </c>
      <c r="F77" s="312">
        <v>1705</v>
      </c>
      <c r="G77" s="312" t="s">
        <v>168</v>
      </c>
      <c r="H77" s="312">
        <v>1707</v>
      </c>
      <c r="I77" s="312" t="s">
        <v>167</v>
      </c>
      <c r="J77" s="312">
        <v>1899</v>
      </c>
      <c r="K77" s="312" t="s">
        <v>169</v>
      </c>
    </row>
    <row r="78" spans="1:11">
      <c r="A78" s="312" t="s">
        <v>274</v>
      </c>
      <c r="B78" s="312" t="s">
        <v>275</v>
      </c>
      <c r="C78" s="312" t="s">
        <v>105</v>
      </c>
      <c r="D78" s="312" t="s">
        <v>255</v>
      </c>
      <c r="E78" s="312" t="s">
        <v>167</v>
      </c>
      <c r="F78" s="312">
        <v>1705</v>
      </c>
      <c r="G78" s="312" t="s">
        <v>168</v>
      </c>
      <c r="H78" s="312">
        <v>1707</v>
      </c>
      <c r="I78" s="312" t="s">
        <v>167</v>
      </c>
      <c r="J78" s="312">
        <v>1899</v>
      </c>
      <c r="K78" s="312" t="s">
        <v>169</v>
      </c>
    </row>
    <row r="79" spans="1:11">
      <c r="A79" s="312" t="s">
        <v>276</v>
      </c>
      <c r="B79" s="312" t="s">
        <v>277</v>
      </c>
      <c r="C79" s="312" t="s">
        <v>105</v>
      </c>
      <c r="D79" s="312" t="s">
        <v>255</v>
      </c>
      <c r="E79" s="312" t="s">
        <v>167</v>
      </c>
      <c r="F79" s="312">
        <v>1705</v>
      </c>
      <c r="G79" s="312" t="s">
        <v>168</v>
      </c>
      <c r="H79" s="312">
        <v>1707</v>
      </c>
      <c r="I79" s="312" t="s">
        <v>167</v>
      </c>
      <c r="J79" s="312">
        <v>1899</v>
      </c>
      <c r="K79" s="312" t="s">
        <v>169</v>
      </c>
    </row>
    <row r="80" spans="1:11">
      <c r="A80" s="312" t="s">
        <v>278</v>
      </c>
      <c r="B80" s="312" t="s">
        <v>279</v>
      </c>
      <c r="C80" s="312" t="s">
        <v>105</v>
      </c>
      <c r="D80" s="312" t="s">
        <v>280</v>
      </c>
      <c r="E80" s="312" t="s">
        <v>167</v>
      </c>
      <c r="F80" s="312">
        <v>1705</v>
      </c>
      <c r="G80" s="312" t="s">
        <v>168</v>
      </c>
      <c r="H80" s="312">
        <v>1707</v>
      </c>
      <c r="I80" s="312" t="s">
        <v>167</v>
      </c>
      <c r="J80" s="312">
        <v>1899</v>
      </c>
      <c r="K80" s="312" t="s">
        <v>169</v>
      </c>
    </row>
    <row r="81" spans="1:11">
      <c r="A81" s="312" t="s">
        <v>281</v>
      </c>
      <c r="B81" s="312" t="s">
        <v>282</v>
      </c>
      <c r="C81" s="312" t="s">
        <v>105</v>
      </c>
      <c r="D81" s="312" t="s">
        <v>283</v>
      </c>
      <c r="E81" s="312" t="s">
        <v>107</v>
      </c>
      <c r="F81" s="312">
        <v>1825</v>
      </c>
      <c r="G81" s="312" t="s">
        <v>108</v>
      </c>
      <c r="H81" s="312">
        <v>1827</v>
      </c>
      <c r="I81" s="312" t="s">
        <v>107</v>
      </c>
      <c r="J81" s="312">
        <v>1913</v>
      </c>
      <c r="K81" s="312" t="s">
        <v>109</v>
      </c>
    </row>
    <row r="82" spans="1:11">
      <c r="A82" s="312" t="s">
        <v>284</v>
      </c>
      <c r="B82" s="312" t="s">
        <v>285</v>
      </c>
      <c r="C82" s="312" t="s">
        <v>105</v>
      </c>
      <c r="D82" s="312" t="s">
        <v>283</v>
      </c>
      <c r="E82" s="312" t="s">
        <v>107</v>
      </c>
      <c r="F82" s="312">
        <v>1825</v>
      </c>
      <c r="G82" s="312" t="s">
        <v>108</v>
      </c>
      <c r="H82" s="312">
        <v>1827</v>
      </c>
      <c r="I82" s="312" t="s">
        <v>107</v>
      </c>
      <c r="J82" s="312">
        <v>1913</v>
      </c>
      <c r="K82" s="312" t="s">
        <v>109</v>
      </c>
    </row>
    <row r="83" spans="1:11">
      <c r="A83" s="312" t="s">
        <v>286</v>
      </c>
      <c r="B83" s="312" t="s">
        <v>287</v>
      </c>
      <c r="C83" s="312" t="s">
        <v>105</v>
      </c>
      <c r="D83" s="312" t="s">
        <v>201</v>
      </c>
      <c r="E83" s="312" t="s">
        <v>107</v>
      </c>
      <c r="F83" s="312">
        <v>1825</v>
      </c>
      <c r="G83" s="312" t="s">
        <v>108</v>
      </c>
      <c r="H83" s="312">
        <v>1827</v>
      </c>
      <c r="I83" s="312" t="s">
        <v>107</v>
      </c>
      <c r="J83" s="312">
        <v>1913</v>
      </c>
      <c r="K83" s="312" t="s">
        <v>109</v>
      </c>
    </row>
    <row r="84" spans="1:11">
      <c r="A84" s="312" t="s">
        <v>288</v>
      </c>
      <c r="B84" s="312" t="s">
        <v>289</v>
      </c>
      <c r="C84" s="312" t="s">
        <v>105</v>
      </c>
      <c r="D84" s="312" t="s">
        <v>201</v>
      </c>
      <c r="E84" s="312" t="s">
        <v>107</v>
      </c>
      <c r="F84" s="312">
        <v>1825</v>
      </c>
      <c r="G84" s="312" t="s">
        <v>108</v>
      </c>
      <c r="H84" s="312">
        <v>1827</v>
      </c>
      <c r="I84" s="312" t="s">
        <v>107</v>
      </c>
      <c r="J84" s="312">
        <v>1913</v>
      </c>
      <c r="K84" s="312" t="s">
        <v>109</v>
      </c>
    </row>
    <row r="85" spans="1:11">
      <c r="A85" s="312" t="s">
        <v>290</v>
      </c>
      <c r="B85" s="312" t="s">
        <v>291</v>
      </c>
      <c r="C85" s="312" t="s">
        <v>105</v>
      </c>
      <c r="D85" s="312" t="s">
        <v>201</v>
      </c>
      <c r="E85" s="312" t="s">
        <v>107</v>
      </c>
      <c r="F85" s="312">
        <v>1825</v>
      </c>
      <c r="G85" s="312" t="s">
        <v>108</v>
      </c>
      <c r="H85" s="312">
        <v>1827</v>
      </c>
      <c r="I85" s="312" t="s">
        <v>107</v>
      </c>
      <c r="J85" s="312">
        <v>1913</v>
      </c>
      <c r="K85" s="312" t="s">
        <v>109</v>
      </c>
    </row>
    <row r="86" spans="1:11">
      <c r="A86" s="312" t="s">
        <v>292</v>
      </c>
      <c r="B86" s="312" t="s">
        <v>293</v>
      </c>
      <c r="C86" s="312" t="s">
        <v>105</v>
      </c>
      <c r="D86" s="312" t="s">
        <v>294</v>
      </c>
      <c r="E86" s="312" t="s">
        <v>107</v>
      </c>
      <c r="F86" s="312">
        <v>1825</v>
      </c>
      <c r="G86" s="312" t="s">
        <v>108</v>
      </c>
      <c r="H86" s="312">
        <v>1827</v>
      </c>
      <c r="I86" s="312" t="s">
        <v>107</v>
      </c>
      <c r="J86" s="312">
        <v>1913</v>
      </c>
      <c r="K86" s="312" t="s">
        <v>109</v>
      </c>
    </row>
    <row r="87" spans="1:11">
      <c r="A87" s="312" t="s">
        <v>295</v>
      </c>
      <c r="B87" s="312" t="s">
        <v>296</v>
      </c>
      <c r="C87" s="312" t="s">
        <v>105</v>
      </c>
      <c r="D87" s="312" t="s">
        <v>294</v>
      </c>
      <c r="E87" s="312" t="s">
        <v>107</v>
      </c>
      <c r="F87" s="312">
        <v>1825</v>
      </c>
      <c r="G87" s="312" t="s">
        <v>108</v>
      </c>
      <c r="H87" s="312">
        <v>1827</v>
      </c>
      <c r="I87" s="312" t="s">
        <v>107</v>
      </c>
      <c r="J87" s="312">
        <v>1913</v>
      </c>
      <c r="K87" s="312" t="s">
        <v>109</v>
      </c>
    </row>
    <row r="88" spans="1:11">
      <c r="A88" s="312" t="s">
        <v>297</v>
      </c>
      <c r="B88" s="312" t="s">
        <v>298</v>
      </c>
      <c r="C88" s="312" t="s">
        <v>105</v>
      </c>
      <c r="D88" s="312" t="s">
        <v>294</v>
      </c>
      <c r="E88" s="312" t="s">
        <v>107</v>
      </c>
      <c r="F88" s="312">
        <v>1825</v>
      </c>
      <c r="G88" s="312" t="s">
        <v>108</v>
      </c>
      <c r="H88" s="312">
        <v>1827</v>
      </c>
      <c r="I88" s="312" t="s">
        <v>107</v>
      </c>
      <c r="J88" s="312">
        <v>1913</v>
      </c>
      <c r="K88" s="312" t="s">
        <v>109</v>
      </c>
    </row>
    <row r="89" spans="1:11">
      <c r="A89" s="312" t="s">
        <v>299</v>
      </c>
      <c r="B89" s="312" t="s">
        <v>300</v>
      </c>
      <c r="C89" s="312" t="s">
        <v>105</v>
      </c>
      <c r="D89" s="312" t="s">
        <v>114</v>
      </c>
      <c r="E89" s="312" t="s">
        <v>107</v>
      </c>
      <c r="F89" s="312">
        <v>1825</v>
      </c>
      <c r="G89" s="312" t="s">
        <v>108</v>
      </c>
      <c r="H89" s="312">
        <v>1827</v>
      </c>
      <c r="I89" s="312" t="s">
        <v>107</v>
      </c>
      <c r="J89" s="312">
        <v>1913</v>
      </c>
      <c r="K89" s="312" t="s">
        <v>109</v>
      </c>
    </row>
    <row r="90" spans="1:11">
      <c r="A90" s="312" t="s">
        <v>301</v>
      </c>
      <c r="B90" s="312" t="s">
        <v>302</v>
      </c>
      <c r="C90" s="312" t="s">
        <v>105</v>
      </c>
      <c r="D90" s="312" t="s">
        <v>114</v>
      </c>
      <c r="E90" s="312" t="s">
        <v>107</v>
      </c>
      <c r="F90" s="312">
        <v>1825</v>
      </c>
      <c r="G90" s="312" t="s">
        <v>108</v>
      </c>
      <c r="H90" s="312">
        <v>1827</v>
      </c>
      <c r="I90" s="312" t="s">
        <v>107</v>
      </c>
      <c r="J90" s="312">
        <v>1913</v>
      </c>
      <c r="K90" s="312" t="s">
        <v>109</v>
      </c>
    </row>
    <row r="91" spans="1:11">
      <c r="A91" s="312" t="s">
        <v>303</v>
      </c>
      <c r="B91" s="312" t="s">
        <v>304</v>
      </c>
      <c r="C91" s="312" t="s">
        <v>105</v>
      </c>
      <c r="D91" s="312" t="s">
        <v>305</v>
      </c>
      <c r="E91" s="312" t="s">
        <v>107</v>
      </c>
      <c r="F91" s="312">
        <v>1825</v>
      </c>
      <c r="G91" s="312" t="s">
        <v>108</v>
      </c>
      <c r="H91" s="312">
        <v>1827</v>
      </c>
      <c r="I91" s="312" t="s">
        <v>107</v>
      </c>
      <c r="J91" s="312">
        <v>1913</v>
      </c>
      <c r="K91" s="312" t="s">
        <v>109</v>
      </c>
    </row>
    <row r="92" spans="1:11">
      <c r="A92" s="312" t="s">
        <v>306</v>
      </c>
      <c r="B92" s="312" t="s">
        <v>307</v>
      </c>
      <c r="C92" s="312" t="s">
        <v>105</v>
      </c>
      <c r="D92" s="312" t="s">
        <v>114</v>
      </c>
      <c r="E92" s="312" t="s">
        <v>107</v>
      </c>
      <c r="F92" s="312">
        <v>1825</v>
      </c>
      <c r="G92" s="312" t="s">
        <v>108</v>
      </c>
      <c r="H92" s="312">
        <v>1827</v>
      </c>
      <c r="I92" s="312" t="s">
        <v>107</v>
      </c>
      <c r="J92" s="312">
        <v>1913</v>
      </c>
      <c r="K92" s="312" t="s">
        <v>109</v>
      </c>
    </row>
    <row r="93" spans="1:11">
      <c r="A93" s="312" t="s">
        <v>308</v>
      </c>
      <c r="B93" s="312" t="s">
        <v>309</v>
      </c>
      <c r="C93" s="312" t="s">
        <v>105</v>
      </c>
      <c r="D93" s="312" t="s">
        <v>114</v>
      </c>
      <c r="E93" s="312" t="s">
        <v>107</v>
      </c>
      <c r="F93" s="312">
        <v>1825</v>
      </c>
      <c r="G93" s="312" t="s">
        <v>108</v>
      </c>
      <c r="H93" s="312">
        <v>1827</v>
      </c>
      <c r="I93" s="312" t="s">
        <v>107</v>
      </c>
      <c r="J93" s="312">
        <v>1913</v>
      </c>
      <c r="K93" s="312" t="s">
        <v>109</v>
      </c>
    </row>
    <row r="94" spans="1:11">
      <c r="A94" s="312" t="s">
        <v>310</v>
      </c>
      <c r="B94" s="312" t="s">
        <v>311</v>
      </c>
      <c r="C94" s="312" t="s">
        <v>105</v>
      </c>
      <c r="D94" s="312" t="s">
        <v>312</v>
      </c>
      <c r="E94" s="312" t="s">
        <v>107</v>
      </c>
      <c r="F94" s="312">
        <v>1825</v>
      </c>
      <c r="G94" s="312" t="s">
        <v>108</v>
      </c>
      <c r="H94" s="312">
        <v>1827</v>
      </c>
      <c r="I94" s="312" t="s">
        <v>107</v>
      </c>
      <c r="J94" s="312">
        <v>1913</v>
      </c>
      <c r="K94" s="312" t="s">
        <v>109</v>
      </c>
    </row>
    <row r="95" spans="1:11">
      <c r="A95" s="312" t="s">
        <v>313</v>
      </c>
      <c r="B95" s="312" t="s">
        <v>314</v>
      </c>
      <c r="C95" s="312" t="s">
        <v>105</v>
      </c>
      <c r="D95" s="312" t="s">
        <v>312</v>
      </c>
      <c r="E95" s="312" t="s">
        <v>107</v>
      </c>
      <c r="F95" s="312">
        <v>1825</v>
      </c>
      <c r="G95" s="312" t="s">
        <v>108</v>
      </c>
      <c r="H95" s="312">
        <v>1827</v>
      </c>
      <c r="I95" s="312" t="s">
        <v>107</v>
      </c>
      <c r="J95" s="312">
        <v>1913</v>
      </c>
      <c r="K95" s="312" t="s">
        <v>109</v>
      </c>
    </row>
    <row r="96" spans="1:11">
      <c r="A96" s="312" t="s">
        <v>315</v>
      </c>
      <c r="B96" s="312" t="s">
        <v>316</v>
      </c>
      <c r="C96" s="312" t="s">
        <v>105</v>
      </c>
      <c r="D96" s="312" t="s">
        <v>312</v>
      </c>
      <c r="E96" s="312" t="s">
        <v>107</v>
      </c>
      <c r="F96" s="312">
        <v>1825</v>
      </c>
      <c r="G96" s="312" t="s">
        <v>108</v>
      </c>
      <c r="H96" s="312">
        <v>1827</v>
      </c>
      <c r="I96" s="312" t="s">
        <v>107</v>
      </c>
      <c r="J96" s="312">
        <v>1913</v>
      </c>
      <c r="K96" s="312" t="s">
        <v>109</v>
      </c>
    </row>
    <row r="97" spans="1:11">
      <c r="A97" s="312" t="s">
        <v>317</v>
      </c>
      <c r="B97" s="312" t="s">
        <v>318</v>
      </c>
      <c r="C97" s="312" t="s">
        <v>105</v>
      </c>
      <c r="D97" s="312" t="s">
        <v>319</v>
      </c>
      <c r="E97" s="312" t="s">
        <v>320</v>
      </c>
      <c r="F97" s="312">
        <v>1716</v>
      </c>
      <c r="G97" s="312" t="s">
        <v>321</v>
      </c>
      <c r="H97" s="312">
        <v>1725</v>
      </c>
      <c r="I97" s="312" t="s">
        <v>320</v>
      </c>
      <c r="J97" s="312">
        <v>1910</v>
      </c>
      <c r="K97" s="312" t="s">
        <v>322</v>
      </c>
    </row>
    <row r="98" spans="1:11">
      <c r="A98" s="312" t="s">
        <v>323</v>
      </c>
      <c r="B98" s="312" t="s">
        <v>324</v>
      </c>
      <c r="C98" s="312" t="s">
        <v>105</v>
      </c>
      <c r="D98" s="312" t="s">
        <v>319</v>
      </c>
      <c r="E98" s="312" t="s">
        <v>320</v>
      </c>
      <c r="F98" s="312">
        <v>1716</v>
      </c>
      <c r="G98" s="312" t="s">
        <v>321</v>
      </c>
      <c r="H98" s="312">
        <v>1725</v>
      </c>
      <c r="I98" s="312" t="s">
        <v>320</v>
      </c>
      <c r="J98" s="312">
        <v>1910</v>
      </c>
      <c r="K98" s="312" t="s">
        <v>322</v>
      </c>
    </row>
    <row r="99" spans="1:11">
      <c r="A99" s="312" t="s">
        <v>325</v>
      </c>
      <c r="B99" s="312" t="s">
        <v>326</v>
      </c>
      <c r="C99" s="312" t="s">
        <v>105</v>
      </c>
      <c r="D99" s="312" t="s">
        <v>327</v>
      </c>
      <c r="E99" s="312" t="s">
        <v>167</v>
      </c>
      <c r="F99" s="312">
        <v>1705</v>
      </c>
      <c r="G99" s="312" t="s">
        <v>168</v>
      </c>
      <c r="H99" s="312">
        <v>1707</v>
      </c>
      <c r="I99" s="312" t="s">
        <v>167</v>
      </c>
      <c r="J99" s="312">
        <v>1899</v>
      </c>
      <c r="K99" s="312" t="s">
        <v>169</v>
      </c>
    </row>
    <row r="100" spans="1:11">
      <c r="A100" s="312" t="s">
        <v>328</v>
      </c>
      <c r="B100" s="312" t="s">
        <v>329</v>
      </c>
      <c r="C100" s="312" t="s">
        <v>105</v>
      </c>
      <c r="D100" s="312" t="s">
        <v>114</v>
      </c>
      <c r="E100" s="312" t="s">
        <v>107</v>
      </c>
      <c r="F100" s="312">
        <v>1825</v>
      </c>
      <c r="G100" s="312" t="s">
        <v>108</v>
      </c>
      <c r="H100" s="312">
        <v>1827</v>
      </c>
      <c r="I100" s="312" t="s">
        <v>107</v>
      </c>
      <c r="J100" s="312">
        <v>1913</v>
      </c>
      <c r="K100" s="312" t="s">
        <v>109</v>
      </c>
    </row>
    <row r="101" spans="1:11">
      <c r="A101" s="312" t="s">
        <v>330</v>
      </c>
      <c r="B101" s="312" t="s">
        <v>331</v>
      </c>
      <c r="C101" s="312" t="s">
        <v>105</v>
      </c>
      <c r="D101" s="312" t="s">
        <v>332</v>
      </c>
      <c r="E101" s="312" t="s">
        <v>107</v>
      </c>
      <c r="F101" s="312">
        <v>1825</v>
      </c>
      <c r="G101" s="312" t="s">
        <v>108</v>
      </c>
      <c r="H101" s="312">
        <v>1827</v>
      </c>
      <c r="I101" s="312" t="s">
        <v>107</v>
      </c>
      <c r="J101" s="312">
        <v>1913</v>
      </c>
      <c r="K101" s="312" t="s">
        <v>109</v>
      </c>
    </row>
    <row r="102" spans="1:11">
      <c r="A102" s="312" t="s">
        <v>333</v>
      </c>
      <c r="B102" s="312" t="s">
        <v>334</v>
      </c>
      <c r="C102" s="312" t="s">
        <v>105</v>
      </c>
      <c r="D102" s="312" t="s">
        <v>327</v>
      </c>
      <c r="E102" s="312" t="s">
        <v>167</v>
      </c>
      <c r="F102" s="312">
        <v>1705</v>
      </c>
      <c r="G102" s="312" t="s">
        <v>168</v>
      </c>
      <c r="H102" s="312">
        <v>1707</v>
      </c>
      <c r="I102" s="312" t="s">
        <v>167</v>
      </c>
      <c r="J102" s="312">
        <v>1899</v>
      </c>
      <c r="K102" s="312" t="s">
        <v>169</v>
      </c>
    </row>
    <row r="103" spans="1:11">
      <c r="A103" s="312" t="s">
        <v>335</v>
      </c>
      <c r="B103" s="312" t="s">
        <v>336</v>
      </c>
      <c r="C103" s="312" t="s">
        <v>105</v>
      </c>
      <c r="D103" s="312" t="s">
        <v>114</v>
      </c>
      <c r="E103" s="312" t="s">
        <v>107</v>
      </c>
      <c r="F103" s="312">
        <v>1825</v>
      </c>
      <c r="G103" s="312" t="s">
        <v>108</v>
      </c>
      <c r="H103" s="312">
        <v>1827</v>
      </c>
      <c r="I103" s="312" t="s">
        <v>107</v>
      </c>
      <c r="J103" s="312">
        <v>1913</v>
      </c>
      <c r="K103" s="312" t="s">
        <v>109</v>
      </c>
    </row>
    <row r="104" spans="1:11">
      <c r="A104" s="312" t="s">
        <v>337</v>
      </c>
      <c r="B104" s="312" t="s">
        <v>338</v>
      </c>
      <c r="C104" s="312" t="s">
        <v>105</v>
      </c>
      <c r="D104" s="312" t="s">
        <v>114</v>
      </c>
      <c r="E104" s="312" t="s">
        <v>107</v>
      </c>
      <c r="F104" s="312">
        <v>1825</v>
      </c>
      <c r="G104" s="312" t="s">
        <v>108</v>
      </c>
      <c r="H104" s="312">
        <v>1827</v>
      </c>
      <c r="I104" s="312" t="s">
        <v>107</v>
      </c>
      <c r="J104" s="312">
        <v>1913</v>
      </c>
      <c r="K104" s="312" t="s">
        <v>109</v>
      </c>
    </row>
    <row r="105" spans="1:11">
      <c r="A105" s="312" t="s">
        <v>339</v>
      </c>
      <c r="B105" s="312" t="s">
        <v>340</v>
      </c>
      <c r="C105" s="312" t="s">
        <v>105</v>
      </c>
      <c r="D105" s="312" t="s">
        <v>327</v>
      </c>
      <c r="E105" s="312" t="s">
        <v>167</v>
      </c>
      <c r="F105" s="312">
        <v>1705</v>
      </c>
      <c r="G105" s="312" t="s">
        <v>168</v>
      </c>
      <c r="H105" s="312">
        <v>1707</v>
      </c>
      <c r="I105" s="312" t="s">
        <v>167</v>
      </c>
      <c r="J105" s="312">
        <v>1899</v>
      </c>
      <c r="K105" s="312" t="s">
        <v>169</v>
      </c>
    </row>
    <row r="106" spans="1:11">
      <c r="A106" s="312" t="s">
        <v>341</v>
      </c>
      <c r="B106" s="312" t="s">
        <v>342</v>
      </c>
      <c r="C106" s="312" t="s">
        <v>105</v>
      </c>
      <c r="D106" s="312" t="s">
        <v>343</v>
      </c>
      <c r="E106" s="312" t="s">
        <v>167</v>
      </c>
      <c r="F106" s="312">
        <v>1705</v>
      </c>
      <c r="G106" s="312" t="s">
        <v>168</v>
      </c>
      <c r="H106" s="312">
        <v>1707</v>
      </c>
      <c r="I106" s="312" t="s">
        <v>167</v>
      </c>
      <c r="J106" s="312">
        <v>1899</v>
      </c>
      <c r="K106" s="312" t="s">
        <v>169</v>
      </c>
    </row>
    <row r="107" spans="1:11">
      <c r="A107" s="312" t="s">
        <v>344</v>
      </c>
      <c r="B107" s="312" t="s">
        <v>345</v>
      </c>
      <c r="C107" s="312" t="s">
        <v>105</v>
      </c>
      <c r="D107" s="312" t="s">
        <v>327</v>
      </c>
      <c r="E107" s="312" t="s">
        <v>167</v>
      </c>
      <c r="F107" s="312">
        <v>1705</v>
      </c>
      <c r="G107" s="312" t="s">
        <v>168</v>
      </c>
      <c r="H107" s="312">
        <v>1707</v>
      </c>
      <c r="I107" s="312" t="s">
        <v>167</v>
      </c>
      <c r="J107" s="312">
        <v>1899</v>
      </c>
      <c r="K107" s="312" t="s">
        <v>169</v>
      </c>
    </row>
    <row r="108" spans="1:11">
      <c r="A108" s="312" t="s">
        <v>346</v>
      </c>
      <c r="B108" s="312" t="s">
        <v>347</v>
      </c>
      <c r="C108" s="312" t="s">
        <v>105</v>
      </c>
      <c r="D108" s="312" t="s">
        <v>312</v>
      </c>
      <c r="E108" s="312" t="s">
        <v>107</v>
      </c>
      <c r="F108" s="312">
        <v>1825</v>
      </c>
      <c r="G108" s="312" t="s">
        <v>108</v>
      </c>
      <c r="H108" s="312">
        <v>1827</v>
      </c>
      <c r="I108" s="312" t="s">
        <v>107</v>
      </c>
      <c r="J108" s="312">
        <v>1913</v>
      </c>
      <c r="K108" s="312" t="s">
        <v>109</v>
      </c>
    </row>
    <row r="109" spans="1:11">
      <c r="A109" s="312" t="s">
        <v>348</v>
      </c>
      <c r="B109" s="312" t="s">
        <v>349</v>
      </c>
      <c r="C109" s="312" t="s">
        <v>105</v>
      </c>
      <c r="D109" s="312" t="s">
        <v>312</v>
      </c>
      <c r="E109" s="312" t="s">
        <v>107</v>
      </c>
      <c r="F109" s="312">
        <v>1825</v>
      </c>
      <c r="G109" s="312" t="s">
        <v>108</v>
      </c>
      <c r="H109" s="312">
        <v>1827</v>
      </c>
      <c r="I109" s="312" t="s">
        <v>107</v>
      </c>
      <c r="J109" s="312">
        <v>1913</v>
      </c>
      <c r="K109" s="312" t="s">
        <v>109</v>
      </c>
    </row>
    <row r="110" spans="1:11">
      <c r="A110" s="312" t="s">
        <v>350</v>
      </c>
      <c r="B110" s="312" t="s">
        <v>351</v>
      </c>
      <c r="C110" s="312" t="s">
        <v>105</v>
      </c>
      <c r="D110" s="312" t="s">
        <v>352</v>
      </c>
      <c r="E110" s="312" t="s">
        <v>107</v>
      </c>
      <c r="F110" s="312">
        <v>1825</v>
      </c>
      <c r="G110" s="312" t="s">
        <v>108</v>
      </c>
      <c r="H110" s="312">
        <v>1827</v>
      </c>
      <c r="I110" s="312" t="s">
        <v>107</v>
      </c>
      <c r="J110" s="312">
        <v>1913</v>
      </c>
      <c r="K110" s="312" t="s">
        <v>109</v>
      </c>
    </row>
    <row r="111" spans="1:11">
      <c r="A111" s="312" t="s">
        <v>353</v>
      </c>
      <c r="B111" s="312" t="s">
        <v>354</v>
      </c>
      <c r="C111" s="312" t="s">
        <v>105</v>
      </c>
      <c r="D111" s="312" t="s">
        <v>352</v>
      </c>
      <c r="E111" s="312" t="s">
        <v>107</v>
      </c>
      <c r="F111" s="312">
        <v>1825</v>
      </c>
      <c r="G111" s="312" t="s">
        <v>108</v>
      </c>
      <c r="H111" s="312">
        <v>1827</v>
      </c>
      <c r="I111" s="312" t="s">
        <v>107</v>
      </c>
      <c r="J111" s="312">
        <v>1913</v>
      </c>
      <c r="K111" s="312" t="s">
        <v>109</v>
      </c>
    </row>
    <row r="112" spans="1:11">
      <c r="A112" s="312" t="s">
        <v>355</v>
      </c>
      <c r="B112" s="312" t="s">
        <v>356</v>
      </c>
      <c r="C112" s="312" t="s">
        <v>105</v>
      </c>
      <c r="D112" s="312" t="s">
        <v>352</v>
      </c>
      <c r="E112" s="312" t="s">
        <v>107</v>
      </c>
      <c r="F112" s="312">
        <v>1825</v>
      </c>
      <c r="G112" s="312" t="s">
        <v>108</v>
      </c>
      <c r="H112" s="312">
        <v>1827</v>
      </c>
      <c r="I112" s="312" t="s">
        <v>107</v>
      </c>
      <c r="J112" s="312">
        <v>1913</v>
      </c>
      <c r="K112" s="312" t="s">
        <v>109</v>
      </c>
    </row>
    <row r="113" spans="1:11">
      <c r="A113" s="312" t="s">
        <v>357</v>
      </c>
      <c r="B113" s="312" t="s">
        <v>358</v>
      </c>
      <c r="C113" s="312" t="s">
        <v>105</v>
      </c>
      <c r="D113" s="312" t="s">
        <v>352</v>
      </c>
      <c r="E113" s="312" t="s">
        <v>107</v>
      </c>
      <c r="F113" s="312">
        <v>1825</v>
      </c>
      <c r="G113" s="312" t="s">
        <v>108</v>
      </c>
      <c r="H113" s="312">
        <v>1827</v>
      </c>
      <c r="I113" s="312" t="s">
        <v>107</v>
      </c>
      <c r="J113" s="312">
        <v>1913</v>
      </c>
      <c r="K113" s="312" t="s">
        <v>109</v>
      </c>
    </row>
    <row r="114" spans="1:11">
      <c r="A114" s="312" t="s">
        <v>359</v>
      </c>
      <c r="B114" s="312" t="s">
        <v>360</v>
      </c>
      <c r="C114" s="312" t="s">
        <v>105</v>
      </c>
      <c r="D114" s="312" t="s">
        <v>352</v>
      </c>
      <c r="E114" s="312" t="s">
        <v>107</v>
      </c>
      <c r="F114" s="312">
        <v>1825</v>
      </c>
      <c r="G114" s="312" t="s">
        <v>108</v>
      </c>
      <c r="H114" s="312">
        <v>1827</v>
      </c>
      <c r="I114" s="312" t="s">
        <v>107</v>
      </c>
      <c r="J114" s="312">
        <v>1913</v>
      </c>
      <c r="K114" s="312" t="s">
        <v>109</v>
      </c>
    </row>
    <row r="115" spans="1:11">
      <c r="A115" s="312" t="s">
        <v>361</v>
      </c>
      <c r="B115" s="312" t="s">
        <v>362</v>
      </c>
      <c r="C115" s="312" t="s">
        <v>105</v>
      </c>
      <c r="D115" s="312" t="s">
        <v>352</v>
      </c>
      <c r="E115" s="312" t="s">
        <v>107</v>
      </c>
      <c r="F115" s="312">
        <v>1825</v>
      </c>
      <c r="G115" s="312" t="s">
        <v>108</v>
      </c>
      <c r="H115" s="312">
        <v>1827</v>
      </c>
      <c r="I115" s="312" t="s">
        <v>107</v>
      </c>
      <c r="J115" s="312">
        <v>1913</v>
      </c>
      <c r="K115" s="312" t="s">
        <v>109</v>
      </c>
    </row>
    <row r="116" spans="1:11">
      <c r="A116" s="312" t="s">
        <v>363</v>
      </c>
      <c r="B116" s="312" t="s">
        <v>364</v>
      </c>
      <c r="C116" s="312" t="s">
        <v>105</v>
      </c>
      <c r="D116" s="312" t="s">
        <v>352</v>
      </c>
      <c r="E116" s="312" t="s">
        <v>107</v>
      </c>
      <c r="F116" s="312">
        <v>1825</v>
      </c>
      <c r="G116" s="312" t="s">
        <v>108</v>
      </c>
      <c r="H116" s="312">
        <v>1827</v>
      </c>
      <c r="I116" s="312" t="s">
        <v>107</v>
      </c>
      <c r="J116" s="312">
        <v>1913</v>
      </c>
      <c r="K116" s="312" t="s">
        <v>109</v>
      </c>
    </row>
    <row r="117" spans="1:11">
      <c r="A117" s="312" t="s">
        <v>365</v>
      </c>
      <c r="B117" s="312" t="s">
        <v>366</v>
      </c>
      <c r="C117" s="312" t="s">
        <v>105</v>
      </c>
      <c r="D117" s="312" t="s">
        <v>352</v>
      </c>
      <c r="E117" s="312" t="s">
        <v>107</v>
      </c>
      <c r="F117" s="312">
        <v>1825</v>
      </c>
      <c r="G117" s="312" t="s">
        <v>108</v>
      </c>
      <c r="H117" s="312">
        <v>1827</v>
      </c>
      <c r="I117" s="312" t="s">
        <v>107</v>
      </c>
      <c r="J117" s="312">
        <v>1913</v>
      </c>
      <c r="K117" s="312" t="s">
        <v>109</v>
      </c>
    </row>
    <row r="118" spans="1:11">
      <c r="A118" s="312" t="s">
        <v>367</v>
      </c>
      <c r="B118" s="312" t="s">
        <v>368</v>
      </c>
      <c r="C118" s="312" t="s">
        <v>105</v>
      </c>
      <c r="D118" s="312" t="s">
        <v>352</v>
      </c>
      <c r="E118" s="312" t="s">
        <v>107</v>
      </c>
      <c r="F118" s="312">
        <v>1825</v>
      </c>
      <c r="G118" s="312" t="s">
        <v>108</v>
      </c>
      <c r="H118" s="312">
        <v>1827</v>
      </c>
      <c r="I118" s="312" t="s">
        <v>107</v>
      </c>
      <c r="J118" s="312">
        <v>1913</v>
      </c>
      <c r="K118" s="312" t="s">
        <v>109</v>
      </c>
    </row>
    <row r="119" spans="1:11">
      <c r="A119" s="312" t="s">
        <v>369</v>
      </c>
      <c r="B119" s="312" t="s">
        <v>370</v>
      </c>
      <c r="C119" s="312" t="s">
        <v>105</v>
      </c>
      <c r="D119" s="312" t="s">
        <v>352</v>
      </c>
      <c r="E119" s="312" t="s">
        <v>107</v>
      </c>
      <c r="F119" s="312">
        <v>1825</v>
      </c>
      <c r="G119" s="312" t="s">
        <v>108</v>
      </c>
      <c r="H119" s="312">
        <v>1827</v>
      </c>
      <c r="I119" s="312" t="s">
        <v>107</v>
      </c>
      <c r="J119" s="312">
        <v>1913</v>
      </c>
      <c r="K119" s="312" t="s">
        <v>109</v>
      </c>
    </row>
    <row r="120" spans="1:11">
      <c r="A120" s="312" t="s">
        <v>371</v>
      </c>
      <c r="B120" s="312" t="s">
        <v>372</v>
      </c>
      <c r="C120" s="312" t="s">
        <v>105</v>
      </c>
      <c r="D120" s="312" t="s">
        <v>352</v>
      </c>
      <c r="E120" s="312" t="s">
        <v>107</v>
      </c>
      <c r="F120" s="312">
        <v>1825</v>
      </c>
      <c r="G120" s="312" t="s">
        <v>108</v>
      </c>
      <c r="H120" s="312">
        <v>1827</v>
      </c>
      <c r="I120" s="312" t="s">
        <v>107</v>
      </c>
      <c r="J120" s="312">
        <v>1913</v>
      </c>
      <c r="K120" s="312" t="s">
        <v>109</v>
      </c>
    </row>
    <row r="121" spans="1:11">
      <c r="A121" s="312" t="s">
        <v>373</v>
      </c>
      <c r="B121" s="312" t="s">
        <v>374</v>
      </c>
      <c r="C121" s="312" t="s">
        <v>105</v>
      </c>
      <c r="D121" s="312" t="s">
        <v>352</v>
      </c>
      <c r="E121" s="312" t="s">
        <v>107</v>
      </c>
      <c r="F121" s="312">
        <v>1825</v>
      </c>
      <c r="G121" s="312" t="s">
        <v>108</v>
      </c>
      <c r="H121" s="312">
        <v>1827</v>
      </c>
      <c r="I121" s="312" t="s">
        <v>107</v>
      </c>
      <c r="J121" s="312">
        <v>1913</v>
      </c>
      <c r="K121" s="312" t="s">
        <v>109</v>
      </c>
    </row>
    <row r="122" spans="1:11">
      <c r="A122" s="312" t="s">
        <v>375</v>
      </c>
      <c r="B122" s="312" t="s">
        <v>376</v>
      </c>
      <c r="C122" s="312" t="s">
        <v>105</v>
      </c>
      <c r="D122" s="312" t="s">
        <v>312</v>
      </c>
      <c r="E122" s="312" t="s">
        <v>107</v>
      </c>
      <c r="F122" s="312">
        <v>1825</v>
      </c>
      <c r="G122" s="312" t="s">
        <v>108</v>
      </c>
      <c r="H122" s="312">
        <v>1827</v>
      </c>
      <c r="I122" s="312" t="s">
        <v>107</v>
      </c>
      <c r="J122" s="312">
        <v>1913</v>
      </c>
      <c r="K122" s="312" t="s">
        <v>109</v>
      </c>
    </row>
    <row r="123" spans="1:11">
      <c r="A123" s="312" t="s">
        <v>377</v>
      </c>
      <c r="B123" s="312" t="s">
        <v>378</v>
      </c>
      <c r="C123" s="312" t="s">
        <v>105</v>
      </c>
      <c r="D123" s="312" t="s">
        <v>379</v>
      </c>
      <c r="E123" s="312" t="s">
        <v>107</v>
      </c>
      <c r="F123" s="312">
        <v>1825</v>
      </c>
      <c r="G123" s="312" t="s">
        <v>108</v>
      </c>
      <c r="H123" s="312">
        <v>1827</v>
      </c>
      <c r="I123" s="312" t="s">
        <v>107</v>
      </c>
      <c r="J123" s="312">
        <v>1913</v>
      </c>
      <c r="K123" s="312" t="s">
        <v>109</v>
      </c>
    </row>
    <row r="124" spans="1:11">
      <c r="A124" s="312" t="s">
        <v>380</v>
      </c>
      <c r="B124" s="312" t="s">
        <v>381</v>
      </c>
      <c r="C124" s="312" t="s">
        <v>105</v>
      </c>
      <c r="D124" s="312" t="s">
        <v>379</v>
      </c>
      <c r="E124" s="312" t="s">
        <v>107</v>
      </c>
      <c r="F124" s="312">
        <v>1825</v>
      </c>
      <c r="G124" s="312" t="s">
        <v>108</v>
      </c>
      <c r="H124" s="312">
        <v>1827</v>
      </c>
      <c r="I124" s="312" t="s">
        <v>107</v>
      </c>
      <c r="J124" s="312">
        <v>1913</v>
      </c>
      <c r="K124" s="312" t="s">
        <v>109</v>
      </c>
    </row>
    <row r="125" spans="1:11">
      <c r="A125" s="312" t="s">
        <v>382</v>
      </c>
      <c r="B125" s="312" t="s">
        <v>383</v>
      </c>
      <c r="C125" s="312" t="s">
        <v>105</v>
      </c>
      <c r="D125" s="312" t="s">
        <v>114</v>
      </c>
      <c r="E125" s="312" t="s">
        <v>107</v>
      </c>
      <c r="F125" s="312">
        <v>1825</v>
      </c>
      <c r="G125" s="312" t="s">
        <v>108</v>
      </c>
      <c r="H125" s="312">
        <v>1827</v>
      </c>
      <c r="I125" s="312" t="s">
        <v>107</v>
      </c>
      <c r="J125" s="312">
        <v>1913</v>
      </c>
      <c r="K125" s="312" t="s">
        <v>109</v>
      </c>
    </row>
    <row r="126" spans="1:11">
      <c r="A126" s="312" t="s">
        <v>384</v>
      </c>
      <c r="B126" s="312" t="s">
        <v>385</v>
      </c>
      <c r="C126" s="312" t="s">
        <v>105</v>
      </c>
      <c r="D126" s="312" t="s">
        <v>114</v>
      </c>
      <c r="E126" s="312" t="s">
        <v>107</v>
      </c>
      <c r="F126" s="312">
        <v>1825</v>
      </c>
      <c r="G126" s="312" t="s">
        <v>108</v>
      </c>
      <c r="H126" s="312">
        <v>1827</v>
      </c>
      <c r="I126" s="312" t="s">
        <v>107</v>
      </c>
      <c r="J126" s="312">
        <v>1913</v>
      </c>
      <c r="K126" s="312" t="s">
        <v>109</v>
      </c>
    </row>
    <row r="127" spans="1:11">
      <c r="A127" s="312" t="s">
        <v>386</v>
      </c>
      <c r="B127" s="312" t="s">
        <v>387</v>
      </c>
      <c r="C127" s="312" t="s">
        <v>105</v>
      </c>
      <c r="D127" s="312" t="s">
        <v>312</v>
      </c>
      <c r="E127" s="312" t="s">
        <v>107</v>
      </c>
      <c r="F127" s="312">
        <v>1825</v>
      </c>
      <c r="G127" s="312" t="s">
        <v>108</v>
      </c>
      <c r="H127" s="312">
        <v>1827</v>
      </c>
      <c r="I127" s="312" t="s">
        <v>107</v>
      </c>
      <c r="J127" s="312">
        <v>1913</v>
      </c>
      <c r="K127" s="312" t="s">
        <v>109</v>
      </c>
    </row>
    <row r="128" spans="1:11">
      <c r="A128" s="312" t="s">
        <v>388</v>
      </c>
      <c r="B128" s="312" t="s">
        <v>389</v>
      </c>
      <c r="C128" s="312" t="s">
        <v>105</v>
      </c>
      <c r="D128" s="312" t="s">
        <v>379</v>
      </c>
      <c r="E128" s="312" t="s">
        <v>107</v>
      </c>
      <c r="F128" s="312">
        <v>1825</v>
      </c>
      <c r="G128" s="312" t="s">
        <v>108</v>
      </c>
      <c r="H128" s="312">
        <v>1827</v>
      </c>
      <c r="I128" s="312" t="s">
        <v>107</v>
      </c>
      <c r="J128" s="312">
        <v>1913</v>
      </c>
      <c r="K128" s="312" t="s">
        <v>109</v>
      </c>
    </row>
    <row r="129" spans="1:11">
      <c r="A129" s="312" t="s">
        <v>390</v>
      </c>
      <c r="B129" s="312" t="s">
        <v>391</v>
      </c>
      <c r="C129" s="312" t="s">
        <v>105</v>
      </c>
      <c r="D129" s="312" t="s">
        <v>312</v>
      </c>
      <c r="E129" s="312" t="s">
        <v>107</v>
      </c>
      <c r="F129" s="312">
        <v>1825</v>
      </c>
      <c r="G129" s="312" t="s">
        <v>108</v>
      </c>
      <c r="H129" s="312">
        <v>1827</v>
      </c>
      <c r="I129" s="312" t="s">
        <v>107</v>
      </c>
      <c r="J129" s="312">
        <v>1913</v>
      </c>
      <c r="K129" s="312" t="s">
        <v>109</v>
      </c>
    </row>
    <row r="130" spans="1:11">
      <c r="A130" s="312" t="s">
        <v>392</v>
      </c>
      <c r="B130" s="312" t="s">
        <v>393</v>
      </c>
      <c r="C130" s="312" t="s">
        <v>105</v>
      </c>
      <c r="D130" s="312" t="s">
        <v>312</v>
      </c>
      <c r="E130" s="312" t="s">
        <v>107</v>
      </c>
      <c r="F130" s="312">
        <v>1825</v>
      </c>
      <c r="G130" s="312" t="s">
        <v>108</v>
      </c>
      <c r="H130" s="312">
        <v>1827</v>
      </c>
      <c r="I130" s="312" t="s">
        <v>107</v>
      </c>
      <c r="J130" s="312">
        <v>1913</v>
      </c>
      <c r="K130" s="312" t="s">
        <v>109</v>
      </c>
    </row>
    <row r="131" spans="1:11">
      <c r="A131" s="312" t="s">
        <v>394</v>
      </c>
      <c r="B131" s="312" t="s">
        <v>395</v>
      </c>
      <c r="C131" s="312" t="s">
        <v>105</v>
      </c>
      <c r="D131" s="312" t="s">
        <v>312</v>
      </c>
      <c r="E131" s="312" t="s">
        <v>107</v>
      </c>
      <c r="F131" s="312">
        <v>1825</v>
      </c>
      <c r="G131" s="312" t="s">
        <v>108</v>
      </c>
      <c r="H131" s="312">
        <v>1827</v>
      </c>
      <c r="I131" s="312" t="s">
        <v>107</v>
      </c>
      <c r="J131" s="312">
        <v>1913</v>
      </c>
      <c r="K131" s="312" t="s">
        <v>109</v>
      </c>
    </row>
    <row r="132" spans="1:11">
      <c r="A132" s="312" t="s">
        <v>396</v>
      </c>
      <c r="B132" s="312" t="s">
        <v>397</v>
      </c>
      <c r="C132" s="312" t="s">
        <v>105</v>
      </c>
      <c r="D132" s="312" t="s">
        <v>312</v>
      </c>
      <c r="E132" s="312" t="s">
        <v>107</v>
      </c>
      <c r="F132" s="312">
        <v>1825</v>
      </c>
      <c r="G132" s="312" t="s">
        <v>108</v>
      </c>
      <c r="H132" s="312">
        <v>1827</v>
      </c>
      <c r="I132" s="312" t="s">
        <v>107</v>
      </c>
      <c r="J132" s="312">
        <v>1913</v>
      </c>
      <c r="K132" s="312" t="s">
        <v>109</v>
      </c>
    </row>
    <row r="133" spans="1:11">
      <c r="A133" s="312" t="s">
        <v>398</v>
      </c>
      <c r="B133" s="312" t="s">
        <v>399</v>
      </c>
      <c r="C133" s="312" t="s">
        <v>105</v>
      </c>
      <c r="D133" s="312" t="s">
        <v>294</v>
      </c>
      <c r="E133" s="312" t="s">
        <v>107</v>
      </c>
      <c r="F133" s="312">
        <v>1825</v>
      </c>
      <c r="G133" s="312" t="s">
        <v>108</v>
      </c>
      <c r="H133" s="312">
        <v>1827</v>
      </c>
      <c r="I133" s="312" t="s">
        <v>107</v>
      </c>
      <c r="J133" s="312">
        <v>1913</v>
      </c>
      <c r="K133" s="312" t="s">
        <v>109</v>
      </c>
    </row>
    <row r="134" spans="1:11">
      <c r="A134" s="312" t="s">
        <v>400</v>
      </c>
      <c r="B134" s="312" t="s">
        <v>401</v>
      </c>
      <c r="C134" s="312" t="s">
        <v>105</v>
      </c>
      <c r="D134" s="312" t="s">
        <v>114</v>
      </c>
      <c r="E134" s="312" t="s">
        <v>107</v>
      </c>
      <c r="F134" s="312">
        <v>1825</v>
      </c>
      <c r="G134" s="312" t="s">
        <v>108</v>
      </c>
      <c r="H134" s="312">
        <v>1827</v>
      </c>
      <c r="I134" s="312" t="s">
        <v>107</v>
      </c>
      <c r="J134" s="312">
        <v>1913</v>
      </c>
      <c r="K134" s="312" t="s">
        <v>109</v>
      </c>
    </row>
    <row r="135" spans="1:11">
      <c r="A135" s="312" t="s">
        <v>402</v>
      </c>
      <c r="B135" s="312" t="s">
        <v>403</v>
      </c>
      <c r="C135" s="312" t="s">
        <v>105</v>
      </c>
      <c r="D135" s="312" t="s">
        <v>404</v>
      </c>
      <c r="E135" s="312" t="s">
        <v>107</v>
      </c>
      <c r="F135" s="312">
        <v>1825</v>
      </c>
      <c r="G135" s="312" t="s">
        <v>108</v>
      </c>
      <c r="H135" s="312">
        <v>1827</v>
      </c>
      <c r="I135" s="312" t="s">
        <v>107</v>
      </c>
      <c r="J135" s="312">
        <v>1913</v>
      </c>
      <c r="K135" s="312" t="s">
        <v>109</v>
      </c>
    </row>
    <row r="136" spans="1:11">
      <c r="A136" s="312" t="s">
        <v>405</v>
      </c>
      <c r="B136" s="312" t="s">
        <v>406</v>
      </c>
      <c r="C136" s="312" t="s">
        <v>105</v>
      </c>
      <c r="D136" s="312" t="s">
        <v>404</v>
      </c>
      <c r="E136" s="312" t="s">
        <v>107</v>
      </c>
      <c r="F136" s="312">
        <v>1825</v>
      </c>
      <c r="G136" s="312" t="s">
        <v>108</v>
      </c>
      <c r="H136" s="312">
        <v>1827</v>
      </c>
      <c r="I136" s="312" t="s">
        <v>107</v>
      </c>
      <c r="J136" s="312">
        <v>1913</v>
      </c>
      <c r="K136" s="312" t="s">
        <v>109</v>
      </c>
    </row>
    <row r="137" spans="1:11">
      <c r="A137" s="312" t="s">
        <v>407</v>
      </c>
      <c r="B137" s="312" t="s">
        <v>408</v>
      </c>
      <c r="C137" s="312" t="s">
        <v>105</v>
      </c>
      <c r="D137" s="312" t="s">
        <v>404</v>
      </c>
      <c r="E137" s="312" t="s">
        <v>107</v>
      </c>
      <c r="F137" s="312">
        <v>1825</v>
      </c>
      <c r="G137" s="312" t="s">
        <v>108</v>
      </c>
      <c r="H137" s="312">
        <v>1827</v>
      </c>
      <c r="I137" s="312" t="s">
        <v>107</v>
      </c>
      <c r="J137" s="312">
        <v>1913</v>
      </c>
      <c r="K137" s="312" t="s">
        <v>109</v>
      </c>
    </row>
    <row r="138" spans="1:11">
      <c r="A138" s="312" t="s">
        <v>409</v>
      </c>
      <c r="B138" s="312" t="s">
        <v>410</v>
      </c>
      <c r="C138" s="312" t="s">
        <v>105</v>
      </c>
      <c r="D138" s="312" t="s">
        <v>404</v>
      </c>
      <c r="E138" s="312" t="s">
        <v>107</v>
      </c>
      <c r="F138" s="312">
        <v>1825</v>
      </c>
      <c r="G138" s="312" t="s">
        <v>108</v>
      </c>
      <c r="H138" s="312">
        <v>1827</v>
      </c>
      <c r="I138" s="312" t="s">
        <v>107</v>
      </c>
      <c r="J138" s="312">
        <v>1913</v>
      </c>
      <c r="K138" s="312" t="s">
        <v>109</v>
      </c>
    </row>
    <row r="139" spans="1:11">
      <c r="A139" s="312" t="s">
        <v>411</v>
      </c>
      <c r="B139" s="312" t="s">
        <v>412</v>
      </c>
      <c r="C139" s="312" t="s">
        <v>105</v>
      </c>
      <c r="D139" s="312" t="s">
        <v>404</v>
      </c>
      <c r="E139" s="312" t="s">
        <v>107</v>
      </c>
      <c r="F139" s="312">
        <v>1825</v>
      </c>
      <c r="G139" s="312" t="s">
        <v>108</v>
      </c>
      <c r="H139" s="312">
        <v>1827</v>
      </c>
      <c r="I139" s="312" t="s">
        <v>107</v>
      </c>
      <c r="J139" s="312">
        <v>1913</v>
      </c>
      <c r="K139" s="312" t="s">
        <v>109</v>
      </c>
    </row>
    <row r="140" spans="1:11">
      <c r="A140" s="312" t="s">
        <v>413</v>
      </c>
      <c r="B140" s="312" t="s">
        <v>414</v>
      </c>
      <c r="C140" s="312" t="s">
        <v>105</v>
      </c>
      <c r="D140" s="312" t="s">
        <v>404</v>
      </c>
      <c r="E140" s="312" t="s">
        <v>107</v>
      </c>
      <c r="F140" s="312">
        <v>1825</v>
      </c>
      <c r="G140" s="312" t="s">
        <v>108</v>
      </c>
      <c r="H140" s="312">
        <v>1827</v>
      </c>
      <c r="I140" s="312" t="s">
        <v>107</v>
      </c>
      <c r="J140" s="312">
        <v>1913</v>
      </c>
      <c r="K140" s="312" t="s">
        <v>109</v>
      </c>
    </row>
    <row r="141" spans="1:11">
      <c r="A141" s="312" t="s">
        <v>415</v>
      </c>
      <c r="B141" s="312" t="s">
        <v>416</v>
      </c>
      <c r="C141" s="312" t="s">
        <v>105</v>
      </c>
      <c r="D141" s="312" t="s">
        <v>114</v>
      </c>
      <c r="E141" s="312" t="s">
        <v>107</v>
      </c>
      <c r="F141" s="312">
        <v>1825</v>
      </c>
      <c r="G141" s="312" t="s">
        <v>108</v>
      </c>
      <c r="H141" s="312">
        <v>1827</v>
      </c>
      <c r="I141" s="312" t="s">
        <v>107</v>
      </c>
      <c r="J141" s="312">
        <v>1913</v>
      </c>
      <c r="K141" s="312" t="s">
        <v>109</v>
      </c>
    </row>
    <row r="142" spans="1:11">
      <c r="A142" s="312" t="s">
        <v>417</v>
      </c>
      <c r="B142" s="312" t="s">
        <v>418</v>
      </c>
      <c r="C142" s="312" t="s">
        <v>105</v>
      </c>
      <c r="D142" s="312" t="s">
        <v>312</v>
      </c>
      <c r="E142" s="312" t="s">
        <v>107</v>
      </c>
      <c r="F142" s="312">
        <v>1825</v>
      </c>
      <c r="G142" s="312" t="s">
        <v>108</v>
      </c>
      <c r="H142" s="312">
        <v>1827</v>
      </c>
      <c r="I142" s="312" t="s">
        <v>107</v>
      </c>
      <c r="J142" s="312">
        <v>1913</v>
      </c>
      <c r="K142" s="312" t="s">
        <v>109</v>
      </c>
    </row>
    <row r="143" spans="1:11">
      <c r="A143" s="312" t="s">
        <v>419</v>
      </c>
      <c r="B143" s="312" t="s">
        <v>420</v>
      </c>
      <c r="C143" s="312" t="s">
        <v>105</v>
      </c>
      <c r="D143" s="312" t="s">
        <v>404</v>
      </c>
      <c r="E143" s="312" t="s">
        <v>107</v>
      </c>
      <c r="F143" s="312">
        <v>1825</v>
      </c>
      <c r="G143" s="312" t="s">
        <v>108</v>
      </c>
      <c r="H143" s="312">
        <v>1827</v>
      </c>
      <c r="I143" s="312" t="s">
        <v>107</v>
      </c>
      <c r="J143" s="312">
        <v>1913</v>
      </c>
      <c r="K143" s="312" t="s">
        <v>109</v>
      </c>
    </row>
    <row r="144" spans="1:11">
      <c r="A144" s="312" t="s">
        <v>421</v>
      </c>
      <c r="B144" s="312" t="s">
        <v>422</v>
      </c>
      <c r="C144" s="312" t="s">
        <v>105</v>
      </c>
      <c r="D144" s="312" t="s">
        <v>114</v>
      </c>
      <c r="E144" s="312" t="s">
        <v>107</v>
      </c>
      <c r="F144" s="312">
        <v>1825</v>
      </c>
      <c r="G144" s="312" t="s">
        <v>108</v>
      </c>
      <c r="H144" s="312">
        <v>1827</v>
      </c>
      <c r="I144" s="312" t="s">
        <v>107</v>
      </c>
      <c r="J144" s="312">
        <v>1913</v>
      </c>
      <c r="K144" s="312" t="s">
        <v>109</v>
      </c>
    </row>
    <row r="145" spans="1:11">
      <c r="A145" s="312" t="s">
        <v>423</v>
      </c>
      <c r="B145" s="312" t="s">
        <v>424</v>
      </c>
      <c r="C145" s="312" t="s">
        <v>105</v>
      </c>
      <c r="D145" s="312" t="s">
        <v>252</v>
      </c>
      <c r="E145" s="312" t="s">
        <v>167</v>
      </c>
      <c r="F145" s="312">
        <v>1705</v>
      </c>
      <c r="G145" s="312" t="s">
        <v>168</v>
      </c>
      <c r="H145" s="312">
        <v>1707</v>
      </c>
      <c r="I145" s="312" t="s">
        <v>167</v>
      </c>
      <c r="J145" s="312">
        <v>1899</v>
      </c>
      <c r="K145" s="312" t="s">
        <v>169</v>
      </c>
    </row>
    <row r="146" spans="1:11">
      <c r="A146" s="312" t="s">
        <v>425</v>
      </c>
      <c r="B146" s="312" t="s">
        <v>426</v>
      </c>
      <c r="C146" s="312" t="s">
        <v>105</v>
      </c>
      <c r="D146" s="312" t="s">
        <v>252</v>
      </c>
      <c r="E146" s="312" t="s">
        <v>167</v>
      </c>
      <c r="F146" s="312">
        <v>1705</v>
      </c>
      <c r="G146" s="312" t="s">
        <v>168</v>
      </c>
      <c r="H146" s="312">
        <v>1707</v>
      </c>
      <c r="I146" s="312" t="s">
        <v>167</v>
      </c>
      <c r="J146" s="312">
        <v>1899</v>
      </c>
      <c r="K146" s="312" t="s">
        <v>169</v>
      </c>
    </row>
    <row r="147" spans="1:11">
      <c r="A147" s="312" t="s">
        <v>427</v>
      </c>
      <c r="B147" s="312" t="s">
        <v>428</v>
      </c>
      <c r="C147" s="312" t="s">
        <v>105</v>
      </c>
      <c r="D147" s="312" t="s">
        <v>252</v>
      </c>
      <c r="E147" s="312" t="s">
        <v>167</v>
      </c>
      <c r="F147" s="312">
        <v>1705</v>
      </c>
      <c r="G147" s="312" t="s">
        <v>168</v>
      </c>
      <c r="H147" s="312">
        <v>1707</v>
      </c>
      <c r="I147" s="312" t="s">
        <v>167</v>
      </c>
      <c r="J147" s="312">
        <v>1899</v>
      </c>
      <c r="K147" s="312" t="s">
        <v>169</v>
      </c>
    </row>
    <row r="148" spans="1:11">
      <c r="A148" s="312" t="s">
        <v>429</v>
      </c>
      <c r="B148" s="312" t="s">
        <v>430</v>
      </c>
      <c r="C148" s="312" t="s">
        <v>105</v>
      </c>
      <c r="D148" s="312" t="s">
        <v>252</v>
      </c>
      <c r="E148" s="312" t="s">
        <v>167</v>
      </c>
      <c r="F148" s="312">
        <v>1705</v>
      </c>
      <c r="G148" s="312" t="s">
        <v>168</v>
      </c>
      <c r="H148" s="312">
        <v>1707</v>
      </c>
      <c r="I148" s="312" t="s">
        <v>167</v>
      </c>
      <c r="J148" s="312">
        <v>1899</v>
      </c>
      <c r="K148" s="312" t="s">
        <v>169</v>
      </c>
    </row>
    <row r="149" spans="1:11">
      <c r="A149" s="312" t="s">
        <v>431</v>
      </c>
      <c r="B149" s="312" t="s">
        <v>432</v>
      </c>
      <c r="C149" s="312" t="s">
        <v>105</v>
      </c>
      <c r="D149" s="312" t="s">
        <v>221</v>
      </c>
      <c r="E149" s="312" t="s">
        <v>107</v>
      </c>
      <c r="F149" s="312">
        <v>1825</v>
      </c>
      <c r="G149" s="312" t="s">
        <v>108</v>
      </c>
      <c r="H149" s="312">
        <v>1827</v>
      </c>
      <c r="I149" s="312" t="s">
        <v>107</v>
      </c>
      <c r="J149" s="312">
        <v>1913</v>
      </c>
      <c r="K149" s="312" t="s">
        <v>109</v>
      </c>
    </row>
    <row r="150" spans="1:11">
      <c r="A150" s="312" t="s">
        <v>433</v>
      </c>
      <c r="B150" s="312" t="s">
        <v>434</v>
      </c>
      <c r="C150" s="312" t="s">
        <v>105</v>
      </c>
      <c r="D150" s="312" t="s">
        <v>435</v>
      </c>
      <c r="E150" s="312" t="s">
        <v>107</v>
      </c>
      <c r="F150" s="312">
        <v>1825</v>
      </c>
      <c r="G150" s="312" t="s">
        <v>108</v>
      </c>
      <c r="H150" s="312">
        <v>1827</v>
      </c>
      <c r="I150" s="312" t="s">
        <v>107</v>
      </c>
      <c r="J150" s="312">
        <v>1913</v>
      </c>
      <c r="K150" s="312" t="s">
        <v>109</v>
      </c>
    </row>
    <row r="151" spans="1:11">
      <c r="A151" s="312" t="s">
        <v>436</v>
      </c>
      <c r="B151" s="312" t="s">
        <v>437</v>
      </c>
      <c r="C151" s="312" t="s">
        <v>105</v>
      </c>
      <c r="D151" s="312" t="s">
        <v>438</v>
      </c>
      <c r="E151" s="312" t="s">
        <v>107</v>
      </c>
      <c r="F151" s="312">
        <v>1825</v>
      </c>
      <c r="G151" s="312" t="s">
        <v>108</v>
      </c>
      <c r="H151" s="312">
        <v>1827</v>
      </c>
      <c r="I151" s="312" t="s">
        <v>107</v>
      </c>
      <c r="J151" s="312">
        <v>1913</v>
      </c>
      <c r="K151" s="312" t="s">
        <v>109</v>
      </c>
    </row>
    <row r="152" spans="1:11">
      <c r="A152" s="312" t="s">
        <v>439</v>
      </c>
      <c r="B152" s="312" t="s">
        <v>440</v>
      </c>
      <c r="C152" s="312" t="s">
        <v>105</v>
      </c>
      <c r="D152" s="312" t="s">
        <v>221</v>
      </c>
      <c r="E152" s="312" t="s">
        <v>107</v>
      </c>
      <c r="F152" s="312">
        <v>1825</v>
      </c>
      <c r="G152" s="312" t="s">
        <v>108</v>
      </c>
      <c r="H152" s="312">
        <v>1827</v>
      </c>
      <c r="I152" s="312" t="s">
        <v>107</v>
      </c>
      <c r="J152" s="312">
        <v>1913</v>
      </c>
      <c r="K152" s="312" t="s">
        <v>109</v>
      </c>
    </row>
    <row r="153" spans="1:11">
      <c r="A153" s="312" t="s">
        <v>441</v>
      </c>
      <c r="B153" s="312" t="s">
        <v>442</v>
      </c>
      <c r="C153" s="312" t="s">
        <v>105</v>
      </c>
      <c r="D153" s="312" t="s">
        <v>114</v>
      </c>
      <c r="E153" s="312" t="s">
        <v>107</v>
      </c>
      <c r="F153" s="312">
        <v>1825</v>
      </c>
      <c r="G153" s="312" t="s">
        <v>108</v>
      </c>
      <c r="H153" s="312">
        <v>1827</v>
      </c>
      <c r="I153" s="312" t="s">
        <v>107</v>
      </c>
      <c r="J153" s="312">
        <v>1913</v>
      </c>
      <c r="K153" s="312" t="s">
        <v>109</v>
      </c>
    </row>
    <row r="154" spans="1:11">
      <c r="A154" s="312" t="s">
        <v>443</v>
      </c>
      <c r="B154" s="312" t="s">
        <v>444</v>
      </c>
      <c r="C154" s="312" t="s">
        <v>105</v>
      </c>
      <c r="D154" s="312" t="s">
        <v>184</v>
      </c>
      <c r="E154" s="312" t="s">
        <v>107</v>
      </c>
      <c r="F154" s="312">
        <v>1825</v>
      </c>
      <c r="G154" s="312" t="s">
        <v>108</v>
      </c>
      <c r="H154" s="312">
        <v>1827</v>
      </c>
      <c r="I154" s="312" t="s">
        <v>107</v>
      </c>
      <c r="J154" s="312">
        <v>1913</v>
      </c>
      <c r="K154" s="312" t="s">
        <v>109</v>
      </c>
    </row>
    <row r="155" spans="1:11">
      <c r="A155" s="312" t="s">
        <v>445</v>
      </c>
      <c r="B155" s="312" t="s">
        <v>446</v>
      </c>
      <c r="C155" s="312" t="s">
        <v>105</v>
      </c>
      <c r="D155" s="312" t="s">
        <v>327</v>
      </c>
      <c r="E155" s="312" t="s">
        <v>167</v>
      </c>
      <c r="F155" s="312">
        <v>1705</v>
      </c>
      <c r="G155" s="312" t="s">
        <v>168</v>
      </c>
      <c r="H155" s="312">
        <v>1707</v>
      </c>
      <c r="I155" s="312" t="s">
        <v>167</v>
      </c>
      <c r="J155" s="312">
        <v>1899</v>
      </c>
      <c r="K155" s="312" t="s">
        <v>169</v>
      </c>
    </row>
    <row r="156" spans="1:11">
      <c r="A156" s="312" t="s">
        <v>447</v>
      </c>
      <c r="B156" s="312" t="s">
        <v>448</v>
      </c>
      <c r="C156" s="312" t="s">
        <v>105</v>
      </c>
      <c r="D156" s="312" t="s">
        <v>327</v>
      </c>
      <c r="E156" s="312" t="s">
        <v>167</v>
      </c>
      <c r="F156" s="312">
        <v>1705</v>
      </c>
      <c r="G156" s="312" t="s">
        <v>168</v>
      </c>
      <c r="H156" s="312">
        <v>1707</v>
      </c>
      <c r="I156" s="312" t="s">
        <v>167</v>
      </c>
      <c r="J156" s="312">
        <v>1899</v>
      </c>
      <c r="K156" s="312" t="s">
        <v>169</v>
      </c>
    </row>
    <row r="157" spans="1:11">
      <c r="A157" s="312" t="s">
        <v>449</v>
      </c>
      <c r="B157" s="312" t="s">
        <v>450</v>
      </c>
      <c r="C157" s="312" t="s">
        <v>105</v>
      </c>
      <c r="D157" s="312" t="s">
        <v>312</v>
      </c>
      <c r="E157" s="312" t="s">
        <v>107</v>
      </c>
      <c r="F157" s="312">
        <v>1825</v>
      </c>
      <c r="G157" s="312" t="s">
        <v>108</v>
      </c>
      <c r="H157" s="312">
        <v>1827</v>
      </c>
      <c r="I157" s="312" t="s">
        <v>107</v>
      </c>
      <c r="J157" s="312">
        <v>1913</v>
      </c>
      <c r="K157" s="312" t="s">
        <v>109</v>
      </c>
    </row>
    <row r="158" spans="1:11">
      <c r="A158" s="312" t="s">
        <v>451</v>
      </c>
      <c r="B158" s="1" t="s">
        <v>452</v>
      </c>
      <c r="C158" s="312" t="s">
        <v>105</v>
      </c>
      <c r="D158" s="312" t="s">
        <v>332</v>
      </c>
      <c r="E158" s="312" t="s">
        <v>107</v>
      </c>
      <c r="F158" s="312">
        <v>1825</v>
      </c>
      <c r="G158" s="312" t="s">
        <v>108</v>
      </c>
      <c r="H158" s="312">
        <v>1827</v>
      </c>
      <c r="I158" s="312" t="s">
        <v>107</v>
      </c>
      <c r="J158" s="312">
        <v>1913</v>
      </c>
      <c r="K158" s="312" t="s">
        <v>109</v>
      </c>
    </row>
    <row r="159" spans="1:11">
      <c r="A159" s="312" t="s">
        <v>453</v>
      </c>
      <c r="B159" s="312" t="s">
        <v>454</v>
      </c>
      <c r="C159" s="312" t="s">
        <v>105</v>
      </c>
      <c r="D159" s="312" t="s">
        <v>455</v>
      </c>
      <c r="E159" s="312" t="s">
        <v>107</v>
      </c>
      <c r="F159" s="312">
        <v>1825</v>
      </c>
      <c r="G159" s="312" t="s">
        <v>108</v>
      </c>
      <c r="H159" s="312">
        <v>1827</v>
      </c>
      <c r="I159" s="312" t="s">
        <v>107</v>
      </c>
      <c r="J159" s="312">
        <v>1913</v>
      </c>
      <c r="K159" s="312" t="s">
        <v>109</v>
      </c>
    </row>
    <row r="160" spans="1:11">
      <c r="A160" s="312" t="s">
        <v>456</v>
      </c>
      <c r="B160" s="312" t="s">
        <v>457</v>
      </c>
      <c r="C160" s="312" t="s">
        <v>105</v>
      </c>
      <c r="D160" s="312" t="s">
        <v>332</v>
      </c>
      <c r="E160" s="312" t="s">
        <v>107</v>
      </c>
      <c r="F160" s="312">
        <v>1825</v>
      </c>
      <c r="G160" s="312" t="s">
        <v>108</v>
      </c>
      <c r="H160" s="312">
        <v>1827</v>
      </c>
      <c r="I160" s="312" t="s">
        <v>107</v>
      </c>
      <c r="J160" s="312">
        <v>1913</v>
      </c>
      <c r="K160" s="312" t="s">
        <v>109</v>
      </c>
    </row>
    <row r="161" spans="1:11">
      <c r="A161" s="312" t="s">
        <v>458</v>
      </c>
      <c r="B161" s="312" t="s">
        <v>459</v>
      </c>
      <c r="C161" s="312" t="s">
        <v>105</v>
      </c>
      <c r="D161" s="312" t="s">
        <v>332</v>
      </c>
      <c r="E161" s="312" t="s">
        <v>107</v>
      </c>
      <c r="F161" s="312">
        <v>1825</v>
      </c>
      <c r="G161" s="312" t="s">
        <v>108</v>
      </c>
      <c r="H161" s="312">
        <v>1827</v>
      </c>
      <c r="I161" s="312" t="s">
        <v>107</v>
      </c>
      <c r="J161" s="312">
        <v>1913</v>
      </c>
      <c r="K161" s="312" t="s">
        <v>109</v>
      </c>
    </row>
    <row r="162" spans="1:11">
      <c r="A162" s="312" t="s">
        <v>460</v>
      </c>
      <c r="B162" s="312" t="s">
        <v>461</v>
      </c>
      <c r="C162" s="312" t="s">
        <v>105</v>
      </c>
      <c r="D162" s="312" t="s">
        <v>332</v>
      </c>
      <c r="E162" s="312" t="s">
        <v>107</v>
      </c>
      <c r="F162" s="312">
        <v>1825</v>
      </c>
      <c r="G162" s="312" t="s">
        <v>108</v>
      </c>
      <c r="H162" s="312">
        <v>1827</v>
      </c>
      <c r="I162" s="312" t="s">
        <v>107</v>
      </c>
      <c r="J162" s="312">
        <v>1913</v>
      </c>
      <c r="K162" s="312" t="s">
        <v>109</v>
      </c>
    </row>
    <row r="163" spans="1:11">
      <c r="A163" s="312" t="s">
        <v>462</v>
      </c>
      <c r="B163" s="312" t="s">
        <v>463</v>
      </c>
      <c r="C163" s="312" t="s">
        <v>105</v>
      </c>
      <c r="D163" s="312" t="s">
        <v>455</v>
      </c>
      <c r="E163" s="312" t="s">
        <v>107</v>
      </c>
      <c r="F163" s="312">
        <v>1825</v>
      </c>
      <c r="G163" s="312" t="s">
        <v>108</v>
      </c>
      <c r="H163" s="312">
        <v>1827</v>
      </c>
      <c r="I163" s="312" t="s">
        <v>107</v>
      </c>
      <c r="J163" s="312">
        <v>1913</v>
      </c>
      <c r="K163" s="312" t="s">
        <v>109</v>
      </c>
    </row>
    <row r="164" spans="1:11">
      <c r="A164" s="312" t="s">
        <v>464</v>
      </c>
      <c r="B164" s="312" t="s">
        <v>465</v>
      </c>
      <c r="C164" s="312" t="s">
        <v>105</v>
      </c>
      <c r="D164" s="312" t="s">
        <v>352</v>
      </c>
      <c r="E164" s="312" t="s">
        <v>466</v>
      </c>
      <c r="F164" s="312">
        <v>1796</v>
      </c>
      <c r="G164" s="312" t="s">
        <v>467</v>
      </c>
      <c r="H164" s="312">
        <v>1799</v>
      </c>
      <c r="I164" s="312" t="s">
        <v>466</v>
      </c>
      <c r="J164" s="312">
        <v>1918</v>
      </c>
      <c r="K164" s="312" t="s">
        <v>468</v>
      </c>
    </row>
    <row r="165" spans="1:11">
      <c r="A165" s="312" t="s">
        <v>469</v>
      </c>
      <c r="B165" s="312" t="s">
        <v>470</v>
      </c>
      <c r="C165" s="312" t="s">
        <v>105</v>
      </c>
      <c r="D165" s="312" t="s">
        <v>114</v>
      </c>
      <c r="E165" s="312" t="s">
        <v>107</v>
      </c>
      <c r="F165" s="312">
        <v>1825</v>
      </c>
      <c r="G165" s="312" t="s">
        <v>108</v>
      </c>
      <c r="H165" s="312">
        <v>1827</v>
      </c>
      <c r="I165" s="312" t="s">
        <v>107</v>
      </c>
      <c r="J165" s="312">
        <v>1913</v>
      </c>
      <c r="K165" s="312" t="s">
        <v>109</v>
      </c>
    </row>
    <row r="166" spans="1:11">
      <c r="A166" s="312" t="s">
        <v>471</v>
      </c>
      <c r="B166" s="312" t="s">
        <v>472</v>
      </c>
      <c r="C166" s="312" t="s">
        <v>105</v>
      </c>
      <c r="D166" s="312" t="s">
        <v>114</v>
      </c>
      <c r="E166" s="312" t="s">
        <v>107</v>
      </c>
      <c r="F166" s="312">
        <v>1825</v>
      </c>
      <c r="G166" s="312" t="s">
        <v>108</v>
      </c>
      <c r="H166" s="312">
        <v>1827</v>
      </c>
      <c r="I166" s="312" t="s">
        <v>107</v>
      </c>
      <c r="J166" s="312">
        <v>1913</v>
      </c>
      <c r="K166" s="312" t="s">
        <v>109</v>
      </c>
    </row>
    <row r="167" spans="1:11">
      <c r="A167" s="312" t="s">
        <v>473</v>
      </c>
      <c r="B167" s="312" t="s">
        <v>474</v>
      </c>
      <c r="C167" s="312" t="s">
        <v>105</v>
      </c>
      <c r="D167" s="312" t="s">
        <v>312</v>
      </c>
      <c r="E167" s="312" t="s">
        <v>107</v>
      </c>
      <c r="F167" s="312">
        <v>1825</v>
      </c>
      <c r="G167" s="312" t="s">
        <v>108</v>
      </c>
      <c r="H167" s="312">
        <v>1827</v>
      </c>
      <c r="I167" s="312" t="s">
        <v>107</v>
      </c>
      <c r="J167" s="312">
        <v>1913</v>
      </c>
      <c r="K167" s="312" t="s">
        <v>109</v>
      </c>
    </row>
    <row r="168" spans="1:11">
      <c r="A168" s="312" t="s">
        <v>475</v>
      </c>
      <c r="B168" s="312" t="s">
        <v>476</v>
      </c>
      <c r="C168" s="312" t="s">
        <v>105</v>
      </c>
      <c r="D168" s="312" t="s">
        <v>477</v>
      </c>
      <c r="E168" s="312" t="s">
        <v>466</v>
      </c>
      <c r="F168" s="312">
        <v>1796</v>
      </c>
      <c r="G168" s="312" t="s">
        <v>467</v>
      </c>
      <c r="H168" s="312">
        <v>1799</v>
      </c>
      <c r="I168" s="312" t="s">
        <v>466</v>
      </c>
      <c r="J168" s="312">
        <v>1918</v>
      </c>
      <c r="K168" s="312" t="s">
        <v>468</v>
      </c>
    </row>
    <row r="169" spans="1:11">
      <c r="A169" s="312" t="s">
        <v>478</v>
      </c>
      <c r="B169" s="312" t="s">
        <v>479</v>
      </c>
      <c r="C169" s="312" t="s">
        <v>105</v>
      </c>
      <c r="D169" s="312" t="s">
        <v>480</v>
      </c>
      <c r="E169" s="312" t="s">
        <v>107</v>
      </c>
      <c r="F169" s="312">
        <v>1825</v>
      </c>
      <c r="G169" s="312" t="s">
        <v>108</v>
      </c>
      <c r="H169" s="312">
        <v>1827</v>
      </c>
      <c r="I169" s="312" t="s">
        <v>107</v>
      </c>
      <c r="J169" s="312">
        <v>1913</v>
      </c>
      <c r="K169" s="312" t="s">
        <v>109</v>
      </c>
    </row>
    <row r="170" spans="1:11">
      <c r="A170" s="312" t="s">
        <v>481</v>
      </c>
      <c r="B170" s="312" t="s">
        <v>482</v>
      </c>
      <c r="C170" s="312" t="s">
        <v>105</v>
      </c>
      <c r="D170" s="312" t="s">
        <v>483</v>
      </c>
      <c r="E170" s="312" t="s">
        <v>466</v>
      </c>
      <c r="F170" s="312">
        <v>1796</v>
      </c>
      <c r="G170" s="312" t="s">
        <v>467</v>
      </c>
      <c r="H170" s="312">
        <v>1799</v>
      </c>
      <c r="I170" s="312" t="s">
        <v>466</v>
      </c>
      <c r="J170" s="312">
        <v>1918</v>
      </c>
      <c r="K170" s="312" t="s">
        <v>468</v>
      </c>
    </row>
    <row r="171" spans="1:11">
      <c r="A171" s="312" t="s">
        <v>484</v>
      </c>
      <c r="B171" s="312" t="s">
        <v>485</v>
      </c>
      <c r="C171" s="312" t="s">
        <v>105</v>
      </c>
      <c r="D171" s="312" t="s">
        <v>480</v>
      </c>
      <c r="E171" s="312" t="s">
        <v>107</v>
      </c>
      <c r="F171" s="312">
        <v>1825</v>
      </c>
      <c r="G171" s="312" t="s">
        <v>108</v>
      </c>
      <c r="H171" s="312">
        <v>1827</v>
      </c>
      <c r="I171" s="312" t="s">
        <v>107</v>
      </c>
      <c r="J171" s="312">
        <v>1913</v>
      </c>
      <c r="K171" s="312" t="s">
        <v>109</v>
      </c>
    </row>
    <row r="172" spans="1:11">
      <c r="A172" s="312" t="s">
        <v>486</v>
      </c>
      <c r="B172" s="312" t="s">
        <v>487</v>
      </c>
      <c r="C172" s="312" t="s">
        <v>105</v>
      </c>
      <c r="D172" s="312" t="s">
        <v>114</v>
      </c>
      <c r="E172" s="312" t="s">
        <v>107</v>
      </c>
      <c r="F172" s="312">
        <v>1825</v>
      </c>
      <c r="G172" s="312" t="s">
        <v>108</v>
      </c>
      <c r="H172" s="312">
        <v>1827</v>
      </c>
      <c r="I172" s="312" t="s">
        <v>107</v>
      </c>
      <c r="J172" s="312">
        <v>1913</v>
      </c>
      <c r="K172" s="312" t="s">
        <v>109</v>
      </c>
    </row>
    <row r="173" spans="1:11">
      <c r="A173" s="312" t="s">
        <v>488</v>
      </c>
      <c r="B173" s="312" t="s">
        <v>489</v>
      </c>
      <c r="C173" s="312" t="s">
        <v>105</v>
      </c>
      <c r="D173" s="312" t="s">
        <v>114</v>
      </c>
      <c r="E173" s="312" t="s">
        <v>107</v>
      </c>
      <c r="F173" s="312">
        <v>1825</v>
      </c>
      <c r="G173" s="312" t="s">
        <v>108</v>
      </c>
      <c r="H173" s="312">
        <v>1827</v>
      </c>
      <c r="I173" s="312" t="s">
        <v>107</v>
      </c>
      <c r="J173" s="312">
        <v>1913</v>
      </c>
      <c r="K173" s="312" t="s">
        <v>109</v>
      </c>
    </row>
    <row r="174" spans="1:11">
      <c r="A174" s="312" t="s">
        <v>490</v>
      </c>
      <c r="B174" s="312" t="s">
        <v>491</v>
      </c>
      <c r="C174" s="312" t="s">
        <v>105</v>
      </c>
      <c r="D174" s="312" t="s">
        <v>114</v>
      </c>
      <c r="E174" s="312" t="s">
        <v>107</v>
      </c>
      <c r="F174" s="312">
        <v>1825</v>
      </c>
      <c r="G174" s="312" t="s">
        <v>108</v>
      </c>
      <c r="H174" s="312">
        <v>1827</v>
      </c>
      <c r="I174" s="312" t="s">
        <v>107</v>
      </c>
      <c r="J174" s="312">
        <v>1913</v>
      </c>
      <c r="K174" s="312" t="s">
        <v>109</v>
      </c>
    </row>
    <row r="175" spans="1:11">
      <c r="A175" s="312" t="s">
        <v>492</v>
      </c>
      <c r="B175" s="312" t="s">
        <v>493</v>
      </c>
      <c r="C175" s="312" t="s">
        <v>105</v>
      </c>
      <c r="D175" s="312" t="s">
        <v>494</v>
      </c>
      <c r="E175" s="312" t="s">
        <v>107</v>
      </c>
      <c r="F175" s="312">
        <v>1825</v>
      </c>
      <c r="G175" s="312" t="s">
        <v>108</v>
      </c>
      <c r="H175" s="312">
        <v>1827</v>
      </c>
      <c r="I175" s="312" t="s">
        <v>107</v>
      </c>
      <c r="J175" s="312">
        <v>1913</v>
      </c>
      <c r="K175" s="312" t="s">
        <v>109</v>
      </c>
    </row>
    <row r="176" spans="1:11">
      <c r="A176" s="312" t="s">
        <v>495</v>
      </c>
      <c r="B176" s="1" t="s">
        <v>496</v>
      </c>
      <c r="C176" s="312" t="s">
        <v>105</v>
      </c>
      <c r="D176" s="312" t="s">
        <v>497</v>
      </c>
      <c r="E176" s="312" t="s">
        <v>107</v>
      </c>
      <c r="F176" s="312">
        <v>1825</v>
      </c>
      <c r="G176" s="312" t="s">
        <v>108</v>
      </c>
      <c r="H176" s="312">
        <v>1827</v>
      </c>
      <c r="I176" s="312" t="s">
        <v>107</v>
      </c>
      <c r="J176" s="312">
        <v>1913</v>
      </c>
      <c r="K176" s="312" t="s">
        <v>109</v>
      </c>
    </row>
    <row r="177" spans="1:11">
      <c r="A177" s="312" t="s">
        <v>498</v>
      </c>
      <c r="B177" s="312" t="s">
        <v>499</v>
      </c>
      <c r="C177" s="312" t="s">
        <v>105</v>
      </c>
      <c r="D177" s="312" t="s">
        <v>483</v>
      </c>
      <c r="E177" s="312" t="s">
        <v>107</v>
      </c>
      <c r="F177" s="312">
        <v>1825</v>
      </c>
      <c r="G177" s="312" t="s">
        <v>108</v>
      </c>
      <c r="H177" s="312">
        <v>1827</v>
      </c>
      <c r="I177" s="312" t="s">
        <v>107</v>
      </c>
      <c r="J177" s="312">
        <v>1913</v>
      </c>
      <c r="K177" s="312" t="s">
        <v>109</v>
      </c>
    </row>
    <row r="178" spans="1:11">
      <c r="A178" s="312" t="s">
        <v>500</v>
      </c>
      <c r="B178" s="312" t="s">
        <v>501</v>
      </c>
      <c r="C178" s="312" t="s">
        <v>105</v>
      </c>
      <c r="D178" s="312" t="s">
        <v>483</v>
      </c>
      <c r="E178" s="312" t="s">
        <v>107</v>
      </c>
      <c r="F178" s="312">
        <v>1825</v>
      </c>
      <c r="G178" s="312" t="s">
        <v>108</v>
      </c>
      <c r="H178" s="312">
        <v>1827</v>
      </c>
      <c r="I178" s="312" t="s">
        <v>107</v>
      </c>
      <c r="J178" s="312">
        <v>1913</v>
      </c>
      <c r="K178" s="312" t="s">
        <v>109</v>
      </c>
    </row>
    <row r="179" spans="1:11">
      <c r="A179" s="312" t="s">
        <v>502</v>
      </c>
      <c r="B179" s="312" t="s">
        <v>503</v>
      </c>
      <c r="C179" s="312" t="s">
        <v>105</v>
      </c>
      <c r="D179" s="312" t="s">
        <v>504</v>
      </c>
      <c r="E179" s="312" t="s">
        <v>167</v>
      </c>
      <c r="F179" s="312">
        <v>1705</v>
      </c>
      <c r="G179" s="312" t="s">
        <v>168</v>
      </c>
      <c r="H179" s="312">
        <v>1707</v>
      </c>
      <c r="I179" s="312" t="s">
        <v>167</v>
      </c>
      <c r="J179" s="312">
        <v>1899</v>
      </c>
      <c r="K179" s="312" t="s">
        <v>169</v>
      </c>
    </row>
    <row r="180" spans="1:11">
      <c r="A180" s="312" t="s">
        <v>505</v>
      </c>
      <c r="B180" s="312" t="s">
        <v>506</v>
      </c>
      <c r="C180" s="312" t="s">
        <v>105</v>
      </c>
      <c r="D180" s="312" t="s">
        <v>507</v>
      </c>
      <c r="E180" s="312" t="s">
        <v>167</v>
      </c>
      <c r="F180" s="312">
        <v>1705</v>
      </c>
      <c r="G180" s="312" t="s">
        <v>168</v>
      </c>
      <c r="H180" s="312">
        <v>1707</v>
      </c>
      <c r="I180" s="312" t="s">
        <v>167</v>
      </c>
      <c r="J180" s="312">
        <v>1899</v>
      </c>
      <c r="K180" s="312" t="s">
        <v>169</v>
      </c>
    </row>
    <row r="181" spans="1:11">
      <c r="A181" s="312" t="s">
        <v>508</v>
      </c>
      <c r="B181" s="312" t="s">
        <v>509</v>
      </c>
      <c r="C181" s="312" t="s">
        <v>105</v>
      </c>
      <c r="D181" s="312" t="s">
        <v>507</v>
      </c>
      <c r="E181" s="312" t="s">
        <v>167</v>
      </c>
      <c r="F181" s="312">
        <v>1705</v>
      </c>
      <c r="G181" s="312" t="s">
        <v>168</v>
      </c>
      <c r="H181" s="312">
        <v>1707</v>
      </c>
      <c r="I181" s="312" t="s">
        <v>167</v>
      </c>
      <c r="J181" s="312">
        <v>1899</v>
      </c>
      <c r="K181" s="312" t="s">
        <v>169</v>
      </c>
    </row>
    <row r="182" spans="1:11">
      <c r="A182" s="312" t="s">
        <v>510</v>
      </c>
      <c r="B182" s="312" t="s">
        <v>511</v>
      </c>
      <c r="C182" s="312" t="s">
        <v>105</v>
      </c>
      <c r="D182" s="312" t="s">
        <v>512</v>
      </c>
      <c r="E182" s="312" t="s">
        <v>107</v>
      </c>
      <c r="F182" s="312">
        <v>1825</v>
      </c>
      <c r="G182" s="312" t="s">
        <v>108</v>
      </c>
      <c r="H182" s="312">
        <v>1827</v>
      </c>
      <c r="I182" s="312" t="s">
        <v>107</v>
      </c>
      <c r="J182" s="312">
        <v>1913</v>
      </c>
      <c r="K182" s="312" t="s">
        <v>109</v>
      </c>
    </row>
    <row r="183" spans="1:11">
      <c r="A183" s="312" t="s">
        <v>513</v>
      </c>
      <c r="B183" s="312" t="s">
        <v>514</v>
      </c>
      <c r="C183" s="312" t="s">
        <v>105</v>
      </c>
      <c r="D183" s="312" t="s">
        <v>106</v>
      </c>
      <c r="E183" s="312" t="s">
        <v>107</v>
      </c>
      <c r="F183" s="312">
        <v>1825</v>
      </c>
      <c r="G183" s="312" t="s">
        <v>108</v>
      </c>
      <c r="H183" s="312">
        <v>1827</v>
      </c>
      <c r="I183" s="312" t="s">
        <v>107</v>
      </c>
      <c r="J183" s="312">
        <v>1913</v>
      </c>
      <c r="K183" s="312" t="s">
        <v>109</v>
      </c>
    </row>
    <row r="184" spans="1:11">
      <c r="A184" s="312" t="s">
        <v>515</v>
      </c>
      <c r="B184" s="312" t="s">
        <v>516</v>
      </c>
      <c r="C184" s="312" t="s">
        <v>105</v>
      </c>
      <c r="D184" s="312" t="s">
        <v>517</v>
      </c>
      <c r="E184" s="312" t="s">
        <v>107</v>
      </c>
      <c r="F184" s="312">
        <v>1825</v>
      </c>
      <c r="G184" s="312" t="s">
        <v>108</v>
      </c>
      <c r="H184" s="312">
        <v>1827</v>
      </c>
      <c r="I184" s="312" t="s">
        <v>107</v>
      </c>
      <c r="J184" s="312">
        <v>1913</v>
      </c>
      <c r="K184" s="312" t="s">
        <v>109</v>
      </c>
    </row>
    <row r="185" spans="1:11">
      <c r="A185" s="312" t="s">
        <v>518</v>
      </c>
      <c r="B185" s="312" t="s">
        <v>519</v>
      </c>
      <c r="C185" s="312" t="s">
        <v>105</v>
      </c>
      <c r="D185" s="312" t="s">
        <v>435</v>
      </c>
      <c r="E185" s="312" t="s">
        <v>107</v>
      </c>
      <c r="F185" s="312">
        <v>1825</v>
      </c>
      <c r="G185" s="312" t="s">
        <v>108</v>
      </c>
      <c r="H185" s="312">
        <v>1827</v>
      </c>
      <c r="I185" s="312" t="s">
        <v>107</v>
      </c>
      <c r="J185" s="312">
        <v>1913</v>
      </c>
      <c r="K185" s="312" t="s">
        <v>109</v>
      </c>
    </row>
    <row r="186" spans="1:11">
      <c r="A186" s="312" t="s">
        <v>520</v>
      </c>
      <c r="B186" s="312" t="s">
        <v>521</v>
      </c>
      <c r="C186" s="312" t="s">
        <v>105</v>
      </c>
      <c r="D186" s="312" t="s">
        <v>343</v>
      </c>
      <c r="E186" s="312" t="s">
        <v>167</v>
      </c>
      <c r="F186" s="312">
        <v>1705</v>
      </c>
      <c r="G186" s="312" t="s">
        <v>168</v>
      </c>
      <c r="H186" s="312">
        <v>1707</v>
      </c>
      <c r="I186" s="312" t="s">
        <v>167</v>
      </c>
      <c r="J186" s="312">
        <v>1899</v>
      </c>
      <c r="K186" s="312" t="s">
        <v>169</v>
      </c>
    </row>
    <row r="187" spans="1:11">
      <c r="A187" s="312" t="s">
        <v>522</v>
      </c>
      <c r="B187" s="312" t="s">
        <v>523</v>
      </c>
      <c r="C187" s="312" t="s">
        <v>105</v>
      </c>
      <c r="D187" s="312" t="s">
        <v>524</v>
      </c>
      <c r="E187" s="312" t="s">
        <v>107</v>
      </c>
      <c r="F187" s="312">
        <v>1825</v>
      </c>
      <c r="G187" s="312" t="s">
        <v>108</v>
      </c>
      <c r="H187" s="312">
        <v>1827</v>
      </c>
      <c r="I187" s="312" t="s">
        <v>107</v>
      </c>
      <c r="J187" s="312">
        <v>1913</v>
      </c>
      <c r="K187" s="312" t="s">
        <v>109</v>
      </c>
    </row>
    <row r="188" spans="1:11">
      <c r="A188" s="312" t="s">
        <v>525</v>
      </c>
      <c r="B188" s="312" t="s">
        <v>526</v>
      </c>
      <c r="C188" s="312" t="s">
        <v>105</v>
      </c>
      <c r="D188" s="312" t="s">
        <v>114</v>
      </c>
      <c r="E188" s="312" t="s">
        <v>107</v>
      </c>
      <c r="F188" s="312">
        <v>1825</v>
      </c>
      <c r="G188" s="312" t="s">
        <v>108</v>
      </c>
      <c r="H188" s="312">
        <v>1827</v>
      </c>
      <c r="I188" s="312" t="s">
        <v>107</v>
      </c>
      <c r="J188" s="312">
        <v>1913</v>
      </c>
      <c r="K188" s="312" t="s">
        <v>109</v>
      </c>
    </row>
    <row r="189" spans="1:11">
      <c r="A189" s="312" t="s">
        <v>527</v>
      </c>
      <c r="B189" s="312" t="s">
        <v>528</v>
      </c>
      <c r="C189" s="312" t="s">
        <v>105</v>
      </c>
      <c r="D189" s="312" t="s">
        <v>512</v>
      </c>
      <c r="E189" s="312" t="s">
        <v>107</v>
      </c>
      <c r="F189" s="312">
        <v>1825</v>
      </c>
      <c r="G189" s="312" t="s">
        <v>108</v>
      </c>
      <c r="H189" s="312">
        <v>1827</v>
      </c>
      <c r="I189" s="312" t="s">
        <v>107</v>
      </c>
      <c r="J189" s="312">
        <v>1913</v>
      </c>
      <c r="K189" s="312" t="s">
        <v>109</v>
      </c>
    </row>
    <row r="190" spans="1:11">
      <c r="A190" s="312" t="s">
        <v>529</v>
      </c>
      <c r="B190" s="312" t="s">
        <v>530</v>
      </c>
      <c r="C190" s="312" t="s">
        <v>105</v>
      </c>
      <c r="D190" s="312" t="s">
        <v>531</v>
      </c>
      <c r="E190" s="312" t="s">
        <v>107</v>
      </c>
      <c r="F190" s="312">
        <v>1825</v>
      </c>
      <c r="G190" s="312" t="s">
        <v>108</v>
      </c>
      <c r="H190" s="312">
        <v>1827</v>
      </c>
      <c r="I190" s="312" t="s">
        <v>107</v>
      </c>
      <c r="J190" s="312">
        <v>1913</v>
      </c>
      <c r="K190" s="312" t="s">
        <v>109</v>
      </c>
    </row>
    <row r="191" spans="1:11">
      <c r="A191" s="312" t="s">
        <v>532</v>
      </c>
      <c r="B191" s="312" t="s">
        <v>533</v>
      </c>
      <c r="C191" s="312" t="s">
        <v>105</v>
      </c>
      <c r="D191" s="312" t="s">
        <v>114</v>
      </c>
      <c r="E191" s="312" t="s">
        <v>107</v>
      </c>
      <c r="F191" s="312">
        <v>1825</v>
      </c>
      <c r="G191" s="312" t="s">
        <v>108</v>
      </c>
      <c r="H191" s="312">
        <v>1827</v>
      </c>
      <c r="I191" s="312" t="s">
        <v>107</v>
      </c>
      <c r="J191" s="312">
        <v>1913</v>
      </c>
      <c r="K191" s="312" t="s">
        <v>109</v>
      </c>
    </row>
    <row r="192" spans="1:11">
      <c r="A192" s="312" t="s">
        <v>534</v>
      </c>
      <c r="B192" s="312" t="s">
        <v>535</v>
      </c>
      <c r="C192" s="312" t="s">
        <v>105</v>
      </c>
      <c r="D192" s="312" t="s">
        <v>536</v>
      </c>
      <c r="E192" s="312" t="s">
        <v>167</v>
      </c>
      <c r="F192" s="312">
        <v>1705</v>
      </c>
      <c r="G192" s="312" t="s">
        <v>168</v>
      </c>
      <c r="H192" s="312">
        <v>1707</v>
      </c>
      <c r="I192" s="312" t="s">
        <v>167</v>
      </c>
      <c r="J192" s="312">
        <v>1899</v>
      </c>
      <c r="K192" s="312" t="s">
        <v>169</v>
      </c>
    </row>
    <row r="193" spans="1:11">
      <c r="A193" s="312" t="s">
        <v>537</v>
      </c>
      <c r="B193" s="312" t="s">
        <v>538</v>
      </c>
      <c r="C193" s="312" t="s">
        <v>105</v>
      </c>
      <c r="D193" s="312" t="s">
        <v>536</v>
      </c>
      <c r="E193" s="312" t="s">
        <v>167</v>
      </c>
      <c r="F193" s="312">
        <v>1705</v>
      </c>
      <c r="G193" s="312" t="s">
        <v>168</v>
      </c>
      <c r="H193" s="312">
        <v>1707</v>
      </c>
      <c r="I193" s="312" t="s">
        <v>167</v>
      </c>
      <c r="J193" s="312">
        <v>1899</v>
      </c>
      <c r="K193" s="312" t="s">
        <v>169</v>
      </c>
    </row>
    <row r="194" spans="1:11">
      <c r="A194" s="312" t="s">
        <v>539</v>
      </c>
      <c r="B194" s="312" t="s">
        <v>540</v>
      </c>
      <c r="C194" s="312" t="s">
        <v>105</v>
      </c>
      <c r="D194" s="312" t="s">
        <v>541</v>
      </c>
      <c r="E194" s="312" t="s">
        <v>107</v>
      </c>
      <c r="F194" s="312">
        <v>1825</v>
      </c>
      <c r="G194" s="312" t="s">
        <v>108</v>
      </c>
      <c r="H194" s="312">
        <v>1827</v>
      </c>
      <c r="I194" s="312" t="s">
        <v>107</v>
      </c>
      <c r="J194" s="312">
        <v>1913</v>
      </c>
      <c r="K194" s="312" t="s">
        <v>109</v>
      </c>
    </row>
    <row r="195" spans="1:11">
      <c r="A195" s="312" t="s">
        <v>542</v>
      </c>
      <c r="B195" s="312" t="s">
        <v>543</v>
      </c>
      <c r="C195" s="312" t="s">
        <v>105</v>
      </c>
      <c r="D195" s="312" t="s">
        <v>544</v>
      </c>
      <c r="E195" s="312" t="s">
        <v>107</v>
      </c>
      <c r="F195" s="312">
        <v>1825</v>
      </c>
      <c r="G195" s="312" t="s">
        <v>108</v>
      </c>
      <c r="H195" s="312">
        <v>1827</v>
      </c>
      <c r="I195" s="312" t="s">
        <v>107</v>
      </c>
      <c r="J195" s="312">
        <v>1913</v>
      </c>
      <c r="K195" s="312" t="s">
        <v>109</v>
      </c>
    </row>
    <row r="196" spans="1:11">
      <c r="A196" s="312" t="s">
        <v>545</v>
      </c>
      <c r="B196" s="312" t="s">
        <v>546</v>
      </c>
      <c r="C196" s="312" t="s">
        <v>105</v>
      </c>
      <c r="D196" s="312" t="s">
        <v>379</v>
      </c>
      <c r="E196" s="312" t="s">
        <v>107</v>
      </c>
      <c r="F196" s="312">
        <v>1825</v>
      </c>
      <c r="G196" s="312" t="s">
        <v>108</v>
      </c>
      <c r="H196" s="312">
        <v>1827</v>
      </c>
      <c r="I196" s="312" t="s">
        <v>107</v>
      </c>
      <c r="J196" s="312">
        <v>1913</v>
      </c>
      <c r="K196" s="312" t="s">
        <v>109</v>
      </c>
    </row>
    <row r="197" spans="1:11">
      <c r="A197" s="312" t="s">
        <v>547</v>
      </c>
      <c r="B197" s="312" t="s">
        <v>548</v>
      </c>
      <c r="C197" s="312" t="s">
        <v>105</v>
      </c>
      <c r="D197" s="312" t="s">
        <v>524</v>
      </c>
      <c r="E197" s="312" t="s">
        <v>107</v>
      </c>
      <c r="F197" s="312">
        <v>1825</v>
      </c>
      <c r="G197" s="312" t="s">
        <v>108</v>
      </c>
      <c r="H197" s="312">
        <v>1827</v>
      </c>
      <c r="I197" s="312" t="s">
        <v>107</v>
      </c>
      <c r="J197" s="312">
        <v>1913</v>
      </c>
      <c r="K197" s="312" t="s">
        <v>109</v>
      </c>
    </row>
    <row r="198" spans="1:11">
      <c r="A198" s="312" t="s">
        <v>549</v>
      </c>
      <c r="B198" s="312" t="s">
        <v>550</v>
      </c>
      <c r="C198" s="312" t="s">
        <v>105</v>
      </c>
      <c r="D198" s="312" t="s">
        <v>551</v>
      </c>
      <c r="E198" s="312" t="s">
        <v>167</v>
      </c>
      <c r="F198" s="312">
        <v>1705</v>
      </c>
      <c r="G198" s="312" t="s">
        <v>168</v>
      </c>
      <c r="H198" s="312">
        <v>1707</v>
      </c>
      <c r="I198" s="312" t="s">
        <v>167</v>
      </c>
      <c r="J198" s="312">
        <v>1899</v>
      </c>
      <c r="K198" s="312" t="s">
        <v>169</v>
      </c>
    </row>
    <row r="199" spans="1:11">
      <c r="A199" s="312" t="s">
        <v>552</v>
      </c>
      <c r="B199" s="312" t="s">
        <v>553</v>
      </c>
      <c r="C199" s="312" t="s">
        <v>105</v>
      </c>
      <c r="D199" s="312" t="s">
        <v>551</v>
      </c>
      <c r="E199" s="312" t="s">
        <v>167</v>
      </c>
      <c r="F199" s="312">
        <v>1705</v>
      </c>
      <c r="G199" s="312" t="s">
        <v>168</v>
      </c>
      <c r="H199" s="312">
        <v>1707</v>
      </c>
      <c r="I199" s="312" t="s">
        <v>167</v>
      </c>
      <c r="J199" s="312">
        <v>1899</v>
      </c>
      <c r="K199" s="312" t="s">
        <v>169</v>
      </c>
    </row>
    <row r="200" spans="1:11">
      <c r="A200" s="312" t="s">
        <v>554</v>
      </c>
      <c r="B200" s="312" t="s">
        <v>555</v>
      </c>
      <c r="C200" s="312" t="s">
        <v>105</v>
      </c>
      <c r="D200" s="312" t="s">
        <v>556</v>
      </c>
      <c r="E200" s="312" t="s">
        <v>107</v>
      </c>
      <c r="F200" s="312">
        <v>1825</v>
      </c>
      <c r="G200" s="312" t="s">
        <v>108</v>
      </c>
      <c r="H200" s="312">
        <v>1827</v>
      </c>
      <c r="I200" s="312" t="s">
        <v>107</v>
      </c>
      <c r="J200" s="312">
        <v>1913</v>
      </c>
      <c r="K200" s="312" t="s">
        <v>109</v>
      </c>
    </row>
    <row r="201" spans="1:11">
      <c r="A201" s="312" t="s">
        <v>557</v>
      </c>
      <c r="B201" s="312" t="s">
        <v>558</v>
      </c>
      <c r="C201" s="312" t="s">
        <v>105</v>
      </c>
      <c r="D201" s="312" t="s">
        <v>114</v>
      </c>
      <c r="E201" s="312" t="s">
        <v>107</v>
      </c>
      <c r="F201" s="312">
        <v>1825</v>
      </c>
      <c r="G201" s="312" t="s">
        <v>108</v>
      </c>
      <c r="H201" s="312">
        <v>1827</v>
      </c>
      <c r="I201" s="312" t="s">
        <v>107</v>
      </c>
      <c r="J201" s="312">
        <v>1913</v>
      </c>
      <c r="K201" s="312" t="s">
        <v>109</v>
      </c>
    </row>
    <row r="202" spans="1:11">
      <c r="A202" s="312" t="s">
        <v>559</v>
      </c>
      <c r="B202" s="312" t="s">
        <v>560</v>
      </c>
      <c r="C202" s="312" t="s">
        <v>105</v>
      </c>
      <c r="D202" s="312" t="s">
        <v>114</v>
      </c>
      <c r="E202" s="312" t="s">
        <v>107</v>
      </c>
      <c r="F202" s="312">
        <v>1825</v>
      </c>
      <c r="G202" s="312" t="s">
        <v>108</v>
      </c>
      <c r="H202" s="312">
        <v>1827</v>
      </c>
      <c r="I202" s="312" t="s">
        <v>107</v>
      </c>
      <c r="J202" s="312">
        <v>1913</v>
      </c>
      <c r="K202" s="312" t="s">
        <v>109</v>
      </c>
    </row>
    <row r="203" spans="1:11">
      <c r="A203" s="312" t="s">
        <v>561</v>
      </c>
      <c r="B203" s="312" t="s">
        <v>562</v>
      </c>
      <c r="C203" s="312" t="s">
        <v>105</v>
      </c>
      <c r="D203" s="312" t="s">
        <v>114</v>
      </c>
      <c r="E203" s="312" t="s">
        <v>107</v>
      </c>
      <c r="F203" s="312">
        <v>1825</v>
      </c>
      <c r="G203" s="312" t="s">
        <v>108</v>
      </c>
      <c r="H203" s="312">
        <v>1827</v>
      </c>
      <c r="I203" s="312" t="s">
        <v>107</v>
      </c>
      <c r="J203" s="312">
        <v>1913</v>
      </c>
      <c r="K203" s="312" t="s">
        <v>109</v>
      </c>
    </row>
    <row r="204" spans="1:11">
      <c r="A204" s="312" t="s">
        <v>563</v>
      </c>
      <c r="B204" s="1" t="s">
        <v>564</v>
      </c>
      <c r="C204" s="312" t="s">
        <v>105</v>
      </c>
      <c r="D204" s="312" t="s">
        <v>114</v>
      </c>
      <c r="E204" s="312" t="s">
        <v>107</v>
      </c>
      <c r="F204" s="312">
        <v>1825</v>
      </c>
      <c r="G204" s="312" t="s">
        <v>108</v>
      </c>
      <c r="H204" s="312">
        <v>1827</v>
      </c>
      <c r="I204" s="312" t="s">
        <v>107</v>
      </c>
      <c r="J204" s="312">
        <v>1913</v>
      </c>
      <c r="K204" s="312" t="s">
        <v>109</v>
      </c>
    </row>
    <row r="205" spans="1:11">
      <c r="A205" s="312" t="s">
        <v>565</v>
      </c>
      <c r="B205" s="312" t="s">
        <v>566</v>
      </c>
      <c r="C205" s="312" t="s">
        <v>105</v>
      </c>
      <c r="D205" s="312" t="s">
        <v>567</v>
      </c>
      <c r="E205" s="312" t="s">
        <v>107</v>
      </c>
      <c r="F205" s="312">
        <v>1825</v>
      </c>
      <c r="G205" s="312" t="s">
        <v>108</v>
      </c>
      <c r="H205" s="312">
        <v>1827</v>
      </c>
      <c r="I205" s="312" t="s">
        <v>107</v>
      </c>
      <c r="J205" s="312">
        <v>1913</v>
      </c>
      <c r="K205" s="312" t="s">
        <v>109</v>
      </c>
    </row>
    <row r="206" spans="1:11">
      <c r="A206" s="312" t="s">
        <v>568</v>
      </c>
      <c r="B206" s="312" t="s">
        <v>569</v>
      </c>
      <c r="C206" s="312" t="s">
        <v>105</v>
      </c>
      <c r="D206" s="312" t="s">
        <v>570</v>
      </c>
      <c r="E206" s="312" t="s">
        <v>107</v>
      </c>
      <c r="F206" s="312">
        <v>1825</v>
      </c>
      <c r="G206" s="312" t="s">
        <v>108</v>
      </c>
      <c r="H206" s="312">
        <v>1827</v>
      </c>
      <c r="I206" s="312" t="s">
        <v>107</v>
      </c>
      <c r="J206" s="312">
        <v>1913</v>
      </c>
      <c r="K206" s="312" t="s">
        <v>109</v>
      </c>
    </row>
    <row r="207" spans="1:11">
      <c r="A207" s="312" t="s">
        <v>571</v>
      </c>
      <c r="B207" s="312" t="s">
        <v>572</v>
      </c>
      <c r="C207" s="312" t="s">
        <v>105</v>
      </c>
      <c r="D207" s="312" t="s">
        <v>573</v>
      </c>
      <c r="E207" s="312" t="s">
        <v>107</v>
      </c>
      <c r="F207" s="312">
        <v>1825</v>
      </c>
      <c r="G207" s="312" t="s">
        <v>108</v>
      </c>
      <c r="H207" s="312">
        <v>1827</v>
      </c>
      <c r="I207" s="312" t="s">
        <v>107</v>
      </c>
      <c r="J207" s="312">
        <v>1913</v>
      </c>
      <c r="K207" s="312" t="s">
        <v>109</v>
      </c>
    </row>
    <row r="208" spans="1:11">
      <c r="A208" s="312" t="s">
        <v>574</v>
      </c>
      <c r="B208" s="312" t="s">
        <v>575</v>
      </c>
      <c r="C208" s="312" t="s">
        <v>105</v>
      </c>
      <c r="D208" s="312" t="s">
        <v>576</v>
      </c>
      <c r="E208" s="312" t="s">
        <v>107</v>
      </c>
      <c r="F208" s="312">
        <v>1825</v>
      </c>
      <c r="G208" s="312" t="s">
        <v>108</v>
      </c>
      <c r="H208" s="312">
        <v>1827</v>
      </c>
      <c r="I208" s="312" t="s">
        <v>107</v>
      </c>
      <c r="J208" s="312">
        <v>1913</v>
      </c>
      <c r="K208" s="312" t="s">
        <v>109</v>
      </c>
    </row>
    <row r="209" spans="1:11">
      <c r="A209" s="312" t="s">
        <v>577</v>
      </c>
      <c r="B209" s="312" t="s">
        <v>578</v>
      </c>
      <c r="C209" s="312" t="s">
        <v>105</v>
      </c>
      <c r="D209" s="312" t="s">
        <v>576</v>
      </c>
      <c r="E209" s="312" t="s">
        <v>107</v>
      </c>
      <c r="F209" s="312">
        <v>1825</v>
      </c>
      <c r="G209" s="312" t="s">
        <v>108</v>
      </c>
      <c r="H209" s="312">
        <v>1827</v>
      </c>
      <c r="I209" s="312" t="s">
        <v>107</v>
      </c>
      <c r="J209" s="312">
        <v>1913</v>
      </c>
      <c r="K209" s="312" t="s">
        <v>109</v>
      </c>
    </row>
    <row r="210" spans="1:11">
      <c r="A210" s="312" t="s">
        <v>579</v>
      </c>
      <c r="B210" s="312" t="s">
        <v>580</v>
      </c>
      <c r="C210" s="312" t="s">
        <v>105</v>
      </c>
      <c r="D210" s="312" t="s">
        <v>576</v>
      </c>
      <c r="E210" s="312" t="s">
        <v>107</v>
      </c>
      <c r="F210" s="312">
        <v>1825</v>
      </c>
      <c r="G210" s="312" t="s">
        <v>108</v>
      </c>
      <c r="H210" s="312">
        <v>1827</v>
      </c>
      <c r="I210" s="312" t="s">
        <v>107</v>
      </c>
      <c r="J210" s="312">
        <v>1913</v>
      </c>
      <c r="K210" s="312" t="s">
        <v>109</v>
      </c>
    </row>
    <row r="211" spans="1:11">
      <c r="A211" s="312" t="s">
        <v>581</v>
      </c>
      <c r="B211" s="312" t="s">
        <v>582</v>
      </c>
      <c r="C211" s="312" t="s">
        <v>105</v>
      </c>
      <c r="D211" s="312" t="s">
        <v>573</v>
      </c>
      <c r="E211" s="312" t="s">
        <v>107</v>
      </c>
      <c r="F211" s="312">
        <v>1825</v>
      </c>
      <c r="G211" s="312" t="s">
        <v>108</v>
      </c>
      <c r="H211" s="312">
        <v>1827</v>
      </c>
      <c r="I211" s="312" t="s">
        <v>107</v>
      </c>
      <c r="J211" s="312">
        <v>1913</v>
      </c>
      <c r="K211" s="312" t="s">
        <v>109</v>
      </c>
    </row>
    <row r="212" spans="1:11">
      <c r="A212" s="312" t="s">
        <v>583</v>
      </c>
      <c r="B212" s="312" t="s">
        <v>584</v>
      </c>
      <c r="C212" s="312" t="s">
        <v>105</v>
      </c>
      <c r="D212" s="312" t="s">
        <v>573</v>
      </c>
      <c r="E212" s="312" t="s">
        <v>107</v>
      </c>
      <c r="F212" s="312">
        <v>1825</v>
      </c>
      <c r="G212" s="312" t="s">
        <v>108</v>
      </c>
      <c r="H212" s="312">
        <v>1827</v>
      </c>
      <c r="I212" s="312" t="s">
        <v>107</v>
      </c>
      <c r="J212" s="312">
        <v>1913</v>
      </c>
      <c r="K212" s="312" t="s">
        <v>109</v>
      </c>
    </row>
    <row r="213" spans="1:11">
      <c r="A213" s="312" t="s">
        <v>585</v>
      </c>
      <c r="B213" s="312" t="s">
        <v>586</v>
      </c>
      <c r="C213" s="312" t="s">
        <v>105</v>
      </c>
      <c r="D213" s="312" t="s">
        <v>587</v>
      </c>
      <c r="E213" s="312" t="s">
        <v>107</v>
      </c>
      <c r="F213" s="312">
        <v>1825</v>
      </c>
      <c r="G213" s="312" t="s">
        <v>108</v>
      </c>
      <c r="H213" s="312">
        <v>1827</v>
      </c>
      <c r="I213" s="312" t="s">
        <v>107</v>
      </c>
      <c r="J213" s="312">
        <v>1913</v>
      </c>
      <c r="K213" s="312" t="s">
        <v>109</v>
      </c>
    </row>
    <row r="214" spans="1:11">
      <c r="A214" s="312" t="s">
        <v>588</v>
      </c>
      <c r="B214" s="312" t="s">
        <v>589</v>
      </c>
      <c r="C214" s="312" t="s">
        <v>105</v>
      </c>
      <c r="D214" s="312" t="s">
        <v>587</v>
      </c>
      <c r="E214" s="312" t="s">
        <v>107</v>
      </c>
      <c r="F214" s="312">
        <v>1825</v>
      </c>
      <c r="G214" s="312" t="s">
        <v>108</v>
      </c>
      <c r="H214" s="312">
        <v>1827</v>
      </c>
      <c r="I214" s="312" t="s">
        <v>107</v>
      </c>
      <c r="J214" s="312">
        <v>1913</v>
      </c>
      <c r="K214" s="312" t="s">
        <v>109</v>
      </c>
    </row>
    <row r="215" spans="1:11">
      <c r="A215" s="312" t="s">
        <v>590</v>
      </c>
      <c r="B215" s="312" t="s">
        <v>591</v>
      </c>
      <c r="C215" s="312" t="s">
        <v>105</v>
      </c>
      <c r="D215" s="312" t="s">
        <v>587</v>
      </c>
      <c r="E215" s="312" t="s">
        <v>107</v>
      </c>
      <c r="F215" s="312">
        <v>1825</v>
      </c>
      <c r="G215" s="312" t="s">
        <v>108</v>
      </c>
      <c r="H215" s="312">
        <v>1827</v>
      </c>
      <c r="I215" s="312" t="s">
        <v>107</v>
      </c>
      <c r="J215" s="312">
        <v>1913</v>
      </c>
      <c r="K215" s="312" t="s">
        <v>109</v>
      </c>
    </row>
    <row r="216" spans="1:11">
      <c r="A216" s="312" t="s">
        <v>592</v>
      </c>
      <c r="B216" s="312" t="s">
        <v>593</v>
      </c>
      <c r="C216" s="312" t="s">
        <v>105</v>
      </c>
      <c r="D216" s="312" t="s">
        <v>438</v>
      </c>
      <c r="E216" s="312" t="s">
        <v>107</v>
      </c>
      <c r="F216" s="312">
        <v>1825</v>
      </c>
      <c r="G216" s="312" t="s">
        <v>108</v>
      </c>
      <c r="H216" s="312">
        <v>1827</v>
      </c>
      <c r="I216" s="312" t="s">
        <v>107</v>
      </c>
      <c r="J216" s="312">
        <v>1913</v>
      </c>
      <c r="K216" s="312" t="s">
        <v>109</v>
      </c>
    </row>
    <row r="217" spans="1:11">
      <c r="A217" s="312" t="s">
        <v>594</v>
      </c>
      <c r="B217" s="312" t="s">
        <v>595</v>
      </c>
      <c r="C217" s="312" t="s">
        <v>105</v>
      </c>
      <c r="D217" s="312" t="s">
        <v>117</v>
      </c>
      <c r="E217" s="312" t="s">
        <v>107</v>
      </c>
      <c r="F217" s="312">
        <v>1825</v>
      </c>
      <c r="G217" s="312" t="s">
        <v>108</v>
      </c>
      <c r="H217" s="312">
        <v>1827</v>
      </c>
      <c r="I217" s="312" t="s">
        <v>107</v>
      </c>
      <c r="J217" s="312">
        <v>1913</v>
      </c>
      <c r="K217" s="312" t="s">
        <v>109</v>
      </c>
    </row>
    <row r="218" spans="1:11">
      <c r="A218" s="312" t="s">
        <v>596</v>
      </c>
      <c r="B218" s="312" t="s">
        <v>597</v>
      </c>
      <c r="C218" s="312" t="s">
        <v>105</v>
      </c>
      <c r="D218" s="312" t="s">
        <v>221</v>
      </c>
      <c r="E218" s="312" t="s">
        <v>107</v>
      </c>
      <c r="F218" s="312">
        <v>1825</v>
      </c>
      <c r="G218" s="312" t="s">
        <v>108</v>
      </c>
      <c r="H218" s="312">
        <v>1827</v>
      </c>
      <c r="I218" s="312" t="s">
        <v>107</v>
      </c>
      <c r="J218" s="312">
        <v>1913</v>
      </c>
      <c r="K218" s="312" t="s">
        <v>109</v>
      </c>
    </row>
    <row r="219" spans="1:11">
      <c r="A219" s="312" t="s">
        <v>598</v>
      </c>
      <c r="B219" s="312" t="s">
        <v>599</v>
      </c>
      <c r="C219" s="312" t="s">
        <v>105</v>
      </c>
      <c r="D219" s="312" t="s">
        <v>600</v>
      </c>
      <c r="E219" s="312" t="s">
        <v>107</v>
      </c>
      <c r="F219" s="312">
        <v>1825</v>
      </c>
      <c r="G219" s="312" t="s">
        <v>108</v>
      </c>
      <c r="H219" s="312">
        <v>1827</v>
      </c>
      <c r="I219" s="312" t="s">
        <v>107</v>
      </c>
      <c r="J219" s="312">
        <v>1913</v>
      </c>
      <c r="K219" s="312" t="s">
        <v>109</v>
      </c>
    </row>
    <row r="220" spans="1:11">
      <c r="A220" s="312" t="s">
        <v>601</v>
      </c>
      <c r="B220" s="312" t="s">
        <v>602</v>
      </c>
      <c r="C220" s="312" t="s">
        <v>105</v>
      </c>
      <c r="D220" s="312" t="s">
        <v>603</v>
      </c>
      <c r="E220" s="312" t="s">
        <v>107</v>
      </c>
      <c r="F220" s="312">
        <v>1825</v>
      </c>
      <c r="G220" s="312" t="s">
        <v>108</v>
      </c>
      <c r="H220" s="312">
        <v>1827</v>
      </c>
      <c r="I220" s="312" t="s">
        <v>107</v>
      </c>
      <c r="J220" s="312">
        <v>1913</v>
      </c>
      <c r="K220" s="312" t="s">
        <v>109</v>
      </c>
    </row>
    <row r="221" spans="1:11">
      <c r="A221" s="312" t="s">
        <v>604</v>
      </c>
      <c r="B221" s="312" t="s">
        <v>605</v>
      </c>
      <c r="C221" s="312" t="s">
        <v>105</v>
      </c>
      <c r="D221" s="312" t="s">
        <v>603</v>
      </c>
      <c r="E221" s="312" t="s">
        <v>107</v>
      </c>
      <c r="F221" s="312">
        <v>1825</v>
      </c>
      <c r="G221" s="312" t="s">
        <v>108</v>
      </c>
      <c r="H221" s="312">
        <v>1827</v>
      </c>
      <c r="I221" s="312" t="s">
        <v>107</v>
      </c>
      <c r="J221" s="312">
        <v>1913</v>
      </c>
      <c r="K221" s="312" t="s">
        <v>109</v>
      </c>
    </row>
    <row r="222" spans="1:11">
      <c r="A222" s="312" t="s">
        <v>606</v>
      </c>
      <c r="B222" s="312" t="s">
        <v>607</v>
      </c>
      <c r="C222" s="312" t="s">
        <v>105</v>
      </c>
      <c r="D222" s="312" t="s">
        <v>600</v>
      </c>
      <c r="E222" s="312" t="s">
        <v>107</v>
      </c>
      <c r="F222" s="312">
        <v>1825</v>
      </c>
      <c r="G222" s="312" t="s">
        <v>108</v>
      </c>
      <c r="H222" s="312">
        <v>1827</v>
      </c>
      <c r="I222" s="312" t="s">
        <v>107</v>
      </c>
      <c r="J222" s="312">
        <v>1913</v>
      </c>
      <c r="K222" s="312" t="s">
        <v>109</v>
      </c>
    </row>
    <row r="223" spans="1:11">
      <c r="A223" s="312" t="s">
        <v>608</v>
      </c>
      <c r="B223" s="312" t="s">
        <v>609</v>
      </c>
      <c r="C223" s="312" t="s">
        <v>105</v>
      </c>
      <c r="D223" s="312" t="s">
        <v>610</v>
      </c>
      <c r="E223" s="312" t="s">
        <v>107</v>
      </c>
      <c r="F223" s="312">
        <v>1825</v>
      </c>
      <c r="G223" s="312" t="s">
        <v>108</v>
      </c>
      <c r="H223" s="312">
        <v>1827</v>
      </c>
      <c r="I223" s="312" t="s">
        <v>107</v>
      </c>
      <c r="J223" s="312">
        <v>1913</v>
      </c>
      <c r="K223" s="312" t="s">
        <v>109</v>
      </c>
    </row>
    <row r="224" spans="1:11">
      <c r="A224" s="312" t="s">
        <v>611</v>
      </c>
      <c r="B224" s="312" t="s">
        <v>612</v>
      </c>
      <c r="C224" s="312" t="s">
        <v>105</v>
      </c>
      <c r="D224" s="312" t="s">
        <v>455</v>
      </c>
      <c r="E224" s="312" t="s">
        <v>107</v>
      </c>
      <c r="F224" s="312">
        <v>1825</v>
      </c>
      <c r="G224" s="312" t="s">
        <v>108</v>
      </c>
      <c r="H224" s="312">
        <v>1827</v>
      </c>
      <c r="I224" s="312" t="s">
        <v>107</v>
      </c>
      <c r="J224" s="312">
        <v>1913</v>
      </c>
      <c r="K224" s="312" t="s">
        <v>109</v>
      </c>
    </row>
    <row r="225" spans="1:11">
      <c r="A225" s="312" t="s">
        <v>613</v>
      </c>
      <c r="B225" s="312" t="s">
        <v>614</v>
      </c>
      <c r="C225" s="312" t="s">
        <v>105</v>
      </c>
      <c r="D225" s="312" t="s">
        <v>455</v>
      </c>
      <c r="E225" s="312" t="s">
        <v>107</v>
      </c>
      <c r="F225" s="312">
        <v>1825</v>
      </c>
      <c r="G225" s="312" t="s">
        <v>108</v>
      </c>
      <c r="H225" s="312">
        <v>1827</v>
      </c>
      <c r="I225" s="312" t="s">
        <v>107</v>
      </c>
      <c r="J225" s="312">
        <v>1913</v>
      </c>
      <c r="K225" s="312" t="s">
        <v>109</v>
      </c>
    </row>
    <row r="226" spans="1:11">
      <c r="A226" s="312" t="s">
        <v>615</v>
      </c>
      <c r="B226" s="312" t="s">
        <v>616</v>
      </c>
      <c r="C226" s="312" t="s">
        <v>105</v>
      </c>
      <c r="D226" s="312" t="s">
        <v>455</v>
      </c>
      <c r="E226" s="312" t="s">
        <v>107</v>
      </c>
      <c r="F226" s="312">
        <v>1825</v>
      </c>
      <c r="G226" s="312" t="s">
        <v>108</v>
      </c>
      <c r="H226" s="312">
        <v>1827</v>
      </c>
      <c r="I226" s="312" t="s">
        <v>107</v>
      </c>
      <c r="J226" s="312">
        <v>1913</v>
      </c>
      <c r="K226" s="312" t="s">
        <v>109</v>
      </c>
    </row>
    <row r="227" spans="1:11">
      <c r="A227" s="312" t="s">
        <v>617</v>
      </c>
      <c r="B227" s="312" t="s">
        <v>618</v>
      </c>
      <c r="C227" s="312" t="s">
        <v>105</v>
      </c>
      <c r="D227" s="312" t="s">
        <v>455</v>
      </c>
      <c r="E227" s="312" t="s">
        <v>107</v>
      </c>
      <c r="F227" s="312">
        <v>1825</v>
      </c>
      <c r="G227" s="312" t="s">
        <v>108</v>
      </c>
      <c r="H227" s="312">
        <v>1827</v>
      </c>
      <c r="I227" s="312" t="s">
        <v>107</v>
      </c>
      <c r="J227" s="312">
        <v>1913</v>
      </c>
      <c r="K227" s="312" t="s">
        <v>109</v>
      </c>
    </row>
    <row r="228" spans="1:11">
      <c r="A228" s="312" t="s">
        <v>619</v>
      </c>
      <c r="B228" s="312" t="s">
        <v>620</v>
      </c>
      <c r="C228" s="312" t="s">
        <v>105</v>
      </c>
      <c r="D228" s="312" t="s">
        <v>455</v>
      </c>
      <c r="E228" s="312" t="s">
        <v>107</v>
      </c>
      <c r="F228" s="312">
        <v>1825</v>
      </c>
      <c r="G228" s="312" t="s">
        <v>108</v>
      </c>
      <c r="H228" s="312">
        <v>1827</v>
      </c>
      <c r="I228" s="312" t="s">
        <v>107</v>
      </c>
      <c r="J228" s="312">
        <v>1913</v>
      </c>
      <c r="K228" s="312" t="s">
        <v>109</v>
      </c>
    </row>
    <row r="229" spans="1:11">
      <c r="A229" s="312" t="s">
        <v>621</v>
      </c>
      <c r="B229" s="312" t="s">
        <v>622</v>
      </c>
      <c r="C229" s="312" t="s">
        <v>105</v>
      </c>
      <c r="D229" s="312" t="s">
        <v>455</v>
      </c>
      <c r="E229" s="312" t="s">
        <v>107</v>
      </c>
      <c r="F229" s="312">
        <v>1825</v>
      </c>
      <c r="G229" s="312" t="s">
        <v>108</v>
      </c>
      <c r="H229" s="312">
        <v>1827</v>
      </c>
      <c r="I229" s="312" t="s">
        <v>107</v>
      </c>
      <c r="J229" s="312">
        <v>1913</v>
      </c>
      <c r="K229" s="312" t="s">
        <v>109</v>
      </c>
    </row>
    <row r="230" spans="1:11">
      <c r="A230" s="312" t="s">
        <v>623</v>
      </c>
      <c r="B230" s="312" t="s">
        <v>624</v>
      </c>
      <c r="C230" s="312" t="s">
        <v>105</v>
      </c>
      <c r="D230" s="312" t="s">
        <v>455</v>
      </c>
      <c r="E230" s="312" t="s">
        <v>107</v>
      </c>
      <c r="F230" s="312">
        <v>1825</v>
      </c>
      <c r="G230" s="312" t="s">
        <v>108</v>
      </c>
      <c r="H230" s="312">
        <v>1827</v>
      </c>
      <c r="I230" s="312" t="s">
        <v>107</v>
      </c>
      <c r="J230" s="312">
        <v>1913</v>
      </c>
      <c r="K230" s="312" t="s">
        <v>109</v>
      </c>
    </row>
    <row r="231" spans="1:11">
      <c r="A231" s="312" t="s">
        <v>625</v>
      </c>
      <c r="B231" s="312" t="s">
        <v>626</v>
      </c>
      <c r="C231" s="312" t="s">
        <v>105</v>
      </c>
      <c r="D231" s="312" t="s">
        <v>455</v>
      </c>
      <c r="E231" s="312" t="s">
        <v>107</v>
      </c>
      <c r="F231" s="312">
        <v>1825</v>
      </c>
      <c r="G231" s="312" t="s">
        <v>108</v>
      </c>
      <c r="H231" s="312">
        <v>1827</v>
      </c>
      <c r="I231" s="312" t="s">
        <v>107</v>
      </c>
      <c r="J231" s="312">
        <v>1913</v>
      </c>
      <c r="K231" s="312" t="s">
        <v>109</v>
      </c>
    </row>
    <row r="232" spans="1:11">
      <c r="A232" s="312" t="s">
        <v>627</v>
      </c>
      <c r="B232" s="312" t="s">
        <v>628</v>
      </c>
      <c r="C232" s="312" t="s">
        <v>105</v>
      </c>
      <c r="D232" s="312" t="s">
        <v>455</v>
      </c>
      <c r="E232" s="312" t="s">
        <v>107</v>
      </c>
      <c r="F232" s="312">
        <v>1825</v>
      </c>
      <c r="G232" s="312" t="s">
        <v>108</v>
      </c>
      <c r="H232" s="312">
        <v>1827</v>
      </c>
      <c r="I232" s="312" t="s">
        <v>107</v>
      </c>
      <c r="J232" s="312">
        <v>1913</v>
      </c>
      <c r="K232" s="312" t="s">
        <v>109</v>
      </c>
    </row>
    <row r="233" spans="1:11">
      <c r="A233" s="312" t="s">
        <v>629</v>
      </c>
      <c r="B233" s="312" t="s">
        <v>630</v>
      </c>
      <c r="C233" s="312" t="s">
        <v>105</v>
      </c>
      <c r="D233" s="312" t="s">
        <v>455</v>
      </c>
      <c r="E233" s="312" t="s">
        <v>107</v>
      </c>
      <c r="F233" s="312">
        <v>1825</v>
      </c>
      <c r="G233" s="312" t="s">
        <v>108</v>
      </c>
      <c r="H233" s="312">
        <v>1827</v>
      </c>
      <c r="I233" s="312" t="s">
        <v>107</v>
      </c>
      <c r="J233" s="312">
        <v>1913</v>
      </c>
      <c r="K233" s="312" t="s">
        <v>109</v>
      </c>
    </row>
    <row r="234" spans="1:11">
      <c r="A234" s="312" t="s">
        <v>631</v>
      </c>
      <c r="B234" s="312" t="s">
        <v>632</v>
      </c>
      <c r="C234" s="312" t="s">
        <v>105</v>
      </c>
      <c r="D234" s="312" t="s">
        <v>455</v>
      </c>
      <c r="E234" s="312" t="s">
        <v>107</v>
      </c>
      <c r="F234" s="312">
        <v>1825</v>
      </c>
      <c r="G234" s="312" t="s">
        <v>108</v>
      </c>
      <c r="H234" s="312">
        <v>1827</v>
      </c>
      <c r="I234" s="312" t="s">
        <v>107</v>
      </c>
      <c r="J234" s="312">
        <v>1913</v>
      </c>
      <c r="K234" s="312" t="s">
        <v>109</v>
      </c>
    </row>
    <row r="235" spans="1:11">
      <c r="A235" s="312" t="s">
        <v>633</v>
      </c>
      <c r="B235" s="312" t="s">
        <v>634</v>
      </c>
      <c r="C235" s="312" t="s">
        <v>105</v>
      </c>
      <c r="D235" s="312" t="s">
        <v>455</v>
      </c>
      <c r="E235" s="312" t="s">
        <v>107</v>
      </c>
      <c r="F235" s="312">
        <v>1825</v>
      </c>
      <c r="G235" s="312" t="s">
        <v>108</v>
      </c>
      <c r="H235" s="312">
        <v>1827</v>
      </c>
      <c r="I235" s="312" t="s">
        <v>107</v>
      </c>
      <c r="J235" s="312">
        <v>1913</v>
      </c>
      <c r="K235" s="312" t="s">
        <v>109</v>
      </c>
    </row>
    <row r="236" spans="1:11">
      <c r="A236" s="312" t="s">
        <v>635</v>
      </c>
      <c r="B236" s="312" t="s">
        <v>636</v>
      </c>
      <c r="C236" s="312" t="s">
        <v>105</v>
      </c>
      <c r="D236" s="312" t="s">
        <v>455</v>
      </c>
      <c r="E236" s="312" t="s">
        <v>107</v>
      </c>
      <c r="F236" s="312">
        <v>1825</v>
      </c>
      <c r="G236" s="312" t="s">
        <v>108</v>
      </c>
      <c r="H236" s="312">
        <v>1827</v>
      </c>
      <c r="I236" s="312" t="s">
        <v>107</v>
      </c>
      <c r="J236" s="312">
        <v>1913</v>
      </c>
      <c r="K236" s="312" t="s">
        <v>109</v>
      </c>
    </row>
    <row r="237" spans="1:11">
      <c r="A237" s="312" t="s">
        <v>637</v>
      </c>
      <c r="B237" s="312" t="s">
        <v>638</v>
      </c>
      <c r="C237" s="312" t="s">
        <v>105</v>
      </c>
      <c r="D237" s="312" t="s">
        <v>455</v>
      </c>
      <c r="E237" s="312" t="s">
        <v>107</v>
      </c>
      <c r="F237" s="312">
        <v>1825</v>
      </c>
      <c r="G237" s="312" t="s">
        <v>108</v>
      </c>
      <c r="H237" s="312">
        <v>1827</v>
      </c>
      <c r="I237" s="312" t="s">
        <v>107</v>
      </c>
      <c r="J237" s="312">
        <v>1913</v>
      </c>
      <c r="K237" s="312" t="s">
        <v>109</v>
      </c>
    </row>
    <row r="238" spans="1:11">
      <c r="A238" s="312" t="s">
        <v>639</v>
      </c>
      <c r="B238" s="312" t="s">
        <v>640</v>
      </c>
      <c r="C238" s="312" t="s">
        <v>105</v>
      </c>
      <c r="D238" s="312" t="s">
        <v>556</v>
      </c>
      <c r="E238" s="312" t="s">
        <v>107</v>
      </c>
      <c r="F238" s="312">
        <v>1825</v>
      </c>
      <c r="G238" s="312" t="s">
        <v>108</v>
      </c>
      <c r="H238" s="312">
        <v>1827</v>
      </c>
      <c r="I238" s="312" t="s">
        <v>107</v>
      </c>
      <c r="J238" s="312">
        <v>1913</v>
      </c>
      <c r="K238" s="312" t="s">
        <v>109</v>
      </c>
    </row>
    <row r="239" spans="1:11">
      <c r="A239" s="312" t="s">
        <v>641</v>
      </c>
      <c r="B239" s="312" t="s">
        <v>642</v>
      </c>
      <c r="C239" s="312" t="s">
        <v>105</v>
      </c>
      <c r="D239" s="312" t="s">
        <v>587</v>
      </c>
      <c r="E239" s="312" t="s">
        <v>107</v>
      </c>
      <c r="F239" s="312">
        <v>1825</v>
      </c>
      <c r="G239" s="312" t="s">
        <v>108</v>
      </c>
      <c r="H239" s="312">
        <v>1827</v>
      </c>
      <c r="I239" s="312" t="s">
        <v>107</v>
      </c>
      <c r="J239" s="312">
        <v>1913</v>
      </c>
      <c r="K239" s="312" t="s">
        <v>109</v>
      </c>
    </row>
    <row r="240" spans="1:11">
      <c r="A240" s="312" t="s">
        <v>643</v>
      </c>
      <c r="B240" s="312" t="s">
        <v>644</v>
      </c>
      <c r="C240" s="312" t="s">
        <v>105</v>
      </c>
      <c r="D240" s="312" t="s">
        <v>645</v>
      </c>
      <c r="E240" s="312" t="s">
        <v>107</v>
      </c>
      <c r="F240" s="312">
        <v>1825</v>
      </c>
      <c r="G240" s="312" t="s">
        <v>108</v>
      </c>
      <c r="H240" s="312">
        <v>1827</v>
      </c>
      <c r="I240" s="312" t="s">
        <v>107</v>
      </c>
      <c r="J240" s="312">
        <v>1913</v>
      </c>
      <c r="K240" s="312" t="s">
        <v>109</v>
      </c>
    </row>
    <row r="241" spans="1:11">
      <c r="A241" s="312" t="s">
        <v>646</v>
      </c>
      <c r="B241" s="312" t="s">
        <v>647</v>
      </c>
      <c r="C241" s="312" t="s">
        <v>105</v>
      </c>
      <c r="D241" s="312" t="s">
        <v>438</v>
      </c>
      <c r="E241" s="312" t="s">
        <v>107</v>
      </c>
      <c r="F241" s="312">
        <v>1825</v>
      </c>
      <c r="G241" s="312" t="s">
        <v>108</v>
      </c>
      <c r="H241" s="312">
        <v>1827</v>
      </c>
      <c r="I241" s="312" t="s">
        <v>107</v>
      </c>
      <c r="J241" s="312">
        <v>1913</v>
      </c>
      <c r="K241" s="312" t="s">
        <v>109</v>
      </c>
    </row>
    <row r="242" spans="1:11">
      <c r="A242" s="312" t="s">
        <v>648</v>
      </c>
      <c r="B242" s="312" t="s">
        <v>649</v>
      </c>
      <c r="C242" s="312" t="s">
        <v>105</v>
      </c>
      <c r="D242" s="312" t="s">
        <v>252</v>
      </c>
      <c r="E242" s="312" t="s">
        <v>167</v>
      </c>
      <c r="F242" s="312">
        <v>1705</v>
      </c>
      <c r="G242" s="312" t="s">
        <v>168</v>
      </c>
      <c r="H242" s="312">
        <v>1707</v>
      </c>
      <c r="I242" s="312" t="s">
        <v>167</v>
      </c>
      <c r="J242" s="312">
        <v>1899</v>
      </c>
      <c r="K242" s="312" t="s">
        <v>169</v>
      </c>
    </row>
    <row r="243" spans="1:11">
      <c r="A243" s="312" t="s">
        <v>650</v>
      </c>
      <c r="B243" s="312" t="s">
        <v>651</v>
      </c>
      <c r="C243" s="312" t="s">
        <v>105</v>
      </c>
      <c r="D243" s="312" t="s">
        <v>114</v>
      </c>
      <c r="E243" s="312" t="s">
        <v>107</v>
      </c>
      <c r="F243" s="312">
        <v>1825</v>
      </c>
      <c r="G243" s="312" t="s">
        <v>108</v>
      </c>
      <c r="H243" s="312">
        <v>1827</v>
      </c>
      <c r="I243" s="312" t="s">
        <v>107</v>
      </c>
      <c r="J243" s="312">
        <v>1913</v>
      </c>
      <c r="K243" s="312" t="s">
        <v>109</v>
      </c>
    </row>
    <row r="244" spans="1:11">
      <c r="A244" s="312" t="s">
        <v>652</v>
      </c>
      <c r="B244" s="312" t="s">
        <v>653</v>
      </c>
      <c r="C244" s="312" t="s">
        <v>105</v>
      </c>
      <c r="D244" s="312" t="s">
        <v>114</v>
      </c>
      <c r="E244" s="312" t="s">
        <v>107</v>
      </c>
      <c r="F244" s="312">
        <v>1825</v>
      </c>
      <c r="G244" s="312" t="s">
        <v>108</v>
      </c>
      <c r="H244" s="312">
        <v>1827</v>
      </c>
      <c r="I244" s="312" t="s">
        <v>107</v>
      </c>
      <c r="J244" s="312">
        <v>1913</v>
      </c>
      <c r="K244" s="312" t="s">
        <v>109</v>
      </c>
    </row>
    <row r="245" spans="1:11">
      <c r="A245" s="312" t="s">
        <v>654</v>
      </c>
      <c r="B245" s="312" t="s">
        <v>655</v>
      </c>
      <c r="C245" s="312" t="s">
        <v>105</v>
      </c>
      <c r="D245" s="312" t="s">
        <v>114</v>
      </c>
      <c r="E245" s="312" t="s">
        <v>107</v>
      </c>
      <c r="F245" s="312">
        <v>1825</v>
      </c>
      <c r="G245" s="312" t="s">
        <v>108</v>
      </c>
      <c r="H245" s="312">
        <v>1827</v>
      </c>
      <c r="I245" s="312" t="s">
        <v>107</v>
      </c>
      <c r="J245" s="312">
        <v>1913</v>
      </c>
      <c r="K245" s="312" t="s">
        <v>109</v>
      </c>
    </row>
    <row r="246" spans="1:11">
      <c r="A246" s="312" t="s">
        <v>656</v>
      </c>
      <c r="B246" s="312" t="s">
        <v>657</v>
      </c>
      <c r="C246" s="312" t="s">
        <v>105</v>
      </c>
      <c r="D246" s="312" t="s">
        <v>658</v>
      </c>
      <c r="E246" s="312" t="s">
        <v>107</v>
      </c>
      <c r="F246" s="312">
        <v>1825</v>
      </c>
      <c r="G246" s="312" t="s">
        <v>108</v>
      </c>
      <c r="H246" s="312">
        <v>1827</v>
      </c>
      <c r="I246" s="312" t="s">
        <v>107</v>
      </c>
      <c r="J246" s="312">
        <v>1913</v>
      </c>
      <c r="K246" s="312" t="s">
        <v>109</v>
      </c>
    </row>
    <row r="247" spans="1:11">
      <c r="A247" s="312" t="s">
        <v>659</v>
      </c>
      <c r="B247" s="312" t="s">
        <v>660</v>
      </c>
      <c r="C247" s="312" t="s">
        <v>105</v>
      </c>
      <c r="D247" s="312" t="s">
        <v>106</v>
      </c>
      <c r="E247" s="312" t="s">
        <v>107</v>
      </c>
      <c r="F247" s="312">
        <v>1825</v>
      </c>
      <c r="G247" s="312" t="s">
        <v>108</v>
      </c>
      <c r="H247" s="312">
        <v>1827</v>
      </c>
      <c r="I247" s="312" t="s">
        <v>107</v>
      </c>
      <c r="J247" s="312">
        <v>1913</v>
      </c>
      <c r="K247" s="312" t="s">
        <v>109</v>
      </c>
    </row>
    <row r="248" spans="1:11">
      <c r="A248" s="312" t="s">
        <v>661</v>
      </c>
      <c r="B248" s="312" t="s">
        <v>662</v>
      </c>
      <c r="C248" s="312" t="s">
        <v>105</v>
      </c>
      <c r="D248" s="312" t="s">
        <v>106</v>
      </c>
      <c r="E248" s="312" t="s">
        <v>107</v>
      </c>
      <c r="F248" s="312">
        <v>1825</v>
      </c>
      <c r="G248" s="312" t="s">
        <v>108</v>
      </c>
      <c r="H248" s="312">
        <v>1827</v>
      </c>
      <c r="I248" s="312" t="s">
        <v>107</v>
      </c>
      <c r="J248" s="312">
        <v>1913</v>
      </c>
      <c r="K248" s="312" t="s">
        <v>109</v>
      </c>
    </row>
    <row r="249" spans="1:11">
      <c r="A249" s="312" t="s">
        <v>663</v>
      </c>
      <c r="B249" s="312" t="s">
        <v>664</v>
      </c>
      <c r="C249" s="312" t="s">
        <v>105</v>
      </c>
      <c r="D249" s="312" t="s">
        <v>114</v>
      </c>
      <c r="E249" s="312" t="s">
        <v>107</v>
      </c>
      <c r="F249" s="312">
        <v>1825</v>
      </c>
      <c r="G249" s="312" t="s">
        <v>108</v>
      </c>
      <c r="H249" s="312">
        <v>1827</v>
      </c>
      <c r="I249" s="312" t="s">
        <v>107</v>
      </c>
      <c r="J249" s="312">
        <v>1913</v>
      </c>
      <c r="K249" s="312" t="s">
        <v>109</v>
      </c>
    </row>
    <row r="250" spans="1:11">
      <c r="A250" s="312" t="s">
        <v>665</v>
      </c>
      <c r="B250" s="312" t="s">
        <v>666</v>
      </c>
      <c r="C250" s="312" t="s">
        <v>105</v>
      </c>
      <c r="D250" s="312" t="s">
        <v>106</v>
      </c>
      <c r="E250" s="312" t="s">
        <v>107</v>
      </c>
      <c r="F250" s="312">
        <v>1825</v>
      </c>
      <c r="G250" s="312" t="s">
        <v>108</v>
      </c>
      <c r="H250" s="312">
        <v>1827</v>
      </c>
      <c r="I250" s="312" t="s">
        <v>107</v>
      </c>
      <c r="J250" s="312">
        <v>1913</v>
      </c>
      <c r="K250" s="312" t="s">
        <v>109</v>
      </c>
    </row>
    <row r="251" spans="1:11">
      <c r="A251" s="312" t="s">
        <v>667</v>
      </c>
      <c r="B251" s="312" t="s">
        <v>668</v>
      </c>
      <c r="C251" s="312" t="s">
        <v>105</v>
      </c>
      <c r="D251" s="312" t="s">
        <v>114</v>
      </c>
      <c r="E251" s="312" t="s">
        <v>107</v>
      </c>
      <c r="F251" s="312">
        <v>1825</v>
      </c>
      <c r="G251" s="312" t="s">
        <v>108</v>
      </c>
      <c r="H251" s="312">
        <v>1827</v>
      </c>
      <c r="I251" s="312" t="s">
        <v>107</v>
      </c>
      <c r="J251" s="312">
        <v>1913</v>
      </c>
      <c r="K251" s="312" t="s">
        <v>109</v>
      </c>
    </row>
    <row r="252" spans="1:11">
      <c r="A252" s="312" t="s">
        <v>669</v>
      </c>
      <c r="B252" s="312" t="s">
        <v>670</v>
      </c>
      <c r="C252" s="312" t="s">
        <v>105</v>
      </c>
      <c r="D252" s="312" t="s">
        <v>114</v>
      </c>
      <c r="E252" s="312" t="s">
        <v>107</v>
      </c>
      <c r="F252" s="312">
        <v>1825</v>
      </c>
      <c r="G252" s="312" t="s">
        <v>108</v>
      </c>
      <c r="H252" s="312">
        <v>1827</v>
      </c>
      <c r="I252" s="312" t="s">
        <v>107</v>
      </c>
      <c r="J252" s="312">
        <v>1913</v>
      </c>
      <c r="K252" s="312" t="s">
        <v>109</v>
      </c>
    </row>
    <row r="253" spans="1:11">
      <c r="A253" s="312" t="s">
        <v>671</v>
      </c>
      <c r="B253" s="312" t="s">
        <v>672</v>
      </c>
      <c r="C253" s="312" t="s">
        <v>105</v>
      </c>
      <c r="D253" s="312" t="s">
        <v>673</v>
      </c>
      <c r="E253" s="312" t="s">
        <v>107</v>
      </c>
      <c r="F253" s="312">
        <v>1825</v>
      </c>
      <c r="G253" s="312" t="s">
        <v>108</v>
      </c>
      <c r="H253" s="312">
        <v>1827</v>
      </c>
      <c r="I253" s="312" t="s">
        <v>107</v>
      </c>
      <c r="J253" s="312">
        <v>1913</v>
      </c>
      <c r="K253" s="312" t="s">
        <v>109</v>
      </c>
    </row>
    <row r="254" spans="1:11">
      <c r="A254" s="312" t="s">
        <v>674</v>
      </c>
      <c r="B254" s="312" t="s">
        <v>675</v>
      </c>
      <c r="C254" s="312" t="s">
        <v>105</v>
      </c>
      <c r="D254" s="312" t="s">
        <v>312</v>
      </c>
      <c r="E254" s="312" t="s">
        <v>107</v>
      </c>
      <c r="F254" s="312">
        <v>1825</v>
      </c>
      <c r="G254" s="312" t="s">
        <v>108</v>
      </c>
      <c r="H254" s="312">
        <v>1827</v>
      </c>
      <c r="I254" s="312" t="s">
        <v>107</v>
      </c>
      <c r="J254" s="312">
        <v>1913</v>
      </c>
      <c r="K254" s="312" t="s">
        <v>109</v>
      </c>
    </row>
    <row r="255" spans="1:11">
      <c r="A255" s="312" t="s">
        <v>676</v>
      </c>
      <c r="B255" s="312" t="s">
        <v>677</v>
      </c>
      <c r="C255" s="312" t="s">
        <v>105</v>
      </c>
      <c r="D255" s="312" t="s">
        <v>678</v>
      </c>
      <c r="E255" s="312" t="s">
        <v>466</v>
      </c>
      <c r="F255" s="312">
        <v>1796</v>
      </c>
      <c r="G255" s="312" t="s">
        <v>467</v>
      </c>
      <c r="H255" s="312">
        <v>1799</v>
      </c>
      <c r="I255" s="312" t="s">
        <v>466</v>
      </c>
      <c r="J255" s="312">
        <v>1918</v>
      </c>
      <c r="K255" s="312" t="s">
        <v>468</v>
      </c>
    </row>
    <row r="256" spans="1:11">
      <c r="A256" s="312" t="s">
        <v>679</v>
      </c>
      <c r="B256" s="312" t="s">
        <v>680</v>
      </c>
      <c r="C256" s="312" t="s">
        <v>105</v>
      </c>
      <c r="D256" s="312" t="s">
        <v>681</v>
      </c>
      <c r="E256" s="312" t="s">
        <v>167</v>
      </c>
      <c r="F256" s="312">
        <v>1705</v>
      </c>
      <c r="G256" s="312" t="s">
        <v>168</v>
      </c>
      <c r="H256" s="312">
        <v>1707</v>
      </c>
      <c r="I256" s="312" t="s">
        <v>167</v>
      </c>
      <c r="J256" s="312">
        <v>1899</v>
      </c>
      <c r="K256" s="312" t="s">
        <v>169</v>
      </c>
    </row>
    <row r="257" spans="1:11">
      <c r="A257" s="312" t="s">
        <v>682</v>
      </c>
      <c r="B257" s="312" t="s">
        <v>683</v>
      </c>
      <c r="C257" s="312" t="s">
        <v>105</v>
      </c>
      <c r="D257" s="312" t="s">
        <v>600</v>
      </c>
      <c r="E257" s="312" t="s">
        <v>684</v>
      </c>
      <c r="F257" s="312">
        <v>1750</v>
      </c>
      <c r="G257" s="312" t="s">
        <v>685</v>
      </c>
      <c r="H257" s="312">
        <v>1754</v>
      </c>
      <c r="I257" s="312" t="s">
        <v>684</v>
      </c>
      <c r="J257" s="312">
        <v>1920</v>
      </c>
      <c r="K257" s="312" t="s">
        <v>686</v>
      </c>
    </row>
    <row r="258" spans="1:11">
      <c r="A258" s="312" t="s">
        <v>687</v>
      </c>
      <c r="B258" s="312" t="s">
        <v>688</v>
      </c>
      <c r="C258" s="312" t="s">
        <v>105</v>
      </c>
      <c r="D258" s="312" t="s">
        <v>600</v>
      </c>
      <c r="E258" s="312" t="s">
        <v>684</v>
      </c>
      <c r="F258" s="312">
        <v>1750</v>
      </c>
      <c r="G258" s="312" t="s">
        <v>685</v>
      </c>
      <c r="H258" s="312">
        <v>1754</v>
      </c>
      <c r="I258" s="312" t="s">
        <v>684</v>
      </c>
      <c r="J258" s="312">
        <v>1920</v>
      </c>
      <c r="K258" s="312" t="s">
        <v>686</v>
      </c>
    </row>
    <row r="259" spans="1:11">
      <c r="A259" s="312" t="s">
        <v>689</v>
      </c>
      <c r="B259" s="312" t="s">
        <v>690</v>
      </c>
      <c r="C259" s="312" t="s">
        <v>105</v>
      </c>
      <c r="D259" s="312" t="s">
        <v>691</v>
      </c>
      <c r="E259" s="312" t="s">
        <v>684</v>
      </c>
      <c r="F259" s="312">
        <v>1750</v>
      </c>
      <c r="G259" s="312" t="s">
        <v>685</v>
      </c>
      <c r="H259" s="312">
        <v>1754</v>
      </c>
      <c r="I259" s="312" t="s">
        <v>684</v>
      </c>
      <c r="J259" s="312">
        <v>1920</v>
      </c>
      <c r="K259" s="312" t="s">
        <v>686</v>
      </c>
    </row>
    <row r="260" spans="1:11">
      <c r="A260" s="312" t="s">
        <v>692</v>
      </c>
      <c r="B260" s="312" t="s">
        <v>693</v>
      </c>
      <c r="C260" s="312" t="s">
        <v>105</v>
      </c>
      <c r="D260" s="312" t="s">
        <v>691</v>
      </c>
      <c r="E260" s="312" t="s">
        <v>107</v>
      </c>
      <c r="F260" s="312">
        <v>1825</v>
      </c>
      <c r="G260" s="312" t="s">
        <v>108</v>
      </c>
      <c r="H260" s="312">
        <v>1827</v>
      </c>
      <c r="I260" s="312" t="s">
        <v>107</v>
      </c>
      <c r="J260" s="312">
        <v>1913</v>
      </c>
      <c r="K260" s="312" t="s">
        <v>109</v>
      </c>
    </row>
    <row r="261" spans="1:11">
      <c r="A261" s="312" t="s">
        <v>694</v>
      </c>
      <c r="B261" s="312" t="s">
        <v>695</v>
      </c>
      <c r="C261" s="312" t="s">
        <v>105</v>
      </c>
      <c r="D261" s="312" t="s">
        <v>691</v>
      </c>
      <c r="E261" s="312" t="s">
        <v>696</v>
      </c>
      <c r="F261" s="312">
        <v>1736</v>
      </c>
      <c r="G261" s="312" t="s">
        <v>697</v>
      </c>
      <c r="H261" s="312">
        <v>1741</v>
      </c>
      <c r="I261" s="312" t="s">
        <v>696</v>
      </c>
      <c r="J261" s="312">
        <v>1929</v>
      </c>
      <c r="K261" s="312" t="s">
        <v>698</v>
      </c>
    </row>
    <row r="262" spans="1:11">
      <c r="A262" s="312" t="s">
        <v>699</v>
      </c>
      <c r="B262" s="312" t="s">
        <v>700</v>
      </c>
      <c r="C262" s="312" t="s">
        <v>105</v>
      </c>
      <c r="D262" s="312" t="s">
        <v>691</v>
      </c>
      <c r="E262" s="312" t="s">
        <v>107</v>
      </c>
      <c r="F262" s="312">
        <v>1825</v>
      </c>
      <c r="G262" s="312" t="s">
        <v>108</v>
      </c>
      <c r="H262" s="312">
        <v>1827</v>
      </c>
      <c r="I262" s="312" t="s">
        <v>107</v>
      </c>
      <c r="J262" s="312">
        <v>1913</v>
      </c>
      <c r="K262" s="312" t="s">
        <v>109</v>
      </c>
    </row>
    <row r="263" spans="1:11">
      <c r="A263" s="312" t="s">
        <v>701</v>
      </c>
      <c r="B263" s="312" t="s">
        <v>702</v>
      </c>
      <c r="C263" s="312" t="s">
        <v>105</v>
      </c>
      <c r="D263" s="312" t="s">
        <v>691</v>
      </c>
      <c r="E263" s="312" t="s">
        <v>107</v>
      </c>
      <c r="F263" s="312">
        <v>1825</v>
      </c>
      <c r="G263" s="312" t="s">
        <v>108</v>
      </c>
      <c r="H263" s="312">
        <v>1827</v>
      </c>
      <c r="I263" s="312" t="s">
        <v>107</v>
      </c>
      <c r="J263" s="312">
        <v>1913</v>
      </c>
      <c r="K263" s="312" t="s">
        <v>109</v>
      </c>
    </row>
    <row r="264" spans="1:11">
      <c r="A264" s="312" t="s">
        <v>703</v>
      </c>
      <c r="B264" s="312" t="s">
        <v>704</v>
      </c>
      <c r="C264" s="312" t="s">
        <v>105</v>
      </c>
      <c r="D264" s="312" t="s">
        <v>106</v>
      </c>
      <c r="E264" s="312" t="s">
        <v>107</v>
      </c>
      <c r="F264" s="312">
        <v>1825</v>
      </c>
      <c r="G264" s="312" t="s">
        <v>108</v>
      </c>
      <c r="H264" s="312">
        <v>1827</v>
      </c>
      <c r="I264" s="312" t="s">
        <v>107</v>
      </c>
      <c r="J264" s="312">
        <v>1913</v>
      </c>
      <c r="K264" s="312" t="s">
        <v>109</v>
      </c>
    </row>
    <row r="265" spans="1:11">
      <c r="A265" s="312" t="s">
        <v>705</v>
      </c>
      <c r="B265" s="312" t="s">
        <v>706</v>
      </c>
      <c r="C265" s="312" t="s">
        <v>105</v>
      </c>
      <c r="D265" s="312" t="s">
        <v>184</v>
      </c>
      <c r="E265" s="312" t="s">
        <v>107</v>
      </c>
      <c r="F265" s="312">
        <v>1825</v>
      </c>
      <c r="G265" s="312" t="s">
        <v>108</v>
      </c>
      <c r="H265" s="312">
        <v>1827</v>
      </c>
      <c r="I265" s="312" t="s">
        <v>107</v>
      </c>
      <c r="J265" s="312">
        <v>1913</v>
      </c>
      <c r="K265" s="312" t="s">
        <v>109</v>
      </c>
    </row>
    <row r="266" spans="1:11">
      <c r="A266" s="312" t="s">
        <v>707</v>
      </c>
      <c r="B266" s="312" t="s">
        <v>708</v>
      </c>
      <c r="C266" s="312" t="s">
        <v>105</v>
      </c>
      <c r="D266" s="312" t="s">
        <v>114</v>
      </c>
      <c r="E266" s="312" t="s">
        <v>107</v>
      </c>
      <c r="F266" s="312">
        <v>1825</v>
      </c>
      <c r="G266" s="312" t="s">
        <v>108</v>
      </c>
      <c r="H266" s="312">
        <v>1827</v>
      </c>
      <c r="I266" s="312" t="s">
        <v>107</v>
      </c>
      <c r="J266" s="312">
        <v>1913</v>
      </c>
      <c r="K266" s="312" t="s">
        <v>109</v>
      </c>
    </row>
    <row r="267" spans="1:11">
      <c r="A267" s="312" t="s">
        <v>709</v>
      </c>
      <c r="B267" s="312" t="s">
        <v>710</v>
      </c>
      <c r="C267" s="312" t="s">
        <v>105</v>
      </c>
      <c r="D267" s="312" t="s">
        <v>711</v>
      </c>
      <c r="E267" s="312" t="s">
        <v>107</v>
      </c>
      <c r="F267" s="312">
        <v>1825</v>
      </c>
      <c r="G267" s="312" t="s">
        <v>108</v>
      </c>
      <c r="H267" s="312">
        <v>1827</v>
      </c>
      <c r="I267" s="312" t="s">
        <v>107</v>
      </c>
      <c r="J267" s="312">
        <v>1913</v>
      </c>
      <c r="K267" s="312" t="s">
        <v>109</v>
      </c>
    </row>
    <row r="268" spans="1:11">
      <c r="A268" s="312" t="s">
        <v>712</v>
      </c>
      <c r="B268" s="312" t="s">
        <v>713</v>
      </c>
      <c r="C268" s="312" t="s">
        <v>105</v>
      </c>
      <c r="D268" s="312" t="s">
        <v>711</v>
      </c>
      <c r="E268" s="312" t="s">
        <v>107</v>
      </c>
      <c r="F268" s="312">
        <v>1825</v>
      </c>
      <c r="G268" s="312" t="s">
        <v>108</v>
      </c>
      <c r="H268" s="312">
        <v>1827</v>
      </c>
      <c r="I268" s="312" t="s">
        <v>107</v>
      </c>
      <c r="J268" s="312">
        <v>1913</v>
      </c>
      <c r="K268" s="312" t="s">
        <v>109</v>
      </c>
    </row>
    <row r="269" spans="1:11">
      <c r="A269" s="312" t="s">
        <v>714</v>
      </c>
      <c r="B269" s="312" t="s">
        <v>715</v>
      </c>
      <c r="C269" s="312" t="s">
        <v>105</v>
      </c>
      <c r="D269" s="312" t="s">
        <v>711</v>
      </c>
      <c r="E269" s="312" t="s">
        <v>107</v>
      </c>
      <c r="F269" s="312">
        <v>1825</v>
      </c>
      <c r="G269" s="312" t="s">
        <v>108</v>
      </c>
      <c r="H269" s="312">
        <v>1827</v>
      </c>
      <c r="I269" s="312" t="s">
        <v>107</v>
      </c>
      <c r="J269" s="312">
        <v>1913</v>
      </c>
      <c r="K269" s="312" t="s">
        <v>109</v>
      </c>
    </row>
    <row r="270" spans="1:11">
      <c r="A270" s="312" t="s">
        <v>716</v>
      </c>
      <c r="B270" s="312" t="s">
        <v>717</v>
      </c>
      <c r="C270" s="312" t="s">
        <v>105</v>
      </c>
      <c r="D270" s="312" t="s">
        <v>711</v>
      </c>
      <c r="E270" s="312" t="s">
        <v>107</v>
      </c>
      <c r="F270" s="312">
        <v>1825</v>
      </c>
      <c r="G270" s="312" t="s">
        <v>108</v>
      </c>
      <c r="H270" s="312">
        <v>1827</v>
      </c>
      <c r="I270" s="312" t="s">
        <v>107</v>
      </c>
      <c r="J270" s="312">
        <v>1913</v>
      </c>
      <c r="K270" s="312" t="s">
        <v>109</v>
      </c>
    </row>
    <row r="271" spans="1:11">
      <c r="A271" s="312" t="s">
        <v>718</v>
      </c>
      <c r="B271" s="312" t="s">
        <v>719</v>
      </c>
      <c r="C271" s="312" t="s">
        <v>105</v>
      </c>
      <c r="D271" s="312" t="s">
        <v>711</v>
      </c>
      <c r="E271" s="312" t="s">
        <v>107</v>
      </c>
      <c r="F271" s="312">
        <v>1825</v>
      </c>
      <c r="G271" s="312" t="s">
        <v>108</v>
      </c>
      <c r="H271" s="312">
        <v>1827</v>
      </c>
      <c r="I271" s="312" t="s">
        <v>107</v>
      </c>
      <c r="J271" s="312">
        <v>1913</v>
      </c>
      <c r="K271" s="312" t="s">
        <v>109</v>
      </c>
    </row>
    <row r="272" spans="1:11">
      <c r="A272" s="312" t="s">
        <v>720</v>
      </c>
      <c r="B272" s="312" t="s">
        <v>721</v>
      </c>
      <c r="C272" s="312" t="s">
        <v>105</v>
      </c>
      <c r="D272" s="312" t="s">
        <v>711</v>
      </c>
      <c r="E272" s="312" t="s">
        <v>107</v>
      </c>
      <c r="F272" s="312">
        <v>1825</v>
      </c>
      <c r="G272" s="312" t="s">
        <v>108</v>
      </c>
      <c r="H272" s="312">
        <v>1827</v>
      </c>
      <c r="I272" s="312" t="s">
        <v>107</v>
      </c>
      <c r="J272" s="312">
        <v>1913</v>
      </c>
      <c r="K272" s="312" t="s">
        <v>109</v>
      </c>
    </row>
    <row r="273" spans="1:11">
      <c r="A273" s="312" t="s">
        <v>722</v>
      </c>
      <c r="B273" s="312" t="s">
        <v>723</v>
      </c>
      <c r="C273" s="312" t="s">
        <v>105</v>
      </c>
      <c r="D273" s="312" t="s">
        <v>711</v>
      </c>
      <c r="E273" s="312" t="s">
        <v>107</v>
      </c>
      <c r="F273" s="312">
        <v>1825</v>
      </c>
      <c r="G273" s="312" t="s">
        <v>108</v>
      </c>
      <c r="H273" s="312">
        <v>1827</v>
      </c>
      <c r="I273" s="312" t="s">
        <v>107</v>
      </c>
      <c r="J273" s="312">
        <v>1913</v>
      </c>
      <c r="K273" s="312" t="s">
        <v>109</v>
      </c>
    </row>
    <row r="274" spans="1:11">
      <c r="A274" s="312" t="s">
        <v>724</v>
      </c>
      <c r="B274" s="312" t="s">
        <v>725</v>
      </c>
      <c r="C274" s="312" t="s">
        <v>105</v>
      </c>
      <c r="D274" s="312" t="s">
        <v>343</v>
      </c>
      <c r="E274" s="312" t="s">
        <v>167</v>
      </c>
      <c r="F274" s="312">
        <v>1705</v>
      </c>
      <c r="G274" s="312" t="s">
        <v>168</v>
      </c>
      <c r="H274" s="312">
        <v>1707</v>
      </c>
      <c r="I274" s="312" t="s">
        <v>167</v>
      </c>
      <c r="J274" s="312">
        <v>1899</v>
      </c>
      <c r="K274" s="312" t="s">
        <v>169</v>
      </c>
    </row>
    <row r="275" spans="1:11">
      <c r="A275" s="312" t="s">
        <v>726</v>
      </c>
      <c r="B275" s="312" t="s">
        <v>727</v>
      </c>
      <c r="C275" s="312" t="s">
        <v>105</v>
      </c>
      <c r="D275" s="312" t="s">
        <v>603</v>
      </c>
      <c r="E275" s="312" t="s">
        <v>107</v>
      </c>
      <c r="F275" s="312">
        <v>1825</v>
      </c>
      <c r="G275" s="312" t="s">
        <v>108</v>
      </c>
      <c r="H275" s="312">
        <v>1827</v>
      </c>
      <c r="I275" s="312" t="s">
        <v>107</v>
      </c>
      <c r="J275" s="312">
        <v>1913</v>
      </c>
      <c r="K275" s="312" t="s">
        <v>109</v>
      </c>
    </row>
    <row r="276" spans="1:11">
      <c r="A276" s="312" t="s">
        <v>728</v>
      </c>
      <c r="B276" s="312" t="s">
        <v>729</v>
      </c>
      <c r="C276" s="312" t="s">
        <v>105</v>
      </c>
      <c r="D276" s="312" t="s">
        <v>730</v>
      </c>
      <c r="E276" s="312" t="s">
        <v>696</v>
      </c>
      <c r="F276" s="312">
        <v>1736</v>
      </c>
      <c r="G276" s="312" t="s">
        <v>697</v>
      </c>
      <c r="H276" s="312">
        <v>1741</v>
      </c>
      <c r="I276" s="312" t="s">
        <v>696</v>
      </c>
      <c r="J276" s="312">
        <v>1929</v>
      </c>
      <c r="K276" s="312" t="s">
        <v>698</v>
      </c>
    </row>
    <row r="277" spans="1:11">
      <c r="A277" s="312" t="s">
        <v>731</v>
      </c>
      <c r="B277" s="312" t="s">
        <v>732</v>
      </c>
      <c r="C277" s="312" t="s">
        <v>105</v>
      </c>
      <c r="D277" s="312" t="s">
        <v>600</v>
      </c>
      <c r="E277" s="312" t="s">
        <v>107</v>
      </c>
      <c r="F277" s="312">
        <v>1825</v>
      </c>
      <c r="G277" s="312" t="s">
        <v>108</v>
      </c>
      <c r="H277" s="312">
        <v>1827</v>
      </c>
      <c r="I277" s="312" t="s">
        <v>107</v>
      </c>
      <c r="J277" s="312">
        <v>1913</v>
      </c>
      <c r="K277" s="312" t="s">
        <v>109</v>
      </c>
    </row>
    <row r="278" spans="1:11">
      <c r="A278" s="312" t="s">
        <v>733</v>
      </c>
      <c r="B278" s="312" t="s">
        <v>734</v>
      </c>
      <c r="C278" s="312" t="s">
        <v>105</v>
      </c>
      <c r="D278" s="312" t="s">
        <v>600</v>
      </c>
      <c r="E278" s="312" t="s">
        <v>107</v>
      </c>
      <c r="F278" s="312">
        <v>1825</v>
      </c>
      <c r="G278" s="312" t="s">
        <v>108</v>
      </c>
      <c r="H278" s="312">
        <v>1827</v>
      </c>
      <c r="I278" s="312" t="s">
        <v>107</v>
      </c>
      <c r="J278" s="312">
        <v>1913</v>
      </c>
      <c r="K278" s="312" t="s">
        <v>109</v>
      </c>
    </row>
    <row r="279" spans="1:11">
      <c r="A279" s="312" t="s">
        <v>735</v>
      </c>
      <c r="B279" s="312" t="s">
        <v>736</v>
      </c>
      <c r="C279" s="312" t="s">
        <v>105</v>
      </c>
      <c r="D279" s="312" t="s">
        <v>343</v>
      </c>
      <c r="E279" s="312" t="s">
        <v>167</v>
      </c>
      <c r="F279" s="312">
        <v>1705</v>
      </c>
      <c r="G279" s="312" t="s">
        <v>168</v>
      </c>
      <c r="H279" s="312">
        <v>1707</v>
      </c>
      <c r="I279" s="312" t="s">
        <v>167</v>
      </c>
      <c r="J279" s="312">
        <v>1899</v>
      </c>
      <c r="K279" s="312" t="s">
        <v>169</v>
      </c>
    </row>
    <row r="280" spans="1:11">
      <c r="A280" s="312" t="s">
        <v>737</v>
      </c>
      <c r="B280" s="312" t="s">
        <v>738</v>
      </c>
      <c r="C280" s="312" t="s">
        <v>105</v>
      </c>
      <c r="D280" s="312" t="s">
        <v>739</v>
      </c>
      <c r="E280" s="312" t="s">
        <v>107</v>
      </c>
      <c r="F280" s="312">
        <v>1825</v>
      </c>
      <c r="G280" s="312" t="s">
        <v>108</v>
      </c>
      <c r="H280" s="312">
        <v>1827</v>
      </c>
      <c r="I280" s="312" t="s">
        <v>107</v>
      </c>
      <c r="J280" s="312">
        <v>1913</v>
      </c>
      <c r="K280" s="312" t="s">
        <v>109</v>
      </c>
    </row>
    <row r="281" spans="1:11">
      <c r="A281" s="312" t="s">
        <v>740</v>
      </c>
      <c r="B281" s="312" t="s">
        <v>741</v>
      </c>
      <c r="C281" s="312" t="s">
        <v>105</v>
      </c>
      <c r="D281" s="312" t="s">
        <v>610</v>
      </c>
      <c r="E281" s="312" t="s">
        <v>107</v>
      </c>
      <c r="F281" s="312">
        <v>1825</v>
      </c>
      <c r="G281" s="312" t="s">
        <v>108</v>
      </c>
      <c r="H281" s="312">
        <v>1827</v>
      </c>
      <c r="I281" s="312" t="s">
        <v>107</v>
      </c>
      <c r="J281" s="312">
        <v>1913</v>
      </c>
      <c r="K281" s="312" t="s">
        <v>109</v>
      </c>
    </row>
    <row r="282" spans="1:11">
      <c r="A282" s="312" t="s">
        <v>742</v>
      </c>
      <c r="B282" s="312" t="s">
        <v>743</v>
      </c>
      <c r="C282" s="312" t="s">
        <v>105</v>
      </c>
      <c r="D282" s="312" t="s">
        <v>610</v>
      </c>
      <c r="E282" s="312" t="s">
        <v>107</v>
      </c>
      <c r="F282" s="312">
        <v>1825</v>
      </c>
      <c r="G282" s="312" t="s">
        <v>108</v>
      </c>
      <c r="H282" s="312">
        <v>1827</v>
      </c>
      <c r="I282" s="312" t="s">
        <v>107</v>
      </c>
      <c r="J282" s="312">
        <v>1913</v>
      </c>
      <c r="K282" s="312" t="s">
        <v>109</v>
      </c>
    </row>
    <row r="283" spans="1:11">
      <c r="A283" s="312" t="s">
        <v>744</v>
      </c>
      <c r="B283" s="312" t="s">
        <v>745</v>
      </c>
      <c r="C283" s="312" t="s">
        <v>105</v>
      </c>
      <c r="D283" s="312" t="s">
        <v>746</v>
      </c>
      <c r="E283" s="312" t="s">
        <v>107</v>
      </c>
      <c r="F283" s="312">
        <v>1825</v>
      </c>
      <c r="G283" s="312" t="s">
        <v>108</v>
      </c>
      <c r="H283" s="312">
        <v>1827</v>
      </c>
      <c r="I283" s="312" t="s">
        <v>107</v>
      </c>
      <c r="J283" s="312">
        <v>1913</v>
      </c>
      <c r="K283" s="312" t="s">
        <v>109</v>
      </c>
    </row>
    <row r="284" spans="1:11">
      <c r="A284" s="312" t="s">
        <v>747</v>
      </c>
      <c r="B284" s="312" t="s">
        <v>748</v>
      </c>
      <c r="C284" s="312" t="s">
        <v>105</v>
      </c>
      <c r="D284" s="312" t="s">
        <v>166</v>
      </c>
      <c r="E284" s="312" t="s">
        <v>167</v>
      </c>
      <c r="F284" s="312">
        <v>1705</v>
      </c>
      <c r="G284" s="312" t="s">
        <v>168</v>
      </c>
      <c r="H284" s="312">
        <v>1707</v>
      </c>
      <c r="I284" s="312" t="s">
        <v>167</v>
      </c>
      <c r="J284" s="312">
        <v>1899</v>
      </c>
      <c r="K284" s="312" t="s">
        <v>169</v>
      </c>
    </row>
    <row r="285" spans="1:11">
      <c r="A285" s="312" t="s">
        <v>749</v>
      </c>
      <c r="B285" s="312" t="s">
        <v>750</v>
      </c>
      <c r="C285" s="312" t="s">
        <v>105</v>
      </c>
      <c r="D285" s="312" t="s">
        <v>166</v>
      </c>
      <c r="E285" s="312" t="s">
        <v>167</v>
      </c>
      <c r="F285" s="312">
        <v>1705</v>
      </c>
      <c r="G285" s="312" t="s">
        <v>168</v>
      </c>
      <c r="H285" s="312">
        <v>1707</v>
      </c>
      <c r="I285" s="312" t="s">
        <v>167</v>
      </c>
      <c r="J285" s="312">
        <v>1899</v>
      </c>
      <c r="K285" s="312" t="s">
        <v>169</v>
      </c>
    </row>
    <row r="286" spans="1:11">
      <c r="A286" s="312" t="s">
        <v>751</v>
      </c>
      <c r="B286" s="312" t="s">
        <v>752</v>
      </c>
      <c r="C286" s="312" t="s">
        <v>105</v>
      </c>
      <c r="D286" s="312" t="s">
        <v>166</v>
      </c>
      <c r="E286" s="312" t="s">
        <v>167</v>
      </c>
      <c r="F286" s="312">
        <v>1705</v>
      </c>
      <c r="G286" s="312" t="s">
        <v>168</v>
      </c>
      <c r="H286" s="312">
        <v>1707</v>
      </c>
      <c r="I286" s="312" t="s">
        <v>167</v>
      </c>
      <c r="J286" s="312">
        <v>1899</v>
      </c>
      <c r="K286" s="312" t="s">
        <v>169</v>
      </c>
    </row>
    <row r="287" spans="1:11">
      <c r="A287" s="312" t="s">
        <v>753</v>
      </c>
      <c r="B287" s="312" t="s">
        <v>754</v>
      </c>
      <c r="C287" s="312" t="s">
        <v>105</v>
      </c>
      <c r="D287" s="312" t="s">
        <v>166</v>
      </c>
      <c r="E287" s="312" t="s">
        <v>167</v>
      </c>
      <c r="F287" s="312">
        <v>1705</v>
      </c>
      <c r="G287" s="312" t="s">
        <v>168</v>
      </c>
      <c r="H287" s="312">
        <v>1707</v>
      </c>
      <c r="I287" s="312" t="s">
        <v>167</v>
      </c>
      <c r="J287" s="312">
        <v>1899</v>
      </c>
      <c r="K287" s="312" t="s">
        <v>169</v>
      </c>
    </row>
    <row r="288" spans="1:11">
      <c r="A288" s="312" t="s">
        <v>755</v>
      </c>
      <c r="B288" s="312" t="s">
        <v>756</v>
      </c>
      <c r="C288" s="312" t="s">
        <v>105</v>
      </c>
      <c r="D288" s="312" t="s">
        <v>166</v>
      </c>
      <c r="E288" s="312" t="s">
        <v>167</v>
      </c>
      <c r="F288" s="312">
        <v>1705</v>
      </c>
      <c r="G288" s="312" t="s">
        <v>168</v>
      </c>
      <c r="H288" s="312">
        <v>1707</v>
      </c>
      <c r="I288" s="312" t="s">
        <v>167</v>
      </c>
      <c r="J288" s="312">
        <v>1899</v>
      </c>
      <c r="K288" s="312" t="s">
        <v>169</v>
      </c>
    </row>
    <row r="289" spans="1:11">
      <c r="A289" s="312" t="s">
        <v>757</v>
      </c>
      <c r="B289" s="312" t="s">
        <v>758</v>
      </c>
      <c r="C289" s="312" t="s">
        <v>105</v>
      </c>
      <c r="D289" s="312" t="s">
        <v>166</v>
      </c>
      <c r="E289" s="312" t="s">
        <v>167</v>
      </c>
      <c r="F289" s="312">
        <v>1705</v>
      </c>
      <c r="G289" s="312" t="s">
        <v>168</v>
      </c>
      <c r="H289" s="312">
        <v>1707</v>
      </c>
      <c r="I289" s="312" t="s">
        <v>167</v>
      </c>
      <c r="J289" s="312">
        <v>1899</v>
      </c>
      <c r="K289" s="312" t="s">
        <v>169</v>
      </c>
    </row>
    <row r="290" spans="1:11">
      <c r="A290" s="312" t="s">
        <v>759</v>
      </c>
      <c r="B290" s="312" t="s">
        <v>760</v>
      </c>
      <c r="C290" s="312" t="s">
        <v>105</v>
      </c>
      <c r="D290" s="312" t="s">
        <v>166</v>
      </c>
      <c r="E290" s="312" t="s">
        <v>167</v>
      </c>
      <c r="F290" s="312">
        <v>1705</v>
      </c>
      <c r="G290" s="312" t="s">
        <v>168</v>
      </c>
      <c r="H290" s="312">
        <v>1707</v>
      </c>
      <c r="I290" s="312" t="s">
        <v>167</v>
      </c>
      <c r="J290" s="312">
        <v>1899</v>
      </c>
      <c r="K290" s="312" t="s">
        <v>169</v>
      </c>
    </row>
    <row r="291" spans="1:11">
      <c r="A291" s="312" t="s">
        <v>761</v>
      </c>
      <c r="B291" s="1" t="s">
        <v>762</v>
      </c>
      <c r="C291" s="312" t="s">
        <v>105</v>
      </c>
      <c r="D291" s="312" t="s">
        <v>166</v>
      </c>
      <c r="E291" s="312" t="s">
        <v>167</v>
      </c>
      <c r="F291" s="312">
        <v>1705</v>
      </c>
      <c r="G291" s="312" t="s">
        <v>168</v>
      </c>
      <c r="H291" s="312">
        <v>1707</v>
      </c>
      <c r="I291" s="312" t="s">
        <v>167</v>
      </c>
      <c r="J291" s="312">
        <v>1899</v>
      </c>
      <c r="K291" s="312" t="s">
        <v>169</v>
      </c>
    </row>
    <row r="292" spans="1:11">
      <c r="A292" s="312" t="s">
        <v>763</v>
      </c>
      <c r="B292" s="312" t="s">
        <v>764</v>
      </c>
      <c r="C292" s="312" t="s">
        <v>105</v>
      </c>
      <c r="D292" s="312" t="s">
        <v>114</v>
      </c>
      <c r="E292" s="312" t="s">
        <v>107</v>
      </c>
      <c r="F292" s="312">
        <v>1825</v>
      </c>
      <c r="G292" s="312" t="s">
        <v>108</v>
      </c>
      <c r="H292" s="312">
        <v>1827</v>
      </c>
      <c r="I292" s="312" t="s">
        <v>107</v>
      </c>
      <c r="J292" s="312">
        <v>1913</v>
      </c>
      <c r="K292" s="312" t="s">
        <v>109</v>
      </c>
    </row>
    <row r="293" spans="1:11">
      <c r="A293" s="312" t="s">
        <v>765</v>
      </c>
      <c r="B293" s="312" t="s">
        <v>766</v>
      </c>
      <c r="C293" s="312" t="s">
        <v>105</v>
      </c>
      <c r="D293" s="312" t="s">
        <v>166</v>
      </c>
      <c r="E293" s="312" t="s">
        <v>167</v>
      </c>
      <c r="F293" s="312">
        <v>1705</v>
      </c>
      <c r="G293" s="312" t="s">
        <v>168</v>
      </c>
      <c r="H293" s="312">
        <v>1707</v>
      </c>
      <c r="I293" s="312" t="s">
        <v>167</v>
      </c>
      <c r="J293" s="312">
        <v>1899</v>
      </c>
      <c r="K293" s="312" t="s">
        <v>169</v>
      </c>
    </row>
    <row r="294" spans="1:11">
      <c r="A294" s="312" t="s">
        <v>767</v>
      </c>
      <c r="B294" s="312" t="s">
        <v>768</v>
      </c>
      <c r="C294" s="312" t="s">
        <v>105</v>
      </c>
      <c r="D294" s="312" t="s">
        <v>769</v>
      </c>
      <c r="E294" s="312" t="s">
        <v>107</v>
      </c>
      <c r="F294" s="312">
        <v>1825</v>
      </c>
      <c r="G294" s="312" t="s">
        <v>108</v>
      </c>
      <c r="H294" s="312">
        <v>1827</v>
      </c>
      <c r="I294" s="312" t="s">
        <v>107</v>
      </c>
      <c r="J294" s="312">
        <v>1913</v>
      </c>
      <c r="K294" s="312" t="s">
        <v>109</v>
      </c>
    </row>
    <row r="295" spans="1:11">
      <c r="A295" s="312" t="s">
        <v>770</v>
      </c>
      <c r="B295" s="312" t="s">
        <v>771</v>
      </c>
      <c r="C295" s="312" t="s">
        <v>105</v>
      </c>
      <c r="D295" s="312" t="s">
        <v>114</v>
      </c>
      <c r="E295" s="312" t="s">
        <v>107</v>
      </c>
      <c r="F295" s="312">
        <v>1825</v>
      </c>
      <c r="G295" s="312" t="s">
        <v>108</v>
      </c>
      <c r="H295" s="312">
        <v>1827</v>
      </c>
      <c r="I295" s="312" t="s">
        <v>107</v>
      </c>
      <c r="J295" s="312">
        <v>1913</v>
      </c>
      <c r="K295" s="312" t="s">
        <v>109</v>
      </c>
    </row>
    <row r="296" spans="1:11">
      <c r="A296" s="312" t="s">
        <v>772</v>
      </c>
      <c r="B296" s="312" t="s">
        <v>773</v>
      </c>
      <c r="C296" s="312" t="s">
        <v>105</v>
      </c>
      <c r="D296" s="312" t="s">
        <v>114</v>
      </c>
      <c r="E296" s="312" t="s">
        <v>107</v>
      </c>
      <c r="F296" s="312">
        <v>1825</v>
      </c>
      <c r="G296" s="312" t="s">
        <v>108</v>
      </c>
      <c r="H296" s="312">
        <v>1827</v>
      </c>
      <c r="I296" s="312" t="s">
        <v>107</v>
      </c>
      <c r="J296" s="312">
        <v>1913</v>
      </c>
      <c r="K296" s="312" t="s">
        <v>109</v>
      </c>
    </row>
    <row r="297" spans="1:11">
      <c r="A297" s="312" t="s">
        <v>774</v>
      </c>
      <c r="B297" s="312" t="s">
        <v>775</v>
      </c>
      <c r="C297" s="312" t="s">
        <v>105</v>
      </c>
      <c r="D297" s="312" t="s">
        <v>114</v>
      </c>
      <c r="E297" s="312" t="s">
        <v>107</v>
      </c>
      <c r="F297" s="312">
        <v>1825</v>
      </c>
      <c r="G297" s="312" t="s">
        <v>108</v>
      </c>
      <c r="H297" s="312">
        <v>1827</v>
      </c>
      <c r="I297" s="312" t="s">
        <v>107</v>
      </c>
      <c r="J297" s="312">
        <v>1913</v>
      </c>
      <c r="K297" s="312" t="s">
        <v>109</v>
      </c>
    </row>
    <row r="298" spans="1:11">
      <c r="A298" s="312" t="s">
        <v>776</v>
      </c>
      <c r="B298" s="312" t="s">
        <v>777</v>
      </c>
      <c r="C298" s="312" t="s">
        <v>105</v>
      </c>
      <c r="D298" s="312" t="s">
        <v>312</v>
      </c>
      <c r="E298" s="312" t="s">
        <v>107</v>
      </c>
      <c r="F298" s="312">
        <v>1825</v>
      </c>
      <c r="G298" s="312" t="s">
        <v>108</v>
      </c>
      <c r="H298" s="312">
        <v>1827</v>
      </c>
      <c r="I298" s="312" t="s">
        <v>107</v>
      </c>
      <c r="J298" s="312">
        <v>1913</v>
      </c>
      <c r="K298" s="312" t="s">
        <v>109</v>
      </c>
    </row>
    <row r="299" spans="1:11">
      <c r="A299" s="312" t="s">
        <v>778</v>
      </c>
      <c r="B299" s="312" t="s">
        <v>779</v>
      </c>
      <c r="C299" s="312" t="s">
        <v>105</v>
      </c>
      <c r="D299" s="312" t="s">
        <v>352</v>
      </c>
      <c r="E299" s="312" t="s">
        <v>107</v>
      </c>
      <c r="F299" s="312">
        <v>1825</v>
      </c>
      <c r="G299" s="312" t="s">
        <v>108</v>
      </c>
      <c r="H299" s="312">
        <v>1827</v>
      </c>
      <c r="I299" s="312" t="s">
        <v>107</v>
      </c>
      <c r="J299" s="312">
        <v>1913</v>
      </c>
      <c r="K299" s="312" t="s">
        <v>109</v>
      </c>
    </row>
    <row r="300" spans="1:11">
      <c r="A300" s="312" t="s">
        <v>780</v>
      </c>
      <c r="B300" s="312" t="s">
        <v>781</v>
      </c>
      <c r="C300" s="312" t="s">
        <v>105</v>
      </c>
      <c r="D300" s="312" t="s">
        <v>352</v>
      </c>
      <c r="E300" s="312" t="s">
        <v>107</v>
      </c>
      <c r="F300" s="312">
        <v>1825</v>
      </c>
      <c r="G300" s="312" t="s">
        <v>108</v>
      </c>
      <c r="H300" s="312">
        <v>1827</v>
      </c>
      <c r="I300" s="312" t="s">
        <v>107</v>
      </c>
      <c r="J300" s="312">
        <v>1913</v>
      </c>
      <c r="K300" s="312" t="s">
        <v>109</v>
      </c>
    </row>
    <row r="301" spans="1:11">
      <c r="A301" s="312" t="s">
        <v>782</v>
      </c>
      <c r="B301" s="312" t="s">
        <v>783</v>
      </c>
      <c r="C301" s="312" t="s">
        <v>105</v>
      </c>
      <c r="D301" s="312" t="s">
        <v>352</v>
      </c>
      <c r="E301" s="312" t="s">
        <v>107</v>
      </c>
      <c r="F301" s="312">
        <v>1825</v>
      </c>
      <c r="G301" s="312" t="s">
        <v>108</v>
      </c>
      <c r="H301" s="312">
        <v>1827</v>
      </c>
      <c r="I301" s="312" t="s">
        <v>107</v>
      </c>
      <c r="J301" s="312">
        <v>1913</v>
      </c>
      <c r="K301" s="312" t="s">
        <v>109</v>
      </c>
    </row>
    <row r="302" spans="1:11">
      <c r="A302" s="312" t="s">
        <v>784</v>
      </c>
      <c r="B302" s="312" t="s">
        <v>785</v>
      </c>
      <c r="C302" s="312" t="s">
        <v>105</v>
      </c>
      <c r="D302" s="312" t="s">
        <v>352</v>
      </c>
      <c r="E302" s="312" t="s">
        <v>107</v>
      </c>
      <c r="F302" s="312">
        <v>1825</v>
      </c>
      <c r="G302" s="312" t="s">
        <v>108</v>
      </c>
      <c r="H302" s="312">
        <v>1827</v>
      </c>
      <c r="I302" s="312" t="s">
        <v>107</v>
      </c>
      <c r="J302" s="312">
        <v>1913</v>
      </c>
      <c r="K302" s="312" t="s">
        <v>109</v>
      </c>
    </row>
    <row r="303" spans="1:11">
      <c r="A303" s="312" t="s">
        <v>786</v>
      </c>
      <c r="B303" s="312" t="s">
        <v>787</v>
      </c>
      <c r="C303" s="312" t="s">
        <v>105</v>
      </c>
      <c r="D303" s="312" t="s">
        <v>352</v>
      </c>
      <c r="E303" s="312" t="s">
        <v>107</v>
      </c>
      <c r="F303" s="312">
        <v>1825</v>
      </c>
      <c r="G303" s="312" t="s">
        <v>108</v>
      </c>
      <c r="H303" s="312">
        <v>1827</v>
      </c>
      <c r="I303" s="312" t="s">
        <v>107</v>
      </c>
      <c r="J303" s="312">
        <v>1913</v>
      </c>
      <c r="K303" s="312" t="s">
        <v>109</v>
      </c>
    </row>
    <row r="304" spans="1:11">
      <c r="A304" s="312" t="s">
        <v>788</v>
      </c>
      <c r="B304" s="312" t="s">
        <v>789</v>
      </c>
      <c r="C304" s="312" t="s">
        <v>105</v>
      </c>
      <c r="D304" s="312" t="s">
        <v>352</v>
      </c>
      <c r="E304" s="312" t="s">
        <v>107</v>
      </c>
      <c r="F304" s="312">
        <v>1825</v>
      </c>
      <c r="G304" s="312" t="s">
        <v>108</v>
      </c>
      <c r="H304" s="312">
        <v>1827</v>
      </c>
      <c r="I304" s="312" t="s">
        <v>107</v>
      </c>
      <c r="J304" s="312">
        <v>1913</v>
      </c>
      <c r="K304" s="312" t="s">
        <v>109</v>
      </c>
    </row>
    <row r="305" spans="1:11">
      <c r="A305" s="312" t="s">
        <v>790</v>
      </c>
      <c r="B305" s="312" t="s">
        <v>791</v>
      </c>
      <c r="C305" s="312" t="s">
        <v>105</v>
      </c>
      <c r="D305" s="312" t="s">
        <v>352</v>
      </c>
      <c r="E305" s="312" t="s">
        <v>107</v>
      </c>
      <c r="F305" s="312">
        <v>1825</v>
      </c>
      <c r="G305" s="312" t="s">
        <v>108</v>
      </c>
      <c r="H305" s="312">
        <v>1827</v>
      </c>
      <c r="I305" s="312" t="s">
        <v>107</v>
      </c>
      <c r="J305" s="312">
        <v>1913</v>
      </c>
      <c r="K305" s="312" t="s">
        <v>109</v>
      </c>
    </row>
    <row r="306" spans="1:11">
      <c r="A306" s="312" t="s">
        <v>792</v>
      </c>
      <c r="B306" s="312" t="s">
        <v>793</v>
      </c>
      <c r="C306" s="312" t="s">
        <v>105</v>
      </c>
      <c r="D306" s="312" t="s">
        <v>352</v>
      </c>
      <c r="E306" s="312" t="s">
        <v>107</v>
      </c>
      <c r="F306" s="312">
        <v>1825</v>
      </c>
      <c r="G306" s="312" t="s">
        <v>108</v>
      </c>
      <c r="H306" s="312">
        <v>1827</v>
      </c>
      <c r="I306" s="312" t="s">
        <v>107</v>
      </c>
      <c r="J306" s="312">
        <v>1913</v>
      </c>
      <c r="K306" s="312" t="s">
        <v>109</v>
      </c>
    </row>
    <row r="307" spans="1:11">
      <c r="A307" s="312" t="s">
        <v>794</v>
      </c>
      <c r="B307" s="312" t="s">
        <v>795</v>
      </c>
      <c r="C307" s="312" t="s">
        <v>105</v>
      </c>
      <c r="D307" s="312" t="s">
        <v>216</v>
      </c>
      <c r="E307" s="312" t="s">
        <v>107</v>
      </c>
      <c r="F307" s="312">
        <v>1825</v>
      </c>
      <c r="G307" s="312" t="s">
        <v>108</v>
      </c>
      <c r="H307" s="312">
        <v>1827</v>
      </c>
      <c r="I307" s="312" t="s">
        <v>107</v>
      </c>
      <c r="J307" s="312">
        <v>1913</v>
      </c>
      <c r="K307" s="312" t="s">
        <v>109</v>
      </c>
    </row>
    <row r="308" spans="1:11">
      <c r="A308" s="312" t="s">
        <v>796</v>
      </c>
      <c r="B308" s="312" t="s">
        <v>797</v>
      </c>
      <c r="C308" s="312" t="s">
        <v>105</v>
      </c>
      <c r="D308" s="312" t="s">
        <v>798</v>
      </c>
      <c r="E308" s="312" t="s">
        <v>107</v>
      </c>
      <c r="F308" s="312">
        <v>1825</v>
      </c>
      <c r="G308" s="312" t="s">
        <v>108</v>
      </c>
      <c r="H308" s="312">
        <v>1827</v>
      </c>
      <c r="I308" s="312" t="s">
        <v>107</v>
      </c>
      <c r="J308" s="312">
        <v>1913</v>
      </c>
      <c r="K308" s="312" t="s">
        <v>109</v>
      </c>
    </row>
    <row r="309" spans="1:11">
      <c r="A309" s="312" t="s">
        <v>799</v>
      </c>
      <c r="B309" s="312" t="s">
        <v>800</v>
      </c>
      <c r="C309" s="312" t="s">
        <v>105</v>
      </c>
      <c r="D309" s="312" t="s">
        <v>252</v>
      </c>
      <c r="E309" s="312" t="s">
        <v>167</v>
      </c>
      <c r="F309" s="312">
        <v>1705</v>
      </c>
      <c r="G309" s="312" t="s">
        <v>168</v>
      </c>
      <c r="H309" s="312">
        <v>1707</v>
      </c>
      <c r="I309" s="312" t="s">
        <v>167</v>
      </c>
      <c r="J309" s="312">
        <v>1899</v>
      </c>
      <c r="K309" s="312" t="s">
        <v>169</v>
      </c>
    </row>
    <row r="310" spans="1:11">
      <c r="A310" s="312" t="s">
        <v>801</v>
      </c>
      <c r="B310" s="312" t="s">
        <v>802</v>
      </c>
      <c r="C310" s="312" t="s">
        <v>105</v>
      </c>
      <c r="D310" s="312" t="s">
        <v>517</v>
      </c>
      <c r="E310" s="312" t="s">
        <v>107</v>
      </c>
      <c r="F310" s="312">
        <v>1825</v>
      </c>
      <c r="G310" s="312" t="s">
        <v>108</v>
      </c>
      <c r="H310" s="312">
        <v>1827</v>
      </c>
      <c r="I310" s="312" t="s">
        <v>107</v>
      </c>
      <c r="J310" s="312">
        <v>1913</v>
      </c>
      <c r="K310" s="312" t="s">
        <v>109</v>
      </c>
    </row>
    <row r="311" spans="1:11">
      <c r="A311" s="312" t="s">
        <v>803</v>
      </c>
      <c r="B311" s="312" t="s">
        <v>804</v>
      </c>
      <c r="C311" s="312" t="s">
        <v>105</v>
      </c>
      <c r="D311" s="312" t="s">
        <v>114</v>
      </c>
      <c r="E311" s="312" t="s">
        <v>107</v>
      </c>
      <c r="F311" s="312">
        <v>1825</v>
      </c>
      <c r="G311" s="312" t="s">
        <v>108</v>
      </c>
      <c r="H311" s="312">
        <v>1827</v>
      </c>
      <c r="I311" s="312" t="s">
        <v>107</v>
      </c>
      <c r="J311" s="312">
        <v>1913</v>
      </c>
      <c r="K311" s="312" t="s">
        <v>109</v>
      </c>
    </row>
    <row r="312" spans="1:11">
      <c r="A312" s="312" t="s">
        <v>805</v>
      </c>
      <c r="B312" s="312" t="s">
        <v>806</v>
      </c>
      <c r="C312" s="312" t="s">
        <v>105</v>
      </c>
      <c r="D312" s="312" t="s">
        <v>114</v>
      </c>
      <c r="E312" s="312" t="s">
        <v>107</v>
      </c>
      <c r="F312" s="312">
        <v>1825</v>
      </c>
      <c r="G312" s="312" t="s">
        <v>108</v>
      </c>
      <c r="H312" s="312">
        <v>1827</v>
      </c>
      <c r="I312" s="312" t="s">
        <v>107</v>
      </c>
      <c r="J312" s="312">
        <v>1913</v>
      </c>
      <c r="K312" s="312" t="s">
        <v>109</v>
      </c>
    </row>
    <row r="313" spans="1:11">
      <c r="A313" s="312" t="s">
        <v>807</v>
      </c>
      <c r="B313" s="312" t="s">
        <v>808</v>
      </c>
      <c r="C313" s="312" t="s">
        <v>105</v>
      </c>
      <c r="D313" s="312" t="s">
        <v>379</v>
      </c>
      <c r="E313" s="312" t="s">
        <v>107</v>
      </c>
      <c r="F313" s="312">
        <v>1825</v>
      </c>
      <c r="G313" s="312" t="s">
        <v>108</v>
      </c>
      <c r="H313" s="312">
        <v>1827</v>
      </c>
      <c r="I313" s="312" t="s">
        <v>107</v>
      </c>
      <c r="J313" s="312">
        <v>1913</v>
      </c>
      <c r="K313" s="312" t="s">
        <v>109</v>
      </c>
    </row>
    <row r="314" spans="1:11">
      <c r="A314" s="312" t="s">
        <v>809</v>
      </c>
      <c r="B314" s="312" t="s">
        <v>810</v>
      </c>
      <c r="C314" s="312" t="s">
        <v>105</v>
      </c>
      <c r="D314" s="312" t="s">
        <v>379</v>
      </c>
      <c r="E314" s="312" t="s">
        <v>107</v>
      </c>
      <c r="F314" s="312">
        <v>1825</v>
      </c>
      <c r="G314" s="312" t="s">
        <v>108</v>
      </c>
      <c r="H314" s="312">
        <v>1827</v>
      </c>
      <c r="I314" s="312" t="s">
        <v>107</v>
      </c>
      <c r="J314" s="312">
        <v>1913</v>
      </c>
      <c r="K314" s="312" t="s">
        <v>109</v>
      </c>
    </row>
    <row r="315" spans="1:11">
      <c r="A315" s="312" t="s">
        <v>811</v>
      </c>
      <c r="B315" s="312" t="s">
        <v>812</v>
      </c>
      <c r="C315" s="312" t="s">
        <v>105</v>
      </c>
      <c r="D315" s="312" t="s">
        <v>813</v>
      </c>
      <c r="E315" s="312" t="s">
        <v>167</v>
      </c>
      <c r="F315" s="312">
        <v>1705</v>
      </c>
      <c r="G315" s="312" t="s">
        <v>168</v>
      </c>
      <c r="H315" s="312">
        <v>1707</v>
      </c>
      <c r="I315" s="312" t="s">
        <v>167</v>
      </c>
      <c r="J315" s="312">
        <v>1899</v>
      </c>
      <c r="K315" s="312" t="s">
        <v>169</v>
      </c>
    </row>
    <row r="316" spans="1:11">
      <c r="A316" s="312" t="s">
        <v>814</v>
      </c>
      <c r="B316" s="312" t="s">
        <v>815</v>
      </c>
      <c r="C316" s="312" t="s">
        <v>105</v>
      </c>
      <c r="D316" s="312" t="s">
        <v>816</v>
      </c>
      <c r="E316" s="312" t="s">
        <v>817</v>
      </c>
      <c r="F316" s="312">
        <v>1897</v>
      </c>
      <c r="G316" s="312" t="s">
        <v>818</v>
      </c>
      <c r="H316" s="312">
        <v>1898</v>
      </c>
      <c r="I316" s="312" t="s">
        <v>817</v>
      </c>
      <c r="J316" s="312">
        <v>1932</v>
      </c>
      <c r="K316" s="312" t="s">
        <v>819</v>
      </c>
    </row>
    <row r="317" spans="1:11">
      <c r="A317" s="312" t="s">
        <v>820</v>
      </c>
      <c r="B317" s="312" t="s">
        <v>821</v>
      </c>
      <c r="C317" s="312" t="s">
        <v>105</v>
      </c>
      <c r="D317" s="312" t="s">
        <v>816</v>
      </c>
      <c r="E317" s="312" t="s">
        <v>817</v>
      </c>
      <c r="F317" s="312">
        <v>1897</v>
      </c>
      <c r="G317" s="312" t="s">
        <v>818</v>
      </c>
      <c r="H317" s="312">
        <v>1898</v>
      </c>
      <c r="I317" s="312" t="s">
        <v>817</v>
      </c>
      <c r="J317" s="312">
        <v>1932</v>
      </c>
      <c r="K317" s="312" t="s">
        <v>819</v>
      </c>
    </row>
    <row r="318" spans="1:11">
      <c r="A318" s="312" t="s">
        <v>822</v>
      </c>
      <c r="B318" s="312" t="s">
        <v>823</v>
      </c>
      <c r="C318" s="312" t="s">
        <v>105</v>
      </c>
      <c r="D318" s="312" t="s">
        <v>816</v>
      </c>
      <c r="E318" s="312" t="s">
        <v>817</v>
      </c>
      <c r="F318" s="312">
        <v>1897</v>
      </c>
      <c r="G318" s="312" t="s">
        <v>818</v>
      </c>
      <c r="H318" s="312">
        <v>1898</v>
      </c>
      <c r="I318" s="312" t="s">
        <v>817</v>
      </c>
      <c r="J318" s="312">
        <v>1932</v>
      </c>
      <c r="K318" s="312" t="s">
        <v>819</v>
      </c>
    </row>
    <row r="319" spans="1:11">
      <c r="A319" s="312" t="s">
        <v>824</v>
      </c>
      <c r="B319" s="312" t="s">
        <v>825</v>
      </c>
      <c r="C319" s="312" t="s">
        <v>105</v>
      </c>
      <c r="D319" s="312" t="s">
        <v>816</v>
      </c>
      <c r="E319" s="312" t="s">
        <v>817</v>
      </c>
      <c r="F319" s="312">
        <v>1897</v>
      </c>
      <c r="G319" s="312" t="s">
        <v>818</v>
      </c>
      <c r="H319" s="312">
        <v>1898</v>
      </c>
      <c r="I319" s="312" t="s">
        <v>817</v>
      </c>
      <c r="J319" s="312">
        <v>1932</v>
      </c>
      <c r="K319" s="312" t="s">
        <v>819</v>
      </c>
    </row>
    <row r="320" spans="1:11">
      <c r="A320" s="312" t="s">
        <v>826</v>
      </c>
      <c r="B320" s="312" t="s">
        <v>827</v>
      </c>
      <c r="C320" s="312" t="s">
        <v>105</v>
      </c>
      <c r="D320" s="312" t="s">
        <v>327</v>
      </c>
      <c r="E320" s="312" t="s">
        <v>167</v>
      </c>
      <c r="F320" s="312">
        <v>1705</v>
      </c>
      <c r="G320" s="312" t="s">
        <v>168</v>
      </c>
      <c r="H320" s="312">
        <v>1707</v>
      </c>
      <c r="I320" s="312" t="s">
        <v>167</v>
      </c>
      <c r="J320" s="312">
        <v>1899</v>
      </c>
      <c r="K320" s="312" t="s">
        <v>169</v>
      </c>
    </row>
    <row r="321" spans="1:11">
      <c r="A321" s="312" t="s">
        <v>828</v>
      </c>
      <c r="B321" s="312" t="s">
        <v>829</v>
      </c>
      <c r="C321" s="312" t="s">
        <v>105</v>
      </c>
      <c r="D321" s="312" t="s">
        <v>327</v>
      </c>
      <c r="E321" s="312" t="s">
        <v>466</v>
      </c>
      <c r="F321" s="312">
        <v>1796</v>
      </c>
      <c r="G321" s="312" t="s">
        <v>467</v>
      </c>
      <c r="H321" s="312">
        <v>1799</v>
      </c>
      <c r="I321" s="312" t="s">
        <v>466</v>
      </c>
      <c r="J321" s="312">
        <v>1918</v>
      </c>
      <c r="K321" s="312" t="s">
        <v>468</v>
      </c>
    </row>
    <row r="322" spans="1:11">
      <c r="A322" s="312" t="s">
        <v>830</v>
      </c>
      <c r="B322" s="312" t="s">
        <v>831</v>
      </c>
      <c r="C322" s="312" t="s">
        <v>105</v>
      </c>
      <c r="D322" s="312" t="s">
        <v>327</v>
      </c>
      <c r="E322" s="312" t="s">
        <v>466</v>
      </c>
      <c r="F322" s="312">
        <v>1796</v>
      </c>
      <c r="G322" s="312" t="s">
        <v>467</v>
      </c>
      <c r="H322" s="312">
        <v>1799</v>
      </c>
      <c r="I322" s="312" t="s">
        <v>466</v>
      </c>
      <c r="J322" s="312">
        <v>1918</v>
      </c>
      <c r="K322" s="312" t="s">
        <v>468</v>
      </c>
    </row>
    <row r="323" spans="1:11">
      <c r="A323" s="312" t="s">
        <v>832</v>
      </c>
      <c r="B323" s="312" t="s">
        <v>833</v>
      </c>
      <c r="C323" s="312" t="s">
        <v>105</v>
      </c>
      <c r="D323" s="312" t="s">
        <v>327</v>
      </c>
      <c r="E323" s="312" t="s">
        <v>466</v>
      </c>
      <c r="F323" s="312">
        <v>1796</v>
      </c>
      <c r="G323" s="312" t="s">
        <v>467</v>
      </c>
      <c r="H323" s="312">
        <v>1799</v>
      </c>
      <c r="I323" s="312" t="s">
        <v>466</v>
      </c>
      <c r="J323" s="312">
        <v>1918</v>
      </c>
      <c r="K323" s="312" t="s">
        <v>468</v>
      </c>
    </row>
    <row r="324" spans="1:11">
      <c r="A324" s="312" t="s">
        <v>834</v>
      </c>
      <c r="B324" s="312" t="s">
        <v>835</v>
      </c>
      <c r="C324" s="312" t="s">
        <v>105</v>
      </c>
      <c r="D324" s="312" t="s">
        <v>327</v>
      </c>
      <c r="E324" s="312" t="s">
        <v>167</v>
      </c>
      <c r="F324" s="312">
        <v>1705</v>
      </c>
      <c r="G324" s="312" t="s">
        <v>168</v>
      </c>
      <c r="H324" s="312">
        <v>1707</v>
      </c>
      <c r="I324" s="312" t="s">
        <v>167</v>
      </c>
      <c r="J324" s="312">
        <v>1899</v>
      </c>
      <c r="K324" s="312" t="s">
        <v>169</v>
      </c>
    </row>
    <row r="325" spans="1:11">
      <c r="A325" s="312" t="s">
        <v>836</v>
      </c>
      <c r="B325" s="312" t="s">
        <v>837</v>
      </c>
      <c r="C325" s="312" t="s">
        <v>105</v>
      </c>
      <c r="D325" s="312" t="s">
        <v>327</v>
      </c>
      <c r="E325" s="312" t="s">
        <v>167</v>
      </c>
      <c r="F325" s="312">
        <v>1705</v>
      </c>
      <c r="G325" s="312" t="s">
        <v>168</v>
      </c>
      <c r="H325" s="312">
        <v>1707</v>
      </c>
      <c r="I325" s="312" t="s">
        <v>167</v>
      </c>
      <c r="J325" s="312">
        <v>1899</v>
      </c>
      <c r="K325" s="312" t="s">
        <v>169</v>
      </c>
    </row>
    <row r="326" spans="1:11">
      <c r="A326" s="312" t="s">
        <v>838</v>
      </c>
      <c r="B326" s="312" t="s">
        <v>839</v>
      </c>
      <c r="C326" s="312" t="s">
        <v>105</v>
      </c>
      <c r="D326" s="312" t="s">
        <v>327</v>
      </c>
      <c r="E326" s="312" t="s">
        <v>684</v>
      </c>
      <c r="F326" s="312">
        <v>1750</v>
      </c>
      <c r="G326" s="312" t="s">
        <v>685</v>
      </c>
      <c r="H326" s="312">
        <v>1754</v>
      </c>
      <c r="I326" s="312" t="s">
        <v>684</v>
      </c>
      <c r="J326" s="312">
        <v>1920</v>
      </c>
      <c r="K326" s="312" t="s">
        <v>686</v>
      </c>
    </row>
    <row r="327" spans="1:11">
      <c r="A327" s="312" t="s">
        <v>840</v>
      </c>
      <c r="B327" s="312" t="s">
        <v>841</v>
      </c>
      <c r="C327" s="312" t="s">
        <v>105</v>
      </c>
      <c r="D327" s="312" t="s">
        <v>327</v>
      </c>
      <c r="E327" s="312" t="s">
        <v>167</v>
      </c>
      <c r="F327" s="312">
        <v>1705</v>
      </c>
      <c r="G327" s="312" t="s">
        <v>168</v>
      </c>
      <c r="H327" s="312">
        <v>1707</v>
      </c>
      <c r="I327" s="312" t="s">
        <v>167</v>
      </c>
      <c r="J327" s="312">
        <v>1899</v>
      </c>
      <c r="K327" s="312" t="s">
        <v>169</v>
      </c>
    </row>
    <row r="328" spans="1:11">
      <c r="A328" s="312" t="s">
        <v>842</v>
      </c>
      <c r="B328" s="312" t="s">
        <v>843</v>
      </c>
      <c r="C328" s="312" t="s">
        <v>105</v>
      </c>
      <c r="D328" s="312" t="s">
        <v>551</v>
      </c>
      <c r="E328" s="312" t="s">
        <v>167</v>
      </c>
      <c r="F328" s="312">
        <v>1705</v>
      </c>
      <c r="G328" s="312" t="s">
        <v>168</v>
      </c>
      <c r="H328" s="312">
        <v>1707</v>
      </c>
      <c r="I328" s="312" t="s">
        <v>167</v>
      </c>
      <c r="J328" s="312">
        <v>1899</v>
      </c>
      <c r="K328" s="312" t="s">
        <v>169</v>
      </c>
    </row>
    <row r="329" spans="1:11">
      <c r="A329" s="312" t="s">
        <v>844</v>
      </c>
      <c r="B329" s="312" t="s">
        <v>845</v>
      </c>
      <c r="C329" s="312" t="s">
        <v>105</v>
      </c>
      <c r="D329" s="312" t="s">
        <v>556</v>
      </c>
      <c r="E329" s="312" t="s">
        <v>107</v>
      </c>
      <c r="F329" s="312">
        <v>1825</v>
      </c>
      <c r="G329" s="312" t="s">
        <v>108</v>
      </c>
      <c r="H329" s="312">
        <v>1827</v>
      </c>
      <c r="I329" s="312" t="s">
        <v>107</v>
      </c>
      <c r="J329" s="312">
        <v>1913</v>
      </c>
      <c r="K329" s="312" t="s">
        <v>109</v>
      </c>
    </row>
    <row r="330" spans="1:11">
      <c r="A330" s="312" t="s">
        <v>846</v>
      </c>
      <c r="B330" s="312" t="s">
        <v>847</v>
      </c>
      <c r="C330" s="312" t="s">
        <v>105</v>
      </c>
      <c r="D330" s="312" t="s">
        <v>848</v>
      </c>
      <c r="E330" s="312" t="s">
        <v>107</v>
      </c>
      <c r="F330" s="312">
        <v>1825</v>
      </c>
      <c r="G330" s="312" t="s">
        <v>108</v>
      </c>
      <c r="H330" s="312">
        <v>1827</v>
      </c>
      <c r="I330" s="312" t="s">
        <v>107</v>
      </c>
      <c r="J330" s="312">
        <v>1913</v>
      </c>
      <c r="K330" s="312" t="s">
        <v>109</v>
      </c>
    </row>
    <row r="331" spans="1:11">
      <c r="A331" s="312" t="s">
        <v>849</v>
      </c>
      <c r="B331" s="312" t="s">
        <v>850</v>
      </c>
      <c r="C331" s="312" t="s">
        <v>105</v>
      </c>
      <c r="D331" s="312" t="s">
        <v>711</v>
      </c>
      <c r="E331" s="312" t="s">
        <v>107</v>
      </c>
      <c r="F331" s="312">
        <v>1825</v>
      </c>
      <c r="G331" s="312" t="s">
        <v>108</v>
      </c>
      <c r="H331" s="312">
        <v>1827</v>
      </c>
      <c r="I331" s="312" t="s">
        <v>107</v>
      </c>
      <c r="J331" s="312">
        <v>1913</v>
      </c>
      <c r="K331" s="312" t="s">
        <v>109</v>
      </c>
    </row>
    <row r="332" spans="1:11">
      <c r="A332" s="312" t="s">
        <v>851</v>
      </c>
      <c r="B332" s="312" t="s">
        <v>852</v>
      </c>
      <c r="C332" s="312" t="s">
        <v>105</v>
      </c>
      <c r="D332" s="312" t="s">
        <v>853</v>
      </c>
      <c r="E332" s="312" t="s">
        <v>167</v>
      </c>
      <c r="F332" s="312">
        <v>1705</v>
      </c>
      <c r="G332" s="312" t="s">
        <v>168</v>
      </c>
      <c r="H332" s="312">
        <v>1707</v>
      </c>
      <c r="I332" s="312" t="s">
        <v>167</v>
      </c>
      <c r="J332" s="312">
        <v>1899</v>
      </c>
      <c r="K332" s="312" t="s">
        <v>169</v>
      </c>
    </row>
    <row r="333" spans="1:11">
      <c r="A333" s="312" t="s">
        <v>854</v>
      </c>
      <c r="B333" s="312" t="s">
        <v>855</v>
      </c>
      <c r="C333" s="312" t="s">
        <v>105</v>
      </c>
      <c r="D333" s="312" t="s">
        <v>184</v>
      </c>
      <c r="E333" s="312" t="s">
        <v>107</v>
      </c>
      <c r="F333" s="312">
        <v>1825</v>
      </c>
      <c r="G333" s="312" t="s">
        <v>108</v>
      </c>
      <c r="H333" s="312">
        <v>1827</v>
      </c>
      <c r="I333" s="312" t="s">
        <v>107</v>
      </c>
      <c r="J333" s="312">
        <v>1913</v>
      </c>
      <c r="K333" s="312" t="s">
        <v>109</v>
      </c>
    </row>
    <row r="334" spans="1:11">
      <c r="A334" s="312" t="s">
        <v>856</v>
      </c>
      <c r="B334" s="312" t="s">
        <v>857</v>
      </c>
      <c r="C334" s="312" t="s">
        <v>105</v>
      </c>
      <c r="D334" s="312" t="s">
        <v>858</v>
      </c>
      <c r="E334" s="312" t="s">
        <v>107</v>
      </c>
      <c r="F334" s="312">
        <v>1825</v>
      </c>
      <c r="G334" s="312" t="s">
        <v>108</v>
      </c>
      <c r="H334" s="312">
        <v>1827</v>
      </c>
      <c r="I334" s="312" t="s">
        <v>107</v>
      </c>
      <c r="J334" s="312">
        <v>1913</v>
      </c>
      <c r="K334" s="312" t="s">
        <v>109</v>
      </c>
    </row>
    <row r="335" spans="1:11">
      <c r="A335" s="312" t="s">
        <v>859</v>
      </c>
      <c r="B335" s="312" t="s">
        <v>860</v>
      </c>
      <c r="C335" s="312" t="s">
        <v>105</v>
      </c>
      <c r="D335" s="312" t="s">
        <v>114</v>
      </c>
      <c r="E335" s="312" t="s">
        <v>107</v>
      </c>
      <c r="F335" s="312">
        <v>1825</v>
      </c>
      <c r="G335" s="312" t="s">
        <v>108</v>
      </c>
      <c r="H335" s="312">
        <v>1827</v>
      </c>
      <c r="I335" s="312" t="s">
        <v>107</v>
      </c>
      <c r="J335" s="312">
        <v>1913</v>
      </c>
      <c r="K335" s="312" t="s">
        <v>109</v>
      </c>
    </row>
    <row r="336" spans="1:11">
      <c r="A336" s="312" t="s">
        <v>861</v>
      </c>
      <c r="B336" s="312" t="s">
        <v>862</v>
      </c>
      <c r="C336" s="312" t="s">
        <v>105</v>
      </c>
      <c r="D336" s="312" t="s">
        <v>117</v>
      </c>
      <c r="E336" s="312" t="s">
        <v>107</v>
      </c>
      <c r="F336" s="312">
        <v>1825</v>
      </c>
      <c r="G336" s="312" t="s">
        <v>108</v>
      </c>
      <c r="H336" s="312">
        <v>1827</v>
      </c>
      <c r="I336" s="312" t="s">
        <v>107</v>
      </c>
      <c r="J336" s="312">
        <v>1913</v>
      </c>
      <c r="K336" s="312" t="s">
        <v>109</v>
      </c>
    </row>
    <row r="337" spans="1:11">
      <c r="A337" s="312" t="s">
        <v>863</v>
      </c>
      <c r="B337" s="312" t="s">
        <v>864</v>
      </c>
      <c r="C337" s="312" t="s">
        <v>105</v>
      </c>
      <c r="D337" s="312" t="s">
        <v>865</v>
      </c>
      <c r="E337" s="312" t="s">
        <v>107</v>
      </c>
      <c r="F337" s="312">
        <v>1825</v>
      </c>
      <c r="G337" s="312" t="s">
        <v>108</v>
      </c>
      <c r="H337" s="312">
        <v>1827</v>
      </c>
      <c r="I337" s="312" t="s">
        <v>107</v>
      </c>
      <c r="J337" s="312">
        <v>1913</v>
      </c>
      <c r="K337" s="312" t="s">
        <v>109</v>
      </c>
    </row>
    <row r="338" spans="1:11">
      <c r="A338" s="312" t="s">
        <v>866</v>
      </c>
      <c r="B338" s="312" t="s">
        <v>867</v>
      </c>
      <c r="C338" s="312" t="s">
        <v>105</v>
      </c>
      <c r="D338" s="312" t="s">
        <v>865</v>
      </c>
      <c r="E338" s="312" t="s">
        <v>107</v>
      </c>
      <c r="F338" s="312">
        <v>1825</v>
      </c>
      <c r="G338" s="312" t="s">
        <v>108</v>
      </c>
      <c r="H338" s="312">
        <v>1827</v>
      </c>
      <c r="I338" s="312" t="s">
        <v>107</v>
      </c>
      <c r="J338" s="312">
        <v>1913</v>
      </c>
      <c r="K338" s="312" t="s">
        <v>109</v>
      </c>
    </row>
    <row r="339" spans="1:11">
      <c r="A339" s="312" t="s">
        <v>868</v>
      </c>
      <c r="B339" s="312" t="s">
        <v>869</v>
      </c>
      <c r="C339" s="312" t="s">
        <v>105</v>
      </c>
      <c r="D339" s="312" t="s">
        <v>114</v>
      </c>
      <c r="E339" s="312" t="s">
        <v>107</v>
      </c>
      <c r="F339" s="312">
        <v>1825</v>
      </c>
      <c r="G339" s="312" t="s">
        <v>108</v>
      </c>
      <c r="H339" s="312">
        <v>1827</v>
      </c>
      <c r="I339" s="312" t="s">
        <v>107</v>
      </c>
      <c r="J339" s="312">
        <v>1913</v>
      </c>
      <c r="K339" s="312" t="s">
        <v>109</v>
      </c>
    </row>
    <row r="340" spans="1:11">
      <c r="A340" s="312" t="s">
        <v>870</v>
      </c>
      <c r="B340" s="312" t="s">
        <v>871</v>
      </c>
      <c r="C340" s="312" t="s">
        <v>105</v>
      </c>
      <c r="D340" s="312" t="s">
        <v>117</v>
      </c>
      <c r="E340" s="312" t="s">
        <v>107</v>
      </c>
      <c r="F340" s="312">
        <v>1825</v>
      </c>
      <c r="G340" s="312" t="s">
        <v>108</v>
      </c>
      <c r="H340" s="312">
        <v>1827</v>
      </c>
      <c r="I340" s="312" t="s">
        <v>107</v>
      </c>
      <c r="J340" s="312">
        <v>1913</v>
      </c>
      <c r="K340" s="312" t="s">
        <v>109</v>
      </c>
    </row>
    <row r="341" spans="1:11">
      <c r="A341" s="312" t="s">
        <v>872</v>
      </c>
      <c r="B341" s="312" t="s">
        <v>873</v>
      </c>
      <c r="C341" s="312" t="s">
        <v>105</v>
      </c>
      <c r="D341" s="312" t="s">
        <v>114</v>
      </c>
      <c r="E341" s="312" t="s">
        <v>107</v>
      </c>
      <c r="F341" s="312">
        <v>1825</v>
      </c>
      <c r="G341" s="312" t="s">
        <v>108</v>
      </c>
      <c r="H341" s="312">
        <v>1827</v>
      </c>
      <c r="I341" s="312" t="s">
        <v>107</v>
      </c>
      <c r="J341" s="312">
        <v>1913</v>
      </c>
      <c r="K341" s="312" t="s">
        <v>109</v>
      </c>
    </row>
    <row r="342" spans="1:11">
      <c r="A342" s="312" t="s">
        <v>874</v>
      </c>
      <c r="B342" s="312" t="s">
        <v>875</v>
      </c>
      <c r="C342" s="312" t="s">
        <v>105</v>
      </c>
      <c r="D342" s="312" t="s">
        <v>114</v>
      </c>
      <c r="E342" s="312" t="s">
        <v>107</v>
      </c>
      <c r="F342" s="312">
        <v>1825</v>
      </c>
      <c r="G342" s="312" t="s">
        <v>108</v>
      </c>
      <c r="H342" s="312">
        <v>1827</v>
      </c>
      <c r="I342" s="312" t="s">
        <v>107</v>
      </c>
      <c r="J342" s="312">
        <v>1913</v>
      </c>
      <c r="K342" s="312" t="s">
        <v>109</v>
      </c>
    </row>
    <row r="343" spans="1:11">
      <c r="A343" s="312" t="s">
        <v>876</v>
      </c>
      <c r="B343" s="312" t="s">
        <v>877</v>
      </c>
      <c r="C343" s="312" t="s">
        <v>105</v>
      </c>
      <c r="D343" s="312" t="s">
        <v>117</v>
      </c>
      <c r="E343" s="312" t="s">
        <v>107</v>
      </c>
      <c r="F343" s="312">
        <v>1825</v>
      </c>
      <c r="G343" s="312" t="s">
        <v>108</v>
      </c>
      <c r="H343" s="312">
        <v>1827</v>
      </c>
      <c r="I343" s="312" t="s">
        <v>107</v>
      </c>
      <c r="J343" s="312">
        <v>1913</v>
      </c>
      <c r="K343" s="312" t="s">
        <v>109</v>
      </c>
    </row>
    <row r="344" spans="1:11">
      <c r="A344" s="312" t="s">
        <v>878</v>
      </c>
      <c r="B344" s="1" t="s">
        <v>879</v>
      </c>
      <c r="C344" s="312" t="s">
        <v>105</v>
      </c>
      <c r="D344" s="312" t="s">
        <v>517</v>
      </c>
      <c r="E344" s="312" t="s">
        <v>107</v>
      </c>
      <c r="F344" s="312">
        <v>1825</v>
      </c>
      <c r="G344" s="312" t="s">
        <v>108</v>
      </c>
      <c r="H344" s="312">
        <v>1827</v>
      </c>
      <c r="I344" s="312" t="s">
        <v>107</v>
      </c>
      <c r="J344" s="312">
        <v>1913</v>
      </c>
      <c r="K344" s="312" t="s">
        <v>109</v>
      </c>
    </row>
    <row r="345" spans="1:11">
      <c r="A345" s="312" t="s">
        <v>880</v>
      </c>
      <c r="B345" s="312" t="s">
        <v>881</v>
      </c>
      <c r="C345" s="312" t="s">
        <v>105</v>
      </c>
      <c r="D345" s="312" t="s">
        <v>517</v>
      </c>
      <c r="E345" s="312" t="s">
        <v>107</v>
      </c>
      <c r="F345" s="312">
        <v>1825</v>
      </c>
      <c r="G345" s="312" t="s">
        <v>108</v>
      </c>
      <c r="H345" s="312">
        <v>1827</v>
      </c>
      <c r="I345" s="312" t="s">
        <v>107</v>
      </c>
      <c r="J345" s="312">
        <v>1913</v>
      </c>
      <c r="K345" s="312" t="s">
        <v>109</v>
      </c>
    </row>
    <row r="346" spans="1:11">
      <c r="A346" s="312" t="s">
        <v>882</v>
      </c>
      <c r="B346" s="312" t="s">
        <v>883</v>
      </c>
      <c r="C346" s="312" t="s">
        <v>105</v>
      </c>
      <c r="D346" s="312" t="s">
        <v>228</v>
      </c>
      <c r="E346" s="312" t="s">
        <v>167</v>
      </c>
      <c r="F346" s="312">
        <v>1705</v>
      </c>
      <c r="G346" s="312" t="s">
        <v>168</v>
      </c>
      <c r="H346" s="312">
        <v>1707</v>
      </c>
      <c r="I346" s="312" t="s">
        <v>167</v>
      </c>
      <c r="J346" s="312">
        <v>1899</v>
      </c>
      <c r="K346" s="312" t="s">
        <v>169</v>
      </c>
    </row>
    <row r="347" spans="1:11">
      <c r="A347" s="312" t="s">
        <v>884</v>
      </c>
      <c r="B347" s="312" t="s">
        <v>885</v>
      </c>
      <c r="C347" s="312" t="s">
        <v>105</v>
      </c>
      <c r="D347" s="312" t="s">
        <v>848</v>
      </c>
      <c r="E347" s="312" t="s">
        <v>886</v>
      </c>
      <c r="F347" s="312">
        <v>1857</v>
      </c>
      <c r="G347" s="312" t="s">
        <v>887</v>
      </c>
      <c r="H347" s="312">
        <v>1858</v>
      </c>
      <c r="I347" s="312" t="s">
        <v>886</v>
      </c>
      <c r="J347" s="312">
        <v>1924</v>
      </c>
      <c r="K347" s="312" t="s">
        <v>888</v>
      </c>
    </row>
    <row r="348" spans="1:11">
      <c r="A348" s="312" t="s">
        <v>889</v>
      </c>
      <c r="B348" s="312" t="s">
        <v>890</v>
      </c>
      <c r="C348" s="312" t="s">
        <v>105</v>
      </c>
      <c r="D348" s="312" t="s">
        <v>891</v>
      </c>
      <c r="E348" s="312" t="s">
        <v>320</v>
      </c>
      <c r="F348" s="312">
        <v>1716</v>
      </c>
      <c r="G348" s="312" t="s">
        <v>321</v>
      </c>
      <c r="H348" s="312">
        <v>1725</v>
      </c>
      <c r="I348" s="312" t="s">
        <v>320</v>
      </c>
      <c r="J348" s="312">
        <v>1910</v>
      </c>
      <c r="K348" s="312" t="s">
        <v>322</v>
      </c>
    </row>
    <row r="349" spans="1:11">
      <c r="A349" s="312" t="s">
        <v>892</v>
      </c>
      <c r="B349" s="312" t="s">
        <v>893</v>
      </c>
      <c r="C349" s="312" t="s">
        <v>105</v>
      </c>
      <c r="D349" s="312" t="s">
        <v>891</v>
      </c>
      <c r="E349" s="312" t="s">
        <v>320</v>
      </c>
      <c r="F349" s="312">
        <v>1716</v>
      </c>
      <c r="G349" s="312" t="s">
        <v>321</v>
      </c>
      <c r="H349" s="312">
        <v>1725</v>
      </c>
      <c r="I349" s="312" t="s">
        <v>320</v>
      </c>
      <c r="J349" s="312">
        <v>1910</v>
      </c>
      <c r="K349" s="312" t="s">
        <v>322</v>
      </c>
    </row>
    <row r="350" spans="1:11">
      <c r="A350" s="312" t="s">
        <v>894</v>
      </c>
      <c r="B350" s="312" t="s">
        <v>895</v>
      </c>
      <c r="C350" s="312" t="s">
        <v>105</v>
      </c>
      <c r="D350" s="312" t="s">
        <v>891</v>
      </c>
      <c r="E350" s="312" t="s">
        <v>320</v>
      </c>
      <c r="F350" s="312">
        <v>1716</v>
      </c>
      <c r="G350" s="312" t="s">
        <v>321</v>
      </c>
      <c r="H350" s="312">
        <v>1725</v>
      </c>
      <c r="I350" s="312" t="s">
        <v>320</v>
      </c>
      <c r="J350" s="312">
        <v>1910</v>
      </c>
      <c r="K350" s="312" t="s">
        <v>322</v>
      </c>
    </row>
    <row r="351" spans="1:11">
      <c r="A351" s="312" t="s">
        <v>896</v>
      </c>
      <c r="B351" s="312" t="s">
        <v>897</v>
      </c>
      <c r="C351" s="312" t="s">
        <v>105</v>
      </c>
      <c r="D351" s="312" t="s">
        <v>891</v>
      </c>
      <c r="E351" s="312" t="s">
        <v>320</v>
      </c>
      <c r="F351" s="312">
        <v>1716</v>
      </c>
      <c r="G351" s="312" t="s">
        <v>321</v>
      </c>
      <c r="H351" s="312">
        <v>1725</v>
      </c>
      <c r="I351" s="312" t="s">
        <v>320</v>
      </c>
      <c r="J351" s="312">
        <v>1910</v>
      </c>
      <c r="K351" s="312" t="s">
        <v>322</v>
      </c>
    </row>
    <row r="352" spans="1:11">
      <c r="A352" s="312" t="s">
        <v>898</v>
      </c>
      <c r="B352" s="312" t="s">
        <v>899</v>
      </c>
      <c r="C352" s="312" t="s">
        <v>105</v>
      </c>
      <c r="D352" s="312" t="s">
        <v>891</v>
      </c>
      <c r="E352" s="312" t="s">
        <v>107</v>
      </c>
      <c r="F352" s="312">
        <v>1825</v>
      </c>
      <c r="G352" s="312" t="s">
        <v>108</v>
      </c>
      <c r="H352" s="312">
        <v>1827</v>
      </c>
      <c r="I352" s="312" t="s">
        <v>107</v>
      </c>
      <c r="J352" s="312">
        <v>1913</v>
      </c>
      <c r="K352" s="312" t="s">
        <v>109</v>
      </c>
    </row>
    <row r="353" spans="1:11">
      <c r="A353" s="312" t="s">
        <v>900</v>
      </c>
      <c r="B353" s="312" t="s">
        <v>901</v>
      </c>
      <c r="C353" s="312" t="s">
        <v>105</v>
      </c>
      <c r="D353" s="312" t="s">
        <v>902</v>
      </c>
      <c r="E353" s="312" t="s">
        <v>320</v>
      </c>
      <c r="F353" s="312">
        <v>1716</v>
      </c>
      <c r="G353" s="312" t="s">
        <v>321</v>
      </c>
      <c r="H353" s="312">
        <v>1725</v>
      </c>
      <c r="I353" s="312" t="s">
        <v>320</v>
      </c>
      <c r="J353" s="312">
        <v>1910</v>
      </c>
      <c r="K353" s="312" t="s">
        <v>322</v>
      </c>
    </row>
    <row r="354" spans="1:11">
      <c r="A354" s="312" t="s">
        <v>903</v>
      </c>
      <c r="B354" s="312" t="s">
        <v>904</v>
      </c>
      <c r="C354" s="312" t="s">
        <v>105</v>
      </c>
      <c r="D354" s="312" t="s">
        <v>902</v>
      </c>
      <c r="E354" s="312" t="s">
        <v>107</v>
      </c>
      <c r="F354" s="312">
        <v>1825</v>
      </c>
      <c r="G354" s="312" t="s">
        <v>108</v>
      </c>
      <c r="H354" s="312">
        <v>1827</v>
      </c>
      <c r="I354" s="312" t="s">
        <v>107</v>
      </c>
      <c r="J354" s="312">
        <v>1913</v>
      </c>
      <c r="K354" s="312" t="s">
        <v>109</v>
      </c>
    </row>
    <row r="355" spans="1:11">
      <c r="A355" s="312" t="s">
        <v>905</v>
      </c>
      <c r="B355" s="312" t="s">
        <v>906</v>
      </c>
      <c r="C355" s="312" t="s">
        <v>105</v>
      </c>
      <c r="D355" s="312" t="s">
        <v>312</v>
      </c>
      <c r="E355" s="312" t="s">
        <v>107</v>
      </c>
      <c r="F355" s="312">
        <v>1825</v>
      </c>
      <c r="G355" s="312" t="s">
        <v>108</v>
      </c>
      <c r="H355" s="312">
        <v>1827</v>
      </c>
      <c r="I355" s="312" t="s">
        <v>107</v>
      </c>
      <c r="J355" s="312">
        <v>1913</v>
      </c>
      <c r="K355" s="312" t="s">
        <v>109</v>
      </c>
    </row>
    <row r="356" spans="1:11">
      <c r="A356" s="312" t="s">
        <v>907</v>
      </c>
      <c r="B356" s="312" t="s">
        <v>908</v>
      </c>
      <c r="C356" s="312" t="s">
        <v>105</v>
      </c>
      <c r="D356" s="312" t="s">
        <v>114</v>
      </c>
      <c r="E356" s="312" t="s">
        <v>107</v>
      </c>
      <c r="F356" s="312">
        <v>1825</v>
      </c>
      <c r="G356" s="312" t="s">
        <v>108</v>
      </c>
      <c r="H356" s="312">
        <v>1827</v>
      </c>
      <c r="I356" s="312" t="s">
        <v>107</v>
      </c>
      <c r="J356" s="312">
        <v>1913</v>
      </c>
      <c r="K356" s="312" t="s">
        <v>109</v>
      </c>
    </row>
    <row r="357" spans="1:11">
      <c r="A357" s="312" t="s">
        <v>909</v>
      </c>
      <c r="B357" s="312" t="s">
        <v>910</v>
      </c>
      <c r="C357" s="312" t="s">
        <v>105</v>
      </c>
      <c r="D357" s="312" t="s">
        <v>312</v>
      </c>
      <c r="E357" s="312" t="s">
        <v>107</v>
      </c>
      <c r="F357" s="312">
        <v>1825</v>
      </c>
      <c r="G357" s="312" t="s">
        <v>108</v>
      </c>
      <c r="H357" s="312">
        <v>1827</v>
      </c>
      <c r="I357" s="312" t="s">
        <v>107</v>
      </c>
      <c r="J357" s="312">
        <v>1913</v>
      </c>
      <c r="K357" s="312" t="s">
        <v>109</v>
      </c>
    </row>
    <row r="358" spans="1:11">
      <c r="A358" s="312" t="s">
        <v>911</v>
      </c>
      <c r="B358" s="312" t="s">
        <v>912</v>
      </c>
      <c r="C358" s="312" t="s">
        <v>105</v>
      </c>
      <c r="D358" s="312" t="s">
        <v>312</v>
      </c>
      <c r="E358" s="312" t="s">
        <v>107</v>
      </c>
      <c r="F358" s="312">
        <v>1825</v>
      </c>
      <c r="G358" s="312" t="s">
        <v>108</v>
      </c>
      <c r="H358" s="312">
        <v>1827</v>
      </c>
      <c r="I358" s="312" t="s">
        <v>107</v>
      </c>
      <c r="J358" s="312">
        <v>1913</v>
      </c>
      <c r="K358" s="312" t="s">
        <v>109</v>
      </c>
    </row>
    <row r="359" spans="1:11">
      <c r="A359" s="312" t="s">
        <v>913</v>
      </c>
      <c r="B359" s="312" t="s">
        <v>914</v>
      </c>
      <c r="C359" s="312" t="s">
        <v>105</v>
      </c>
      <c r="D359" s="312" t="s">
        <v>114</v>
      </c>
      <c r="E359" s="312" t="s">
        <v>107</v>
      </c>
      <c r="F359" s="312">
        <v>1825</v>
      </c>
      <c r="G359" s="312" t="s">
        <v>108</v>
      </c>
      <c r="H359" s="312">
        <v>1827</v>
      </c>
      <c r="I359" s="312" t="s">
        <v>107</v>
      </c>
      <c r="J359" s="312">
        <v>1913</v>
      </c>
      <c r="K359" s="312" t="s">
        <v>109</v>
      </c>
    </row>
    <row r="360" spans="1:11">
      <c r="A360" s="312" t="s">
        <v>915</v>
      </c>
      <c r="B360" s="312" t="s">
        <v>916</v>
      </c>
      <c r="C360" s="312" t="s">
        <v>105</v>
      </c>
      <c r="D360" s="312" t="s">
        <v>114</v>
      </c>
      <c r="E360" s="312" t="s">
        <v>107</v>
      </c>
      <c r="F360" s="312">
        <v>1825</v>
      </c>
      <c r="G360" s="312" t="s">
        <v>108</v>
      </c>
      <c r="H360" s="312">
        <v>1827</v>
      </c>
      <c r="I360" s="312" t="s">
        <v>107</v>
      </c>
      <c r="J360" s="312">
        <v>1913</v>
      </c>
      <c r="K360" s="312" t="s">
        <v>109</v>
      </c>
    </row>
    <row r="361" spans="1:11">
      <c r="A361" s="312" t="s">
        <v>917</v>
      </c>
      <c r="B361" s="312" t="s">
        <v>918</v>
      </c>
      <c r="C361" s="312" t="s">
        <v>105</v>
      </c>
      <c r="D361" s="312" t="s">
        <v>114</v>
      </c>
      <c r="E361" s="312" t="s">
        <v>107</v>
      </c>
      <c r="F361" s="312">
        <v>1825</v>
      </c>
      <c r="G361" s="312" t="s">
        <v>108</v>
      </c>
      <c r="H361" s="312">
        <v>1827</v>
      </c>
      <c r="I361" s="312" t="s">
        <v>107</v>
      </c>
      <c r="J361" s="312">
        <v>1913</v>
      </c>
      <c r="K361" s="312" t="s">
        <v>109</v>
      </c>
    </row>
    <row r="362" spans="1:11">
      <c r="A362" s="312" t="s">
        <v>919</v>
      </c>
      <c r="B362" s="312" t="s">
        <v>920</v>
      </c>
      <c r="C362" s="312" t="s">
        <v>105</v>
      </c>
      <c r="D362" s="312" t="s">
        <v>438</v>
      </c>
      <c r="E362" s="312" t="s">
        <v>107</v>
      </c>
      <c r="F362" s="312">
        <v>1825</v>
      </c>
      <c r="G362" s="312" t="s">
        <v>108</v>
      </c>
      <c r="H362" s="312">
        <v>1827</v>
      </c>
      <c r="I362" s="312" t="s">
        <v>107</v>
      </c>
      <c r="J362" s="312">
        <v>1913</v>
      </c>
      <c r="K362" s="312" t="s">
        <v>109</v>
      </c>
    </row>
    <row r="363" spans="1:11">
      <c r="A363" s="312" t="s">
        <v>921</v>
      </c>
      <c r="B363" s="312" t="s">
        <v>922</v>
      </c>
      <c r="C363" s="312" t="s">
        <v>105</v>
      </c>
      <c r="D363" s="312" t="s">
        <v>711</v>
      </c>
      <c r="E363" s="312" t="s">
        <v>107</v>
      </c>
      <c r="F363" s="312">
        <v>1825</v>
      </c>
      <c r="G363" s="312" t="s">
        <v>108</v>
      </c>
      <c r="H363" s="312">
        <v>1827</v>
      </c>
      <c r="I363" s="312" t="s">
        <v>107</v>
      </c>
      <c r="J363" s="312">
        <v>1913</v>
      </c>
      <c r="K363" s="312" t="s">
        <v>109</v>
      </c>
    </row>
    <row r="364" spans="1:11">
      <c r="A364" s="312" t="s">
        <v>923</v>
      </c>
      <c r="B364" s="312" t="s">
        <v>924</v>
      </c>
      <c r="C364" s="312" t="s">
        <v>105</v>
      </c>
      <c r="D364" s="312" t="s">
        <v>404</v>
      </c>
      <c r="E364" s="312" t="s">
        <v>107</v>
      </c>
      <c r="F364" s="312">
        <v>1825</v>
      </c>
      <c r="G364" s="312" t="s">
        <v>108</v>
      </c>
      <c r="H364" s="312">
        <v>1827</v>
      </c>
      <c r="I364" s="312" t="s">
        <v>107</v>
      </c>
      <c r="J364" s="312">
        <v>1913</v>
      </c>
      <c r="K364" s="312" t="s">
        <v>109</v>
      </c>
    </row>
    <row r="365" spans="1:11">
      <c r="A365" s="312" t="s">
        <v>925</v>
      </c>
      <c r="B365" s="312" t="s">
        <v>926</v>
      </c>
      <c r="C365" s="312" t="s">
        <v>105</v>
      </c>
      <c r="D365" s="312" t="s">
        <v>769</v>
      </c>
      <c r="E365" s="312" t="s">
        <v>107</v>
      </c>
      <c r="F365" s="312">
        <v>1825</v>
      </c>
      <c r="G365" s="312" t="s">
        <v>108</v>
      </c>
      <c r="H365" s="312">
        <v>1827</v>
      </c>
      <c r="I365" s="312" t="s">
        <v>107</v>
      </c>
      <c r="J365" s="312">
        <v>1913</v>
      </c>
      <c r="K365" s="312" t="s">
        <v>109</v>
      </c>
    </row>
    <row r="366" spans="1:11">
      <c r="A366" s="312" t="s">
        <v>927</v>
      </c>
      <c r="B366" s="312" t="s">
        <v>928</v>
      </c>
      <c r="C366" s="312" t="s">
        <v>105</v>
      </c>
      <c r="D366" s="312" t="s">
        <v>114</v>
      </c>
      <c r="E366" s="312" t="s">
        <v>107</v>
      </c>
      <c r="F366" s="312">
        <v>1825</v>
      </c>
      <c r="G366" s="312" t="s">
        <v>108</v>
      </c>
      <c r="H366" s="312">
        <v>1827</v>
      </c>
      <c r="I366" s="312" t="s">
        <v>107</v>
      </c>
      <c r="J366" s="312">
        <v>1913</v>
      </c>
      <c r="K366" s="312" t="s">
        <v>109</v>
      </c>
    </row>
    <row r="367" spans="1:11">
      <c r="A367" s="312" t="s">
        <v>929</v>
      </c>
      <c r="B367" s="312" t="s">
        <v>930</v>
      </c>
      <c r="C367" s="312" t="s">
        <v>105</v>
      </c>
      <c r="D367" s="312" t="s">
        <v>114</v>
      </c>
      <c r="E367" s="312" t="s">
        <v>107</v>
      </c>
      <c r="F367" s="312">
        <v>1825</v>
      </c>
      <c r="G367" s="312" t="s">
        <v>108</v>
      </c>
      <c r="H367" s="312">
        <v>1827</v>
      </c>
      <c r="I367" s="312" t="s">
        <v>107</v>
      </c>
      <c r="J367" s="312">
        <v>1913</v>
      </c>
      <c r="K367" s="312" t="s">
        <v>109</v>
      </c>
    </row>
    <row r="368" spans="1:11">
      <c r="A368" s="312" t="s">
        <v>931</v>
      </c>
      <c r="B368" s="312" t="s">
        <v>932</v>
      </c>
      <c r="C368" s="312" t="s">
        <v>105</v>
      </c>
      <c r="D368" s="312" t="s">
        <v>114</v>
      </c>
      <c r="E368" s="312" t="s">
        <v>107</v>
      </c>
      <c r="F368" s="312">
        <v>1825</v>
      </c>
      <c r="G368" s="312" t="s">
        <v>108</v>
      </c>
      <c r="H368" s="312">
        <v>1827</v>
      </c>
      <c r="I368" s="312" t="s">
        <v>107</v>
      </c>
      <c r="J368" s="312">
        <v>1913</v>
      </c>
      <c r="K368" s="312" t="s">
        <v>109</v>
      </c>
    </row>
    <row r="369" spans="1:11">
      <c r="A369" s="312" t="s">
        <v>933</v>
      </c>
      <c r="B369" s="312" t="s">
        <v>934</v>
      </c>
      <c r="C369" s="312" t="s">
        <v>105</v>
      </c>
      <c r="D369" s="312" t="s">
        <v>404</v>
      </c>
      <c r="E369" s="312" t="s">
        <v>107</v>
      </c>
      <c r="F369" s="312">
        <v>1825</v>
      </c>
      <c r="G369" s="312" t="s">
        <v>108</v>
      </c>
      <c r="H369" s="312">
        <v>1827</v>
      </c>
      <c r="I369" s="312" t="s">
        <v>107</v>
      </c>
      <c r="J369" s="312">
        <v>1913</v>
      </c>
      <c r="K369" s="312" t="s">
        <v>109</v>
      </c>
    </row>
    <row r="370" spans="1:11">
      <c r="A370" s="312" t="s">
        <v>935</v>
      </c>
      <c r="B370" s="312" t="s">
        <v>936</v>
      </c>
      <c r="C370" s="312" t="s">
        <v>105</v>
      </c>
      <c r="D370" s="312" t="s">
        <v>746</v>
      </c>
      <c r="E370" s="312" t="s">
        <v>107</v>
      </c>
      <c r="F370" s="312">
        <v>1825</v>
      </c>
      <c r="G370" s="312" t="s">
        <v>108</v>
      </c>
      <c r="H370" s="312">
        <v>1827</v>
      </c>
      <c r="I370" s="312" t="s">
        <v>107</v>
      </c>
      <c r="J370" s="312">
        <v>1913</v>
      </c>
      <c r="K370" s="312" t="s">
        <v>109</v>
      </c>
    </row>
    <row r="371" spans="1:11">
      <c r="A371" s="312" t="s">
        <v>937</v>
      </c>
      <c r="B371" s="312" t="s">
        <v>938</v>
      </c>
      <c r="C371" s="312" t="s">
        <v>105</v>
      </c>
      <c r="D371" s="312" t="s">
        <v>252</v>
      </c>
      <c r="E371" s="312" t="s">
        <v>939</v>
      </c>
      <c r="F371" s="312">
        <v>1685</v>
      </c>
      <c r="G371" s="312" t="s">
        <v>940</v>
      </c>
      <c r="H371" s="312">
        <v>1688</v>
      </c>
      <c r="I371" s="312" t="s">
        <v>939</v>
      </c>
      <c r="J371" s="312">
        <v>1923</v>
      </c>
      <c r="K371" s="312" t="s">
        <v>941</v>
      </c>
    </row>
    <row r="372" spans="1:11">
      <c r="A372" s="312" t="s">
        <v>942</v>
      </c>
      <c r="B372" s="312" t="s">
        <v>943</v>
      </c>
      <c r="C372" s="312" t="s">
        <v>105</v>
      </c>
      <c r="D372" s="312" t="s">
        <v>891</v>
      </c>
      <c r="E372" s="312" t="s">
        <v>107</v>
      </c>
      <c r="F372" s="312">
        <v>1825</v>
      </c>
      <c r="G372" s="312" t="s">
        <v>108</v>
      </c>
      <c r="H372" s="312">
        <v>1827</v>
      </c>
      <c r="I372" s="312" t="s">
        <v>107</v>
      </c>
      <c r="J372" s="312">
        <v>1913</v>
      </c>
      <c r="K372" s="312" t="s">
        <v>109</v>
      </c>
    </row>
    <row r="373" spans="1:11">
      <c r="A373" s="312" t="s">
        <v>944</v>
      </c>
      <c r="B373" s="312" t="s">
        <v>945</v>
      </c>
      <c r="C373" s="312" t="s">
        <v>105</v>
      </c>
      <c r="D373" s="312" t="s">
        <v>891</v>
      </c>
      <c r="E373" s="312" t="s">
        <v>107</v>
      </c>
      <c r="F373" s="312">
        <v>1825</v>
      </c>
      <c r="G373" s="312" t="s">
        <v>108</v>
      </c>
      <c r="H373" s="312">
        <v>1827</v>
      </c>
      <c r="I373" s="312" t="s">
        <v>107</v>
      </c>
      <c r="J373" s="312">
        <v>1913</v>
      </c>
      <c r="K373" s="312" t="s">
        <v>109</v>
      </c>
    </row>
    <row r="374" spans="1:11">
      <c r="A374" s="312" t="s">
        <v>946</v>
      </c>
      <c r="B374" s="312" t="s">
        <v>947</v>
      </c>
      <c r="C374" s="312" t="s">
        <v>105</v>
      </c>
      <c r="D374" s="312" t="s">
        <v>891</v>
      </c>
      <c r="E374" s="312" t="s">
        <v>107</v>
      </c>
      <c r="F374" s="312">
        <v>1825</v>
      </c>
      <c r="G374" s="312" t="s">
        <v>108</v>
      </c>
      <c r="H374" s="312">
        <v>1827</v>
      </c>
      <c r="I374" s="312" t="s">
        <v>107</v>
      </c>
      <c r="J374" s="312">
        <v>1913</v>
      </c>
      <c r="K374" s="312" t="s">
        <v>109</v>
      </c>
    </row>
    <row r="375" spans="1:11">
      <c r="A375" s="312" t="s">
        <v>948</v>
      </c>
      <c r="B375" s="312" t="s">
        <v>949</v>
      </c>
      <c r="C375" s="312" t="s">
        <v>105</v>
      </c>
      <c r="D375" s="312" t="s">
        <v>891</v>
      </c>
      <c r="E375" s="312" t="s">
        <v>107</v>
      </c>
      <c r="F375" s="312">
        <v>1825</v>
      </c>
      <c r="G375" s="312" t="s">
        <v>108</v>
      </c>
      <c r="H375" s="312">
        <v>1827</v>
      </c>
      <c r="I375" s="312" t="s">
        <v>107</v>
      </c>
      <c r="J375" s="312">
        <v>1913</v>
      </c>
      <c r="K375" s="312" t="s">
        <v>109</v>
      </c>
    </row>
    <row r="376" spans="1:11">
      <c r="A376" s="312" t="s">
        <v>950</v>
      </c>
      <c r="B376" s="312" t="s">
        <v>951</v>
      </c>
      <c r="C376" s="312" t="s">
        <v>105</v>
      </c>
      <c r="D376" s="312" t="s">
        <v>891</v>
      </c>
      <c r="E376" s="312" t="s">
        <v>107</v>
      </c>
      <c r="F376" s="312">
        <v>1825</v>
      </c>
      <c r="G376" s="312" t="s">
        <v>108</v>
      </c>
      <c r="H376" s="312">
        <v>1827</v>
      </c>
      <c r="I376" s="312" t="s">
        <v>107</v>
      </c>
      <c r="J376" s="312">
        <v>1913</v>
      </c>
      <c r="K376" s="312" t="s">
        <v>109</v>
      </c>
    </row>
    <row r="377" spans="1:11">
      <c r="A377" s="312" t="s">
        <v>952</v>
      </c>
      <c r="B377" s="312" t="s">
        <v>953</v>
      </c>
      <c r="C377" s="312" t="s">
        <v>105</v>
      </c>
      <c r="D377" s="312" t="s">
        <v>891</v>
      </c>
      <c r="E377" s="312" t="s">
        <v>107</v>
      </c>
      <c r="F377" s="312">
        <v>1825</v>
      </c>
      <c r="G377" s="312" t="s">
        <v>108</v>
      </c>
      <c r="H377" s="312">
        <v>1827</v>
      </c>
      <c r="I377" s="312" t="s">
        <v>107</v>
      </c>
      <c r="J377" s="312">
        <v>1913</v>
      </c>
      <c r="K377" s="312" t="s">
        <v>109</v>
      </c>
    </row>
    <row r="378" spans="1:11">
      <c r="A378" s="312" t="s">
        <v>954</v>
      </c>
      <c r="B378" s="312" t="s">
        <v>955</v>
      </c>
      <c r="C378" s="312" t="s">
        <v>105</v>
      </c>
      <c r="D378" s="312" t="s">
        <v>106</v>
      </c>
      <c r="E378" s="312" t="s">
        <v>107</v>
      </c>
      <c r="F378" s="312">
        <v>1825</v>
      </c>
      <c r="G378" s="312" t="s">
        <v>108</v>
      </c>
      <c r="H378" s="312">
        <v>1827</v>
      </c>
      <c r="I378" s="312" t="s">
        <v>107</v>
      </c>
      <c r="J378" s="312">
        <v>1913</v>
      </c>
      <c r="K378" s="312" t="s">
        <v>109</v>
      </c>
    </row>
    <row r="379" spans="1:11">
      <c r="A379" s="312" t="s">
        <v>956</v>
      </c>
      <c r="B379" s="1" t="s">
        <v>957</v>
      </c>
      <c r="C379" s="312" t="s">
        <v>105</v>
      </c>
      <c r="D379" s="312" t="s">
        <v>114</v>
      </c>
      <c r="E379" s="312" t="s">
        <v>107</v>
      </c>
      <c r="F379" s="312">
        <v>1825</v>
      </c>
      <c r="G379" s="312" t="s">
        <v>108</v>
      </c>
      <c r="H379" s="312">
        <v>1827</v>
      </c>
      <c r="I379" s="312" t="s">
        <v>107</v>
      </c>
      <c r="J379" s="312">
        <v>1913</v>
      </c>
      <c r="K379" s="312" t="s">
        <v>109</v>
      </c>
    </row>
    <row r="380" spans="1:11">
      <c r="A380" s="312" t="s">
        <v>958</v>
      </c>
      <c r="B380" s="312" t="s">
        <v>959</v>
      </c>
      <c r="C380" s="312" t="s">
        <v>105</v>
      </c>
      <c r="D380" s="312" t="s">
        <v>404</v>
      </c>
      <c r="E380" s="312" t="s">
        <v>107</v>
      </c>
      <c r="F380" s="312">
        <v>1825</v>
      </c>
      <c r="G380" s="312" t="s">
        <v>108</v>
      </c>
      <c r="H380" s="312">
        <v>1827</v>
      </c>
      <c r="I380" s="312" t="s">
        <v>107</v>
      </c>
      <c r="J380" s="312">
        <v>1913</v>
      </c>
      <c r="K380" s="312" t="s">
        <v>109</v>
      </c>
    </row>
    <row r="381" spans="1:11">
      <c r="A381" s="312" t="s">
        <v>960</v>
      </c>
      <c r="B381" s="312" t="s">
        <v>961</v>
      </c>
      <c r="C381" s="312" t="s">
        <v>105</v>
      </c>
      <c r="D381" s="312" t="s">
        <v>114</v>
      </c>
      <c r="E381" s="312" t="s">
        <v>107</v>
      </c>
      <c r="F381" s="312">
        <v>1825</v>
      </c>
      <c r="G381" s="312" t="s">
        <v>108</v>
      </c>
      <c r="H381" s="312">
        <v>1827</v>
      </c>
      <c r="I381" s="312" t="s">
        <v>107</v>
      </c>
      <c r="J381" s="312">
        <v>1913</v>
      </c>
      <c r="K381" s="312" t="s">
        <v>109</v>
      </c>
    </row>
    <row r="382" spans="1:11">
      <c r="A382" s="312" t="s">
        <v>962</v>
      </c>
      <c r="B382" s="312" t="s">
        <v>963</v>
      </c>
      <c r="C382" s="312" t="s">
        <v>105</v>
      </c>
      <c r="D382" s="312" t="s">
        <v>114</v>
      </c>
      <c r="E382" s="312" t="s">
        <v>107</v>
      </c>
      <c r="F382" s="312">
        <v>1825</v>
      </c>
      <c r="G382" s="312" t="s">
        <v>108</v>
      </c>
      <c r="H382" s="312">
        <v>1827</v>
      </c>
      <c r="I382" s="312" t="s">
        <v>107</v>
      </c>
      <c r="J382" s="312">
        <v>1913</v>
      </c>
      <c r="K382" s="312" t="s">
        <v>109</v>
      </c>
    </row>
    <row r="383" spans="1:11">
      <c r="A383" s="312" t="s">
        <v>964</v>
      </c>
      <c r="B383" s="312" t="s">
        <v>965</v>
      </c>
      <c r="C383" s="312" t="s">
        <v>105</v>
      </c>
      <c r="D383" s="312" t="s">
        <v>746</v>
      </c>
      <c r="E383" s="312" t="s">
        <v>107</v>
      </c>
      <c r="F383" s="312">
        <v>1825</v>
      </c>
      <c r="G383" s="312" t="s">
        <v>108</v>
      </c>
      <c r="H383" s="312">
        <v>1827</v>
      </c>
      <c r="I383" s="312" t="s">
        <v>107</v>
      </c>
      <c r="J383" s="312">
        <v>1913</v>
      </c>
      <c r="K383" s="312" t="s">
        <v>109</v>
      </c>
    </row>
    <row r="384" spans="1:11">
      <c r="A384" s="312" t="s">
        <v>966</v>
      </c>
      <c r="B384" s="312" t="s">
        <v>967</v>
      </c>
      <c r="C384" s="312" t="s">
        <v>105</v>
      </c>
      <c r="D384" s="312" t="s">
        <v>114</v>
      </c>
      <c r="E384" s="312" t="s">
        <v>107</v>
      </c>
      <c r="F384" s="312">
        <v>1825</v>
      </c>
      <c r="G384" s="312" t="s">
        <v>108</v>
      </c>
      <c r="H384" s="312">
        <v>1827</v>
      </c>
      <c r="I384" s="312" t="s">
        <v>107</v>
      </c>
      <c r="J384" s="312">
        <v>1913</v>
      </c>
      <c r="K384" s="312" t="s">
        <v>109</v>
      </c>
    </row>
    <row r="385" spans="1:11">
      <c r="A385" s="312" t="s">
        <v>968</v>
      </c>
      <c r="B385" s="312" t="s">
        <v>969</v>
      </c>
      <c r="C385" s="312" t="s">
        <v>105</v>
      </c>
      <c r="D385" s="312" t="s">
        <v>114</v>
      </c>
      <c r="E385" s="312" t="s">
        <v>107</v>
      </c>
      <c r="F385" s="312">
        <v>1825</v>
      </c>
      <c r="G385" s="312" t="s">
        <v>108</v>
      </c>
      <c r="H385" s="312">
        <v>1827</v>
      </c>
      <c r="I385" s="312" t="s">
        <v>107</v>
      </c>
      <c r="J385" s="312">
        <v>1913</v>
      </c>
      <c r="K385" s="312" t="s">
        <v>109</v>
      </c>
    </row>
    <row r="386" spans="1:11">
      <c r="A386" s="312" t="s">
        <v>970</v>
      </c>
      <c r="B386" s="312" t="s">
        <v>971</v>
      </c>
      <c r="C386" s="312" t="s">
        <v>105</v>
      </c>
      <c r="D386" s="312" t="s">
        <v>114</v>
      </c>
      <c r="E386" s="312" t="s">
        <v>107</v>
      </c>
      <c r="F386" s="312">
        <v>1825</v>
      </c>
      <c r="G386" s="312" t="s">
        <v>108</v>
      </c>
      <c r="H386" s="312">
        <v>1827</v>
      </c>
      <c r="I386" s="312" t="s">
        <v>107</v>
      </c>
      <c r="J386" s="312">
        <v>1913</v>
      </c>
      <c r="K386" s="312" t="s">
        <v>109</v>
      </c>
    </row>
    <row r="387" spans="1:11">
      <c r="A387" s="312" t="s">
        <v>972</v>
      </c>
      <c r="B387" s="312" t="s">
        <v>973</v>
      </c>
      <c r="C387" s="312" t="s">
        <v>105</v>
      </c>
      <c r="D387" s="312" t="s">
        <v>517</v>
      </c>
      <c r="E387" s="312" t="s">
        <v>107</v>
      </c>
      <c r="F387" s="312">
        <v>1825</v>
      </c>
      <c r="G387" s="312" t="s">
        <v>108</v>
      </c>
      <c r="H387" s="312">
        <v>1827</v>
      </c>
      <c r="I387" s="312" t="s">
        <v>107</v>
      </c>
      <c r="J387" s="312">
        <v>1913</v>
      </c>
      <c r="K387" s="312" t="s">
        <v>109</v>
      </c>
    </row>
    <row r="388" spans="1:11">
      <c r="A388" s="312" t="s">
        <v>974</v>
      </c>
      <c r="B388" s="312" t="s">
        <v>975</v>
      </c>
      <c r="C388" s="312" t="s">
        <v>105</v>
      </c>
      <c r="D388" s="312" t="s">
        <v>587</v>
      </c>
      <c r="E388" s="312" t="s">
        <v>107</v>
      </c>
      <c r="F388" s="312">
        <v>1825</v>
      </c>
      <c r="G388" s="312" t="s">
        <v>108</v>
      </c>
      <c r="H388" s="312">
        <v>1827</v>
      </c>
      <c r="I388" s="312" t="s">
        <v>107</v>
      </c>
      <c r="J388" s="312">
        <v>1913</v>
      </c>
      <c r="K388" s="312" t="s">
        <v>109</v>
      </c>
    </row>
    <row r="389" spans="1:11">
      <c r="A389" s="312" t="s">
        <v>976</v>
      </c>
      <c r="B389" s="312" t="s">
        <v>977</v>
      </c>
      <c r="C389" s="312" t="s">
        <v>105</v>
      </c>
      <c r="D389" s="312" t="s">
        <v>517</v>
      </c>
      <c r="E389" s="312" t="s">
        <v>107</v>
      </c>
      <c r="F389" s="312">
        <v>1825</v>
      </c>
      <c r="G389" s="312" t="s">
        <v>108</v>
      </c>
      <c r="H389" s="312">
        <v>1827</v>
      </c>
      <c r="I389" s="312" t="s">
        <v>107</v>
      </c>
      <c r="J389" s="312">
        <v>1913</v>
      </c>
      <c r="K389" s="312" t="s">
        <v>109</v>
      </c>
    </row>
    <row r="390" spans="1:11">
      <c r="A390" s="312" t="s">
        <v>978</v>
      </c>
      <c r="B390" s="312" t="s">
        <v>979</v>
      </c>
      <c r="C390" s="312" t="s">
        <v>105</v>
      </c>
      <c r="D390" s="312" t="s">
        <v>678</v>
      </c>
      <c r="E390" s="312" t="s">
        <v>107</v>
      </c>
      <c r="F390" s="312">
        <v>1825</v>
      </c>
      <c r="G390" s="312" t="s">
        <v>108</v>
      </c>
      <c r="H390" s="312">
        <v>1827</v>
      </c>
      <c r="I390" s="312" t="s">
        <v>107</v>
      </c>
      <c r="J390" s="312">
        <v>1913</v>
      </c>
      <c r="K390" s="312" t="s">
        <v>109</v>
      </c>
    </row>
    <row r="391" spans="1:11">
      <c r="A391" s="312" t="s">
        <v>980</v>
      </c>
      <c r="B391" s="312" t="s">
        <v>981</v>
      </c>
      <c r="C391" s="312" t="s">
        <v>105</v>
      </c>
      <c r="D391" s="312" t="s">
        <v>678</v>
      </c>
      <c r="E391" s="312" t="s">
        <v>107</v>
      </c>
      <c r="F391" s="312">
        <v>1825</v>
      </c>
      <c r="G391" s="312" t="s">
        <v>108</v>
      </c>
      <c r="H391" s="312">
        <v>1827</v>
      </c>
      <c r="I391" s="312" t="s">
        <v>107</v>
      </c>
      <c r="J391" s="312">
        <v>1913</v>
      </c>
      <c r="K391" s="312" t="s">
        <v>109</v>
      </c>
    </row>
    <row r="392" spans="1:11">
      <c r="A392" s="312" t="s">
        <v>982</v>
      </c>
      <c r="B392" s="312" t="s">
        <v>983</v>
      </c>
      <c r="C392" s="312" t="s">
        <v>105</v>
      </c>
      <c r="D392" s="312" t="s">
        <v>305</v>
      </c>
      <c r="E392" s="312" t="s">
        <v>107</v>
      </c>
      <c r="F392" s="312">
        <v>1825</v>
      </c>
      <c r="G392" s="312" t="s">
        <v>108</v>
      </c>
      <c r="H392" s="312">
        <v>1827</v>
      </c>
      <c r="I392" s="312" t="s">
        <v>107</v>
      </c>
      <c r="J392" s="312">
        <v>1913</v>
      </c>
      <c r="K392" s="312" t="s">
        <v>109</v>
      </c>
    </row>
    <row r="393" spans="1:11">
      <c r="A393" s="312" t="s">
        <v>984</v>
      </c>
      <c r="B393" s="312" t="s">
        <v>985</v>
      </c>
      <c r="C393" s="312" t="s">
        <v>105</v>
      </c>
      <c r="D393" s="312" t="s">
        <v>603</v>
      </c>
      <c r="E393" s="312" t="s">
        <v>107</v>
      </c>
      <c r="F393" s="312">
        <v>1825</v>
      </c>
      <c r="G393" s="312" t="s">
        <v>108</v>
      </c>
      <c r="H393" s="312">
        <v>1827</v>
      </c>
      <c r="I393" s="312" t="s">
        <v>107</v>
      </c>
      <c r="J393" s="312">
        <v>1913</v>
      </c>
      <c r="K393" s="312" t="s">
        <v>109</v>
      </c>
    </row>
    <row r="394" spans="1:11">
      <c r="A394" s="312" t="s">
        <v>986</v>
      </c>
      <c r="B394" s="312" t="s">
        <v>987</v>
      </c>
      <c r="C394" s="312" t="s">
        <v>105</v>
      </c>
      <c r="D394" s="312" t="s">
        <v>352</v>
      </c>
      <c r="E394" s="312" t="s">
        <v>107</v>
      </c>
      <c r="F394" s="312">
        <v>1825</v>
      </c>
      <c r="G394" s="312" t="s">
        <v>108</v>
      </c>
      <c r="H394" s="312">
        <v>1827</v>
      </c>
      <c r="I394" s="312" t="s">
        <v>107</v>
      </c>
      <c r="J394" s="312">
        <v>1913</v>
      </c>
      <c r="K394" s="312" t="s">
        <v>109</v>
      </c>
    </row>
    <row r="395" spans="1:11">
      <c r="A395" s="312" t="s">
        <v>988</v>
      </c>
      <c r="B395" s="312" t="s">
        <v>989</v>
      </c>
      <c r="C395" s="312" t="s">
        <v>105</v>
      </c>
      <c r="D395" s="312" t="s">
        <v>352</v>
      </c>
      <c r="E395" s="312" t="s">
        <v>107</v>
      </c>
      <c r="F395" s="312">
        <v>1825</v>
      </c>
      <c r="G395" s="312" t="s">
        <v>108</v>
      </c>
      <c r="H395" s="312">
        <v>1827</v>
      </c>
      <c r="I395" s="312" t="s">
        <v>107</v>
      </c>
      <c r="J395" s="312">
        <v>1913</v>
      </c>
      <c r="K395" s="312" t="s">
        <v>109</v>
      </c>
    </row>
    <row r="396" spans="1:11">
      <c r="A396" s="312" t="s">
        <v>990</v>
      </c>
      <c r="B396" s="312" t="s">
        <v>991</v>
      </c>
      <c r="C396" s="312" t="s">
        <v>105</v>
      </c>
      <c r="D396" s="312" t="s">
        <v>352</v>
      </c>
      <c r="E396" s="312" t="s">
        <v>107</v>
      </c>
      <c r="F396" s="312">
        <v>1825</v>
      </c>
      <c r="G396" s="312" t="s">
        <v>108</v>
      </c>
      <c r="H396" s="312">
        <v>1827</v>
      </c>
      <c r="I396" s="312" t="s">
        <v>107</v>
      </c>
      <c r="J396" s="312">
        <v>1913</v>
      </c>
      <c r="K396" s="312" t="s">
        <v>109</v>
      </c>
    </row>
    <row r="397" spans="1:11">
      <c r="A397" s="312" t="s">
        <v>992</v>
      </c>
      <c r="B397" s="312" t="s">
        <v>993</v>
      </c>
      <c r="C397" s="312" t="s">
        <v>105</v>
      </c>
      <c r="D397" s="312" t="s">
        <v>352</v>
      </c>
      <c r="E397" s="312" t="s">
        <v>107</v>
      </c>
      <c r="F397" s="312">
        <v>1825</v>
      </c>
      <c r="G397" s="312" t="s">
        <v>108</v>
      </c>
      <c r="H397" s="312">
        <v>1827</v>
      </c>
      <c r="I397" s="312" t="s">
        <v>107</v>
      </c>
      <c r="J397" s="312">
        <v>1913</v>
      </c>
      <c r="K397" s="312" t="s">
        <v>109</v>
      </c>
    </row>
    <row r="398" spans="1:11">
      <c r="A398" s="312" t="s">
        <v>994</v>
      </c>
      <c r="B398" s="312" t="s">
        <v>995</v>
      </c>
      <c r="C398" s="312" t="s">
        <v>105</v>
      </c>
      <c r="D398" s="312" t="s">
        <v>352</v>
      </c>
      <c r="E398" s="312" t="s">
        <v>107</v>
      </c>
      <c r="F398" s="312">
        <v>1825</v>
      </c>
      <c r="G398" s="312" t="s">
        <v>108</v>
      </c>
      <c r="H398" s="312">
        <v>1827</v>
      </c>
      <c r="I398" s="312" t="s">
        <v>107</v>
      </c>
      <c r="J398" s="312">
        <v>1913</v>
      </c>
      <c r="K398" s="312" t="s">
        <v>109</v>
      </c>
    </row>
    <row r="399" spans="1:11">
      <c r="A399" s="312" t="s">
        <v>996</v>
      </c>
      <c r="B399" s="312" t="s">
        <v>997</v>
      </c>
      <c r="C399" s="312" t="s">
        <v>105</v>
      </c>
      <c r="D399" s="312" t="s">
        <v>352</v>
      </c>
      <c r="E399" s="312" t="s">
        <v>107</v>
      </c>
      <c r="F399" s="312">
        <v>1825</v>
      </c>
      <c r="G399" s="312" t="s">
        <v>108</v>
      </c>
      <c r="H399" s="312">
        <v>1827</v>
      </c>
      <c r="I399" s="312" t="s">
        <v>107</v>
      </c>
      <c r="J399" s="312">
        <v>1913</v>
      </c>
      <c r="K399" s="312" t="s">
        <v>109</v>
      </c>
    </row>
    <row r="400" spans="1:11">
      <c r="A400" s="312" t="s">
        <v>998</v>
      </c>
      <c r="B400" s="312" t="s">
        <v>999</v>
      </c>
      <c r="C400" s="312" t="s">
        <v>105</v>
      </c>
      <c r="D400" s="312" t="s">
        <v>352</v>
      </c>
      <c r="E400" s="312" t="s">
        <v>107</v>
      </c>
      <c r="F400" s="312">
        <v>1825</v>
      </c>
      <c r="G400" s="312" t="s">
        <v>108</v>
      </c>
      <c r="H400" s="312">
        <v>1827</v>
      </c>
      <c r="I400" s="312" t="s">
        <v>107</v>
      </c>
      <c r="J400" s="312">
        <v>1913</v>
      </c>
      <c r="K400" s="312" t="s">
        <v>109</v>
      </c>
    </row>
    <row r="401" spans="1:11">
      <c r="A401" s="312" t="s">
        <v>1000</v>
      </c>
      <c r="B401" s="312" t="s">
        <v>1001</v>
      </c>
      <c r="C401" s="312" t="s">
        <v>105</v>
      </c>
      <c r="D401" s="312" t="s">
        <v>352</v>
      </c>
      <c r="E401" s="312" t="s">
        <v>107</v>
      </c>
      <c r="F401" s="312">
        <v>1825</v>
      </c>
      <c r="G401" s="312" t="s">
        <v>108</v>
      </c>
      <c r="H401" s="312">
        <v>1827</v>
      </c>
      <c r="I401" s="312" t="s">
        <v>107</v>
      </c>
      <c r="J401" s="312">
        <v>1913</v>
      </c>
      <c r="K401" s="312" t="s">
        <v>109</v>
      </c>
    </row>
    <row r="402" spans="1:11">
      <c r="A402" s="312" t="s">
        <v>1002</v>
      </c>
      <c r="B402" s="312" t="s">
        <v>1003</v>
      </c>
      <c r="C402" s="312" t="s">
        <v>105</v>
      </c>
      <c r="D402" s="312" t="s">
        <v>352</v>
      </c>
      <c r="E402" s="312" t="s">
        <v>107</v>
      </c>
      <c r="F402" s="312">
        <v>1825</v>
      </c>
      <c r="G402" s="312" t="s">
        <v>108</v>
      </c>
      <c r="H402" s="312">
        <v>1827</v>
      </c>
      <c r="I402" s="312" t="s">
        <v>107</v>
      </c>
      <c r="J402" s="312">
        <v>1913</v>
      </c>
      <c r="K402" s="312" t="s">
        <v>109</v>
      </c>
    </row>
    <row r="403" spans="1:11">
      <c r="A403" s="312" t="s">
        <v>1004</v>
      </c>
      <c r="B403" s="312" t="s">
        <v>1005</v>
      </c>
      <c r="C403" s="312" t="s">
        <v>105</v>
      </c>
      <c r="D403" s="312" t="s">
        <v>352</v>
      </c>
      <c r="E403" s="312" t="s">
        <v>107</v>
      </c>
      <c r="F403" s="312">
        <v>1825</v>
      </c>
      <c r="G403" s="312" t="s">
        <v>108</v>
      </c>
      <c r="H403" s="312">
        <v>1827</v>
      </c>
      <c r="I403" s="312" t="s">
        <v>107</v>
      </c>
      <c r="J403" s="312">
        <v>1913</v>
      </c>
      <c r="K403" s="312" t="s">
        <v>109</v>
      </c>
    </row>
    <row r="404" spans="1:11">
      <c r="A404" s="312" t="s">
        <v>1006</v>
      </c>
      <c r="B404" s="312" t="s">
        <v>1007</v>
      </c>
      <c r="C404" s="312" t="s">
        <v>105</v>
      </c>
      <c r="D404" s="312" t="s">
        <v>352</v>
      </c>
      <c r="E404" s="312" t="s">
        <v>107</v>
      </c>
      <c r="F404" s="312">
        <v>1825</v>
      </c>
      <c r="G404" s="312" t="s">
        <v>108</v>
      </c>
      <c r="H404" s="312">
        <v>1827</v>
      </c>
      <c r="I404" s="312" t="s">
        <v>107</v>
      </c>
      <c r="J404" s="312">
        <v>1913</v>
      </c>
      <c r="K404" s="312" t="s">
        <v>109</v>
      </c>
    </row>
    <row r="405" spans="1:11">
      <c r="A405" s="312" t="s">
        <v>1008</v>
      </c>
      <c r="B405" s="312" t="s">
        <v>1009</v>
      </c>
      <c r="C405" s="312" t="s">
        <v>105</v>
      </c>
      <c r="D405" s="312" t="s">
        <v>352</v>
      </c>
      <c r="E405" s="312" t="s">
        <v>107</v>
      </c>
      <c r="F405" s="312">
        <v>1825</v>
      </c>
      <c r="G405" s="312" t="s">
        <v>108</v>
      </c>
      <c r="H405" s="312">
        <v>1827</v>
      </c>
      <c r="I405" s="312" t="s">
        <v>107</v>
      </c>
      <c r="J405" s="312">
        <v>1913</v>
      </c>
      <c r="K405" s="312" t="s">
        <v>109</v>
      </c>
    </row>
    <row r="406" spans="1:11">
      <c r="A406" s="312" t="s">
        <v>1010</v>
      </c>
      <c r="B406" s="312" t="s">
        <v>1011</v>
      </c>
      <c r="C406" s="312" t="s">
        <v>105</v>
      </c>
      <c r="D406" s="312" t="s">
        <v>1012</v>
      </c>
      <c r="E406" s="312" t="s">
        <v>107</v>
      </c>
      <c r="F406" s="312">
        <v>1825</v>
      </c>
      <c r="G406" s="312" t="s">
        <v>108</v>
      </c>
      <c r="H406" s="312">
        <v>1827</v>
      </c>
      <c r="I406" s="312" t="s">
        <v>107</v>
      </c>
      <c r="J406" s="312">
        <v>1913</v>
      </c>
      <c r="K406" s="312" t="s">
        <v>109</v>
      </c>
    </row>
    <row r="407" spans="1:11">
      <c r="A407" s="312" t="s">
        <v>1013</v>
      </c>
      <c r="B407" s="312" t="s">
        <v>1014</v>
      </c>
      <c r="C407" s="312" t="s">
        <v>105</v>
      </c>
      <c r="D407" s="312" t="s">
        <v>1012</v>
      </c>
      <c r="E407" s="312" t="s">
        <v>107</v>
      </c>
      <c r="F407" s="312">
        <v>1825</v>
      </c>
      <c r="G407" s="312" t="s">
        <v>108</v>
      </c>
      <c r="H407" s="312">
        <v>1827</v>
      </c>
      <c r="I407" s="312" t="s">
        <v>107</v>
      </c>
      <c r="J407" s="312">
        <v>1913</v>
      </c>
      <c r="K407" s="312" t="s">
        <v>109</v>
      </c>
    </row>
    <row r="408" spans="1:11">
      <c r="A408" s="312" t="s">
        <v>1015</v>
      </c>
      <c r="B408" s="312" t="s">
        <v>1016</v>
      </c>
      <c r="C408" s="312" t="s">
        <v>105</v>
      </c>
      <c r="D408" s="312" t="s">
        <v>1012</v>
      </c>
      <c r="E408" s="312" t="s">
        <v>107</v>
      </c>
      <c r="F408" s="312">
        <v>1825</v>
      </c>
      <c r="G408" s="312" t="s">
        <v>108</v>
      </c>
      <c r="H408" s="312">
        <v>1827</v>
      </c>
      <c r="I408" s="312" t="s">
        <v>107</v>
      </c>
      <c r="J408" s="312">
        <v>1913</v>
      </c>
      <c r="K408" s="312" t="s">
        <v>109</v>
      </c>
    </row>
    <row r="409" spans="1:11">
      <c r="A409" s="312" t="s">
        <v>1017</v>
      </c>
      <c r="B409" s="312" t="s">
        <v>1018</v>
      </c>
      <c r="C409" s="312" t="s">
        <v>105</v>
      </c>
      <c r="D409" s="312" t="s">
        <v>1019</v>
      </c>
      <c r="E409" s="312" t="s">
        <v>107</v>
      </c>
      <c r="F409" s="312">
        <v>1825</v>
      </c>
      <c r="G409" s="312" t="s">
        <v>108</v>
      </c>
      <c r="H409" s="312">
        <v>1827</v>
      </c>
      <c r="I409" s="312" t="s">
        <v>107</v>
      </c>
      <c r="J409" s="312">
        <v>1913</v>
      </c>
      <c r="K409" s="312" t="s">
        <v>109</v>
      </c>
    </row>
    <row r="410" spans="1:11">
      <c r="A410" s="312" t="s">
        <v>1020</v>
      </c>
      <c r="B410" s="312" t="s">
        <v>1021</v>
      </c>
      <c r="C410" s="312" t="s">
        <v>105</v>
      </c>
      <c r="D410" s="312" t="s">
        <v>573</v>
      </c>
      <c r="E410" s="312" t="s">
        <v>107</v>
      </c>
      <c r="F410" s="312">
        <v>1825</v>
      </c>
      <c r="G410" s="312" t="s">
        <v>108</v>
      </c>
      <c r="H410" s="312">
        <v>1827</v>
      </c>
      <c r="I410" s="312" t="s">
        <v>107</v>
      </c>
      <c r="J410" s="312">
        <v>1913</v>
      </c>
      <c r="K410" s="312" t="s">
        <v>109</v>
      </c>
    </row>
    <row r="411" spans="1:11">
      <c r="A411" s="312" t="s">
        <v>1022</v>
      </c>
      <c r="B411" s="312" t="s">
        <v>1023</v>
      </c>
      <c r="C411" s="312" t="s">
        <v>105</v>
      </c>
      <c r="D411" s="312" t="s">
        <v>1024</v>
      </c>
      <c r="E411" s="312" t="s">
        <v>167</v>
      </c>
      <c r="F411" s="312">
        <v>1705</v>
      </c>
      <c r="G411" s="312" t="s">
        <v>168</v>
      </c>
      <c r="H411" s="312">
        <v>1707</v>
      </c>
      <c r="I411" s="312" t="s">
        <v>167</v>
      </c>
      <c r="J411" s="312">
        <v>1899</v>
      </c>
      <c r="K411" s="312" t="s">
        <v>169</v>
      </c>
    </row>
    <row r="412" spans="1:11">
      <c r="A412" s="312" t="s">
        <v>1025</v>
      </c>
      <c r="B412" s="312" t="s">
        <v>1026</v>
      </c>
      <c r="C412" s="312" t="s">
        <v>105</v>
      </c>
      <c r="D412" s="312" t="s">
        <v>1024</v>
      </c>
      <c r="E412" s="312" t="s">
        <v>167</v>
      </c>
      <c r="F412" s="312">
        <v>1705</v>
      </c>
      <c r="G412" s="312" t="s">
        <v>168</v>
      </c>
      <c r="H412" s="312">
        <v>1707</v>
      </c>
      <c r="I412" s="312" t="s">
        <v>167</v>
      </c>
      <c r="J412" s="312">
        <v>1899</v>
      </c>
      <c r="K412" s="312" t="s">
        <v>169</v>
      </c>
    </row>
    <row r="413" spans="1:11">
      <c r="A413" s="312" t="s">
        <v>1027</v>
      </c>
      <c r="B413" s="312" t="s">
        <v>1028</v>
      </c>
      <c r="C413" s="312" t="s">
        <v>105</v>
      </c>
      <c r="D413" s="312" t="s">
        <v>1024</v>
      </c>
      <c r="E413" s="312" t="s">
        <v>167</v>
      </c>
      <c r="F413" s="312">
        <v>1705</v>
      </c>
      <c r="G413" s="312" t="s">
        <v>168</v>
      </c>
      <c r="H413" s="312">
        <v>1707</v>
      </c>
      <c r="I413" s="312" t="s">
        <v>167</v>
      </c>
      <c r="J413" s="312">
        <v>1899</v>
      </c>
      <c r="K413" s="312" t="s">
        <v>169</v>
      </c>
    </row>
    <row r="414" spans="1:11">
      <c r="A414" s="312" t="s">
        <v>1029</v>
      </c>
      <c r="B414" s="312" t="s">
        <v>1030</v>
      </c>
      <c r="C414" s="312" t="s">
        <v>105</v>
      </c>
      <c r="D414" s="312" t="s">
        <v>1024</v>
      </c>
      <c r="E414" s="312" t="s">
        <v>167</v>
      </c>
      <c r="F414" s="312">
        <v>1705</v>
      </c>
      <c r="G414" s="312" t="s">
        <v>168</v>
      </c>
      <c r="H414" s="312">
        <v>1707</v>
      </c>
      <c r="I414" s="312" t="s">
        <v>167</v>
      </c>
      <c r="J414" s="312">
        <v>1899</v>
      </c>
      <c r="K414" s="312" t="s">
        <v>169</v>
      </c>
    </row>
    <row r="415" spans="1:11">
      <c r="A415" s="312" t="s">
        <v>1031</v>
      </c>
      <c r="B415" s="312" t="s">
        <v>1032</v>
      </c>
      <c r="C415" s="312" t="s">
        <v>105</v>
      </c>
      <c r="D415" s="312" t="s">
        <v>332</v>
      </c>
      <c r="E415" s="312" t="s">
        <v>107</v>
      </c>
      <c r="F415" s="312">
        <v>1825</v>
      </c>
      <c r="G415" s="312" t="s">
        <v>108</v>
      </c>
      <c r="H415" s="312">
        <v>1827</v>
      </c>
      <c r="I415" s="312" t="s">
        <v>107</v>
      </c>
      <c r="J415" s="312">
        <v>1913</v>
      </c>
      <c r="K415" s="312" t="s">
        <v>109</v>
      </c>
    </row>
    <row r="416" spans="1:11">
      <c r="A416" s="312" t="s">
        <v>1033</v>
      </c>
      <c r="B416" s="312" t="s">
        <v>1034</v>
      </c>
      <c r="C416" s="312" t="s">
        <v>105</v>
      </c>
      <c r="D416" s="312" t="s">
        <v>455</v>
      </c>
      <c r="E416" s="312" t="s">
        <v>107</v>
      </c>
      <c r="F416" s="312">
        <v>1825</v>
      </c>
      <c r="G416" s="312" t="s">
        <v>108</v>
      </c>
      <c r="H416" s="312">
        <v>1827</v>
      </c>
      <c r="I416" s="312" t="s">
        <v>107</v>
      </c>
      <c r="J416" s="312">
        <v>1913</v>
      </c>
      <c r="K416" s="312" t="s">
        <v>109</v>
      </c>
    </row>
    <row r="417" spans="1:11">
      <c r="A417" s="312" t="s">
        <v>1035</v>
      </c>
      <c r="B417" s="312" t="s">
        <v>1036</v>
      </c>
      <c r="C417" s="312" t="s">
        <v>105</v>
      </c>
      <c r="D417" s="312" t="s">
        <v>455</v>
      </c>
      <c r="E417" s="312" t="s">
        <v>107</v>
      </c>
      <c r="F417" s="312">
        <v>1825</v>
      </c>
      <c r="G417" s="312" t="s">
        <v>108</v>
      </c>
      <c r="H417" s="312">
        <v>1827</v>
      </c>
      <c r="I417" s="312" t="s">
        <v>107</v>
      </c>
      <c r="J417" s="312">
        <v>1913</v>
      </c>
      <c r="K417" s="312" t="s">
        <v>109</v>
      </c>
    </row>
    <row r="418" spans="1:11">
      <c r="A418" s="312" t="s">
        <v>1037</v>
      </c>
      <c r="B418" s="312" t="s">
        <v>1038</v>
      </c>
      <c r="C418" s="312" t="s">
        <v>105</v>
      </c>
      <c r="D418" s="312" t="s">
        <v>455</v>
      </c>
      <c r="E418" s="312" t="s">
        <v>107</v>
      </c>
      <c r="F418" s="312">
        <v>1825</v>
      </c>
      <c r="G418" s="312" t="s">
        <v>108</v>
      </c>
      <c r="H418" s="312">
        <v>1827</v>
      </c>
      <c r="I418" s="312" t="s">
        <v>107</v>
      </c>
      <c r="J418" s="312">
        <v>1913</v>
      </c>
      <c r="K418" s="312" t="s">
        <v>109</v>
      </c>
    </row>
    <row r="419" spans="1:11">
      <c r="A419" s="312" t="s">
        <v>1039</v>
      </c>
      <c r="B419" s="312" t="s">
        <v>1040</v>
      </c>
      <c r="C419" s="312" t="s">
        <v>105</v>
      </c>
      <c r="D419" s="312" t="s">
        <v>455</v>
      </c>
      <c r="E419" s="312" t="s">
        <v>107</v>
      </c>
      <c r="F419" s="312">
        <v>1825</v>
      </c>
      <c r="G419" s="312" t="s">
        <v>108</v>
      </c>
      <c r="H419" s="312">
        <v>1827</v>
      </c>
      <c r="I419" s="312" t="s">
        <v>107</v>
      </c>
      <c r="J419" s="312">
        <v>1913</v>
      </c>
      <c r="K419" s="312" t="s">
        <v>109</v>
      </c>
    </row>
    <row r="420" spans="1:11">
      <c r="A420" s="312" t="s">
        <v>1041</v>
      </c>
      <c r="B420" s="312" t="s">
        <v>1042</v>
      </c>
      <c r="C420" s="312" t="s">
        <v>105</v>
      </c>
      <c r="D420" s="312" t="s">
        <v>512</v>
      </c>
      <c r="E420" s="312" t="s">
        <v>107</v>
      </c>
      <c r="F420" s="312">
        <v>1825</v>
      </c>
      <c r="G420" s="312" t="s">
        <v>108</v>
      </c>
      <c r="H420" s="312">
        <v>1827</v>
      </c>
      <c r="I420" s="312" t="s">
        <v>107</v>
      </c>
      <c r="J420" s="312">
        <v>1913</v>
      </c>
      <c r="K420" s="312" t="s">
        <v>109</v>
      </c>
    </row>
    <row r="421" spans="1:11">
      <c r="A421" s="312" t="s">
        <v>1043</v>
      </c>
      <c r="B421" s="312" t="s">
        <v>1044</v>
      </c>
      <c r="C421" s="312" t="s">
        <v>105</v>
      </c>
      <c r="D421" s="312" t="s">
        <v>184</v>
      </c>
      <c r="E421" s="312" t="s">
        <v>107</v>
      </c>
      <c r="F421" s="312">
        <v>1825</v>
      </c>
      <c r="G421" s="312" t="s">
        <v>108</v>
      </c>
      <c r="H421" s="312">
        <v>1827</v>
      </c>
      <c r="I421" s="312" t="s">
        <v>107</v>
      </c>
      <c r="J421" s="312">
        <v>1913</v>
      </c>
      <c r="K421" s="312" t="s">
        <v>109</v>
      </c>
    </row>
    <row r="422" spans="1:11">
      <c r="A422" s="312" t="s">
        <v>1045</v>
      </c>
      <c r="B422" s="312" t="s">
        <v>1046</v>
      </c>
      <c r="C422" s="312" t="s">
        <v>105</v>
      </c>
      <c r="D422" s="312" t="s">
        <v>1047</v>
      </c>
      <c r="E422" s="312" t="s">
        <v>107</v>
      </c>
      <c r="F422" s="312">
        <v>1825</v>
      </c>
      <c r="G422" s="312" t="s">
        <v>108</v>
      </c>
      <c r="H422" s="312">
        <v>1827</v>
      </c>
      <c r="I422" s="312" t="s">
        <v>107</v>
      </c>
      <c r="J422" s="312">
        <v>1913</v>
      </c>
      <c r="K422" s="312" t="s">
        <v>109</v>
      </c>
    </row>
    <row r="423" spans="1:11">
      <c r="A423" s="312" t="s">
        <v>1048</v>
      </c>
      <c r="B423" s="312" t="s">
        <v>1049</v>
      </c>
      <c r="C423" s="312" t="s">
        <v>105</v>
      </c>
      <c r="D423" s="312" t="s">
        <v>517</v>
      </c>
      <c r="E423" s="312" t="s">
        <v>107</v>
      </c>
      <c r="F423" s="312">
        <v>1825</v>
      </c>
      <c r="G423" s="312" t="s">
        <v>108</v>
      </c>
      <c r="H423" s="312">
        <v>1827</v>
      </c>
      <c r="I423" s="312" t="s">
        <v>107</v>
      </c>
      <c r="J423" s="312">
        <v>1913</v>
      </c>
      <c r="K423" s="312" t="s">
        <v>109</v>
      </c>
    </row>
    <row r="424" spans="1:11">
      <c r="A424" s="312" t="s">
        <v>1050</v>
      </c>
      <c r="B424" s="312" t="s">
        <v>1051</v>
      </c>
      <c r="C424" s="312" t="s">
        <v>105</v>
      </c>
      <c r="D424" s="312" t="s">
        <v>517</v>
      </c>
      <c r="E424" s="312" t="s">
        <v>107</v>
      </c>
      <c r="F424" s="312">
        <v>1825</v>
      </c>
      <c r="G424" s="312" t="s">
        <v>108</v>
      </c>
      <c r="H424" s="312">
        <v>1827</v>
      </c>
      <c r="I424" s="312" t="s">
        <v>107</v>
      </c>
      <c r="J424" s="312">
        <v>1913</v>
      </c>
      <c r="K424" s="312" t="s">
        <v>109</v>
      </c>
    </row>
    <row r="425" spans="1:11">
      <c r="A425" s="312" t="s">
        <v>1052</v>
      </c>
      <c r="B425" s="312" t="s">
        <v>1053</v>
      </c>
      <c r="C425" s="312" t="s">
        <v>105</v>
      </c>
      <c r="D425" s="312" t="s">
        <v>1054</v>
      </c>
      <c r="E425" s="312" t="s">
        <v>107</v>
      </c>
      <c r="F425" s="312">
        <v>1825</v>
      </c>
      <c r="G425" s="312" t="s">
        <v>108</v>
      </c>
      <c r="H425" s="312">
        <v>1827</v>
      </c>
      <c r="I425" s="312" t="s">
        <v>107</v>
      </c>
      <c r="J425" s="312">
        <v>1913</v>
      </c>
      <c r="K425" s="312" t="s">
        <v>109</v>
      </c>
    </row>
    <row r="426" spans="1:11">
      <c r="A426" s="312" t="s">
        <v>1055</v>
      </c>
      <c r="B426" s="312" t="s">
        <v>1056</v>
      </c>
      <c r="C426" s="312" t="s">
        <v>105</v>
      </c>
      <c r="D426" s="312" t="s">
        <v>435</v>
      </c>
      <c r="E426" s="312" t="s">
        <v>107</v>
      </c>
      <c r="F426" s="312">
        <v>1825</v>
      </c>
      <c r="G426" s="312" t="s">
        <v>108</v>
      </c>
      <c r="H426" s="312">
        <v>1827</v>
      </c>
      <c r="I426" s="312" t="s">
        <v>107</v>
      </c>
      <c r="J426" s="312">
        <v>1913</v>
      </c>
      <c r="K426" s="312" t="s">
        <v>109</v>
      </c>
    </row>
    <row r="427" spans="1:11">
      <c r="A427" s="312" t="s">
        <v>1057</v>
      </c>
      <c r="B427" s="312" t="s">
        <v>1058</v>
      </c>
      <c r="C427" s="312" t="s">
        <v>105</v>
      </c>
      <c r="D427" s="312" t="s">
        <v>252</v>
      </c>
      <c r="E427" s="312" t="s">
        <v>167</v>
      </c>
      <c r="F427" s="312">
        <v>1705</v>
      </c>
      <c r="G427" s="312" t="s">
        <v>168</v>
      </c>
      <c r="H427" s="312">
        <v>1707</v>
      </c>
      <c r="I427" s="312" t="s">
        <v>167</v>
      </c>
      <c r="J427" s="312">
        <v>1899</v>
      </c>
      <c r="K427" s="312" t="s">
        <v>169</v>
      </c>
    </row>
    <row r="428" spans="1:11">
      <c r="A428" s="312" t="s">
        <v>1059</v>
      </c>
      <c r="B428" s="312" t="s">
        <v>1060</v>
      </c>
      <c r="C428" s="312" t="s">
        <v>105</v>
      </c>
      <c r="D428" s="312" t="s">
        <v>221</v>
      </c>
      <c r="E428" s="312" t="s">
        <v>107</v>
      </c>
      <c r="F428" s="312">
        <v>1825</v>
      </c>
      <c r="G428" s="312" t="s">
        <v>108</v>
      </c>
      <c r="H428" s="312">
        <v>1827</v>
      </c>
      <c r="I428" s="312" t="s">
        <v>107</v>
      </c>
      <c r="J428" s="312">
        <v>1913</v>
      </c>
      <c r="K428" s="312" t="s">
        <v>109</v>
      </c>
    </row>
    <row r="429" spans="1:11">
      <c r="A429" s="312" t="s">
        <v>1061</v>
      </c>
      <c r="B429" s="312" t="s">
        <v>1062</v>
      </c>
      <c r="C429" s="312" t="s">
        <v>105</v>
      </c>
      <c r="D429" s="312" t="s">
        <v>435</v>
      </c>
      <c r="E429" s="312" t="s">
        <v>684</v>
      </c>
      <c r="F429" s="312">
        <v>1750</v>
      </c>
      <c r="G429" s="312" t="s">
        <v>685</v>
      </c>
      <c r="H429" s="312">
        <v>1754</v>
      </c>
      <c r="I429" s="312" t="s">
        <v>684</v>
      </c>
      <c r="J429" s="312">
        <v>1920</v>
      </c>
      <c r="K429" s="312" t="s">
        <v>686</v>
      </c>
    </row>
    <row r="430" spans="1:11">
      <c r="A430" s="312" t="s">
        <v>1063</v>
      </c>
      <c r="B430" s="312" t="s">
        <v>1064</v>
      </c>
      <c r="C430" s="312" t="s">
        <v>105</v>
      </c>
      <c r="D430" s="312" t="s">
        <v>435</v>
      </c>
      <c r="E430" s="312" t="s">
        <v>107</v>
      </c>
      <c r="F430" s="312">
        <v>1825</v>
      </c>
      <c r="G430" s="312" t="s">
        <v>108</v>
      </c>
      <c r="H430" s="312">
        <v>1827</v>
      </c>
      <c r="I430" s="312" t="s">
        <v>107</v>
      </c>
      <c r="J430" s="312">
        <v>1913</v>
      </c>
      <c r="K430" s="312" t="s">
        <v>109</v>
      </c>
    </row>
    <row r="431" spans="1:11">
      <c r="A431" s="312" t="s">
        <v>1065</v>
      </c>
      <c r="B431" s="312" t="s">
        <v>1066</v>
      </c>
      <c r="C431" s="312" t="s">
        <v>105</v>
      </c>
      <c r="D431" s="312" t="s">
        <v>221</v>
      </c>
      <c r="E431" s="312" t="s">
        <v>107</v>
      </c>
      <c r="F431" s="312">
        <v>1825</v>
      </c>
      <c r="G431" s="312" t="s">
        <v>108</v>
      </c>
      <c r="H431" s="312">
        <v>1827</v>
      </c>
      <c r="I431" s="312" t="s">
        <v>107</v>
      </c>
      <c r="J431" s="312">
        <v>1913</v>
      </c>
      <c r="K431" s="312" t="s">
        <v>109</v>
      </c>
    </row>
    <row r="432" spans="1:11">
      <c r="A432" s="312" t="s">
        <v>1067</v>
      </c>
      <c r="B432" s="312" t="s">
        <v>1068</v>
      </c>
      <c r="C432" s="312" t="s">
        <v>105</v>
      </c>
      <c r="D432" s="312" t="s">
        <v>221</v>
      </c>
      <c r="E432" s="312" t="s">
        <v>107</v>
      </c>
      <c r="F432" s="312">
        <v>1825</v>
      </c>
      <c r="G432" s="312" t="s">
        <v>108</v>
      </c>
      <c r="H432" s="312">
        <v>1827</v>
      </c>
      <c r="I432" s="312" t="s">
        <v>107</v>
      </c>
      <c r="J432" s="312">
        <v>1913</v>
      </c>
      <c r="K432" s="312" t="s">
        <v>109</v>
      </c>
    </row>
    <row r="433" spans="1:11">
      <c r="A433" s="312" t="s">
        <v>1069</v>
      </c>
      <c r="B433" s="312" t="s">
        <v>1070</v>
      </c>
      <c r="C433" s="312" t="s">
        <v>105</v>
      </c>
      <c r="D433" s="312" t="s">
        <v>221</v>
      </c>
      <c r="E433" s="312" t="s">
        <v>107</v>
      </c>
      <c r="F433" s="312">
        <v>1825</v>
      </c>
      <c r="G433" s="312" t="s">
        <v>108</v>
      </c>
      <c r="H433" s="312">
        <v>1827</v>
      </c>
      <c r="I433" s="312" t="s">
        <v>107</v>
      </c>
      <c r="J433" s="312">
        <v>1913</v>
      </c>
      <c r="K433" s="312" t="s">
        <v>109</v>
      </c>
    </row>
    <row r="434" spans="1:11">
      <c r="A434" s="312" t="s">
        <v>1071</v>
      </c>
      <c r="B434" s="312" t="s">
        <v>1072</v>
      </c>
      <c r="C434" s="312" t="s">
        <v>105</v>
      </c>
      <c r="D434" s="312" t="s">
        <v>221</v>
      </c>
      <c r="E434" s="312" t="s">
        <v>107</v>
      </c>
      <c r="F434" s="312">
        <v>1825</v>
      </c>
      <c r="G434" s="312" t="s">
        <v>108</v>
      </c>
      <c r="H434" s="312">
        <v>1827</v>
      </c>
      <c r="I434" s="312" t="s">
        <v>107</v>
      </c>
      <c r="J434" s="312">
        <v>1913</v>
      </c>
      <c r="K434" s="312" t="s">
        <v>109</v>
      </c>
    </row>
    <row r="435" spans="1:11">
      <c r="A435" s="312" t="s">
        <v>1073</v>
      </c>
      <c r="B435" s="312" t="s">
        <v>1074</v>
      </c>
      <c r="C435" s="312" t="s">
        <v>105</v>
      </c>
      <c r="D435" s="312" t="s">
        <v>221</v>
      </c>
      <c r="E435" s="312" t="s">
        <v>107</v>
      </c>
      <c r="F435" s="312">
        <v>1825</v>
      </c>
      <c r="G435" s="312" t="s">
        <v>108</v>
      </c>
      <c r="H435" s="312">
        <v>1827</v>
      </c>
      <c r="I435" s="312" t="s">
        <v>107</v>
      </c>
      <c r="J435" s="312">
        <v>1913</v>
      </c>
      <c r="K435" s="312" t="s">
        <v>109</v>
      </c>
    </row>
    <row r="436" spans="1:11">
      <c r="A436" s="312" t="s">
        <v>1075</v>
      </c>
      <c r="B436" s="312" t="s">
        <v>1076</v>
      </c>
      <c r="C436" s="312" t="s">
        <v>105</v>
      </c>
      <c r="D436" s="312" t="s">
        <v>221</v>
      </c>
      <c r="E436" s="312" t="s">
        <v>107</v>
      </c>
      <c r="F436" s="312">
        <v>1825</v>
      </c>
      <c r="G436" s="312" t="s">
        <v>108</v>
      </c>
      <c r="H436" s="312">
        <v>1827</v>
      </c>
      <c r="I436" s="312" t="s">
        <v>107</v>
      </c>
      <c r="J436" s="312">
        <v>1913</v>
      </c>
      <c r="K436" s="312" t="s">
        <v>109</v>
      </c>
    </row>
    <row r="437" spans="1:11">
      <c r="A437" s="312" t="s">
        <v>1077</v>
      </c>
      <c r="B437" s="312" t="s">
        <v>1078</v>
      </c>
      <c r="C437" s="312" t="s">
        <v>105</v>
      </c>
      <c r="D437" s="312" t="s">
        <v>221</v>
      </c>
      <c r="E437" s="312" t="s">
        <v>107</v>
      </c>
      <c r="F437" s="312">
        <v>1825</v>
      </c>
      <c r="G437" s="312" t="s">
        <v>108</v>
      </c>
      <c r="H437" s="312">
        <v>1827</v>
      </c>
      <c r="I437" s="312" t="s">
        <v>107</v>
      </c>
      <c r="J437" s="312">
        <v>1913</v>
      </c>
      <c r="K437" s="312" t="s">
        <v>109</v>
      </c>
    </row>
    <row r="438" spans="1:11">
      <c r="A438" s="312" t="s">
        <v>1079</v>
      </c>
      <c r="B438" s="312" t="s">
        <v>1080</v>
      </c>
      <c r="C438" s="312" t="s">
        <v>105</v>
      </c>
      <c r="D438" s="312" t="s">
        <v>221</v>
      </c>
      <c r="E438" s="312" t="s">
        <v>107</v>
      </c>
      <c r="F438" s="312">
        <v>1825</v>
      </c>
      <c r="G438" s="312" t="s">
        <v>108</v>
      </c>
      <c r="H438" s="312">
        <v>1827</v>
      </c>
      <c r="I438" s="312" t="s">
        <v>107</v>
      </c>
      <c r="J438" s="312">
        <v>1913</v>
      </c>
      <c r="K438" s="312" t="s">
        <v>109</v>
      </c>
    </row>
    <row r="439" spans="1:11">
      <c r="A439" s="312" t="s">
        <v>1081</v>
      </c>
      <c r="B439" s="312" t="s">
        <v>1082</v>
      </c>
      <c r="C439" s="312" t="s">
        <v>105</v>
      </c>
      <c r="D439" s="312" t="s">
        <v>221</v>
      </c>
      <c r="E439" s="312" t="s">
        <v>107</v>
      </c>
      <c r="F439" s="312">
        <v>1825</v>
      </c>
      <c r="G439" s="312" t="s">
        <v>108</v>
      </c>
      <c r="H439" s="312">
        <v>1827</v>
      </c>
      <c r="I439" s="312" t="s">
        <v>107</v>
      </c>
      <c r="J439" s="312">
        <v>1913</v>
      </c>
      <c r="K439" s="312" t="s">
        <v>109</v>
      </c>
    </row>
    <row r="440" spans="1:11">
      <c r="A440" s="312" t="s">
        <v>1083</v>
      </c>
      <c r="B440" s="312" t="s">
        <v>1084</v>
      </c>
      <c r="C440" s="312" t="s">
        <v>105</v>
      </c>
      <c r="D440" s="312" t="s">
        <v>221</v>
      </c>
      <c r="E440" s="312" t="s">
        <v>107</v>
      </c>
      <c r="F440" s="312">
        <v>1825</v>
      </c>
      <c r="G440" s="312" t="s">
        <v>108</v>
      </c>
      <c r="H440" s="312">
        <v>1827</v>
      </c>
      <c r="I440" s="312" t="s">
        <v>107</v>
      </c>
      <c r="J440" s="312">
        <v>1913</v>
      </c>
      <c r="K440" s="312" t="s">
        <v>109</v>
      </c>
    </row>
    <row r="441" spans="1:11">
      <c r="A441" s="312" t="s">
        <v>1085</v>
      </c>
      <c r="B441" s="312" t="s">
        <v>1086</v>
      </c>
      <c r="C441" s="312" t="s">
        <v>105</v>
      </c>
      <c r="D441" s="312" t="s">
        <v>221</v>
      </c>
      <c r="E441" s="312" t="s">
        <v>107</v>
      </c>
      <c r="F441" s="312">
        <v>1825</v>
      </c>
      <c r="G441" s="312" t="s">
        <v>108</v>
      </c>
      <c r="H441" s="312">
        <v>1827</v>
      </c>
      <c r="I441" s="312" t="s">
        <v>107</v>
      </c>
      <c r="J441" s="312">
        <v>1913</v>
      </c>
      <c r="K441" s="312" t="s">
        <v>109</v>
      </c>
    </row>
    <row r="442" spans="1:11">
      <c r="A442" s="312" t="s">
        <v>1087</v>
      </c>
      <c r="B442" s="312" t="s">
        <v>1088</v>
      </c>
      <c r="C442" s="312" t="s">
        <v>105</v>
      </c>
      <c r="D442" s="312" t="s">
        <v>221</v>
      </c>
      <c r="E442" s="312" t="s">
        <v>107</v>
      </c>
      <c r="F442" s="312">
        <v>1825</v>
      </c>
      <c r="G442" s="312" t="s">
        <v>108</v>
      </c>
      <c r="H442" s="312">
        <v>1827</v>
      </c>
      <c r="I442" s="312" t="s">
        <v>107</v>
      </c>
      <c r="J442" s="312">
        <v>1913</v>
      </c>
      <c r="K442" s="312" t="s">
        <v>109</v>
      </c>
    </row>
    <row r="443" spans="1:11">
      <c r="A443" s="312" t="s">
        <v>1089</v>
      </c>
      <c r="B443" s="312" t="s">
        <v>1090</v>
      </c>
      <c r="C443" s="312" t="s">
        <v>105</v>
      </c>
      <c r="D443" s="312" t="s">
        <v>221</v>
      </c>
      <c r="E443" s="312" t="s">
        <v>107</v>
      </c>
      <c r="F443" s="312">
        <v>1825</v>
      </c>
      <c r="G443" s="312" t="s">
        <v>108</v>
      </c>
      <c r="H443" s="312">
        <v>1827</v>
      </c>
      <c r="I443" s="312" t="s">
        <v>107</v>
      </c>
      <c r="J443" s="312">
        <v>1913</v>
      </c>
      <c r="K443" s="312" t="s">
        <v>109</v>
      </c>
    </row>
    <row r="444" spans="1:11">
      <c r="A444" s="312" t="s">
        <v>1091</v>
      </c>
      <c r="B444" s="312" t="s">
        <v>1092</v>
      </c>
      <c r="C444" s="312" t="s">
        <v>105</v>
      </c>
      <c r="D444" s="312" t="s">
        <v>221</v>
      </c>
      <c r="E444" s="312" t="s">
        <v>107</v>
      </c>
      <c r="F444" s="312">
        <v>1825</v>
      </c>
      <c r="G444" s="312" t="s">
        <v>108</v>
      </c>
      <c r="H444" s="312">
        <v>1827</v>
      </c>
      <c r="I444" s="312" t="s">
        <v>107</v>
      </c>
      <c r="J444" s="312">
        <v>1913</v>
      </c>
      <c r="K444" s="312" t="s">
        <v>109</v>
      </c>
    </row>
    <row r="445" spans="1:11">
      <c r="A445" s="312" t="s">
        <v>1093</v>
      </c>
      <c r="B445" s="312" t="s">
        <v>1094</v>
      </c>
      <c r="C445" s="312" t="s">
        <v>105</v>
      </c>
      <c r="D445" s="312" t="s">
        <v>221</v>
      </c>
      <c r="E445" s="312" t="s">
        <v>107</v>
      </c>
      <c r="F445" s="312">
        <v>1825</v>
      </c>
      <c r="G445" s="312" t="s">
        <v>108</v>
      </c>
      <c r="H445" s="312">
        <v>1827</v>
      </c>
      <c r="I445" s="312" t="s">
        <v>107</v>
      </c>
      <c r="J445" s="312">
        <v>1913</v>
      </c>
      <c r="K445" s="312" t="s">
        <v>109</v>
      </c>
    </row>
    <row r="446" spans="1:11">
      <c r="A446" s="312" t="s">
        <v>1095</v>
      </c>
      <c r="B446" s="312" t="s">
        <v>1096</v>
      </c>
      <c r="C446" s="312" t="s">
        <v>105</v>
      </c>
      <c r="D446" s="312" t="s">
        <v>221</v>
      </c>
      <c r="E446" s="312" t="s">
        <v>107</v>
      </c>
      <c r="F446" s="312">
        <v>1825</v>
      </c>
      <c r="G446" s="312" t="s">
        <v>108</v>
      </c>
      <c r="H446" s="312">
        <v>1827</v>
      </c>
      <c r="I446" s="312" t="s">
        <v>107</v>
      </c>
      <c r="J446" s="312">
        <v>1913</v>
      </c>
      <c r="K446" s="312" t="s">
        <v>109</v>
      </c>
    </row>
    <row r="447" spans="1:11">
      <c r="A447" s="312" t="s">
        <v>1097</v>
      </c>
      <c r="B447" s="312" t="s">
        <v>1098</v>
      </c>
      <c r="C447" s="312" t="s">
        <v>105</v>
      </c>
      <c r="D447" s="312" t="s">
        <v>221</v>
      </c>
      <c r="E447" s="312" t="s">
        <v>107</v>
      </c>
      <c r="F447" s="312">
        <v>1825</v>
      </c>
      <c r="G447" s="312" t="s">
        <v>108</v>
      </c>
      <c r="H447" s="312">
        <v>1827</v>
      </c>
      <c r="I447" s="312" t="s">
        <v>107</v>
      </c>
      <c r="J447" s="312">
        <v>1913</v>
      </c>
      <c r="K447" s="312" t="s">
        <v>109</v>
      </c>
    </row>
    <row r="448" spans="1:11">
      <c r="A448" s="312" t="s">
        <v>1099</v>
      </c>
      <c r="B448" s="312" t="s">
        <v>1100</v>
      </c>
      <c r="C448" s="312" t="s">
        <v>105</v>
      </c>
      <c r="D448" s="312" t="s">
        <v>221</v>
      </c>
      <c r="E448" s="312" t="s">
        <v>107</v>
      </c>
      <c r="F448" s="312">
        <v>1825</v>
      </c>
      <c r="G448" s="312" t="s">
        <v>108</v>
      </c>
      <c r="H448" s="312">
        <v>1827</v>
      </c>
      <c r="I448" s="312" t="s">
        <v>107</v>
      </c>
      <c r="J448" s="312">
        <v>1913</v>
      </c>
      <c r="K448" s="312" t="s">
        <v>109</v>
      </c>
    </row>
    <row r="449" spans="1:11">
      <c r="A449" s="312" t="s">
        <v>1101</v>
      </c>
      <c r="B449" s="312" t="s">
        <v>1102</v>
      </c>
      <c r="C449" s="312" t="s">
        <v>105</v>
      </c>
      <c r="D449" s="312" t="s">
        <v>221</v>
      </c>
      <c r="E449" s="312" t="s">
        <v>107</v>
      </c>
      <c r="F449" s="312">
        <v>1825</v>
      </c>
      <c r="G449" s="312" t="s">
        <v>108</v>
      </c>
      <c r="H449" s="312">
        <v>1827</v>
      </c>
      <c r="I449" s="312" t="s">
        <v>107</v>
      </c>
      <c r="J449" s="312">
        <v>1913</v>
      </c>
      <c r="K449" s="312" t="s">
        <v>109</v>
      </c>
    </row>
    <row r="450" spans="1:11">
      <c r="A450" s="312" t="s">
        <v>1103</v>
      </c>
      <c r="B450" s="312" t="s">
        <v>1104</v>
      </c>
      <c r="C450" s="312" t="s">
        <v>105</v>
      </c>
      <c r="D450" s="312" t="s">
        <v>221</v>
      </c>
      <c r="E450" s="312" t="s">
        <v>107</v>
      </c>
      <c r="F450" s="312">
        <v>1825</v>
      </c>
      <c r="G450" s="312" t="s">
        <v>108</v>
      </c>
      <c r="H450" s="312">
        <v>1827</v>
      </c>
      <c r="I450" s="312" t="s">
        <v>107</v>
      </c>
      <c r="J450" s="312">
        <v>1913</v>
      </c>
      <c r="K450" s="312" t="s">
        <v>109</v>
      </c>
    </row>
    <row r="451" spans="1:11">
      <c r="A451" s="312" t="s">
        <v>1105</v>
      </c>
      <c r="B451" s="312" t="s">
        <v>1106</v>
      </c>
      <c r="C451" s="312" t="s">
        <v>105</v>
      </c>
      <c r="D451" s="312" t="s">
        <v>221</v>
      </c>
      <c r="E451" s="312" t="s">
        <v>107</v>
      </c>
      <c r="F451" s="312">
        <v>1825</v>
      </c>
      <c r="G451" s="312" t="s">
        <v>108</v>
      </c>
      <c r="H451" s="312">
        <v>1827</v>
      </c>
      <c r="I451" s="312" t="s">
        <v>107</v>
      </c>
      <c r="J451" s="312">
        <v>1913</v>
      </c>
      <c r="K451" s="312" t="s">
        <v>109</v>
      </c>
    </row>
    <row r="452" spans="1:11">
      <c r="A452" s="312" t="s">
        <v>1107</v>
      </c>
      <c r="B452" s="312" t="s">
        <v>1108</v>
      </c>
      <c r="C452" s="312" t="s">
        <v>105</v>
      </c>
      <c r="D452" s="312" t="s">
        <v>221</v>
      </c>
      <c r="E452" s="312" t="s">
        <v>107</v>
      </c>
      <c r="F452" s="312">
        <v>1825</v>
      </c>
      <c r="G452" s="312" t="s">
        <v>108</v>
      </c>
      <c r="H452" s="312">
        <v>1827</v>
      </c>
      <c r="I452" s="312" t="s">
        <v>107</v>
      </c>
      <c r="J452" s="312">
        <v>1913</v>
      </c>
      <c r="K452" s="312" t="s">
        <v>109</v>
      </c>
    </row>
    <row r="453" spans="1:11">
      <c r="A453" s="312" t="s">
        <v>1109</v>
      </c>
      <c r="B453" s="312" t="s">
        <v>1110</v>
      </c>
      <c r="C453" s="312" t="s">
        <v>105</v>
      </c>
      <c r="D453" s="312" t="s">
        <v>221</v>
      </c>
      <c r="E453" s="312" t="s">
        <v>107</v>
      </c>
      <c r="F453" s="312">
        <v>1825</v>
      </c>
      <c r="G453" s="312" t="s">
        <v>108</v>
      </c>
      <c r="H453" s="312">
        <v>1827</v>
      </c>
      <c r="I453" s="312" t="s">
        <v>107</v>
      </c>
      <c r="J453" s="312">
        <v>1913</v>
      </c>
      <c r="K453" s="312" t="s">
        <v>109</v>
      </c>
    </row>
    <row r="454" spans="1:11">
      <c r="A454" s="312" t="s">
        <v>1111</v>
      </c>
      <c r="B454" s="312" t="s">
        <v>1112</v>
      </c>
      <c r="C454" s="312" t="s">
        <v>105</v>
      </c>
      <c r="D454" s="312" t="s">
        <v>221</v>
      </c>
      <c r="E454" s="312" t="s">
        <v>107</v>
      </c>
      <c r="F454" s="312">
        <v>1825</v>
      </c>
      <c r="G454" s="312" t="s">
        <v>108</v>
      </c>
      <c r="H454" s="312">
        <v>1827</v>
      </c>
      <c r="I454" s="312" t="s">
        <v>107</v>
      </c>
      <c r="J454" s="312">
        <v>1913</v>
      </c>
      <c r="K454" s="312" t="s">
        <v>109</v>
      </c>
    </row>
    <row r="455" spans="1:11">
      <c r="A455" s="312" t="s">
        <v>1113</v>
      </c>
      <c r="B455" s="312" t="s">
        <v>1114</v>
      </c>
      <c r="C455" s="312" t="s">
        <v>105</v>
      </c>
      <c r="D455" s="312" t="s">
        <v>221</v>
      </c>
      <c r="E455" s="312" t="s">
        <v>107</v>
      </c>
      <c r="F455" s="312">
        <v>1825</v>
      </c>
      <c r="G455" s="312" t="s">
        <v>108</v>
      </c>
      <c r="H455" s="312">
        <v>1827</v>
      </c>
      <c r="I455" s="312" t="s">
        <v>107</v>
      </c>
      <c r="J455" s="312">
        <v>1913</v>
      </c>
      <c r="K455" s="312" t="s">
        <v>109</v>
      </c>
    </row>
    <row r="456" spans="1:11">
      <c r="A456" s="312" t="s">
        <v>1115</v>
      </c>
      <c r="B456" s="312" t="s">
        <v>1116</v>
      </c>
      <c r="C456" s="312" t="s">
        <v>105</v>
      </c>
      <c r="D456" s="312" t="s">
        <v>221</v>
      </c>
      <c r="E456" s="312" t="s">
        <v>107</v>
      </c>
      <c r="F456" s="312">
        <v>1825</v>
      </c>
      <c r="G456" s="312" t="s">
        <v>108</v>
      </c>
      <c r="H456" s="312">
        <v>1827</v>
      </c>
      <c r="I456" s="312" t="s">
        <v>107</v>
      </c>
      <c r="J456" s="312">
        <v>1913</v>
      </c>
      <c r="K456" s="312" t="s">
        <v>109</v>
      </c>
    </row>
    <row r="457" spans="1:11">
      <c r="A457" s="312" t="s">
        <v>1117</v>
      </c>
      <c r="B457" s="312" t="s">
        <v>1118</v>
      </c>
      <c r="C457" s="312" t="s">
        <v>105</v>
      </c>
      <c r="D457" s="312" t="s">
        <v>221</v>
      </c>
      <c r="E457" s="312" t="s">
        <v>107</v>
      </c>
      <c r="F457" s="312">
        <v>1825</v>
      </c>
      <c r="G457" s="312" t="s">
        <v>108</v>
      </c>
      <c r="H457" s="312">
        <v>1827</v>
      </c>
      <c r="I457" s="312" t="s">
        <v>107</v>
      </c>
      <c r="J457" s="312">
        <v>1913</v>
      </c>
      <c r="K457" s="312" t="s">
        <v>109</v>
      </c>
    </row>
    <row r="458" spans="1:11">
      <c r="A458" s="312" t="s">
        <v>1119</v>
      </c>
      <c r="B458" s="312" t="s">
        <v>1120</v>
      </c>
      <c r="C458" s="312" t="s">
        <v>105</v>
      </c>
      <c r="D458" s="312" t="s">
        <v>221</v>
      </c>
      <c r="E458" s="312" t="s">
        <v>107</v>
      </c>
      <c r="F458" s="312">
        <v>1825</v>
      </c>
      <c r="G458" s="312" t="s">
        <v>108</v>
      </c>
      <c r="H458" s="312">
        <v>1827</v>
      </c>
      <c r="I458" s="312" t="s">
        <v>107</v>
      </c>
      <c r="J458" s="312">
        <v>1913</v>
      </c>
      <c r="K458" s="312" t="s">
        <v>109</v>
      </c>
    </row>
    <row r="459" spans="1:11">
      <c r="A459" s="312" t="s">
        <v>1121</v>
      </c>
      <c r="B459" s="312" t="s">
        <v>1122</v>
      </c>
      <c r="C459" s="312" t="s">
        <v>105</v>
      </c>
      <c r="D459" s="312" t="s">
        <v>221</v>
      </c>
      <c r="E459" s="312" t="s">
        <v>107</v>
      </c>
      <c r="F459" s="312">
        <v>1825</v>
      </c>
      <c r="G459" s="312" t="s">
        <v>108</v>
      </c>
      <c r="H459" s="312">
        <v>1827</v>
      </c>
      <c r="I459" s="312" t="s">
        <v>107</v>
      </c>
      <c r="J459" s="312">
        <v>1913</v>
      </c>
      <c r="K459" s="312" t="s">
        <v>109</v>
      </c>
    </row>
    <row r="460" spans="1:11">
      <c r="A460" s="312" t="s">
        <v>1123</v>
      </c>
      <c r="B460" s="312" t="s">
        <v>1124</v>
      </c>
      <c r="C460" s="312" t="s">
        <v>105</v>
      </c>
      <c r="D460" s="312" t="s">
        <v>221</v>
      </c>
      <c r="E460" s="312" t="s">
        <v>107</v>
      </c>
      <c r="F460" s="312">
        <v>1825</v>
      </c>
      <c r="G460" s="312" t="s">
        <v>108</v>
      </c>
      <c r="H460" s="312">
        <v>1827</v>
      </c>
      <c r="I460" s="312" t="s">
        <v>107</v>
      </c>
      <c r="J460" s="312">
        <v>1913</v>
      </c>
      <c r="K460" s="312" t="s">
        <v>109</v>
      </c>
    </row>
    <row r="461" spans="1:11">
      <c r="A461" s="312" t="s">
        <v>1125</v>
      </c>
      <c r="B461" s="312" t="s">
        <v>1126</v>
      </c>
      <c r="C461" s="312" t="s">
        <v>105</v>
      </c>
      <c r="D461" s="312" t="s">
        <v>221</v>
      </c>
      <c r="E461" s="312" t="s">
        <v>107</v>
      </c>
      <c r="F461" s="312">
        <v>1825</v>
      </c>
      <c r="G461" s="312" t="s">
        <v>108</v>
      </c>
      <c r="H461" s="312">
        <v>1827</v>
      </c>
      <c r="I461" s="312" t="s">
        <v>107</v>
      </c>
      <c r="J461" s="312">
        <v>1913</v>
      </c>
      <c r="K461" s="312" t="s">
        <v>109</v>
      </c>
    </row>
    <row r="462" spans="1:11">
      <c r="A462" s="312" t="s">
        <v>1127</v>
      </c>
      <c r="B462" s="312" t="s">
        <v>1128</v>
      </c>
      <c r="C462" s="312" t="s">
        <v>105</v>
      </c>
      <c r="D462" s="312" t="s">
        <v>252</v>
      </c>
      <c r="E462" s="312" t="s">
        <v>167</v>
      </c>
      <c r="F462" s="312">
        <v>1705</v>
      </c>
      <c r="G462" s="312" t="s">
        <v>168</v>
      </c>
      <c r="H462" s="312">
        <v>1707</v>
      </c>
      <c r="I462" s="312" t="s">
        <v>167</v>
      </c>
      <c r="J462" s="312">
        <v>1899</v>
      </c>
      <c r="K462" s="312" t="s">
        <v>169</v>
      </c>
    </row>
    <row r="463" spans="1:11">
      <c r="A463" s="312" t="s">
        <v>1129</v>
      </c>
      <c r="B463" s="312" t="s">
        <v>1130</v>
      </c>
      <c r="C463" s="312" t="s">
        <v>105</v>
      </c>
      <c r="D463" s="312" t="s">
        <v>1131</v>
      </c>
      <c r="E463" s="312" t="s">
        <v>107</v>
      </c>
      <c r="F463" s="312">
        <v>1825</v>
      </c>
      <c r="G463" s="312" t="s">
        <v>108</v>
      </c>
      <c r="H463" s="312">
        <v>1827</v>
      </c>
      <c r="I463" s="312" t="s">
        <v>107</v>
      </c>
      <c r="J463" s="312">
        <v>1913</v>
      </c>
      <c r="K463" s="312" t="s">
        <v>109</v>
      </c>
    </row>
    <row r="464" spans="1:11">
      <c r="A464" s="312" t="s">
        <v>1132</v>
      </c>
      <c r="B464" s="312" t="s">
        <v>1133</v>
      </c>
      <c r="C464" s="312" t="s">
        <v>105</v>
      </c>
      <c r="D464" s="312" t="s">
        <v>556</v>
      </c>
      <c r="E464" s="312" t="s">
        <v>107</v>
      </c>
      <c r="F464" s="312">
        <v>1825</v>
      </c>
      <c r="G464" s="312" t="s">
        <v>108</v>
      </c>
      <c r="H464" s="312">
        <v>1827</v>
      </c>
      <c r="I464" s="312" t="s">
        <v>107</v>
      </c>
      <c r="J464" s="312">
        <v>1913</v>
      </c>
      <c r="K464" s="312" t="s">
        <v>109</v>
      </c>
    </row>
    <row r="465" spans="1:11">
      <c r="A465" s="312" t="s">
        <v>1134</v>
      </c>
      <c r="B465" s="312" t="s">
        <v>1135</v>
      </c>
      <c r="C465" s="312" t="s">
        <v>105</v>
      </c>
      <c r="D465" s="312" t="s">
        <v>848</v>
      </c>
      <c r="E465" s="312" t="s">
        <v>107</v>
      </c>
      <c r="F465" s="312">
        <v>1825</v>
      </c>
      <c r="G465" s="312" t="s">
        <v>108</v>
      </c>
      <c r="H465" s="312">
        <v>1827</v>
      </c>
      <c r="I465" s="312" t="s">
        <v>107</v>
      </c>
      <c r="J465" s="312">
        <v>1913</v>
      </c>
      <c r="K465" s="312" t="s">
        <v>109</v>
      </c>
    </row>
    <row r="466" spans="1:11">
      <c r="A466" s="312" t="s">
        <v>1136</v>
      </c>
      <c r="B466" s="312" t="s">
        <v>1137</v>
      </c>
      <c r="C466" s="312" t="s">
        <v>105</v>
      </c>
      <c r="D466" s="312" t="s">
        <v>332</v>
      </c>
      <c r="E466" s="312" t="s">
        <v>107</v>
      </c>
      <c r="F466" s="312">
        <v>1825</v>
      </c>
      <c r="G466" s="312" t="s">
        <v>108</v>
      </c>
      <c r="H466" s="312">
        <v>1827</v>
      </c>
      <c r="I466" s="312" t="s">
        <v>107</v>
      </c>
      <c r="J466" s="312">
        <v>1913</v>
      </c>
      <c r="K466" s="312" t="s">
        <v>109</v>
      </c>
    </row>
    <row r="467" spans="1:11">
      <c r="A467" s="312" t="s">
        <v>1138</v>
      </c>
      <c r="B467" s="312" t="s">
        <v>1139</v>
      </c>
      <c r="C467" s="312" t="s">
        <v>105</v>
      </c>
      <c r="D467" s="312" t="s">
        <v>332</v>
      </c>
      <c r="E467" s="312" t="s">
        <v>107</v>
      </c>
      <c r="F467" s="312">
        <v>1825</v>
      </c>
      <c r="G467" s="312" t="s">
        <v>108</v>
      </c>
      <c r="H467" s="312">
        <v>1827</v>
      </c>
      <c r="I467" s="312" t="s">
        <v>107</v>
      </c>
      <c r="J467" s="312">
        <v>1913</v>
      </c>
      <c r="K467" s="312" t="s">
        <v>109</v>
      </c>
    </row>
    <row r="468" spans="1:11">
      <c r="A468" s="312" t="s">
        <v>1140</v>
      </c>
      <c r="B468" s="312" t="s">
        <v>1141</v>
      </c>
      <c r="C468" s="312" t="s">
        <v>105</v>
      </c>
      <c r="D468" s="312" t="s">
        <v>1142</v>
      </c>
      <c r="E468" s="312" t="s">
        <v>107</v>
      </c>
      <c r="F468" s="312">
        <v>1825</v>
      </c>
      <c r="G468" s="312" t="s">
        <v>108</v>
      </c>
      <c r="H468" s="312">
        <v>1827</v>
      </c>
      <c r="I468" s="312" t="s">
        <v>107</v>
      </c>
      <c r="J468" s="312">
        <v>1913</v>
      </c>
      <c r="K468" s="312" t="s">
        <v>109</v>
      </c>
    </row>
    <row r="469" spans="1:11">
      <c r="A469" s="312" t="s">
        <v>1143</v>
      </c>
      <c r="B469" s="312" t="s">
        <v>1144</v>
      </c>
      <c r="C469" s="312" t="s">
        <v>105</v>
      </c>
      <c r="D469" s="312" t="s">
        <v>865</v>
      </c>
      <c r="E469" s="312" t="s">
        <v>107</v>
      </c>
      <c r="F469" s="312">
        <v>1825</v>
      </c>
      <c r="G469" s="312" t="s">
        <v>108</v>
      </c>
      <c r="H469" s="312">
        <v>1827</v>
      </c>
      <c r="I469" s="312" t="s">
        <v>107</v>
      </c>
      <c r="J469" s="312">
        <v>1913</v>
      </c>
      <c r="K469" s="312" t="s">
        <v>109</v>
      </c>
    </row>
    <row r="470" spans="1:11">
      <c r="A470" s="312" t="s">
        <v>1145</v>
      </c>
      <c r="B470" s="312" t="s">
        <v>1146</v>
      </c>
      <c r="C470" s="312" t="s">
        <v>105</v>
      </c>
      <c r="D470" s="312" t="s">
        <v>252</v>
      </c>
      <c r="E470" s="312" t="s">
        <v>107</v>
      </c>
      <c r="F470" s="312">
        <v>1825</v>
      </c>
      <c r="G470" s="312" t="s">
        <v>108</v>
      </c>
      <c r="H470" s="312">
        <v>1827</v>
      </c>
      <c r="I470" s="312" t="s">
        <v>107</v>
      </c>
      <c r="J470" s="312">
        <v>1913</v>
      </c>
      <c r="K470" s="312" t="s">
        <v>109</v>
      </c>
    </row>
    <row r="471" spans="1:11">
      <c r="A471" s="312" t="s">
        <v>1147</v>
      </c>
      <c r="B471" s="312" t="s">
        <v>1148</v>
      </c>
      <c r="C471" s="312" t="s">
        <v>105</v>
      </c>
      <c r="D471" s="312" t="s">
        <v>252</v>
      </c>
      <c r="E471" s="312" t="s">
        <v>167</v>
      </c>
      <c r="F471" s="312">
        <v>1705</v>
      </c>
      <c r="G471" s="312" t="s">
        <v>168</v>
      </c>
      <c r="H471" s="312">
        <v>1707</v>
      </c>
      <c r="I471" s="312" t="s">
        <v>167</v>
      </c>
      <c r="J471" s="312">
        <v>1899</v>
      </c>
      <c r="K471" s="312" t="s">
        <v>169</v>
      </c>
    </row>
    <row r="472" spans="1:11">
      <c r="A472" s="312" t="s">
        <v>1149</v>
      </c>
      <c r="B472" s="312" t="s">
        <v>1150</v>
      </c>
      <c r="C472" s="312" t="s">
        <v>105</v>
      </c>
      <c r="D472" s="312" t="s">
        <v>114</v>
      </c>
      <c r="E472" s="312" t="s">
        <v>107</v>
      </c>
      <c r="F472" s="312">
        <v>1825</v>
      </c>
      <c r="G472" s="312" t="s">
        <v>108</v>
      </c>
      <c r="H472" s="312">
        <v>1827</v>
      </c>
      <c r="I472" s="312" t="s">
        <v>107</v>
      </c>
      <c r="J472" s="312">
        <v>1913</v>
      </c>
      <c r="K472" s="312" t="s">
        <v>109</v>
      </c>
    </row>
    <row r="473" spans="1:11">
      <c r="A473" s="312" t="s">
        <v>1151</v>
      </c>
      <c r="B473" s="312" t="s">
        <v>1152</v>
      </c>
      <c r="C473" s="312" t="s">
        <v>105</v>
      </c>
      <c r="D473" s="312" t="s">
        <v>1153</v>
      </c>
      <c r="E473" s="312" t="s">
        <v>107</v>
      </c>
      <c r="F473" s="312">
        <v>1825</v>
      </c>
      <c r="G473" s="312" t="s">
        <v>108</v>
      </c>
      <c r="H473" s="312">
        <v>1827</v>
      </c>
      <c r="I473" s="312" t="s">
        <v>107</v>
      </c>
      <c r="J473" s="312">
        <v>1913</v>
      </c>
      <c r="K473" s="312" t="s">
        <v>109</v>
      </c>
    </row>
    <row r="474" spans="1:11">
      <c r="A474" s="312" t="s">
        <v>1154</v>
      </c>
      <c r="B474" s="312" t="s">
        <v>1155</v>
      </c>
      <c r="C474" s="312" t="s">
        <v>105</v>
      </c>
      <c r="D474" s="312" t="s">
        <v>1156</v>
      </c>
      <c r="E474" s="312" t="s">
        <v>107</v>
      </c>
      <c r="F474" s="312">
        <v>1825</v>
      </c>
      <c r="G474" s="312" t="s">
        <v>108</v>
      </c>
      <c r="H474" s="312">
        <v>1827</v>
      </c>
      <c r="I474" s="312" t="s">
        <v>107</v>
      </c>
      <c r="J474" s="312">
        <v>1913</v>
      </c>
      <c r="K474" s="312" t="s">
        <v>109</v>
      </c>
    </row>
    <row r="475" spans="1:11">
      <c r="A475" s="312" t="s">
        <v>1157</v>
      </c>
      <c r="B475" s="312" t="s">
        <v>1158</v>
      </c>
      <c r="C475" s="312" t="s">
        <v>105</v>
      </c>
      <c r="D475" s="312" t="s">
        <v>1159</v>
      </c>
      <c r="E475" s="312" t="s">
        <v>107</v>
      </c>
      <c r="F475" s="312">
        <v>1825</v>
      </c>
      <c r="G475" s="312" t="s">
        <v>108</v>
      </c>
      <c r="H475" s="312">
        <v>1827</v>
      </c>
      <c r="I475" s="312" t="s">
        <v>107</v>
      </c>
      <c r="J475" s="312">
        <v>1913</v>
      </c>
      <c r="K475" s="312" t="s">
        <v>109</v>
      </c>
    </row>
    <row r="476" spans="1:11">
      <c r="A476" s="312" t="s">
        <v>1160</v>
      </c>
      <c r="B476" s="312" t="s">
        <v>1161</v>
      </c>
      <c r="C476" s="312" t="s">
        <v>105</v>
      </c>
      <c r="D476" s="312" t="s">
        <v>573</v>
      </c>
      <c r="E476" s="312" t="s">
        <v>107</v>
      </c>
      <c r="F476" s="312">
        <v>1825</v>
      </c>
      <c r="G476" s="312" t="s">
        <v>108</v>
      </c>
      <c r="H476" s="312">
        <v>1827</v>
      </c>
      <c r="I476" s="312" t="s">
        <v>107</v>
      </c>
      <c r="J476" s="312">
        <v>1913</v>
      </c>
      <c r="K476" s="312" t="s">
        <v>109</v>
      </c>
    </row>
    <row r="477" spans="1:11">
      <c r="A477" s="312" t="s">
        <v>1162</v>
      </c>
      <c r="B477" s="312" t="s">
        <v>1163</v>
      </c>
      <c r="C477" s="312" t="s">
        <v>105</v>
      </c>
      <c r="D477" s="312" t="s">
        <v>645</v>
      </c>
      <c r="E477" s="312" t="s">
        <v>107</v>
      </c>
      <c r="F477" s="312">
        <v>1825</v>
      </c>
      <c r="G477" s="312" t="s">
        <v>108</v>
      </c>
      <c r="H477" s="312">
        <v>1827</v>
      </c>
      <c r="I477" s="312" t="s">
        <v>107</v>
      </c>
      <c r="J477" s="312">
        <v>1913</v>
      </c>
      <c r="K477" s="312" t="s">
        <v>109</v>
      </c>
    </row>
    <row r="478" spans="1:11">
      <c r="A478" s="312" t="s">
        <v>1164</v>
      </c>
      <c r="B478" s="312" t="s">
        <v>1165</v>
      </c>
      <c r="C478" s="312" t="s">
        <v>105</v>
      </c>
      <c r="D478" s="312" t="s">
        <v>1166</v>
      </c>
      <c r="E478" s="312" t="s">
        <v>320</v>
      </c>
      <c r="F478" s="312">
        <v>1716</v>
      </c>
      <c r="G478" s="312" t="s">
        <v>321</v>
      </c>
      <c r="H478" s="312">
        <v>1725</v>
      </c>
      <c r="I478" s="312" t="s">
        <v>320</v>
      </c>
      <c r="J478" s="312">
        <v>1910</v>
      </c>
      <c r="K478" s="312" t="s">
        <v>322</v>
      </c>
    </row>
    <row r="479" spans="1:11">
      <c r="A479" s="312" t="s">
        <v>1167</v>
      </c>
      <c r="B479" s="312" t="s">
        <v>1168</v>
      </c>
      <c r="C479" s="312" t="s">
        <v>105</v>
      </c>
      <c r="D479" s="312" t="s">
        <v>228</v>
      </c>
      <c r="E479" s="312" t="s">
        <v>167</v>
      </c>
      <c r="F479" s="312">
        <v>1705</v>
      </c>
      <c r="G479" s="312" t="s">
        <v>168</v>
      </c>
      <c r="H479" s="312">
        <v>1707</v>
      </c>
      <c r="I479" s="312" t="s">
        <v>167</v>
      </c>
      <c r="J479" s="312">
        <v>1899</v>
      </c>
      <c r="K479" s="312" t="s">
        <v>169</v>
      </c>
    </row>
    <row r="480" spans="1:11">
      <c r="A480" s="312" t="s">
        <v>1169</v>
      </c>
      <c r="B480" s="312" t="s">
        <v>1170</v>
      </c>
      <c r="C480" s="312" t="s">
        <v>105</v>
      </c>
      <c r="D480" s="312" t="s">
        <v>228</v>
      </c>
      <c r="E480" s="312" t="s">
        <v>167</v>
      </c>
      <c r="F480" s="312">
        <v>1705</v>
      </c>
      <c r="G480" s="312" t="s">
        <v>168</v>
      </c>
      <c r="H480" s="312">
        <v>1707</v>
      </c>
      <c r="I480" s="312" t="s">
        <v>167</v>
      </c>
      <c r="J480" s="312">
        <v>1899</v>
      </c>
      <c r="K480" s="312" t="s">
        <v>169</v>
      </c>
    </row>
    <row r="481" spans="1:11">
      <c r="A481" s="312" t="s">
        <v>1171</v>
      </c>
      <c r="B481" s="312" t="s">
        <v>1172</v>
      </c>
      <c r="C481" s="312" t="s">
        <v>105</v>
      </c>
      <c r="D481" s="312" t="s">
        <v>114</v>
      </c>
      <c r="E481" s="312" t="s">
        <v>107</v>
      </c>
      <c r="F481" s="312">
        <v>1825</v>
      </c>
      <c r="G481" s="312" t="s">
        <v>108</v>
      </c>
      <c r="H481" s="312">
        <v>1827</v>
      </c>
      <c r="I481" s="312" t="s">
        <v>107</v>
      </c>
      <c r="J481" s="312">
        <v>1913</v>
      </c>
      <c r="K481" s="312" t="s">
        <v>109</v>
      </c>
    </row>
    <row r="482" spans="1:11">
      <c r="A482" s="312" t="s">
        <v>1173</v>
      </c>
      <c r="B482" s="312" t="s">
        <v>1174</v>
      </c>
      <c r="C482" s="312" t="s">
        <v>105</v>
      </c>
      <c r="D482" s="312" t="s">
        <v>312</v>
      </c>
      <c r="E482" s="312" t="s">
        <v>107</v>
      </c>
      <c r="F482" s="312">
        <v>1825</v>
      </c>
      <c r="G482" s="312" t="s">
        <v>108</v>
      </c>
      <c r="H482" s="312">
        <v>1827</v>
      </c>
      <c r="I482" s="312" t="s">
        <v>107</v>
      </c>
      <c r="J482" s="312">
        <v>1913</v>
      </c>
      <c r="K482" s="312" t="s">
        <v>109</v>
      </c>
    </row>
    <row r="483" spans="1:11">
      <c r="A483" s="312" t="s">
        <v>1175</v>
      </c>
      <c r="B483" s="1" t="s">
        <v>1176</v>
      </c>
      <c r="C483" s="312" t="s">
        <v>105</v>
      </c>
      <c r="D483" s="312" t="s">
        <v>114</v>
      </c>
      <c r="E483" s="312" t="s">
        <v>107</v>
      </c>
      <c r="F483" s="312">
        <v>1825</v>
      </c>
      <c r="G483" s="312" t="s">
        <v>108</v>
      </c>
      <c r="H483" s="312">
        <v>1827</v>
      </c>
      <c r="I483" s="312" t="s">
        <v>107</v>
      </c>
      <c r="J483" s="312">
        <v>1913</v>
      </c>
      <c r="K483" s="312" t="s">
        <v>109</v>
      </c>
    </row>
    <row r="484" spans="1:11">
      <c r="A484" s="312" t="s">
        <v>1177</v>
      </c>
      <c r="B484" s="312" t="s">
        <v>1178</v>
      </c>
      <c r="C484" s="312" t="s">
        <v>105</v>
      </c>
      <c r="D484" s="312" t="s">
        <v>114</v>
      </c>
      <c r="E484" s="312" t="s">
        <v>107</v>
      </c>
      <c r="F484" s="312">
        <v>1825</v>
      </c>
      <c r="G484" s="312" t="s">
        <v>108</v>
      </c>
      <c r="H484" s="312">
        <v>1827</v>
      </c>
      <c r="I484" s="312" t="s">
        <v>107</v>
      </c>
      <c r="J484" s="312">
        <v>1913</v>
      </c>
      <c r="K484" s="312" t="s">
        <v>109</v>
      </c>
    </row>
    <row r="485" spans="1:11">
      <c r="A485" s="312" t="s">
        <v>1179</v>
      </c>
      <c r="B485" s="312" t="s">
        <v>1180</v>
      </c>
      <c r="C485" s="312" t="s">
        <v>105</v>
      </c>
      <c r="D485" s="312" t="s">
        <v>114</v>
      </c>
      <c r="E485" s="312" t="s">
        <v>107</v>
      </c>
      <c r="F485" s="312">
        <v>1825</v>
      </c>
      <c r="G485" s="312" t="s">
        <v>108</v>
      </c>
      <c r="H485" s="312">
        <v>1827</v>
      </c>
      <c r="I485" s="312" t="s">
        <v>107</v>
      </c>
      <c r="J485" s="312">
        <v>1913</v>
      </c>
      <c r="K485" s="312" t="s">
        <v>109</v>
      </c>
    </row>
    <row r="486" spans="1:11">
      <c r="A486" s="312" t="s">
        <v>1181</v>
      </c>
      <c r="B486" s="312" t="s">
        <v>1182</v>
      </c>
      <c r="C486" s="312" t="s">
        <v>105</v>
      </c>
      <c r="D486" s="312" t="s">
        <v>114</v>
      </c>
      <c r="E486" s="312" t="s">
        <v>107</v>
      </c>
      <c r="F486" s="312">
        <v>1825</v>
      </c>
      <c r="G486" s="312" t="s">
        <v>108</v>
      </c>
      <c r="H486" s="312">
        <v>1827</v>
      </c>
      <c r="I486" s="312" t="s">
        <v>107</v>
      </c>
      <c r="J486" s="312">
        <v>1913</v>
      </c>
      <c r="K486" s="312" t="s">
        <v>109</v>
      </c>
    </row>
    <row r="487" spans="1:11">
      <c r="A487" s="312" t="s">
        <v>1183</v>
      </c>
      <c r="B487" s="312" t="s">
        <v>1184</v>
      </c>
      <c r="C487" s="312" t="s">
        <v>105</v>
      </c>
      <c r="D487" s="312" t="s">
        <v>114</v>
      </c>
      <c r="E487" s="312" t="s">
        <v>107</v>
      </c>
      <c r="F487" s="312">
        <v>1825</v>
      </c>
      <c r="G487" s="312" t="s">
        <v>108</v>
      </c>
      <c r="H487" s="312">
        <v>1827</v>
      </c>
      <c r="I487" s="312" t="s">
        <v>107</v>
      </c>
      <c r="J487" s="312">
        <v>1913</v>
      </c>
      <c r="K487" s="312" t="s">
        <v>109</v>
      </c>
    </row>
    <row r="488" spans="1:11">
      <c r="A488" s="312" t="s">
        <v>1185</v>
      </c>
      <c r="B488" s="312" t="s">
        <v>1186</v>
      </c>
      <c r="C488" s="312" t="s">
        <v>105</v>
      </c>
      <c r="D488" s="312" t="s">
        <v>114</v>
      </c>
      <c r="E488" s="312" t="s">
        <v>107</v>
      </c>
      <c r="F488" s="312">
        <v>1825</v>
      </c>
      <c r="G488" s="312" t="s">
        <v>108</v>
      </c>
      <c r="H488" s="312">
        <v>1827</v>
      </c>
      <c r="I488" s="312" t="s">
        <v>107</v>
      </c>
      <c r="J488" s="312">
        <v>1913</v>
      </c>
      <c r="K488" s="312" t="s">
        <v>109</v>
      </c>
    </row>
    <row r="489" spans="1:11">
      <c r="A489" s="312" t="s">
        <v>1187</v>
      </c>
      <c r="B489" s="312" t="s">
        <v>1188</v>
      </c>
      <c r="C489" s="312" t="s">
        <v>105</v>
      </c>
      <c r="D489" s="312" t="s">
        <v>114</v>
      </c>
      <c r="E489" s="312" t="s">
        <v>107</v>
      </c>
      <c r="F489" s="312">
        <v>1825</v>
      </c>
      <c r="G489" s="312" t="s">
        <v>108</v>
      </c>
      <c r="H489" s="312">
        <v>1827</v>
      </c>
      <c r="I489" s="312" t="s">
        <v>107</v>
      </c>
      <c r="J489" s="312">
        <v>1913</v>
      </c>
      <c r="K489" s="312" t="s">
        <v>109</v>
      </c>
    </row>
    <row r="490" spans="1:11">
      <c r="A490" s="312" t="s">
        <v>1189</v>
      </c>
      <c r="B490" s="312" t="s">
        <v>1190</v>
      </c>
      <c r="C490" s="312" t="s">
        <v>105</v>
      </c>
      <c r="D490" s="312" t="s">
        <v>114</v>
      </c>
      <c r="E490" s="312" t="s">
        <v>107</v>
      </c>
      <c r="F490" s="312">
        <v>1825</v>
      </c>
      <c r="G490" s="312" t="s">
        <v>108</v>
      </c>
      <c r="H490" s="312">
        <v>1827</v>
      </c>
      <c r="I490" s="312" t="s">
        <v>107</v>
      </c>
      <c r="J490" s="312">
        <v>1913</v>
      </c>
      <c r="K490" s="312" t="s">
        <v>109</v>
      </c>
    </row>
    <row r="491" spans="1:11">
      <c r="A491" s="312" t="s">
        <v>1191</v>
      </c>
      <c r="B491" s="312" t="s">
        <v>1192</v>
      </c>
      <c r="C491" s="312" t="s">
        <v>105</v>
      </c>
      <c r="D491" s="312" t="s">
        <v>114</v>
      </c>
      <c r="E491" s="312" t="s">
        <v>107</v>
      </c>
      <c r="F491" s="312">
        <v>1825</v>
      </c>
      <c r="G491" s="312" t="s">
        <v>108</v>
      </c>
      <c r="H491" s="312">
        <v>1827</v>
      </c>
      <c r="I491" s="312" t="s">
        <v>107</v>
      </c>
      <c r="J491" s="312">
        <v>1913</v>
      </c>
      <c r="K491" s="312" t="s">
        <v>109</v>
      </c>
    </row>
    <row r="492" spans="1:11">
      <c r="A492" s="312" t="s">
        <v>1193</v>
      </c>
      <c r="B492" s="312" t="s">
        <v>1194</v>
      </c>
      <c r="C492" s="312" t="s">
        <v>105</v>
      </c>
      <c r="D492" s="312" t="s">
        <v>106</v>
      </c>
      <c r="E492" s="312" t="s">
        <v>107</v>
      </c>
      <c r="F492" s="312">
        <v>1825</v>
      </c>
      <c r="G492" s="312" t="s">
        <v>108</v>
      </c>
      <c r="H492" s="312">
        <v>1827</v>
      </c>
      <c r="I492" s="312" t="s">
        <v>107</v>
      </c>
      <c r="J492" s="312">
        <v>1913</v>
      </c>
      <c r="K492" s="312" t="s">
        <v>109</v>
      </c>
    </row>
    <row r="493" spans="1:11">
      <c r="A493" s="312" t="s">
        <v>1195</v>
      </c>
      <c r="B493" s="312" t="s">
        <v>1196</v>
      </c>
      <c r="C493" s="312" t="s">
        <v>105</v>
      </c>
      <c r="D493" s="312" t="s">
        <v>106</v>
      </c>
      <c r="E493" s="312" t="s">
        <v>107</v>
      </c>
      <c r="F493" s="312">
        <v>1825</v>
      </c>
      <c r="G493" s="312" t="s">
        <v>108</v>
      </c>
      <c r="H493" s="312">
        <v>1827</v>
      </c>
      <c r="I493" s="312" t="s">
        <v>107</v>
      </c>
      <c r="J493" s="312">
        <v>1913</v>
      </c>
      <c r="K493" s="312" t="s">
        <v>109</v>
      </c>
    </row>
    <row r="494" spans="1:11">
      <c r="A494" s="312" t="s">
        <v>1197</v>
      </c>
      <c r="B494" s="312" t="s">
        <v>1198</v>
      </c>
      <c r="C494" s="312" t="s">
        <v>105</v>
      </c>
      <c r="D494" s="312" t="s">
        <v>483</v>
      </c>
      <c r="E494" s="312" t="s">
        <v>466</v>
      </c>
      <c r="F494" s="312">
        <v>1796</v>
      </c>
      <c r="G494" s="312" t="s">
        <v>467</v>
      </c>
      <c r="H494" s="312">
        <v>1799</v>
      </c>
      <c r="I494" s="312" t="s">
        <v>466</v>
      </c>
      <c r="J494" s="312">
        <v>1918</v>
      </c>
      <c r="K494" s="312" t="s">
        <v>468</v>
      </c>
    </row>
    <row r="495" spans="1:11">
      <c r="A495" s="312" t="s">
        <v>1199</v>
      </c>
      <c r="B495" s="312" t="s">
        <v>1200</v>
      </c>
      <c r="C495" s="312" t="s">
        <v>105</v>
      </c>
      <c r="D495" s="312" t="s">
        <v>556</v>
      </c>
      <c r="E495" s="312" t="s">
        <v>107</v>
      </c>
      <c r="F495" s="312">
        <v>1825</v>
      </c>
      <c r="G495" s="312" t="s">
        <v>108</v>
      </c>
      <c r="H495" s="312">
        <v>1827</v>
      </c>
      <c r="I495" s="312" t="s">
        <v>107</v>
      </c>
      <c r="J495" s="312">
        <v>1913</v>
      </c>
      <c r="K495" s="312" t="s">
        <v>109</v>
      </c>
    </row>
    <row r="496" spans="1:11">
      <c r="A496" s="312" t="s">
        <v>1201</v>
      </c>
      <c r="B496" s="312" t="s">
        <v>1202</v>
      </c>
      <c r="C496" s="312" t="s">
        <v>105</v>
      </c>
      <c r="D496" s="312" t="s">
        <v>312</v>
      </c>
      <c r="E496" s="312" t="s">
        <v>107</v>
      </c>
      <c r="F496" s="312">
        <v>1825</v>
      </c>
      <c r="G496" s="312" t="s">
        <v>108</v>
      </c>
      <c r="H496" s="312">
        <v>1827</v>
      </c>
      <c r="I496" s="312" t="s">
        <v>107</v>
      </c>
      <c r="J496" s="312">
        <v>1913</v>
      </c>
      <c r="K496" s="312" t="s">
        <v>109</v>
      </c>
    </row>
    <row r="497" spans="1:11">
      <c r="A497" s="312" t="s">
        <v>1203</v>
      </c>
      <c r="B497" s="312" t="s">
        <v>1204</v>
      </c>
      <c r="C497" s="312" t="s">
        <v>105</v>
      </c>
      <c r="D497" s="312" t="s">
        <v>114</v>
      </c>
      <c r="E497" s="312" t="s">
        <v>107</v>
      </c>
      <c r="F497" s="312">
        <v>1825</v>
      </c>
      <c r="G497" s="312" t="s">
        <v>108</v>
      </c>
      <c r="H497" s="312">
        <v>1827</v>
      </c>
      <c r="I497" s="312" t="s">
        <v>107</v>
      </c>
      <c r="J497" s="312">
        <v>1913</v>
      </c>
      <c r="K497" s="312" t="s">
        <v>109</v>
      </c>
    </row>
    <row r="498" spans="1:11">
      <c r="A498" s="312" t="s">
        <v>1205</v>
      </c>
      <c r="B498" s="312" t="s">
        <v>1206</v>
      </c>
      <c r="C498" s="312" t="s">
        <v>105</v>
      </c>
      <c r="D498" s="312" t="s">
        <v>603</v>
      </c>
      <c r="E498" s="312" t="s">
        <v>107</v>
      </c>
      <c r="F498" s="312">
        <v>1825</v>
      </c>
      <c r="G498" s="312" t="s">
        <v>108</v>
      </c>
      <c r="H498" s="312">
        <v>1827</v>
      </c>
      <c r="I498" s="312" t="s">
        <v>107</v>
      </c>
      <c r="J498" s="312">
        <v>1913</v>
      </c>
      <c r="K498" s="312" t="s">
        <v>109</v>
      </c>
    </row>
    <row r="499" spans="1:11">
      <c r="A499" s="312" t="s">
        <v>1207</v>
      </c>
      <c r="B499" s="312" t="s">
        <v>1208</v>
      </c>
      <c r="C499" s="312" t="s">
        <v>105</v>
      </c>
      <c r="D499" s="312" t="s">
        <v>352</v>
      </c>
      <c r="E499" s="312" t="s">
        <v>107</v>
      </c>
      <c r="F499" s="312">
        <v>1825</v>
      </c>
      <c r="G499" s="312" t="s">
        <v>108</v>
      </c>
      <c r="H499" s="312">
        <v>1827</v>
      </c>
      <c r="I499" s="312" t="s">
        <v>107</v>
      </c>
      <c r="J499" s="312">
        <v>1913</v>
      </c>
      <c r="K499" s="312" t="s">
        <v>109</v>
      </c>
    </row>
    <row r="500" spans="1:11">
      <c r="A500" s="312" t="s">
        <v>1209</v>
      </c>
      <c r="B500" s="312" t="s">
        <v>1210</v>
      </c>
      <c r="C500" s="312" t="s">
        <v>105</v>
      </c>
      <c r="D500" s="312" t="s">
        <v>352</v>
      </c>
      <c r="E500" s="312" t="s">
        <v>107</v>
      </c>
      <c r="F500" s="312">
        <v>1825</v>
      </c>
      <c r="G500" s="312" t="s">
        <v>108</v>
      </c>
      <c r="H500" s="312">
        <v>1827</v>
      </c>
      <c r="I500" s="312" t="s">
        <v>107</v>
      </c>
      <c r="J500" s="312">
        <v>1913</v>
      </c>
      <c r="K500" s="312" t="s">
        <v>109</v>
      </c>
    </row>
    <row r="501" spans="1:11">
      <c r="A501" s="312" t="s">
        <v>1211</v>
      </c>
      <c r="B501" s="1" t="s">
        <v>1212</v>
      </c>
      <c r="C501" s="312" t="s">
        <v>105</v>
      </c>
      <c r="D501" s="312" t="s">
        <v>352</v>
      </c>
      <c r="E501" s="312" t="s">
        <v>107</v>
      </c>
      <c r="F501" s="312">
        <v>1825</v>
      </c>
      <c r="G501" s="312" t="s">
        <v>108</v>
      </c>
      <c r="H501" s="312">
        <v>1827</v>
      </c>
      <c r="I501" s="312" t="s">
        <v>107</v>
      </c>
      <c r="J501" s="312">
        <v>1913</v>
      </c>
      <c r="K501" s="312" t="s">
        <v>109</v>
      </c>
    </row>
    <row r="502" spans="1:11">
      <c r="A502" s="312" t="s">
        <v>1213</v>
      </c>
      <c r="B502" s="312" t="s">
        <v>1214</v>
      </c>
      <c r="C502" s="312" t="s">
        <v>105</v>
      </c>
      <c r="D502" s="312" t="s">
        <v>352</v>
      </c>
      <c r="E502" s="312" t="s">
        <v>107</v>
      </c>
      <c r="F502" s="312">
        <v>1825</v>
      </c>
      <c r="G502" s="312" t="s">
        <v>108</v>
      </c>
      <c r="H502" s="312">
        <v>1827</v>
      </c>
      <c r="I502" s="312" t="s">
        <v>107</v>
      </c>
      <c r="J502" s="312">
        <v>1913</v>
      </c>
      <c r="K502" s="312" t="s">
        <v>109</v>
      </c>
    </row>
    <row r="503" spans="1:11">
      <c r="A503" s="312" t="s">
        <v>1215</v>
      </c>
      <c r="B503" s="312" t="s">
        <v>1216</v>
      </c>
      <c r="C503" s="312" t="s">
        <v>105</v>
      </c>
      <c r="D503" s="312" t="s">
        <v>352</v>
      </c>
      <c r="E503" s="312" t="s">
        <v>107</v>
      </c>
      <c r="F503" s="312">
        <v>1825</v>
      </c>
      <c r="G503" s="312" t="s">
        <v>108</v>
      </c>
      <c r="H503" s="312">
        <v>1827</v>
      </c>
      <c r="I503" s="312" t="s">
        <v>107</v>
      </c>
      <c r="J503" s="312">
        <v>1913</v>
      </c>
      <c r="K503" s="312" t="s">
        <v>109</v>
      </c>
    </row>
    <row r="504" spans="1:11">
      <c r="A504" s="312" t="s">
        <v>1217</v>
      </c>
      <c r="B504" s="312" t="s">
        <v>1218</v>
      </c>
      <c r="C504" s="312" t="s">
        <v>105</v>
      </c>
      <c r="D504" s="312" t="s">
        <v>352</v>
      </c>
      <c r="E504" s="312" t="s">
        <v>107</v>
      </c>
      <c r="F504" s="312">
        <v>1825</v>
      </c>
      <c r="G504" s="312" t="s">
        <v>108</v>
      </c>
      <c r="H504" s="312">
        <v>1827</v>
      </c>
      <c r="I504" s="312" t="s">
        <v>107</v>
      </c>
      <c r="J504" s="312">
        <v>1913</v>
      </c>
      <c r="K504" s="312" t="s">
        <v>109</v>
      </c>
    </row>
    <row r="505" spans="1:11">
      <c r="A505" s="312" t="s">
        <v>1219</v>
      </c>
      <c r="B505" s="312" t="s">
        <v>1220</v>
      </c>
      <c r="C505" s="312" t="s">
        <v>105</v>
      </c>
      <c r="D505" s="312" t="s">
        <v>352</v>
      </c>
      <c r="E505" s="312" t="s">
        <v>107</v>
      </c>
      <c r="F505" s="312">
        <v>1825</v>
      </c>
      <c r="G505" s="312" t="s">
        <v>108</v>
      </c>
      <c r="H505" s="312">
        <v>1827</v>
      </c>
      <c r="I505" s="312" t="s">
        <v>107</v>
      </c>
      <c r="J505" s="312">
        <v>1913</v>
      </c>
      <c r="K505" s="312" t="s">
        <v>109</v>
      </c>
    </row>
    <row r="506" spans="1:11">
      <c r="A506" s="312" t="s">
        <v>1221</v>
      </c>
      <c r="B506" s="312" t="s">
        <v>1222</v>
      </c>
      <c r="C506" s="312" t="s">
        <v>105</v>
      </c>
      <c r="D506" s="312" t="s">
        <v>352</v>
      </c>
      <c r="E506" s="312" t="s">
        <v>107</v>
      </c>
      <c r="F506" s="312">
        <v>1825</v>
      </c>
      <c r="G506" s="312" t="s">
        <v>108</v>
      </c>
      <c r="H506" s="312">
        <v>1827</v>
      </c>
      <c r="I506" s="312" t="s">
        <v>107</v>
      </c>
      <c r="J506" s="312">
        <v>1913</v>
      </c>
      <c r="K506" s="312" t="s">
        <v>109</v>
      </c>
    </row>
    <row r="507" spans="1:11">
      <c r="A507" s="312" t="s">
        <v>1223</v>
      </c>
      <c r="B507" s="312" t="s">
        <v>1224</v>
      </c>
      <c r="C507" s="312" t="s">
        <v>105</v>
      </c>
      <c r="D507" s="312" t="s">
        <v>352</v>
      </c>
      <c r="E507" s="312" t="s">
        <v>107</v>
      </c>
      <c r="F507" s="312">
        <v>1825</v>
      </c>
      <c r="G507" s="312" t="s">
        <v>108</v>
      </c>
      <c r="H507" s="312">
        <v>1827</v>
      </c>
      <c r="I507" s="312" t="s">
        <v>107</v>
      </c>
      <c r="J507" s="312">
        <v>1913</v>
      </c>
      <c r="K507" s="312" t="s">
        <v>109</v>
      </c>
    </row>
    <row r="508" spans="1:11">
      <c r="A508" s="312" t="s">
        <v>1225</v>
      </c>
      <c r="B508" s="312" t="s">
        <v>1226</v>
      </c>
      <c r="C508" s="312" t="s">
        <v>105</v>
      </c>
      <c r="D508" s="312" t="s">
        <v>352</v>
      </c>
      <c r="E508" s="312" t="s">
        <v>107</v>
      </c>
      <c r="F508" s="312">
        <v>1825</v>
      </c>
      <c r="G508" s="312" t="s">
        <v>108</v>
      </c>
      <c r="H508" s="312">
        <v>1827</v>
      </c>
      <c r="I508" s="312" t="s">
        <v>107</v>
      </c>
      <c r="J508" s="312">
        <v>1913</v>
      </c>
      <c r="K508" s="312" t="s">
        <v>109</v>
      </c>
    </row>
    <row r="509" spans="1:11">
      <c r="A509" s="312" t="s">
        <v>1227</v>
      </c>
      <c r="B509" s="1" t="s">
        <v>1228</v>
      </c>
      <c r="C509" s="312" t="s">
        <v>105</v>
      </c>
      <c r="D509" s="312" t="s">
        <v>352</v>
      </c>
      <c r="E509" s="312" t="s">
        <v>107</v>
      </c>
      <c r="F509" s="312">
        <v>1825</v>
      </c>
      <c r="G509" s="312" t="s">
        <v>108</v>
      </c>
      <c r="H509" s="312">
        <v>1827</v>
      </c>
      <c r="I509" s="312" t="s">
        <v>107</v>
      </c>
      <c r="J509" s="312">
        <v>1913</v>
      </c>
      <c r="K509" s="312" t="s">
        <v>109</v>
      </c>
    </row>
    <row r="510" spans="1:11">
      <c r="A510" s="312" t="s">
        <v>1229</v>
      </c>
      <c r="B510" s="312" t="s">
        <v>1230</v>
      </c>
      <c r="C510" s="312" t="s">
        <v>105</v>
      </c>
      <c r="D510" s="312" t="s">
        <v>352</v>
      </c>
      <c r="E510" s="312" t="s">
        <v>107</v>
      </c>
      <c r="F510" s="312">
        <v>1825</v>
      </c>
      <c r="G510" s="312" t="s">
        <v>108</v>
      </c>
      <c r="H510" s="312">
        <v>1827</v>
      </c>
      <c r="I510" s="312" t="s">
        <v>107</v>
      </c>
      <c r="J510" s="312">
        <v>1913</v>
      </c>
      <c r="K510" s="312" t="s">
        <v>109</v>
      </c>
    </row>
    <row r="511" spans="1:11">
      <c r="A511" s="312" t="s">
        <v>1231</v>
      </c>
      <c r="B511" s="312" t="s">
        <v>1232</v>
      </c>
      <c r="C511" s="312" t="s">
        <v>105</v>
      </c>
      <c r="D511" s="312" t="s">
        <v>114</v>
      </c>
      <c r="E511" s="312" t="s">
        <v>107</v>
      </c>
      <c r="F511" s="312">
        <v>1825</v>
      </c>
      <c r="G511" s="312" t="s">
        <v>108</v>
      </c>
      <c r="H511" s="312">
        <v>1827</v>
      </c>
      <c r="I511" s="312" t="s">
        <v>107</v>
      </c>
      <c r="J511" s="312">
        <v>1913</v>
      </c>
      <c r="K511" s="312" t="s">
        <v>109</v>
      </c>
    </row>
    <row r="512" spans="1:11">
      <c r="A512" s="312" t="s">
        <v>1233</v>
      </c>
      <c r="B512" s="312" t="s">
        <v>1234</v>
      </c>
      <c r="C512" s="312" t="s">
        <v>105</v>
      </c>
      <c r="D512" s="312" t="s">
        <v>1235</v>
      </c>
      <c r="E512" s="312" t="s">
        <v>466</v>
      </c>
      <c r="F512" s="312">
        <v>1796</v>
      </c>
      <c r="G512" s="312" t="s">
        <v>467</v>
      </c>
      <c r="H512" s="312">
        <v>1799</v>
      </c>
      <c r="I512" s="312" t="s">
        <v>466</v>
      </c>
      <c r="J512" s="312">
        <v>1918</v>
      </c>
      <c r="K512" s="312" t="s">
        <v>468</v>
      </c>
    </row>
    <row r="513" spans="1:11">
      <c r="A513" s="312" t="s">
        <v>1236</v>
      </c>
      <c r="B513" s="312" t="s">
        <v>1237</v>
      </c>
      <c r="C513" s="312" t="s">
        <v>105</v>
      </c>
      <c r="D513" s="312" t="s">
        <v>438</v>
      </c>
      <c r="E513" s="312" t="s">
        <v>107</v>
      </c>
      <c r="F513" s="312">
        <v>1825</v>
      </c>
      <c r="G513" s="312" t="s">
        <v>108</v>
      </c>
      <c r="H513" s="312">
        <v>1827</v>
      </c>
      <c r="I513" s="312" t="s">
        <v>107</v>
      </c>
      <c r="J513" s="312">
        <v>1913</v>
      </c>
      <c r="K513" s="312" t="s">
        <v>109</v>
      </c>
    </row>
    <row r="514" spans="1:11">
      <c r="A514" s="312" t="s">
        <v>1238</v>
      </c>
      <c r="B514" s="312" t="s">
        <v>1239</v>
      </c>
      <c r="C514" s="312" t="s">
        <v>105</v>
      </c>
      <c r="D514" s="312" t="s">
        <v>1131</v>
      </c>
      <c r="E514" s="312" t="s">
        <v>107</v>
      </c>
      <c r="F514" s="312">
        <v>1825</v>
      </c>
      <c r="G514" s="312" t="s">
        <v>108</v>
      </c>
      <c r="H514" s="312">
        <v>1827</v>
      </c>
      <c r="I514" s="312" t="s">
        <v>107</v>
      </c>
      <c r="J514" s="312">
        <v>1913</v>
      </c>
      <c r="K514" s="312" t="s">
        <v>109</v>
      </c>
    </row>
    <row r="515" spans="1:11">
      <c r="A515" s="312" t="s">
        <v>1240</v>
      </c>
      <c r="B515" s="312" t="s">
        <v>1241</v>
      </c>
      <c r="C515" s="312" t="s">
        <v>105</v>
      </c>
      <c r="D515" s="312" t="s">
        <v>252</v>
      </c>
      <c r="E515" s="312" t="s">
        <v>167</v>
      </c>
      <c r="F515" s="312">
        <v>1705</v>
      </c>
      <c r="G515" s="312" t="s">
        <v>168</v>
      </c>
      <c r="H515" s="312">
        <v>1707</v>
      </c>
      <c r="I515" s="312" t="s">
        <v>167</v>
      </c>
      <c r="J515" s="312">
        <v>1899</v>
      </c>
      <c r="K515" s="312" t="s">
        <v>169</v>
      </c>
    </row>
    <row r="516" spans="1:11">
      <c r="A516" s="312" t="s">
        <v>1242</v>
      </c>
      <c r="B516" s="312" t="s">
        <v>1243</v>
      </c>
      <c r="C516" s="312" t="s">
        <v>105</v>
      </c>
      <c r="D516" s="312" t="s">
        <v>1131</v>
      </c>
      <c r="E516" s="312" t="s">
        <v>107</v>
      </c>
      <c r="F516" s="312">
        <v>1825</v>
      </c>
      <c r="G516" s="312" t="s">
        <v>108</v>
      </c>
      <c r="H516" s="312">
        <v>1827</v>
      </c>
      <c r="I516" s="312" t="s">
        <v>107</v>
      </c>
      <c r="J516" s="312">
        <v>1913</v>
      </c>
      <c r="K516" s="312" t="s">
        <v>109</v>
      </c>
    </row>
    <row r="517" spans="1:11">
      <c r="A517" s="312" t="s">
        <v>1244</v>
      </c>
      <c r="B517" s="312" t="s">
        <v>1245</v>
      </c>
      <c r="C517" s="312" t="s">
        <v>105</v>
      </c>
      <c r="D517" s="312" t="s">
        <v>294</v>
      </c>
      <c r="E517" s="312" t="s">
        <v>107</v>
      </c>
      <c r="F517" s="312">
        <v>1825</v>
      </c>
      <c r="G517" s="312" t="s">
        <v>108</v>
      </c>
      <c r="H517" s="312">
        <v>1827</v>
      </c>
      <c r="I517" s="312" t="s">
        <v>107</v>
      </c>
      <c r="J517" s="312">
        <v>1913</v>
      </c>
      <c r="K517" s="312" t="s">
        <v>109</v>
      </c>
    </row>
    <row r="518" spans="1:11">
      <c r="A518" s="312" t="s">
        <v>1246</v>
      </c>
      <c r="B518" s="312" t="s">
        <v>1247</v>
      </c>
      <c r="C518" s="312" t="s">
        <v>105</v>
      </c>
      <c r="D518" s="312" t="s">
        <v>1248</v>
      </c>
      <c r="E518" s="312" t="s">
        <v>107</v>
      </c>
      <c r="F518" s="312">
        <v>1825</v>
      </c>
      <c r="G518" s="312" t="s">
        <v>108</v>
      </c>
      <c r="H518" s="312">
        <v>1827</v>
      </c>
      <c r="I518" s="312" t="s">
        <v>107</v>
      </c>
      <c r="J518" s="312">
        <v>1913</v>
      </c>
      <c r="K518" s="312" t="s">
        <v>109</v>
      </c>
    </row>
    <row r="519" spans="1:11">
      <c r="A519" s="312" t="s">
        <v>1249</v>
      </c>
      <c r="B519" s="312" t="s">
        <v>1250</v>
      </c>
      <c r="C519" s="312" t="s">
        <v>105</v>
      </c>
      <c r="D519" s="312" t="s">
        <v>848</v>
      </c>
      <c r="E519" s="312" t="s">
        <v>886</v>
      </c>
      <c r="F519" s="312">
        <v>1857</v>
      </c>
      <c r="G519" s="312" t="s">
        <v>887</v>
      </c>
      <c r="H519" s="312">
        <v>1858</v>
      </c>
      <c r="I519" s="312" t="s">
        <v>886</v>
      </c>
      <c r="J519" s="312">
        <v>1924</v>
      </c>
      <c r="K519" s="312" t="s">
        <v>888</v>
      </c>
    </row>
    <row r="520" spans="1:11">
      <c r="A520" s="312" t="s">
        <v>1251</v>
      </c>
      <c r="B520" s="312" t="s">
        <v>1252</v>
      </c>
      <c r="C520" s="312" t="s">
        <v>105</v>
      </c>
      <c r="D520" s="312" t="s">
        <v>221</v>
      </c>
      <c r="E520" s="312" t="s">
        <v>107</v>
      </c>
      <c r="F520" s="312">
        <v>1825</v>
      </c>
      <c r="G520" s="312" t="s">
        <v>108</v>
      </c>
      <c r="H520" s="312">
        <v>1827</v>
      </c>
      <c r="I520" s="312" t="s">
        <v>107</v>
      </c>
      <c r="J520" s="312">
        <v>1913</v>
      </c>
      <c r="K520" s="312" t="s">
        <v>109</v>
      </c>
    </row>
    <row r="521" spans="1:11">
      <c r="A521" s="312" t="s">
        <v>1253</v>
      </c>
      <c r="B521" s="312" t="s">
        <v>1254</v>
      </c>
      <c r="C521" s="312" t="s">
        <v>105</v>
      </c>
      <c r="D521" s="312" t="s">
        <v>283</v>
      </c>
      <c r="E521" s="312" t="s">
        <v>107</v>
      </c>
      <c r="F521" s="312">
        <v>1825</v>
      </c>
      <c r="G521" s="312" t="s">
        <v>108</v>
      </c>
      <c r="H521" s="312">
        <v>1827</v>
      </c>
      <c r="I521" s="312" t="s">
        <v>107</v>
      </c>
      <c r="J521" s="312">
        <v>1913</v>
      </c>
      <c r="K521" s="312" t="s">
        <v>109</v>
      </c>
    </row>
    <row r="522" spans="1:11">
      <c r="A522" s="312" t="s">
        <v>1255</v>
      </c>
      <c r="B522" s="312" t="s">
        <v>1256</v>
      </c>
      <c r="C522" s="312" t="s">
        <v>105</v>
      </c>
      <c r="D522" s="312" t="s">
        <v>587</v>
      </c>
      <c r="E522" s="312" t="s">
        <v>107</v>
      </c>
      <c r="F522" s="312">
        <v>1825</v>
      </c>
      <c r="G522" s="312" t="s">
        <v>108</v>
      </c>
      <c r="H522" s="312">
        <v>1827</v>
      </c>
      <c r="I522" s="312" t="s">
        <v>107</v>
      </c>
      <c r="J522" s="312">
        <v>1913</v>
      </c>
      <c r="K522" s="312" t="s">
        <v>109</v>
      </c>
    </row>
    <row r="523" spans="1:11">
      <c r="A523" s="312" t="s">
        <v>1257</v>
      </c>
      <c r="B523" s="312" t="s">
        <v>1258</v>
      </c>
      <c r="C523" s="312" t="s">
        <v>105</v>
      </c>
      <c r="D523" s="312" t="s">
        <v>658</v>
      </c>
      <c r="E523" s="312" t="s">
        <v>696</v>
      </c>
      <c r="F523" s="312">
        <v>1736</v>
      </c>
      <c r="G523" s="312" t="s">
        <v>697</v>
      </c>
      <c r="H523" s="312">
        <v>1741</v>
      </c>
      <c r="I523" s="312" t="s">
        <v>696</v>
      </c>
      <c r="J523" s="312">
        <v>1929</v>
      </c>
      <c r="K523" s="312" t="s">
        <v>698</v>
      </c>
    </row>
    <row r="524" spans="1:11">
      <c r="A524" s="312" t="s">
        <v>1259</v>
      </c>
      <c r="B524" s="312" t="s">
        <v>1260</v>
      </c>
      <c r="C524" s="312" t="s">
        <v>105</v>
      </c>
      <c r="D524" s="312" t="s">
        <v>343</v>
      </c>
      <c r="E524" s="312" t="s">
        <v>167</v>
      </c>
      <c r="F524" s="312">
        <v>1705</v>
      </c>
      <c r="G524" s="312" t="s">
        <v>168</v>
      </c>
      <c r="H524" s="312">
        <v>1707</v>
      </c>
      <c r="I524" s="312" t="s">
        <v>167</v>
      </c>
      <c r="J524" s="312">
        <v>1899</v>
      </c>
      <c r="K524" s="312" t="s">
        <v>169</v>
      </c>
    </row>
    <row r="525" spans="1:11">
      <c r="A525" s="312" t="s">
        <v>1261</v>
      </c>
      <c r="B525" s="312" t="s">
        <v>1262</v>
      </c>
      <c r="C525" s="312" t="s">
        <v>105</v>
      </c>
      <c r="D525" s="312" t="s">
        <v>556</v>
      </c>
      <c r="E525" s="312" t="s">
        <v>107</v>
      </c>
      <c r="F525" s="312">
        <v>1825</v>
      </c>
      <c r="G525" s="312" t="s">
        <v>108</v>
      </c>
      <c r="H525" s="312">
        <v>1827</v>
      </c>
      <c r="I525" s="312" t="s">
        <v>107</v>
      </c>
      <c r="J525" s="312">
        <v>1913</v>
      </c>
      <c r="K525" s="312" t="s">
        <v>109</v>
      </c>
    </row>
    <row r="526" spans="1:11">
      <c r="A526" s="312" t="s">
        <v>1263</v>
      </c>
      <c r="B526" s="312" t="s">
        <v>1264</v>
      </c>
      <c r="C526" s="312" t="s">
        <v>105</v>
      </c>
      <c r="D526" s="312" t="s">
        <v>201</v>
      </c>
      <c r="E526" s="312" t="s">
        <v>107</v>
      </c>
      <c r="F526" s="312">
        <v>1825</v>
      </c>
      <c r="G526" s="312" t="s">
        <v>108</v>
      </c>
      <c r="H526" s="312">
        <v>1827</v>
      </c>
      <c r="I526" s="312" t="s">
        <v>107</v>
      </c>
      <c r="J526" s="312">
        <v>1913</v>
      </c>
      <c r="K526" s="312" t="s">
        <v>109</v>
      </c>
    </row>
    <row r="527" spans="1:11">
      <c r="A527" s="312" t="s">
        <v>1265</v>
      </c>
      <c r="B527" s="312" t="s">
        <v>1266</v>
      </c>
      <c r="C527" s="312" t="s">
        <v>105</v>
      </c>
      <c r="D527" s="312" t="s">
        <v>570</v>
      </c>
      <c r="E527" s="312" t="s">
        <v>466</v>
      </c>
      <c r="F527" s="312">
        <v>1796</v>
      </c>
      <c r="G527" s="312" t="s">
        <v>467</v>
      </c>
      <c r="H527" s="312">
        <v>1799</v>
      </c>
      <c r="I527" s="312" t="s">
        <v>466</v>
      </c>
      <c r="J527" s="312">
        <v>1918</v>
      </c>
      <c r="K527" s="312" t="s">
        <v>468</v>
      </c>
    </row>
    <row r="528" spans="1:11">
      <c r="A528" s="312" t="s">
        <v>1267</v>
      </c>
      <c r="B528" s="312" t="s">
        <v>1268</v>
      </c>
      <c r="C528" s="312" t="s">
        <v>105</v>
      </c>
      <c r="D528" s="312" t="s">
        <v>379</v>
      </c>
      <c r="E528" s="312" t="s">
        <v>107</v>
      </c>
      <c r="F528" s="312">
        <v>1825</v>
      </c>
      <c r="G528" s="312" t="s">
        <v>108</v>
      </c>
      <c r="H528" s="312">
        <v>1827</v>
      </c>
      <c r="I528" s="312" t="s">
        <v>107</v>
      </c>
      <c r="J528" s="312">
        <v>1913</v>
      </c>
      <c r="K528" s="312" t="s">
        <v>109</v>
      </c>
    </row>
    <row r="529" spans="1:11">
      <c r="A529" s="312" t="s">
        <v>1269</v>
      </c>
      <c r="B529" s="312" t="s">
        <v>1270</v>
      </c>
      <c r="C529" s="312" t="s">
        <v>105</v>
      </c>
      <c r="D529" s="312" t="s">
        <v>312</v>
      </c>
      <c r="E529" s="312" t="s">
        <v>107</v>
      </c>
      <c r="F529" s="312">
        <v>1825</v>
      </c>
      <c r="G529" s="312" t="s">
        <v>108</v>
      </c>
      <c r="H529" s="312">
        <v>1827</v>
      </c>
      <c r="I529" s="312" t="s">
        <v>107</v>
      </c>
      <c r="J529" s="312">
        <v>1913</v>
      </c>
      <c r="K529" s="312" t="s">
        <v>109</v>
      </c>
    </row>
    <row r="530" spans="1:11">
      <c r="A530" s="312" t="s">
        <v>1271</v>
      </c>
      <c r="B530" s="312" t="s">
        <v>1272</v>
      </c>
      <c r="C530" s="312" t="s">
        <v>105</v>
      </c>
      <c r="D530" s="312" t="s">
        <v>312</v>
      </c>
      <c r="E530" s="312" t="s">
        <v>107</v>
      </c>
      <c r="F530" s="312">
        <v>1825</v>
      </c>
      <c r="G530" s="312" t="s">
        <v>108</v>
      </c>
      <c r="H530" s="312">
        <v>1827</v>
      </c>
      <c r="I530" s="312" t="s">
        <v>107</v>
      </c>
      <c r="J530" s="312">
        <v>1913</v>
      </c>
      <c r="K530" s="312" t="s">
        <v>109</v>
      </c>
    </row>
    <row r="531" spans="1:11">
      <c r="A531" s="312" t="s">
        <v>1273</v>
      </c>
      <c r="B531" s="312" t="s">
        <v>1274</v>
      </c>
      <c r="C531" s="312" t="s">
        <v>105</v>
      </c>
      <c r="D531" s="312" t="s">
        <v>312</v>
      </c>
      <c r="E531" s="312" t="s">
        <v>107</v>
      </c>
      <c r="F531" s="312">
        <v>1825</v>
      </c>
      <c r="G531" s="312" t="s">
        <v>108</v>
      </c>
      <c r="H531" s="312">
        <v>1827</v>
      </c>
      <c r="I531" s="312" t="s">
        <v>107</v>
      </c>
      <c r="J531" s="312">
        <v>1913</v>
      </c>
      <c r="K531" s="312" t="s">
        <v>109</v>
      </c>
    </row>
    <row r="532" spans="1:11">
      <c r="A532" s="312" t="s">
        <v>1275</v>
      </c>
      <c r="B532" s="312" t="s">
        <v>1276</v>
      </c>
      <c r="C532" s="312" t="s">
        <v>105</v>
      </c>
      <c r="D532" s="312" t="s">
        <v>312</v>
      </c>
      <c r="E532" s="312" t="s">
        <v>107</v>
      </c>
      <c r="F532" s="312">
        <v>1825</v>
      </c>
      <c r="G532" s="312" t="s">
        <v>108</v>
      </c>
      <c r="H532" s="312">
        <v>1827</v>
      </c>
      <c r="I532" s="312" t="s">
        <v>107</v>
      </c>
      <c r="J532" s="312">
        <v>1913</v>
      </c>
      <c r="K532" s="312" t="s">
        <v>109</v>
      </c>
    </row>
    <row r="533" spans="1:11">
      <c r="A533" s="312" t="s">
        <v>1277</v>
      </c>
      <c r="B533" s="312" t="s">
        <v>1278</v>
      </c>
      <c r="C533" s="312" t="s">
        <v>105</v>
      </c>
      <c r="D533" s="312" t="s">
        <v>114</v>
      </c>
      <c r="E533" s="312" t="s">
        <v>107</v>
      </c>
      <c r="F533" s="312">
        <v>1825</v>
      </c>
      <c r="G533" s="312" t="s">
        <v>108</v>
      </c>
      <c r="H533" s="312">
        <v>1827</v>
      </c>
      <c r="I533" s="312" t="s">
        <v>107</v>
      </c>
      <c r="J533" s="312">
        <v>1913</v>
      </c>
      <c r="K533" s="312" t="s">
        <v>109</v>
      </c>
    </row>
    <row r="534" spans="1:11">
      <c r="A534" s="312" t="s">
        <v>1279</v>
      </c>
      <c r="B534" s="312" t="s">
        <v>1280</v>
      </c>
      <c r="C534" s="312" t="s">
        <v>105</v>
      </c>
      <c r="D534" s="312" t="s">
        <v>1131</v>
      </c>
      <c r="E534" s="312" t="s">
        <v>107</v>
      </c>
      <c r="F534" s="312">
        <v>1825</v>
      </c>
      <c r="G534" s="312" t="s">
        <v>108</v>
      </c>
      <c r="H534" s="312">
        <v>1827</v>
      </c>
      <c r="I534" s="312" t="s">
        <v>107</v>
      </c>
      <c r="J534" s="312">
        <v>1913</v>
      </c>
      <c r="K534" s="312" t="s">
        <v>109</v>
      </c>
    </row>
    <row r="535" spans="1:11">
      <c r="A535" s="312" t="s">
        <v>1281</v>
      </c>
      <c r="B535" s="312" t="s">
        <v>1282</v>
      </c>
      <c r="C535" s="312" t="s">
        <v>105</v>
      </c>
      <c r="D535" s="312" t="s">
        <v>294</v>
      </c>
      <c r="E535" s="312" t="s">
        <v>107</v>
      </c>
      <c r="F535" s="312">
        <v>1825</v>
      </c>
      <c r="G535" s="312" t="s">
        <v>108</v>
      </c>
      <c r="H535" s="312">
        <v>1827</v>
      </c>
      <c r="I535" s="312" t="s">
        <v>107</v>
      </c>
      <c r="J535" s="312">
        <v>1913</v>
      </c>
      <c r="K535" s="312" t="s">
        <v>109</v>
      </c>
    </row>
    <row r="536" spans="1:11">
      <c r="A536" s="312" t="s">
        <v>1283</v>
      </c>
      <c r="B536" s="312" t="s">
        <v>1284</v>
      </c>
      <c r="C536" s="312" t="s">
        <v>105</v>
      </c>
      <c r="D536" s="312" t="s">
        <v>1285</v>
      </c>
      <c r="E536" s="312" t="s">
        <v>107</v>
      </c>
      <c r="F536" s="312">
        <v>1825</v>
      </c>
      <c r="G536" s="312" t="s">
        <v>108</v>
      </c>
      <c r="H536" s="312">
        <v>1827</v>
      </c>
      <c r="I536" s="312" t="s">
        <v>107</v>
      </c>
      <c r="J536" s="312">
        <v>1913</v>
      </c>
      <c r="K536" s="312" t="s">
        <v>109</v>
      </c>
    </row>
    <row r="537" spans="1:11">
      <c r="A537" s="312" t="s">
        <v>1286</v>
      </c>
      <c r="B537" s="312" t="s">
        <v>1287</v>
      </c>
      <c r="C537" s="312" t="s">
        <v>105</v>
      </c>
      <c r="D537" s="312" t="s">
        <v>1288</v>
      </c>
      <c r="E537" s="312" t="s">
        <v>107</v>
      </c>
      <c r="F537" s="312">
        <v>1825</v>
      </c>
      <c r="G537" s="312" t="s">
        <v>108</v>
      </c>
      <c r="H537" s="312">
        <v>1827</v>
      </c>
      <c r="I537" s="312" t="s">
        <v>107</v>
      </c>
      <c r="J537" s="312">
        <v>1913</v>
      </c>
      <c r="K537" s="312" t="s">
        <v>109</v>
      </c>
    </row>
    <row r="538" spans="1:11">
      <c r="A538" s="312" t="s">
        <v>1289</v>
      </c>
      <c r="B538" s="312" t="s">
        <v>1290</v>
      </c>
      <c r="C538" s="312" t="s">
        <v>105</v>
      </c>
      <c r="D538" s="312" t="s">
        <v>1291</v>
      </c>
      <c r="E538" s="312" t="s">
        <v>107</v>
      </c>
      <c r="F538" s="312">
        <v>1825</v>
      </c>
      <c r="G538" s="312" t="s">
        <v>108</v>
      </c>
      <c r="H538" s="312">
        <v>1827</v>
      </c>
      <c r="I538" s="312" t="s">
        <v>107</v>
      </c>
      <c r="J538" s="312">
        <v>1913</v>
      </c>
      <c r="K538" s="312" t="s">
        <v>109</v>
      </c>
    </row>
    <row r="539" spans="1:11">
      <c r="A539" s="312" t="s">
        <v>1292</v>
      </c>
      <c r="B539" s="312" t="s">
        <v>1293</v>
      </c>
      <c r="C539" s="312" t="s">
        <v>105</v>
      </c>
      <c r="D539" s="312" t="s">
        <v>1294</v>
      </c>
      <c r="E539" s="312" t="s">
        <v>107</v>
      </c>
      <c r="F539" s="312">
        <v>1825</v>
      </c>
      <c r="G539" s="312" t="s">
        <v>108</v>
      </c>
      <c r="H539" s="312">
        <v>1827</v>
      </c>
      <c r="I539" s="312" t="s">
        <v>107</v>
      </c>
      <c r="J539" s="312">
        <v>1913</v>
      </c>
      <c r="K539" s="312" t="s">
        <v>109</v>
      </c>
    </row>
    <row r="540" spans="1:11">
      <c r="A540" s="312" t="s">
        <v>1295</v>
      </c>
      <c r="B540" s="312" t="s">
        <v>1296</v>
      </c>
      <c r="C540" s="312" t="s">
        <v>105</v>
      </c>
      <c r="D540" s="312" t="s">
        <v>1297</v>
      </c>
      <c r="E540" s="312" t="s">
        <v>107</v>
      </c>
      <c r="F540" s="312">
        <v>1825</v>
      </c>
      <c r="G540" s="312" t="s">
        <v>108</v>
      </c>
      <c r="H540" s="312">
        <v>1827</v>
      </c>
      <c r="I540" s="312" t="s">
        <v>107</v>
      </c>
      <c r="J540" s="312">
        <v>1913</v>
      </c>
      <c r="K540" s="312" t="s">
        <v>109</v>
      </c>
    </row>
    <row r="541" spans="1:11">
      <c r="A541" s="312" t="s">
        <v>1298</v>
      </c>
      <c r="B541" s="312" t="s">
        <v>1299</v>
      </c>
      <c r="C541" s="312" t="s">
        <v>105</v>
      </c>
      <c r="D541" s="312" t="s">
        <v>1300</v>
      </c>
      <c r="E541" s="312" t="s">
        <v>167</v>
      </c>
      <c r="F541" s="312">
        <v>1705</v>
      </c>
      <c r="G541" s="312" t="s">
        <v>168</v>
      </c>
      <c r="H541" s="312">
        <v>1707</v>
      </c>
      <c r="I541" s="312" t="s">
        <v>167</v>
      </c>
      <c r="J541" s="312">
        <v>1899</v>
      </c>
      <c r="K541" s="312" t="s">
        <v>169</v>
      </c>
    </row>
    <row r="542" spans="1:11">
      <c r="A542" s="312" t="s">
        <v>1301</v>
      </c>
      <c r="B542" s="312" t="s">
        <v>1302</v>
      </c>
      <c r="C542" s="312" t="s">
        <v>105</v>
      </c>
      <c r="D542" s="312" t="s">
        <v>1285</v>
      </c>
      <c r="E542" s="312" t="s">
        <v>107</v>
      </c>
      <c r="F542" s="312">
        <v>1825</v>
      </c>
      <c r="G542" s="312" t="s">
        <v>108</v>
      </c>
      <c r="H542" s="312">
        <v>1827</v>
      </c>
      <c r="I542" s="312" t="s">
        <v>107</v>
      </c>
      <c r="J542" s="312">
        <v>1913</v>
      </c>
      <c r="K542" s="312" t="s">
        <v>109</v>
      </c>
    </row>
    <row r="543" spans="1:11">
      <c r="A543" s="312" t="s">
        <v>1303</v>
      </c>
      <c r="B543" s="312" t="s">
        <v>1304</v>
      </c>
      <c r="C543" s="312" t="s">
        <v>105</v>
      </c>
      <c r="D543" s="312" t="s">
        <v>658</v>
      </c>
      <c r="E543" s="312" t="s">
        <v>696</v>
      </c>
      <c r="F543" s="312">
        <v>1736</v>
      </c>
      <c r="G543" s="312" t="s">
        <v>697</v>
      </c>
      <c r="H543" s="312">
        <v>1741</v>
      </c>
      <c r="I543" s="312" t="s">
        <v>696</v>
      </c>
      <c r="J543" s="312">
        <v>1929</v>
      </c>
      <c r="K543" s="312" t="s">
        <v>698</v>
      </c>
    </row>
    <row r="544" spans="1:11">
      <c r="A544" s="312" t="s">
        <v>1305</v>
      </c>
      <c r="B544" s="312" t="s">
        <v>1306</v>
      </c>
      <c r="C544" s="312" t="s">
        <v>105</v>
      </c>
      <c r="D544" s="312" t="s">
        <v>1307</v>
      </c>
      <c r="E544" s="312" t="s">
        <v>167</v>
      </c>
      <c r="F544" s="312">
        <v>1705</v>
      </c>
      <c r="G544" s="312" t="s">
        <v>168</v>
      </c>
      <c r="H544" s="312">
        <v>1707</v>
      </c>
      <c r="I544" s="312" t="s">
        <v>167</v>
      </c>
      <c r="J544" s="312">
        <v>1899</v>
      </c>
      <c r="K544" s="312" t="s">
        <v>169</v>
      </c>
    </row>
    <row r="545" spans="1:11">
      <c r="A545" s="312" t="s">
        <v>1308</v>
      </c>
      <c r="B545" s="312" t="s">
        <v>1309</v>
      </c>
      <c r="C545" s="312" t="s">
        <v>105</v>
      </c>
      <c r="D545" s="312" t="s">
        <v>1307</v>
      </c>
      <c r="E545" s="312" t="s">
        <v>167</v>
      </c>
      <c r="F545" s="312">
        <v>1705</v>
      </c>
      <c r="G545" s="312" t="s">
        <v>168</v>
      </c>
      <c r="H545" s="312">
        <v>1707</v>
      </c>
      <c r="I545" s="312" t="s">
        <v>167</v>
      </c>
      <c r="J545" s="312">
        <v>1899</v>
      </c>
      <c r="K545" s="312" t="s">
        <v>169</v>
      </c>
    </row>
    <row r="546" spans="1:11">
      <c r="A546" s="312" t="s">
        <v>1310</v>
      </c>
      <c r="B546" s="312" t="s">
        <v>1311</v>
      </c>
      <c r="C546" s="312" t="s">
        <v>105</v>
      </c>
      <c r="D546" s="312" t="s">
        <v>483</v>
      </c>
      <c r="E546" s="312" t="s">
        <v>466</v>
      </c>
      <c r="F546" s="312">
        <v>1796</v>
      </c>
      <c r="G546" s="312" t="s">
        <v>467</v>
      </c>
      <c r="H546" s="312">
        <v>1799</v>
      </c>
      <c r="I546" s="312" t="s">
        <v>466</v>
      </c>
      <c r="J546" s="312">
        <v>1918</v>
      </c>
      <c r="K546" s="312" t="s">
        <v>468</v>
      </c>
    </row>
    <row r="547" spans="1:11">
      <c r="A547" s="312" t="s">
        <v>1312</v>
      </c>
      <c r="B547" s="312" t="s">
        <v>1313</v>
      </c>
      <c r="C547" s="312" t="s">
        <v>105</v>
      </c>
      <c r="D547" s="312" t="s">
        <v>1314</v>
      </c>
      <c r="E547" s="312" t="s">
        <v>167</v>
      </c>
      <c r="F547" s="312">
        <v>1705</v>
      </c>
      <c r="G547" s="312" t="s">
        <v>168</v>
      </c>
      <c r="H547" s="312">
        <v>1707</v>
      </c>
      <c r="I547" s="312" t="s">
        <v>167</v>
      </c>
      <c r="J547" s="312">
        <v>1899</v>
      </c>
      <c r="K547" s="312" t="s">
        <v>169</v>
      </c>
    </row>
    <row r="548" spans="1:11">
      <c r="A548" s="312" t="s">
        <v>1315</v>
      </c>
      <c r="B548" s="312" t="s">
        <v>1316</v>
      </c>
      <c r="C548" s="312" t="s">
        <v>105</v>
      </c>
      <c r="D548" s="312" t="s">
        <v>600</v>
      </c>
      <c r="E548" s="312" t="s">
        <v>107</v>
      </c>
      <c r="F548" s="312">
        <v>1825</v>
      </c>
      <c r="G548" s="312" t="s">
        <v>108</v>
      </c>
      <c r="H548" s="312">
        <v>1827</v>
      </c>
      <c r="I548" s="312" t="s">
        <v>107</v>
      </c>
      <c r="J548" s="312">
        <v>1913</v>
      </c>
      <c r="K548" s="312" t="s">
        <v>109</v>
      </c>
    </row>
    <row r="549" spans="1:11">
      <c r="A549" s="312" t="s">
        <v>1317</v>
      </c>
      <c r="B549" s="312" t="s">
        <v>1318</v>
      </c>
      <c r="C549" s="312" t="s">
        <v>105</v>
      </c>
      <c r="D549" s="312" t="s">
        <v>252</v>
      </c>
      <c r="E549" s="312" t="s">
        <v>167</v>
      </c>
      <c r="F549" s="312">
        <v>1705</v>
      </c>
      <c r="G549" s="312" t="s">
        <v>168</v>
      </c>
      <c r="H549" s="312">
        <v>1707</v>
      </c>
      <c r="I549" s="312" t="s">
        <v>167</v>
      </c>
      <c r="J549" s="312">
        <v>1899</v>
      </c>
      <c r="K549" s="312" t="s">
        <v>169</v>
      </c>
    </row>
    <row r="550" spans="1:11">
      <c r="A550" s="312" t="s">
        <v>1319</v>
      </c>
      <c r="B550" s="312" t="s">
        <v>1320</v>
      </c>
      <c r="C550" s="312" t="s">
        <v>105</v>
      </c>
      <c r="D550" s="312" t="s">
        <v>1307</v>
      </c>
      <c r="E550" s="312" t="s">
        <v>167</v>
      </c>
      <c r="F550" s="312">
        <v>1705</v>
      </c>
      <c r="G550" s="312" t="s">
        <v>168</v>
      </c>
      <c r="H550" s="312">
        <v>1707</v>
      </c>
      <c r="I550" s="312" t="s">
        <v>167</v>
      </c>
      <c r="J550" s="312">
        <v>1899</v>
      </c>
      <c r="K550" s="312" t="s">
        <v>169</v>
      </c>
    </row>
    <row r="551" spans="1:11">
      <c r="A551" s="312" t="s">
        <v>1321</v>
      </c>
      <c r="B551" s="312" t="s">
        <v>1322</v>
      </c>
      <c r="C551" s="312" t="s">
        <v>105</v>
      </c>
      <c r="D551" s="312" t="s">
        <v>1307</v>
      </c>
      <c r="E551" s="312" t="s">
        <v>167</v>
      </c>
      <c r="F551" s="312">
        <v>1705</v>
      </c>
      <c r="G551" s="312" t="s">
        <v>168</v>
      </c>
      <c r="H551" s="312">
        <v>1707</v>
      </c>
      <c r="I551" s="312" t="s">
        <v>167</v>
      </c>
      <c r="J551" s="312">
        <v>1899</v>
      </c>
      <c r="K551" s="312" t="s">
        <v>169</v>
      </c>
    </row>
    <row r="552" spans="1:11">
      <c r="A552" s="312" t="s">
        <v>1323</v>
      </c>
      <c r="B552" s="312" t="s">
        <v>1324</v>
      </c>
      <c r="C552" s="312" t="s">
        <v>105</v>
      </c>
      <c r="D552" s="312" t="s">
        <v>114</v>
      </c>
      <c r="E552" s="312" t="s">
        <v>684</v>
      </c>
      <c r="F552" s="312">
        <v>1750</v>
      </c>
      <c r="G552" s="312" t="s">
        <v>685</v>
      </c>
      <c r="H552" s="312">
        <v>1754</v>
      </c>
      <c r="I552" s="312" t="s">
        <v>684</v>
      </c>
      <c r="J552" s="312">
        <v>1920</v>
      </c>
      <c r="K552" s="312" t="s">
        <v>686</v>
      </c>
    </row>
    <row r="553" spans="1:11">
      <c r="A553" s="312" t="s">
        <v>1325</v>
      </c>
      <c r="B553" s="312" t="s">
        <v>1326</v>
      </c>
      <c r="C553" s="312" t="s">
        <v>105</v>
      </c>
      <c r="D553" s="312" t="s">
        <v>114</v>
      </c>
      <c r="E553" s="312" t="s">
        <v>684</v>
      </c>
      <c r="F553" s="312">
        <v>1750</v>
      </c>
      <c r="G553" s="312" t="s">
        <v>685</v>
      </c>
      <c r="H553" s="312">
        <v>1754</v>
      </c>
      <c r="I553" s="312" t="s">
        <v>684</v>
      </c>
      <c r="J553" s="312">
        <v>1920</v>
      </c>
      <c r="K553" s="312" t="s">
        <v>686</v>
      </c>
    </row>
    <row r="554" spans="1:11">
      <c r="A554" s="312" t="s">
        <v>1327</v>
      </c>
      <c r="B554" s="312" t="s">
        <v>1328</v>
      </c>
      <c r="C554" s="312" t="s">
        <v>105</v>
      </c>
      <c r="D554" s="312" t="s">
        <v>114</v>
      </c>
      <c r="E554" s="312" t="s">
        <v>684</v>
      </c>
      <c r="F554" s="312">
        <v>1750</v>
      </c>
      <c r="G554" s="312" t="s">
        <v>685</v>
      </c>
      <c r="H554" s="312">
        <v>1754</v>
      </c>
      <c r="I554" s="312" t="s">
        <v>684</v>
      </c>
      <c r="J554" s="312">
        <v>1920</v>
      </c>
      <c r="K554" s="312" t="s">
        <v>686</v>
      </c>
    </row>
    <row r="555" spans="1:11">
      <c r="A555" s="312" t="s">
        <v>1329</v>
      </c>
      <c r="B555" s="312" t="s">
        <v>1330</v>
      </c>
      <c r="C555" s="312" t="s">
        <v>105</v>
      </c>
      <c r="D555" s="312" t="s">
        <v>114</v>
      </c>
      <c r="E555" s="312" t="s">
        <v>684</v>
      </c>
      <c r="F555" s="312">
        <v>1750</v>
      </c>
      <c r="G555" s="312" t="s">
        <v>685</v>
      </c>
      <c r="H555" s="312">
        <v>1754</v>
      </c>
      <c r="I555" s="312" t="s">
        <v>684</v>
      </c>
      <c r="J555" s="312">
        <v>1920</v>
      </c>
      <c r="K555" s="312" t="s">
        <v>686</v>
      </c>
    </row>
    <row r="556" spans="1:11">
      <c r="A556" s="312" t="s">
        <v>1331</v>
      </c>
      <c r="B556" s="312" t="s">
        <v>1332</v>
      </c>
      <c r="C556" s="312" t="s">
        <v>105</v>
      </c>
      <c r="D556" s="312" t="s">
        <v>114</v>
      </c>
      <c r="E556" s="312" t="s">
        <v>684</v>
      </c>
      <c r="F556" s="312">
        <v>1750</v>
      </c>
      <c r="G556" s="312" t="s">
        <v>685</v>
      </c>
      <c r="H556" s="312">
        <v>1754</v>
      </c>
      <c r="I556" s="312" t="s">
        <v>684</v>
      </c>
      <c r="J556" s="312">
        <v>1920</v>
      </c>
      <c r="K556" s="312" t="s">
        <v>686</v>
      </c>
    </row>
    <row r="557" spans="1:11">
      <c r="A557" s="312" t="s">
        <v>1333</v>
      </c>
      <c r="B557" s="312" t="s">
        <v>1334</v>
      </c>
      <c r="C557" s="312" t="s">
        <v>105</v>
      </c>
      <c r="D557" s="312" t="s">
        <v>512</v>
      </c>
      <c r="E557" s="312" t="s">
        <v>167</v>
      </c>
      <c r="F557" s="312">
        <v>1705</v>
      </c>
      <c r="G557" s="312" t="s">
        <v>168</v>
      </c>
      <c r="H557" s="312">
        <v>1707</v>
      </c>
      <c r="I557" s="312" t="s">
        <v>167</v>
      </c>
      <c r="J557" s="312">
        <v>1899</v>
      </c>
      <c r="K557" s="312" t="s">
        <v>169</v>
      </c>
    </row>
    <row r="558" spans="1:11">
      <c r="A558" s="312" t="s">
        <v>1335</v>
      </c>
      <c r="B558" s="312" t="s">
        <v>1336</v>
      </c>
      <c r="C558" s="312" t="s">
        <v>105</v>
      </c>
      <c r="D558" s="312" t="s">
        <v>512</v>
      </c>
      <c r="E558" s="312" t="s">
        <v>167</v>
      </c>
      <c r="F558" s="312">
        <v>1705</v>
      </c>
      <c r="G558" s="312" t="s">
        <v>168</v>
      </c>
      <c r="H558" s="312">
        <v>1707</v>
      </c>
      <c r="I558" s="312" t="s">
        <v>167</v>
      </c>
      <c r="J558" s="312">
        <v>1899</v>
      </c>
      <c r="K558" s="312" t="s">
        <v>169</v>
      </c>
    </row>
    <row r="559" spans="1:11">
      <c r="A559" s="312" t="s">
        <v>1337</v>
      </c>
      <c r="B559" s="312" t="s">
        <v>1338</v>
      </c>
      <c r="C559" s="312" t="s">
        <v>105</v>
      </c>
      <c r="D559" s="312" t="s">
        <v>1307</v>
      </c>
      <c r="E559" s="312" t="s">
        <v>167</v>
      </c>
      <c r="F559" s="312">
        <v>1705</v>
      </c>
      <c r="G559" s="312" t="s">
        <v>168</v>
      </c>
      <c r="H559" s="312">
        <v>1707</v>
      </c>
      <c r="I559" s="312" t="s">
        <v>167</v>
      </c>
      <c r="J559" s="312">
        <v>1899</v>
      </c>
      <c r="K559" s="312" t="s">
        <v>169</v>
      </c>
    </row>
    <row r="560" spans="1:11">
      <c r="A560" s="312" t="s">
        <v>1339</v>
      </c>
      <c r="B560" s="312" t="s">
        <v>1340</v>
      </c>
      <c r="C560" s="312" t="s">
        <v>105</v>
      </c>
      <c r="D560" s="312" t="s">
        <v>1307</v>
      </c>
      <c r="E560" s="312" t="s">
        <v>167</v>
      </c>
      <c r="F560" s="312">
        <v>1705</v>
      </c>
      <c r="G560" s="312" t="s">
        <v>168</v>
      </c>
      <c r="H560" s="312">
        <v>1707</v>
      </c>
      <c r="I560" s="312" t="s">
        <v>167</v>
      </c>
      <c r="J560" s="312">
        <v>1899</v>
      </c>
      <c r="K560" s="312" t="s">
        <v>169</v>
      </c>
    </row>
    <row r="561" spans="1:11">
      <c r="A561" s="312" t="s">
        <v>1341</v>
      </c>
      <c r="B561" s="312" t="s">
        <v>1342</v>
      </c>
      <c r="C561" s="312" t="s">
        <v>105</v>
      </c>
      <c r="D561" s="312" t="s">
        <v>435</v>
      </c>
      <c r="E561" s="312" t="s">
        <v>107</v>
      </c>
      <c r="F561" s="312">
        <v>1825</v>
      </c>
      <c r="G561" s="312" t="s">
        <v>108</v>
      </c>
      <c r="H561" s="312">
        <v>1827</v>
      </c>
      <c r="I561" s="312" t="s">
        <v>107</v>
      </c>
      <c r="J561" s="312">
        <v>1913</v>
      </c>
      <c r="K561" s="312" t="s">
        <v>109</v>
      </c>
    </row>
    <row r="562" spans="1:11">
      <c r="A562" s="312" t="s">
        <v>1343</v>
      </c>
      <c r="B562" s="312" t="s">
        <v>1344</v>
      </c>
      <c r="C562" s="312" t="s">
        <v>105</v>
      </c>
      <c r="D562" s="312" t="s">
        <v>252</v>
      </c>
      <c r="E562" s="312" t="s">
        <v>167</v>
      </c>
      <c r="F562" s="312">
        <v>1705</v>
      </c>
      <c r="G562" s="312" t="s">
        <v>168</v>
      </c>
      <c r="H562" s="312">
        <v>1707</v>
      </c>
      <c r="I562" s="312" t="s">
        <v>167</v>
      </c>
      <c r="J562" s="312">
        <v>1899</v>
      </c>
      <c r="K562" s="312" t="s">
        <v>169</v>
      </c>
    </row>
    <row r="563" spans="1:11">
      <c r="A563" s="312" t="s">
        <v>1345</v>
      </c>
      <c r="B563" s="312" t="s">
        <v>1346</v>
      </c>
      <c r="C563" s="312" t="s">
        <v>105</v>
      </c>
      <c r="D563" s="312" t="s">
        <v>435</v>
      </c>
      <c r="E563" s="312" t="s">
        <v>107</v>
      </c>
      <c r="F563" s="312">
        <v>1825</v>
      </c>
      <c r="G563" s="312" t="s">
        <v>108</v>
      </c>
      <c r="H563" s="312">
        <v>1827</v>
      </c>
      <c r="I563" s="312" t="s">
        <v>107</v>
      </c>
      <c r="J563" s="312">
        <v>1913</v>
      </c>
      <c r="K563" s="312" t="s">
        <v>109</v>
      </c>
    </row>
    <row r="564" spans="1:11">
      <c r="A564" s="312" t="s">
        <v>1347</v>
      </c>
      <c r="B564" s="312" t="s">
        <v>1348</v>
      </c>
      <c r="C564" s="312" t="s">
        <v>105</v>
      </c>
      <c r="D564" s="312" t="s">
        <v>435</v>
      </c>
      <c r="E564" s="312" t="s">
        <v>684</v>
      </c>
      <c r="F564" s="312">
        <v>1750</v>
      </c>
      <c r="G564" s="312" t="s">
        <v>685</v>
      </c>
      <c r="H564" s="312">
        <v>1754</v>
      </c>
      <c r="I564" s="312" t="s">
        <v>684</v>
      </c>
      <c r="J564" s="312">
        <v>1920</v>
      </c>
      <c r="K564" s="312" t="s">
        <v>686</v>
      </c>
    </row>
    <row r="565" spans="1:11">
      <c r="A565" s="312" t="s">
        <v>1349</v>
      </c>
      <c r="B565" s="1" t="s">
        <v>1350</v>
      </c>
      <c r="C565" s="312" t="s">
        <v>105</v>
      </c>
      <c r="D565" s="312" t="s">
        <v>435</v>
      </c>
      <c r="E565" s="312" t="s">
        <v>684</v>
      </c>
      <c r="F565" s="312">
        <v>1750</v>
      </c>
      <c r="G565" s="312" t="s">
        <v>685</v>
      </c>
      <c r="H565" s="312">
        <v>1754</v>
      </c>
      <c r="I565" s="312" t="s">
        <v>684</v>
      </c>
      <c r="J565" s="312">
        <v>1920</v>
      </c>
      <c r="K565" s="312" t="s">
        <v>686</v>
      </c>
    </row>
    <row r="566" spans="1:11">
      <c r="A566" s="312" t="s">
        <v>1351</v>
      </c>
      <c r="B566" s="312" t="s">
        <v>1352</v>
      </c>
      <c r="C566" s="312" t="s">
        <v>105</v>
      </c>
      <c r="D566" s="312" t="s">
        <v>435</v>
      </c>
      <c r="E566" s="312" t="s">
        <v>684</v>
      </c>
      <c r="F566" s="312">
        <v>1750</v>
      </c>
      <c r="G566" s="312" t="s">
        <v>685</v>
      </c>
      <c r="H566" s="312">
        <v>1754</v>
      </c>
      <c r="I566" s="312" t="s">
        <v>684</v>
      </c>
      <c r="J566" s="312">
        <v>1920</v>
      </c>
      <c r="K566" s="312" t="s">
        <v>686</v>
      </c>
    </row>
    <row r="567" spans="1:11">
      <c r="A567" s="312" t="s">
        <v>1353</v>
      </c>
      <c r="B567" s="312" t="s">
        <v>1354</v>
      </c>
      <c r="C567" s="312" t="s">
        <v>105</v>
      </c>
      <c r="D567" s="312" t="s">
        <v>435</v>
      </c>
      <c r="E567" s="312" t="s">
        <v>684</v>
      </c>
      <c r="F567" s="312">
        <v>1750</v>
      </c>
      <c r="G567" s="312" t="s">
        <v>685</v>
      </c>
      <c r="H567" s="312">
        <v>1754</v>
      </c>
      <c r="I567" s="312" t="s">
        <v>684</v>
      </c>
      <c r="J567" s="312">
        <v>1920</v>
      </c>
      <c r="K567" s="312" t="s">
        <v>686</v>
      </c>
    </row>
    <row r="568" spans="1:11">
      <c r="A568" s="312" t="s">
        <v>1355</v>
      </c>
      <c r="B568" s="312" t="s">
        <v>1356</v>
      </c>
      <c r="C568" s="312" t="s">
        <v>105</v>
      </c>
      <c r="D568" s="312" t="s">
        <v>435</v>
      </c>
      <c r="E568" s="312" t="s">
        <v>684</v>
      </c>
      <c r="F568" s="312">
        <v>1750</v>
      </c>
      <c r="G568" s="312" t="s">
        <v>685</v>
      </c>
      <c r="H568" s="312">
        <v>1754</v>
      </c>
      <c r="I568" s="312" t="s">
        <v>684</v>
      </c>
      <c r="J568" s="312">
        <v>1920</v>
      </c>
      <c r="K568" s="312" t="s">
        <v>686</v>
      </c>
    </row>
    <row r="569" spans="1:11">
      <c r="A569" s="312" t="s">
        <v>1357</v>
      </c>
      <c r="B569" s="312" t="s">
        <v>1358</v>
      </c>
      <c r="C569" s="312" t="s">
        <v>105</v>
      </c>
      <c r="D569" s="312" t="s">
        <v>435</v>
      </c>
      <c r="E569" s="312" t="s">
        <v>684</v>
      </c>
      <c r="F569" s="312">
        <v>1750</v>
      </c>
      <c r="G569" s="312" t="s">
        <v>685</v>
      </c>
      <c r="H569" s="312">
        <v>1754</v>
      </c>
      <c r="I569" s="312" t="s">
        <v>684</v>
      </c>
      <c r="J569" s="312">
        <v>1920</v>
      </c>
      <c r="K569" s="312" t="s">
        <v>686</v>
      </c>
    </row>
    <row r="570" spans="1:11">
      <c r="A570" s="312" t="s">
        <v>1359</v>
      </c>
      <c r="B570" s="312" t="s">
        <v>1360</v>
      </c>
      <c r="C570" s="312" t="s">
        <v>105</v>
      </c>
      <c r="D570" s="312" t="s">
        <v>435</v>
      </c>
      <c r="E570" s="312" t="s">
        <v>684</v>
      </c>
      <c r="F570" s="312">
        <v>1750</v>
      </c>
      <c r="G570" s="312" t="s">
        <v>685</v>
      </c>
      <c r="H570" s="312">
        <v>1754</v>
      </c>
      <c r="I570" s="312" t="s">
        <v>684</v>
      </c>
      <c r="J570" s="312">
        <v>1920</v>
      </c>
      <c r="K570" s="312" t="s">
        <v>686</v>
      </c>
    </row>
    <row r="571" spans="1:11">
      <c r="A571" s="312" t="s">
        <v>1361</v>
      </c>
      <c r="B571" s="312" t="s">
        <v>1362</v>
      </c>
      <c r="C571" s="312" t="s">
        <v>105</v>
      </c>
      <c r="D571" s="312" t="s">
        <v>435</v>
      </c>
      <c r="E571" s="312" t="s">
        <v>684</v>
      </c>
      <c r="F571" s="312">
        <v>1750</v>
      </c>
      <c r="G571" s="312" t="s">
        <v>685</v>
      </c>
      <c r="H571" s="312">
        <v>1754</v>
      </c>
      <c r="I571" s="312" t="s">
        <v>684</v>
      </c>
      <c r="J571" s="312">
        <v>1920</v>
      </c>
      <c r="K571" s="312" t="s">
        <v>686</v>
      </c>
    </row>
    <row r="572" spans="1:11">
      <c r="A572" s="312" t="s">
        <v>1363</v>
      </c>
      <c r="B572" s="312" t="s">
        <v>1364</v>
      </c>
      <c r="C572" s="312" t="s">
        <v>105</v>
      </c>
      <c r="D572" s="312" t="s">
        <v>435</v>
      </c>
      <c r="E572" s="312" t="s">
        <v>684</v>
      </c>
      <c r="F572" s="312">
        <v>1750</v>
      </c>
      <c r="G572" s="312" t="s">
        <v>685</v>
      </c>
      <c r="H572" s="312">
        <v>1754</v>
      </c>
      <c r="I572" s="312" t="s">
        <v>684</v>
      </c>
      <c r="J572" s="312">
        <v>1920</v>
      </c>
      <c r="K572" s="312" t="s">
        <v>686</v>
      </c>
    </row>
    <row r="573" spans="1:11">
      <c r="A573" s="312" t="s">
        <v>1365</v>
      </c>
      <c r="B573" s="312" t="s">
        <v>1366</v>
      </c>
      <c r="C573" s="312" t="s">
        <v>105</v>
      </c>
      <c r="D573" s="312" t="s">
        <v>435</v>
      </c>
      <c r="E573" s="312" t="s">
        <v>684</v>
      </c>
      <c r="F573" s="312">
        <v>1750</v>
      </c>
      <c r="G573" s="312" t="s">
        <v>685</v>
      </c>
      <c r="H573" s="312">
        <v>1754</v>
      </c>
      <c r="I573" s="312" t="s">
        <v>684</v>
      </c>
      <c r="J573" s="312">
        <v>1920</v>
      </c>
      <c r="K573" s="312" t="s">
        <v>686</v>
      </c>
    </row>
    <row r="574" spans="1:11">
      <c r="A574" s="312" t="s">
        <v>1367</v>
      </c>
      <c r="B574" s="312" t="s">
        <v>1368</v>
      </c>
      <c r="C574" s="312" t="s">
        <v>105</v>
      </c>
      <c r="D574" s="312" t="s">
        <v>435</v>
      </c>
      <c r="E574" s="312" t="s">
        <v>684</v>
      </c>
      <c r="F574" s="312">
        <v>1750</v>
      </c>
      <c r="G574" s="312" t="s">
        <v>685</v>
      </c>
      <c r="H574" s="312">
        <v>1754</v>
      </c>
      <c r="I574" s="312" t="s">
        <v>684</v>
      </c>
      <c r="J574" s="312">
        <v>1920</v>
      </c>
      <c r="K574" s="312" t="s">
        <v>686</v>
      </c>
    </row>
    <row r="575" spans="1:11">
      <c r="A575" s="312" t="s">
        <v>1369</v>
      </c>
      <c r="B575" s="312" t="s">
        <v>1370</v>
      </c>
      <c r="C575" s="312" t="s">
        <v>105</v>
      </c>
      <c r="D575" s="312" t="s">
        <v>435</v>
      </c>
      <c r="E575" s="312" t="s">
        <v>684</v>
      </c>
      <c r="F575" s="312">
        <v>1750</v>
      </c>
      <c r="G575" s="312" t="s">
        <v>685</v>
      </c>
      <c r="H575" s="312">
        <v>1754</v>
      </c>
      <c r="I575" s="312" t="s">
        <v>684</v>
      </c>
      <c r="J575" s="312">
        <v>1920</v>
      </c>
      <c r="K575" s="312" t="s">
        <v>686</v>
      </c>
    </row>
    <row r="576" spans="1:11">
      <c r="A576" s="312" t="s">
        <v>1371</v>
      </c>
      <c r="B576" s="312" t="s">
        <v>1372</v>
      </c>
      <c r="C576" s="312" t="s">
        <v>105</v>
      </c>
      <c r="D576" s="312" t="s">
        <v>435</v>
      </c>
      <c r="E576" s="312" t="s">
        <v>684</v>
      </c>
      <c r="F576" s="312">
        <v>1750</v>
      </c>
      <c r="G576" s="312" t="s">
        <v>685</v>
      </c>
      <c r="H576" s="312">
        <v>1754</v>
      </c>
      <c r="I576" s="312" t="s">
        <v>684</v>
      </c>
      <c r="J576" s="312">
        <v>1920</v>
      </c>
      <c r="K576" s="312" t="s">
        <v>686</v>
      </c>
    </row>
    <row r="577" spans="1:11">
      <c r="A577" s="312" t="s">
        <v>1373</v>
      </c>
      <c r="B577" s="312" t="s">
        <v>1374</v>
      </c>
      <c r="C577" s="312" t="s">
        <v>105</v>
      </c>
      <c r="D577" s="312" t="s">
        <v>435</v>
      </c>
      <c r="E577" s="312" t="s">
        <v>684</v>
      </c>
      <c r="F577" s="312">
        <v>1750</v>
      </c>
      <c r="G577" s="312" t="s">
        <v>685</v>
      </c>
      <c r="H577" s="312">
        <v>1754</v>
      </c>
      <c r="I577" s="312" t="s">
        <v>684</v>
      </c>
      <c r="J577" s="312">
        <v>1920</v>
      </c>
      <c r="K577" s="312" t="s">
        <v>686</v>
      </c>
    </row>
    <row r="578" spans="1:11">
      <c r="A578" s="312" t="s">
        <v>1375</v>
      </c>
      <c r="B578" s="312" t="s">
        <v>1376</v>
      </c>
      <c r="C578" s="312" t="s">
        <v>105</v>
      </c>
      <c r="D578" s="312" t="s">
        <v>435</v>
      </c>
      <c r="E578" s="312" t="s">
        <v>684</v>
      </c>
      <c r="F578" s="312">
        <v>1750</v>
      </c>
      <c r="G578" s="312" t="s">
        <v>685</v>
      </c>
      <c r="H578" s="312">
        <v>1754</v>
      </c>
      <c r="I578" s="312" t="s">
        <v>684</v>
      </c>
      <c r="J578" s="312">
        <v>1920</v>
      </c>
      <c r="K578" s="312" t="s">
        <v>686</v>
      </c>
    </row>
    <row r="579" spans="1:11">
      <c r="A579" s="312" t="s">
        <v>1377</v>
      </c>
      <c r="B579" s="312" t="s">
        <v>1378</v>
      </c>
      <c r="C579" s="312" t="s">
        <v>105</v>
      </c>
      <c r="D579" s="312" t="s">
        <v>507</v>
      </c>
      <c r="E579" s="312" t="s">
        <v>167</v>
      </c>
      <c r="F579" s="312">
        <v>1705</v>
      </c>
      <c r="G579" s="312" t="s">
        <v>168</v>
      </c>
      <c r="H579" s="312">
        <v>1707</v>
      </c>
      <c r="I579" s="312" t="s">
        <v>167</v>
      </c>
      <c r="J579" s="312">
        <v>1899</v>
      </c>
      <c r="K579" s="312" t="s">
        <v>169</v>
      </c>
    </row>
    <row r="580" spans="1:11">
      <c r="A580" s="312" t="s">
        <v>1379</v>
      </c>
      <c r="B580" s="312" t="s">
        <v>1380</v>
      </c>
      <c r="C580" s="312" t="s">
        <v>105</v>
      </c>
      <c r="D580" s="312" t="s">
        <v>1142</v>
      </c>
      <c r="E580" s="312" t="s">
        <v>167</v>
      </c>
      <c r="F580" s="312">
        <v>1705</v>
      </c>
      <c r="G580" s="312" t="s">
        <v>168</v>
      </c>
      <c r="H580" s="312">
        <v>1707</v>
      </c>
      <c r="I580" s="312" t="s">
        <v>167</v>
      </c>
      <c r="J580" s="312">
        <v>1899</v>
      </c>
      <c r="K580" s="312" t="s">
        <v>169</v>
      </c>
    </row>
    <row r="581" spans="1:11">
      <c r="A581" s="312" t="s">
        <v>1381</v>
      </c>
      <c r="B581" s="312" t="s">
        <v>1382</v>
      </c>
      <c r="C581" s="312" t="s">
        <v>105</v>
      </c>
      <c r="D581" s="312" t="s">
        <v>1383</v>
      </c>
      <c r="E581" s="312" t="s">
        <v>167</v>
      </c>
      <c r="F581" s="312">
        <v>1705</v>
      </c>
      <c r="G581" s="312" t="s">
        <v>168</v>
      </c>
      <c r="H581" s="312">
        <v>1707</v>
      </c>
      <c r="I581" s="312" t="s">
        <v>167</v>
      </c>
      <c r="J581" s="312">
        <v>1899</v>
      </c>
      <c r="K581" s="312" t="s">
        <v>169</v>
      </c>
    </row>
    <row r="582" spans="1:11">
      <c r="A582" s="312" t="s">
        <v>1384</v>
      </c>
      <c r="B582" s="312" t="s">
        <v>1385</v>
      </c>
      <c r="C582" s="312" t="s">
        <v>105</v>
      </c>
      <c r="D582" s="312" t="s">
        <v>551</v>
      </c>
      <c r="E582" s="312" t="s">
        <v>167</v>
      </c>
      <c r="F582" s="312">
        <v>1705</v>
      </c>
      <c r="G582" s="312" t="s">
        <v>168</v>
      </c>
      <c r="H582" s="312">
        <v>1707</v>
      </c>
      <c r="I582" s="312" t="s">
        <v>167</v>
      </c>
      <c r="J582" s="312">
        <v>1899</v>
      </c>
      <c r="K582" s="312" t="s">
        <v>169</v>
      </c>
    </row>
    <row r="583" spans="1:11">
      <c r="A583" s="312" t="s">
        <v>1386</v>
      </c>
      <c r="B583" s="312" t="s">
        <v>1387</v>
      </c>
      <c r="C583" s="312" t="s">
        <v>105</v>
      </c>
      <c r="D583" s="312" t="s">
        <v>746</v>
      </c>
      <c r="E583" s="312" t="s">
        <v>167</v>
      </c>
      <c r="F583" s="312">
        <v>1705</v>
      </c>
      <c r="G583" s="312" t="s">
        <v>168</v>
      </c>
      <c r="H583" s="312">
        <v>1707</v>
      </c>
      <c r="I583" s="312" t="s">
        <v>167</v>
      </c>
      <c r="J583" s="312">
        <v>1899</v>
      </c>
      <c r="K583" s="312" t="s">
        <v>169</v>
      </c>
    </row>
    <row r="584" spans="1:11">
      <c r="A584" s="312" t="s">
        <v>1388</v>
      </c>
      <c r="B584" s="312" t="s">
        <v>1389</v>
      </c>
      <c r="C584" s="312" t="s">
        <v>105</v>
      </c>
      <c r="D584" s="312" t="s">
        <v>678</v>
      </c>
      <c r="E584" s="312" t="s">
        <v>107</v>
      </c>
      <c r="F584" s="312">
        <v>1825</v>
      </c>
      <c r="G584" s="312" t="s">
        <v>108</v>
      </c>
      <c r="H584" s="312">
        <v>1827</v>
      </c>
      <c r="I584" s="312" t="s">
        <v>107</v>
      </c>
      <c r="J584" s="312">
        <v>1913</v>
      </c>
      <c r="K584" s="312" t="s">
        <v>109</v>
      </c>
    </row>
    <row r="585" spans="1:11">
      <c r="A585" s="312" t="s">
        <v>1390</v>
      </c>
      <c r="B585" s="312" t="s">
        <v>1391</v>
      </c>
      <c r="C585" s="312" t="s">
        <v>105</v>
      </c>
      <c r="D585" s="312" t="s">
        <v>678</v>
      </c>
      <c r="E585" s="312" t="s">
        <v>107</v>
      </c>
      <c r="F585" s="312">
        <v>1825</v>
      </c>
      <c r="G585" s="312" t="s">
        <v>108</v>
      </c>
      <c r="H585" s="312">
        <v>1827</v>
      </c>
      <c r="I585" s="312" t="s">
        <v>107</v>
      </c>
      <c r="J585" s="312">
        <v>1913</v>
      </c>
      <c r="K585" s="312" t="s">
        <v>109</v>
      </c>
    </row>
    <row r="586" spans="1:11">
      <c r="A586" s="312" t="s">
        <v>1392</v>
      </c>
      <c r="B586" s="312" t="s">
        <v>1393</v>
      </c>
      <c r="C586" s="312" t="s">
        <v>105</v>
      </c>
      <c r="D586" s="312" t="s">
        <v>610</v>
      </c>
      <c r="E586" s="312" t="s">
        <v>107</v>
      </c>
      <c r="F586" s="312">
        <v>1825</v>
      </c>
      <c r="G586" s="312" t="s">
        <v>108</v>
      </c>
      <c r="H586" s="312">
        <v>1827</v>
      </c>
      <c r="I586" s="312" t="s">
        <v>107</v>
      </c>
      <c r="J586" s="312">
        <v>1913</v>
      </c>
      <c r="K586" s="312" t="s">
        <v>109</v>
      </c>
    </row>
    <row r="587" spans="1:11">
      <c r="A587" s="312" t="s">
        <v>1394</v>
      </c>
      <c r="B587" s="312" t="s">
        <v>1395</v>
      </c>
      <c r="C587" s="312" t="s">
        <v>105</v>
      </c>
      <c r="D587" s="312" t="s">
        <v>352</v>
      </c>
      <c r="E587" s="312" t="s">
        <v>107</v>
      </c>
      <c r="F587" s="312">
        <v>1825</v>
      </c>
      <c r="G587" s="312" t="s">
        <v>108</v>
      </c>
      <c r="H587" s="312">
        <v>1827</v>
      </c>
      <c r="I587" s="312" t="s">
        <v>107</v>
      </c>
      <c r="J587" s="312">
        <v>1913</v>
      </c>
      <c r="K587" s="312" t="s">
        <v>109</v>
      </c>
    </row>
    <row r="588" spans="1:11">
      <c r="A588" s="312" t="s">
        <v>1396</v>
      </c>
      <c r="B588" s="312" t="s">
        <v>1397</v>
      </c>
      <c r="C588" s="312" t="s">
        <v>105</v>
      </c>
      <c r="D588" s="312" t="s">
        <v>352</v>
      </c>
      <c r="E588" s="312" t="s">
        <v>107</v>
      </c>
      <c r="F588" s="312">
        <v>1825</v>
      </c>
      <c r="G588" s="312" t="s">
        <v>108</v>
      </c>
      <c r="H588" s="312">
        <v>1827</v>
      </c>
      <c r="I588" s="312" t="s">
        <v>107</v>
      </c>
      <c r="J588" s="312">
        <v>1913</v>
      </c>
      <c r="K588" s="312" t="s">
        <v>109</v>
      </c>
    </row>
    <row r="589" spans="1:11">
      <c r="A589" s="312" t="s">
        <v>1398</v>
      </c>
      <c r="B589" s="312" t="s">
        <v>1399</v>
      </c>
      <c r="C589" s="312" t="s">
        <v>105</v>
      </c>
      <c r="D589" s="312" t="s">
        <v>507</v>
      </c>
      <c r="E589" s="312" t="s">
        <v>167</v>
      </c>
      <c r="F589" s="312">
        <v>1705</v>
      </c>
      <c r="G589" s="312" t="s">
        <v>168</v>
      </c>
      <c r="H589" s="312">
        <v>1707</v>
      </c>
      <c r="I589" s="312" t="s">
        <v>167</v>
      </c>
      <c r="J589" s="312">
        <v>1899</v>
      </c>
      <c r="K589" s="312" t="s">
        <v>169</v>
      </c>
    </row>
    <row r="590" spans="1:11">
      <c r="A590" s="312" t="s">
        <v>1400</v>
      </c>
      <c r="B590" s="312" t="s">
        <v>1401</v>
      </c>
      <c r="C590" s="312" t="s">
        <v>105</v>
      </c>
      <c r="D590" s="312" t="s">
        <v>1402</v>
      </c>
      <c r="E590" s="312" t="s">
        <v>107</v>
      </c>
      <c r="F590" s="312">
        <v>1825</v>
      </c>
      <c r="G590" s="312" t="s">
        <v>108</v>
      </c>
      <c r="H590" s="312">
        <v>1827</v>
      </c>
      <c r="I590" s="312" t="s">
        <v>107</v>
      </c>
      <c r="J590" s="312">
        <v>1913</v>
      </c>
      <c r="K590" s="312" t="s">
        <v>109</v>
      </c>
    </row>
    <row r="591" spans="1:11">
      <c r="A591" s="312" t="s">
        <v>1403</v>
      </c>
      <c r="B591" s="312" t="s">
        <v>1404</v>
      </c>
      <c r="C591" s="312" t="s">
        <v>105</v>
      </c>
      <c r="D591" s="312" t="s">
        <v>1024</v>
      </c>
      <c r="E591" s="312" t="s">
        <v>107</v>
      </c>
      <c r="F591" s="312">
        <v>1825</v>
      </c>
      <c r="G591" s="312" t="s">
        <v>108</v>
      </c>
      <c r="H591" s="312">
        <v>1827</v>
      </c>
      <c r="I591" s="312" t="s">
        <v>107</v>
      </c>
      <c r="J591" s="312">
        <v>1913</v>
      </c>
      <c r="K591" s="312" t="s">
        <v>109</v>
      </c>
    </row>
    <row r="592" spans="1:11">
      <c r="A592" s="312" t="s">
        <v>1405</v>
      </c>
      <c r="B592" s="312" t="s">
        <v>1406</v>
      </c>
      <c r="C592" s="312" t="s">
        <v>105</v>
      </c>
      <c r="D592" s="312" t="s">
        <v>1407</v>
      </c>
      <c r="E592" s="312" t="s">
        <v>320</v>
      </c>
      <c r="F592" s="312">
        <v>1716</v>
      </c>
      <c r="G592" s="312" t="s">
        <v>321</v>
      </c>
      <c r="H592" s="312">
        <v>1725</v>
      </c>
      <c r="I592" s="312" t="s">
        <v>320</v>
      </c>
      <c r="J592" s="312">
        <v>1910</v>
      </c>
      <c r="K592" s="312" t="s">
        <v>322</v>
      </c>
    </row>
    <row r="593" spans="1:11">
      <c r="A593" s="312" t="s">
        <v>1408</v>
      </c>
      <c r="B593" s="312" t="s">
        <v>1409</v>
      </c>
      <c r="C593" s="312" t="s">
        <v>105</v>
      </c>
      <c r="D593" s="312" t="s">
        <v>1300</v>
      </c>
      <c r="E593" s="312" t="s">
        <v>167</v>
      </c>
      <c r="F593" s="312">
        <v>1705</v>
      </c>
      <c r="G593" s="312" t="s">
        <v>168</v>
      </c>
      <c r="H593" s="312">
        <v>1707</v>
      </c>
      <c r="I593" s="312" t="s">
        <v>167</v>
      </c>
      <c r="J593" s="312">
        <v>1899</v>
      </c>
      <c r="K593" s="312" t="s">
        <v>169</v>
      </c>
    </row>
    <row r="594" spans="1:11">
      <c r="A594" s="312" t="s">
        <v>1410</v>
      </c>
      <c r="B594" s="312" t="s">
        <v>1411</v>
      </c>
      <c r="C594" s="312" t="s">
        <v>105</v>
      </c>
      <c r="D594" s="312" t="s">
        <v>1412</v>
      </c>
      <c r="E594" s="312" t="s">
        <v>696</v>
      </c>
      <c r="F594" s="312">
        <v>1736</v>
      </c>
      <c r="G594" s="312" t="s">
        <v>697</v>
      </c>
      <c r="H594" s="312">
        <v>1741</v>
      </c>
      <c r="I594" s="312" t="s">
        <v>696</v>
      </c>
      <c r="J594" s="312">
        <v>1929</v>
      </c>
      <c r="K594" s="312" t="s">
        <v>698</v>
      </c>
    </row>
    <row r="595" spans="1:11">
      <c r="A595" s="312" t="s">
        <v>1413</v>
      </c>
      <c r="B595" s="312" t="s">
        <v>1414</v>
      </c>
      <c r="C595" s="312" t="s">
        <v>105</v>
      </c>
      <c r="D595" s="312" t="s">
        <v>312</v>
      </c>
      <c r="E595" s="312" t="s">
        <v>107</v>
      </c>
      <c r="F595" s="312">
        <v>1825</v>
      </c>
      <c r="G595" s="312" t="s">
        <v>108</v>
      </c>
      <c r="H595" s="312">
        <v>1827</v>
      </c>
      <c r="I595" s="312" t="s">
        <v>107</v>
      </c>
      <c r="J595" s="312">
        <v>1913</v>
      </c>
      <c r="K595" s="312" t="s">
        <v>109</v>
      </c>
    </row>
    <row r="596" spans="1:11">
      <c r="A596" s="312" t="s">
        <v>1415</v>
      </c>
      <c r="B596" s="312" t="s">
        <v>1416</v>
      </c>
      <c r="C596" s="312" t="s">
        <v>105</v>
      </c>
      <c r="D596" s="312" t="s">
        <v>114</v>
      </c>
      <c r="E596" s="312" t="s">
        <v>107</v>
      </c>
      <c r="F596" s="312">
        <v>1825</v>
      </c>
      <c r="G596" s="312" t="s">
        <v>108</v>
      </c>
      <c r="H596" s="312">
        <v>1827</v>
      </c>
      <c r="I596" s="312" t="s">
        <v>107</v>
      </c>
      <c r="J596" s="312">
        <v>1913</v>
      </c>
      <c r="K596" s="312" t="s">
        <v>109</v>
      </c>
    </row>
    <row r="597" spans="1:11">
      <c r="A597" s="312" t="s">
        <v>1417</v>
      </c>
      <c r="B597" s="312" t="s">
        <v>1418</v>
      </c>
      <c r="C597" s="312" t="s">
        <v>105</v>
      </c>
      <c r="D597" s="312" t="s">
        <v>332</v>
      </c>
      <c r="E597" s="312" t="s">
        <v>107</v>
      </c>
      <c r="F597" s="312">
        <v>1825</v>
      </c>
      <c r="G597" s="312" t="s">
        <v>108</v>
      </c>
      <c r="H597" s="312">
        <v>1827</v>
      </c>
      <c r="I597" s="312" t="s">
        <v>107</v>
      </c>
      <c r="J597" s="312">
        <v>1913</v>
      </c>
      <c r="K597" s="312" t="s">
        <v>109</v>
      </c>
    </row>
    <row r="598" spans="1:11">
      <c r="A598" s="312" t="s">
        <v>1419</v>
      </c>
      <c r="B598" s="312" t="s">
        <v>1420</v>
      </c>
      <c r="C598" s="312" t="s">
        <v>105</v>
      </c>
      <c r="D598" s="312" t="s">
        <v>556</v>
      </c>
      <c r="E598" s="312" t="s">
        <v>107</v>
      </c>
      <c r="F598" s="312">
        <v>1825</v>
      </c>
      <c r="G598" s="312" t="s">
        <v>108</v>
      </c>
      <c r="H598" s="312">
        <v>1827</v>
      </c>
      <c r="I598" s="312" t="s">
        <v>107</v>
      </c>
      <c r="J598" s="312">
        <v>1913</v>
      </c>
      <c r="K598" s="312" t="s">
        <v>109</v>
      </c>
    </row>
    <row r="599" spans="1:11">
      <c r="A599" s="312" t="s">
        <v>1421</v>
      </c>
      <c r="B599" s="312" t="s">
        <v>1422</v>
      </c>
      <c r="C599" s="312" t="s">
        <v>105</v>
      </c>
      <c r="D599" s="312" t="s">
        <v>114</v>
      </c>
      <c r="E599" s="312" t="s">
        <v>107</v>
      </c>
      <c r="F599" s="312">
        <v>1825</v>
      </c>
      <c r="G599" s="312" t="s">
        <v>108</v>
      </c>
      <c r="H599" s="312">
        <v>1827</v>
      </c>
      <c r="I599" s="312" t="s">
        <v>107</v>
      </c>
      <c r="J599" s="312">
        <v>1913</v>
      </c>
      <c r="K599" s="312" t="s">
        <v>109</v>
      </c>
    </row>
    <row r="600" spans="1:11">
      <c r="A600" s="312" t="s">
        <v>1423</v>
      </c>
      <c r="B600" s="312" t="s">
        <v>1424</v>
      </c>
      <c r="C600" s="312" t="s">
        <v>105</v>
      </c>
      <c r="D600" s="312" t="s">
        <v>1288</v>
      </c>
      <c r="E600" s="312" t="s">
        <v>107</v>
      </c>
      <c r="F600" s="312">
        <v>1825</v>
      </c>
      <c r="G600" s="312" t="s">
        <v>108</v>
      </c>
      <c r="H600" s="312">
        <v>1827</v>
      </c>
      <c r="I600" s="312" t="s">
        <v>107</v>
      </c>
      <c r="J600" s="312">
        <v>1913</v>
      </c>
      <c r="K600" s="312" t="s">
        <v>109</v>
      </c>
    </row>
    <row r="601" spans="1:11">
      <c r="A601" s="312" t="s">
        <v>1425</v>
      </c>
      <c r="B601" s="312" t="s">
        <v>1426</v>
      </c>
      <c r="C601" s="312" t="s">
        <v>105</v>
      </c>
      <c r="D601" s="312" t="s">
        <v>327</v>
      </c>
      <c r="E601" s="312" t="s">
        <v>167</v>
      </c>
      <c r="F601" s="312">
        <v>1705</v>
      </c>
      <c r="G601" s="312" t="s">
        <v>168</v>
      </c>
      <c r="H601" s="312">
        <v>1707</v>
      </c>
      <c r="I601" s="312" t="s">
        <v>167</v>
      </c>
      <c r="J601" s="312">
        <v>1899</v>
      </c>
      <c r="K601" s="312" t="s">
        <v>169</v>
      </c>
    </row>
    <row r="602" spans="1:11">
      <c r="A602" s="312" t="s">
        <v>1427</v>
      </c>
      <c r="B602" s="312" t="s">
        <v>1428</v>
      </c>
      <c r="C602" s="312" t="s">
        <v>105</v>
      </c>
      <c r="D602" s="312" t="s">
        <v>114</v>
      </c>
      <c r="E602" s="312" t="s">
        <v>107</v>
      </c>
      <c r="F602" s="312">
        <v>1825</v>
      </c>
      <c r="G602" s="312" t="s">
        <v>108</v>
      </c>
      <c r="H602" s="312">
        <v>1827</v>
      </c>
      <c r="I602" s="312" t="s">
        <v>107</v>
      </c>
      <c r="J602" s="312">
        <v>1913</v>
      </c>
      <c r="K602" s="312" t="s">
        <v>109</v>
      </c>
    </row>
    <row r="603" spans="1:11">
      <c r="A603" s="312" t="s">
        <v>1429</v>
      </c>
      <c r="B603" s="312" t="s">
        <v>1430</v>
      </c>
      <c r="C603" s="312" t="s">
        <v>105</v>
      </c>
      <c r="D603" s="312" t="s">
        <v>312</v>
      </c>
      <c r="E603" s="312" t="s">
        <v>107</v>
      </c>
      <c r="F603" s="312">
        <v>1825</v>
      </c>
      <c r="G603" s="312" t="s">
        <v>108</v>
      </c>
      <c r="H603" s="312">
        <v>1827</v>
      </c>
      <c r="I603" s="312" t="s">
        <v>107</v>
      </c>
      <c r="J603" s="312">
        <v>1913</v>
      </c>
      <c r="K603" s="312" t="s">
        <v>109</v>
      </c>
    </row>
    <row r="604" spans="1:11">
      <c r="A604" s="312" t="s">
        <v>1431</v>
      </c>
      <c r="B604" s="312" t="s">
        <v>1432</v>
      </c>
      <c r="C604" s="312" t="s">
        <v>105</v>
      </c>
      <c r="D604" s="312" t="s">
        <v>312</v>
      </c>
      <c r="E604" s="312" t="s">
        <v>107</v>
      </c>
      <c r="F604" s="312">
        <v>1825</v>
      </c>
      <c r="G604" s="312" t="s">
        <v>108</v>
      </c>
      <c r="H604" s="312">
        <v>1827</v>
      </c>
      <c r="I604" s="312" t="s">
        <v>107</v>
      </c>
      <c r="J604" s="312">
        <v>1913</v>
      </c>
      <c r="K604" s="312" t="s">
        <v>109</v>
      </c>
    </row>
    <row r="605" spans="1:11">
      <c r="A605" s="312" t="s">
        <v>1433</v>
      </c>
      <c r="B605" s="312" t="s">
        <v>1434</v>
      </c>
      <c r="C605" s="312" t="s">
        <v>105</v>
      </c>
      <c r="D605" s="312" t="s">
        <v>312</v>
      </c>
      <c r="E605" s="312" t="s">
        <v>107</v>
      </c>
      <c r="F605" s="312">
        <v>1825</v>
      </c>
      <c r="G605" s="312" t="s">
        <v>108</v>
      </c>
      <c r="H605" s="312">
        <v>1827</v>
      </c>
      <c r="I605" s="312" t="s">
        <v>107</v>
      </c>
      <c r="J605" s="312">
        <v>1913</v>
      </c>
      <c r="K605" s="312" t="s">
        <v>109</v>
      </c>
    </row>
    <row r="606" spans="1:11">
      <c r="A606" s="312" t="s">
        <v>1435</v>
      </c>
      <c r="B606" s="312" t="s">
        <v>1436</v>
      </c>
      <c r="C606" s="312" t="s">
        <v>105</v>
      </c>
      <c r="D606" s="312" t="s">
        <v>312</v>
      </c>
      <c r="E606" s="312" t="s">
        <v>107</v>
      </c>
      <c r="F606" s="312">
        <v>1825</v>
      </c>
      <c r="G606" s="312" t="s">
        <v>108</v>
      </c>
      <c r="H606" s="312">
        <v>1827</v>
      </c>
      <c r="I606" s="312" t="s">
        <v>107</v>
      </c>
      <c r="J606" s="312">
        <v>1913</v>
      </c>
      <c r="K606" s="312" t="s">
        <v>109</v>
      </c>
    </row>
    <row r="607" spans="1:11">
      <c r="A607" s="312" t="s">
        <v>1437</v>
      </c>
      <c r="B607" s="312" t="s">
        <v>1438</v>
      </c>
      <c r="C607" s="312" t="s">
        <v>105</v>
      </c>
      <c r="D607" s="312" t="s">
        <v>1156</v>
      </c>
      <c r="E607" s="312" t="s">
        <v>107</v>
      </c>
      <c r="F607" s="312">
        <v>1825</v>
      </c>
      <c r="G607" s="312" t="s">
        <v>108</v>
      </c>
      <c r="H607" s="312">
        <v>1827</v>
      </c>
      <c r="I607" s="312" t="s">
        <v>107</v>
      </c>
      <c r="J607" s="312">
        <v>1913</v>
      </c>
      <c r="K607" s="312" t="s">
        <v>109</v>
      </c>
    </row>
    <row r="608" spans="1:11">
      <c r="A608" s="312" t="s">
        <v>1439</v>
      </c>
      <c r="B608" s="312" t="s">
        <v>1440</v>
      </c>
      <c r="C608" s="312" t="s">
        <v>105</v>
      </c>
      <c r="D608" s="312" t="s">
        <v>283</v>
      </c>
      <c r="E608" s="312" t="s">
        <v>107</v>
      </c>
      <c r="F608" s="312">
        <v>1825</v>
      </c>
      <c r="G608" s="312" t="s">
        <v>108</v>
      </c>
      <c r="H608" s="312">
        <v>1827</v>
      </c>
      <c r="I608" s="312" t="s">
        <v>107</v>
      </c>
      <c r="J608" s="312">
        <v>1913</v>
      </c>
      <c r="K608" s="312" t="s">
        <v>109</v>
      </c>
    </row>
    <row r="609" spans="1:11">
      <c r="A609" s="312" t="s">
        <v>1441</v>
      </c>
      <c r="B609" s="312" t="s">
        <v>1442</v>
      </c>
      <c r="C609" s="312" t="s">
        <v>105</v>
      </c>
      <c r="D609" s="312" t="s">
        <v>541</v>
      </c>
      <c r="E609" s="312" t="s">
        <v>107</v>
      </c>
      <c r="F609" s="312">
        <v>1825</v>
      </c>
      <c r="G609" s="312" t="s">
        <v>108</v>
      </c>
      <c r="H609" s="312">
        <v>1827</v>
      </c>
      <c r="I609" s="312" t="s">
        <v>107</v>
      </c>
      <c r="J609" s="312">
        <v>1913</v>
      </c>
      <c r="K609" s="312" t="s">
        <v>109</v>
      </c>
    </row>
    <row r="610" spans="1:11">
      <c r="A610" s="312" t="s">
        <v>1443</v>
      </c>
      <c r="B610" s="312" t="s">
        <v>1444</v>
      </c>
      <c r="C610" s="312" t="s">
        <v>105</v>
      </c>
      <c r="D610" s="312" t="s">
        <v>541</v>
      </c>
      <c r="E610" s="312" t="s">
        <v>107</v>
      </c>
      <c r="F610" s="312">
        <v>1825</v>
      </c>
      <c r="G610" s="312" t="s">
        <v>108</v>
      </c>
      <c r="H610" s="312">
        <v>1827</v>
      </c>
      <c r="I610" s="312" t="s">
        <v>107</v>
      </c>
      <c r="J610" s="312">
        <v>1913</v>
      </c>
      <c r="K610" s="312" t="s">
        <v>109</v>
      </c>
    </row>
    <row r="611" spans="1:11">
      <c r="A611" s="312" t="s">
        <v>1445</v>
      </c>
      <c r="B611" s="312" t="s">
        <v>1446</v>
      </c>
      <c r="C611" s="312" t="s">
        <v>105</v>
      </c>
      <c r="D611" s="312" t="s">
        <v>678</v>
      </c>
      <c r="E611" s="312" t="s">
        <v>107</v>
      </c>
      <c r="F611" s="312">
        <v>1825</v>
      </c>
      <c r="G611" s="312" t="s">
        <v>108</v>
      </c>
      <c r="H611" s="312">
        <v>1827</v>
      </c>
      <c r="I611" s="312" t="s">
        <v>107</v>
      </c>
      <c r="J611" s="312">
        <v>1913</v>
      </c>
      <c r="K611" s="312" t="s">
        <v>109</v>
      </c>
    </row>
    <row r="612" spans="1:11">
      <c r="A612" s="312" t="s">
        <v>1447</v>
      </c>
      <c r="B612" s="312" t="s">
        <v>1448</v>
      </c>
      <c r="C612" s="312" t="s">
        <v>105</v>
      </c>
      <c r="D612" s="312" t="s">
        <v>536</v>
      </c>
      <c r="E612" s="312" t="s">
        <v>107</v>
      </c>
      <c r="F612" s="312">
        <v>1825</v>
      </c>
      <c r="G612" s="312" t="s">
        <v>108</v>
      </c>
      <c r="H612" s="312">
        <v>1827</v>
      </c>
      <c r="I612" s="312" t="s">
        <v>107</v>
      </c>
      <c r="J612" s="312">
        <v>1913</v>
      </c>
      <c r="K612" s="312" t="s">
        <v>109</v>
      </c>
    </row>
    <row r="613" spans="1:11">
      <c r="A613" s="312" t="s">
        <v>1449</v>
      </c>
      <c r="B613" s="312" t="s">
        <v>1450</v>
      </c>
      <c r="C613" s="312" t="s">
        <v>105</v>
      </c>
      <c r="D613" s="312" t="s">
        <v>1291</v>
      </c>
      <c r="E613" s="312" t="s">
        <v>107</v>
      </c>
      <c r="F613" s="312">
        <v>1825</v>
      </c>
      <c r="G613" s="312" t="s">
        <v>108</v>
      </c>
      <c r="H613" s="312">
        <v>1827</v>
      </c>
      <c r="I613" s="312" t="s">
        <v>107</v>
      </c>
      <c r="J613" s="312">
        <v>1913</v>
      </c>
      <c r="K613" s="312" t="s">
        <v>109</v>
      </c>
    </row>
    <row r="614" spans="1:11">
      <c r="A614" s="312" t="s">
        <v>1451</v>
      </c>
      <c r="B614" s="312" t="s">
        <v>1452</v>
      </c>
      <c r="C614" s="312" t="s">
        <v>105</v>
      </c>
      <c r="D614" s="312" t="s">
        <v>1291</v>
      </c>
      <c r="E614" s="312" t="s">
        <v>107</v>
      </c>
      <c r="F614" s="312">
        <v>1825</v>
      </c>
      <c r="G614" s="312" t="s">
        <v>108</v>
      </c>
      <c r="H614" s="312">
        <v>1827</v>
      </c>
      <c r="I614" s="312" t="s">
        <v>107</v>
      </c>
      <c r="J614" s="312">
        <v>1913</v>
      </c>
      <c r="K614" s="312" t="s">
        <v>109</v>
      </c>
    </row>
    <row r="615" spans="1:11">
      <c r="A615" s="312" t="s">
        <v>1453</v>
      </c>
      <c r="B615" s="312" t="s">
        <v>1454</v>
      </c>
      <c r="C615" s="312" t="s">
        <v>105</v>
      </c>
      <c r="D615" s="312" t="s">
        <v>1291</v>
      </c>
      <c r="E615" s="312" t="s">
        <v>107</v>
      </c>
      <c r="F615" s="312">
        <v>1825</v>
      </c>
      <c r="G615" s="312" t="s">
        <v>108</v>
      </c>
      <c r="H615" s="312">
        <v>1827</v>
      </c>
      <c r="I615" s="312" t="s">
        <v>107</v>
      </c>
      <c r="J615" s="312">
        <v>1913</v>
      </c>
      <c r="K615" s="312" t="s">
        <v>109</v>
      </c>
    </row>
    <row r="616" spans="1:11">
      <c r="A616" s="312" t="s">
        <v>1455</v>
      </c>
      <c r="B616" s="312" t="s">
        <v>1456</v>
      </c>
      <c r="C616" s="312" t="s">
        <v>105</v>
      </c>
      <c r="D616" s="312" t="s">
        <v>587</v>
      </c>
      <c r="E616" s="312" t="s">
        <v>107</v>
      </c>
      <c r="F616" s="312">
        <v>1825</v>
      </c>
      <c r="G616" s="312" t="s">
        <v>108</v>
      </c>
      <c r="H616" s="312">
        <v>1827</v>
      </c>
      <c r="I616" s="312" t="s">
        <v>107</v>
      </c>
      <c r="J616" s="312">
        <v>1913</v>
      </c>
      <c r="K616" s="312" t="s">
        <v>109</v>
      </c>
    </row>
    <row r="617" spans="1:11">
      <c r="A617" s="312" t="s">
        <v>1457</v>
      </c>
      <c r="B617" s="312" t="s">
        <v>1458</v>
      </c>
      <c r="C617" s="312" t="s">
        <v>105</v>
      </c>
      <c r="D617" s="312" t="s">
        <v>536</v>
      </c>
      <c r="E617" s="312" t="s">
        <v>107</v>
      </c>
      <c r="F617" s="312">
        <v>1825</v>
      </c>
      <c r="G617" s="312" t="s">
        <v>108</v>
      </c>
      <c r="H617" s="312">
        <v>1827</v>
      </c>
      <c r="I617" s="312" t="s">
        <v>107</v>
      </c>
      <c r="J617" s="312">
        <v>1913</v>
      </c>
      <c r="K617" s="312" t="s">
        <v>109</v>
      </c>
    </row>
    <row r="618" spans="1:11">
      <c r="A618" s="312" t="s">
        <v>1459</v>
      </c>
      <c r="B618" s="312" t="s">
        <v>1460</v>
      </c>
      <c r="C618" s="312" t="s">
        <v>105</v>
      </c>
      <c r="D618" s="312" t="s">
        <v>587</v>
      </c>
      <c r="E618" s="312" t="s">
        <v>107</v>
      </c>
      <c r="F618" s="312">
        <v>1825</v>
      </c>
      <c r="G618" s="312" t="s">
        <v>108</v>
      </c>
      <c r="H618" s="312">
        <v>1827</v>
      </c>
      <c r="I618" s="312" t="s">
        <v>107</v>
      </c>
      <c r="J618" s="312">
        <v>1913</v>
      </c>
      <c r="K618" s="312" t="s">
        <v>109</v>
      </c>
    </row>
    <row r="619" spans="1:11">
      <c r="A619" s="312" t="s">
        <v>1461</v>
      </c>
      <c r="B619" s="312" t="s">
        <v>1462</v>
      </c>
      <c r="C619" s="312" t="s">
        <v>105</v>
      </c>
      <c r="D619" s="312" t="s">
        <v>221</v>
      </c>
      <c r="E619" s="312" t="s">
        <v>107</v>
      </c>
      <c r="F619" s="312">
        <v>1825</v>
      </c>
      <c r="G619" s="312" t="s">
        <v>108</v>
      </c>
      <c r="H619" s="312">
        <v>1827</v>
      </c>
      <c r="I619" s="312" t="s">
        <v>107</v>
      </c>
      <c r="J619" s="312">
        <v>1913</v>
      </c>
      <c r="K619" s="312" t="s">
        <v>109</v>
      </c>
    </row>
    <row r="620" spans="1:11">
      <c r="A620" s="312" t="s">
        <v>1463</v>
      </c>
      <c r="B620" s="312" t="s">
        <v>1464</v>
      </c>
      <c r="C620" s="312" t="s">
        <v>105</v>
      </c>
      <c r="D620" s="312" t="s">
        <v>221</v>
      </c>
      <c r="E620" s="312" t="s">
        <v>107</v>
      </c>
      <c r="F620" s="312">
        <v>1825</v>
      </c>
      <c r="G620" s="312" t="s">
        <v>108</v>
      </c>
      <c r="H620" s="312">
        <v>1827</v>
      </c>
      <c r="I620" s="312" t="s">
        <v>107</v>
      </c>
      <c r="J620" s="312">
        <v>1913</v>
      </c>
      <c r="K620" s="312" t="s">
        <v>109</v>
      </c>
    </row>
    <row r="621" spans="1:11">
      <c r="A621" s="312" t="s">
        <v>1465</v>
      </c>
      <c r="B621" s="312" t="s">
        <v>1466</v>
      </c>
      <c r="C621" s="312" t="s">
        <v>105</v>
      </c>
      <c r="D621" s="312" t="s">
        <v>1047</v>
      </c>
      <c r="E621" s="312" t="s">
        <v>107</v>
      </c>
      <c r="F621" s="312">
        <v>1825</v>
      </c>
      <c r="G621" s="312" t="s">
        <v>108</v>
      </c>
      <c r="H621" s="312">
        <v>1827</v>
      </c>
      <c r="I621" s="312" t="s">
        <v>107</v>
      </c>
      <c r="J621" s="312">
        <v>1913</v>
      </c>
      <c r="K621" s="312" t="s">
        <v>109</v>
      </c>
    </row>
    <row r="622" spans="1:11">
      <c r="A622" s="312" t="s">
        <v>1467</v>
      </c>
      <c r="B622" s="312" t="s">
        <v>1468</v>
      </c>
      <c r="C622" s="312" t="s">
        <v>105</v>
      </c>
      <c r="D622" s="312" t="s">
        <v>865</v>
      </c>
      <c r="E622" s="312" t="s">
        <v>107</v>
      </c>
      <c r="F622" s="312">
        <v>1825</v>
      </c>
      <c r="G622" s="312" t="s">
        <v>108</v>
      </c>
      <c r="H622" s="312">
        <v>1827</v>
      </c>
      <c r="I622" s="312" t="s">
        <v>107</v>
      </c>
      <c r="J622" s="312">
        <v>1913</v>
      </c>
      <c r="K622" s="312" t="s">
        <v>109</v>
      </c>
    </row>
    <row r="623" spans="1:11">
      <c r="A623" s="312" t="s">
        <v>1469</v>
      </c>
      <c r="B623" s="312" t="s">
        <v>1470</v>
      </c>
      <c r="C623" s="312" t="s">
        <v>105</v>
      </c>
      <c r="D623" s="312" t="s">
        <v>570</v>
      </c>
      <c r="E623" s="312" t="s">
        <v>684</v>
      </c>
      <c r="F623" s="312">
        <v>1750</v>
      </c>
      <c r="G623" s="312" t="s">
        <v>685</v>
      </c>
      <c r="H623" s="312">
        <v>1754</v>
      </c>
      <c r="I623" s="312" t="s">
        <v>684</v>
      </c>
      <c r="J623" s="312">
        <v>1920</v>
      </c>
      <c r="K623" s="312" t="s">
        <v>686</v>
      </c>
    </row>
    <row r="624" spans="1:11">
      <c r="A624" s="312" t="s">
        <v>1471</v>
      </c>
      <c r="B624" s="312" t="s">
        <v>1472</v>
      </c>
      <c r="C624" s="312" t="s">
        <v>105</v>
      </c>
      <c r="D624" s="312" t="s">
        <v>312</v>
      </c>
      <c r="E624" s="312" t="s">
        <v>107</v>
      </c>
      <c r="F624" s="312">
        <v>1825</v>
      </c>
      <c r="G624" s="312" t="s">
        <v>108</v>
      </c>
      <c r="H624" s="312">
        <v>1827</v>
      </c>
      <c r="I624" s="312" t="s">
        <v>107</v>
      </c>
      <c r="J624" s="312">
        <v>1913</v>
      </c>
      <c r="K624" s="312" t="s">
        <v>109</v>
      </c>
    </row>
    <row r="625" spans="1:11">
      <c r="A625" s="312" t="s">
        <v>1473</v>
      </c>
      <c r="B625" s="312" t="s">
        <v>1474</v>
      </c>
      <c r="C625" s="312" t="s">
        <v>105</v>
      </c>
      <c r="D625" s="312" t="s">
        <v>114</v>
      </c>
      <c r="E625" s="312" t="s">
        <v>107</v>
      </c>
      <c r="F625" s="312">
        <v>1825</v>
      </c>
      <c r="G625" s="312" t="s">
        <v>108</v>
      </c>
      <c r="H625" s="312">
        <v>1827</v>
      </c>
      <c r="I625" s="312" t="s">
        <v>107</v>
      </c>
      <c r="J625" s="312">
        <v>1913</v>
      </c>
      <c r="K625" s="312" t="s">
        <v>109</v>
      </c>
    </row>
    <row r="626" spans="1:11">
      <c r="A626" s="312" t="s">
        <v>1475</v>
      </c>
      <c r="B626" s="312" t="s">
        <v>1476</v>
      </c>
      <c r="C626" s="312" t="s">
        <v>105</v>
      </c>
      <c r="D626" s="312" t="s">
        <v>517</v>
      </c>
      <c r="E626" s="312" t="s">
        <v>107</v>
      </c>
      <c r="F626" s="312">
        <v>1825</v>
      </c>
      <c r="G626" s="312" t="s">
        <v>108</v>
      </c>
      <c r="H626" s="312">
        <v>1827</v>
      </c>
      <c r="I626" s="312" t="s">
        <v>107</v>
      </c>
      <c r="J626" s="312">
        <v>1913</v>
      </c>
      <c r="K626" s="312" t="s">
        <v>109</v>
      </c>
    </row>
    <row r="627" spans="1:11">
      <c r="A627" s="312" t="s">
        <v>1477</v>
      </c>
      <c r="B627" s="312" t="s">
        <v>1478</v>
      </c>
      <c r="C627" s="312" t="s">
        <v>105</v>
      </c>
      <c r="D627" s="312" t="s">
        <v>114</v>
      </c>
      <c r="E627" s="312" t="s">
        <v>107</v>
      </c>
      <c r="F627" s="312">
        <v>1825</v>
      </c>
      <c r="G627" s="312" t="s">
        <v>108</v>
      </c>
      <c r="H627" s="312">
        <v>1827</v>
      </c>
      <c r="I627" s="312" t="s">
        <v>107</v>
      </c>
      <c r="J627" s="312">
        <v>1913</v>
      </c>
      <c r="K627" s="312" t="s">
        <v>109</v>
      </c>
    </row>
    <row r="628" spans="1:11">
      <c r="A628" s="312" t="s">
        <v>1479</v>
      </c>
      <c r="B628" s="312" t="s">
        <v>1480</v>
      </c>
      <c r="C628" s="312" t="s">
        <v>105</v>
      </c>
      <c r="D628" s="312" t="s">
        <v>114</v>
      </c>
      <c r="E628" s="312" t="s">
        <v>107</v>
      </c>
      <c r="F628" s="312">
        <v>1825</v>
      </c>
      <c r="G628" s="312" t="s">
        <v>108</v>
      </c>
      <c r="H628" s="312">
        <v>1827</v>
      </c>
      <c r="I628" s="312" t="s">
        <v>107</v>
      </c>
      <c r="J628" s="312">
        <v>1913</v>
      </c>
      <c r="K628" s="312" t="s">
        <v>109</v>
      </c>
    </row>
    <row r="629" spans="1:11">
      <c r="A629" s="312" t="s">
        <v>1481</v>
      </c>
      <c r="B629" s="312" t="s">
        <v>1482</v>
      </c>
      <c r="C629" s="312" t="s">
        <v>105</v>
      </c>
      <c r="D629" s="312" t="s">
        <v>114</v>
      </c>
      <c r="E629" s="312" t="s">
        <v>107</v>
      </c>
      <c r="F629" s="312">
        <v>1825</v>
      </c>
      <c r="G629" s="312" t="s">
        <v>108</v>
      </c>
      <c r="H629" s="312">
        <v>1827</v>
      </c>
      <c r="I629" s="312" t="s">
        <v>107</v>
      </c>
      <c r="J629" s="312">
        <v>1913</v>
      </c>
      <c r="K629" s="312" t="s">
        <v>109</v>
      </c>
    </row>
    <row r="630" spans="1:11">
      <c r="A630" s="312" t="s">
        <v>1483</v>
      </c>
      <c r="B630" s="312" t="s">
        <v>1484</v>
      </c>
      <c r="C630" s="312" t="s">
        <v>105</v>
      </c>
      <c r="D630" s="312" t="s">
        <v>114</v>
      </c>
      <c r="E630" s="312" t="s">
        <v>107</v>
      </c>
      <c r="F630" s="312">
        <v>1825</v>
      </c>
      <c r="G630" s="312" t="s">
        <v>108</v>
      </c>
      <c r="H630" s="312">
        <v>1827</v>
      </c>
      <c r="I630" s="312" t="s">
        <v>107</v>
      </c>
      <c r="J630" s="312">
        <v>1913</v>
      </c>
      <c r="K630" s="312" t="s">
        <v>109</v>
      </c>
    </row>
    <row r="631" spans="1:11">
      <c r="A631" s="312" t="s">
        <v>1485</v>
      </c>
      <c r="B631" s="312" t="s">
        <v>1486</v>
      </c>
      <c r="C631" s="312" t="s">
        <v>105</v>
      </c>
      <c r="D631" s="312" t="s">
        <v>106</v>
      </c>
      <c r="E631" s="312" t="s">
        <v>107</v>
      </c>
      <c r="F631" s="312">
        <v>1825</v>
      </c>
      <c r="G631" s="312" t="s">
        <v>108</v>
      </c>
      <c r="H631" s="312">
        <v>1827</v>
      </c>
      <c r="I631" s="312" t="s">
        <v>107</v>
      </c>
      <c r="J631" s="312">
        <v>1913</v>
      </c>
      <c r="K631" s="312" t="s">
        <v>109</v>
      </c>
    </row>
    <row r="632" spans="1:11">
      <c r="A632" s="312" t="s">
        <v>1487</v>
      </c>
      <c r="B632" s="312" t="s">
        <v>1488</v>
      </c>
      <c r="C632" s="312" t="s">
        <v>105</v>
      </c>
      <c r="D632" s="312" t="s">
        <v>114</v>
      </c>
      <c r="E632" s="312" t="s">
        <v>107</v>
      </c>
      <c r="F632" s="312">
        <v>1825</v>
      </c>
      <c r="G632" s="312" t="s">
        <v>108</v>
      </c>
      <c r="H632" s="312">
        <v>1827</v>
      </c>
      <c r="I632" s="312" t="s">
        <v>107</v>
      </c>
      <c r="J632" s="312">
        <v>1913</v>
      </c>
      <c r="K632" s="312" t="s">
        <v>109</v>
      </c>
    </row>
    <row r="633" spans="1:11">
      <c r="A633" s="312" t="s">
        <v>1489</v>
      </c>
      <c r="B633" s="312" t="s">
        <v>1490</v>
      </c>
      <c r="C633" s="312" t="s">
        <v>105</v>
      </c>
      <c r="D633" s="312" t="s">
        <v>114</v>
      </c>
      <c r="E633" s="312" t="s">
        <v>107</v>
      </c>
      <c r="F633" s="312">
        <v>1825</v>
      </c>
      <c r="G633" s="312" t="s">
        <v>108</v>
      </c>
      <c r="H633" s="312">
        <v>1827</v>
      </c>
      <c r="I633" s="312" t="s">
        <v>107</v>
      </c>
      <c r="J633" s="312">
        <v>1913</v>
      </c>
      <c r="K633" s="312" t="s">
        <v>109</v>
      </c>
    </row>
    <row r="634" spans="1:11">
      <c r="A634" s="312" t="s">
        <v>1491</v>
      </c>
      <c r="B634" s="312" t="s">
        <v>1492</v>
      </c>
      <c r="C634" s="312" t="s">
        <v>105</v>
      </c>
      <c r="D634" s="312" t="s">
        <v>114</v>
      </c>
      <c r="E634" s="312" t="s">
        <v>107</v>
      </c>
      <c r="F634" s="312">
        <v>1825</v>
      </c>
      <c r="G634" s="312" t="s">
        <v>108</v>
      </c>
      <c r="H634" s="312">
        <v>1827</v>
      </c>
      <c r="I634" s="312" t="s">
        <v>107</v>
      </c>
      <c r="J634" s="312">
        <v>1913</v>
      </c>
      <c r="K634" s="312" t="s">
        <v>109</v>
      </c>
    </row>
    <row r="635" spans="1:11">
      <c r="A635" s="312" t="s">
        <v>1493</v>
      </c>
      <c r="B635" s="312" t="s">
        <v>1494</v>
      </c>
      <c r="C635" s="312" t="s">
        <v>105</v>
      </c>
      <c r="D635" s="312" t="s">
        <v>327</v>
      </c>
      <c r="E635" s="312" t="s">
        <v>684</v>
      </c>
      <c r="F635" s="312">
        <v>1750</v>
      </c>
      <c r="G635" s="312" t="s">
        <v>685</v>
      </c>
      <c r="H635" s="312">
        <v>1754</v>
      </c>
      <c r="I635" s="312" t="s">
        <v>684</v>
      </c>
      <c r="J635" s="312">
        <v>1920</v>
      </c>
      <c r="K635" s="312" t="s">
        <v>686</v>
      </c>
    </row>
    <row r="636" spans="1:11">
      <c r="A636" s="312" t="s">
        <v>1495</v>
      </c>
      <c r="B636" s="312" t="s">
        <v>1496</v>
      </c>
      <c r="C636" s="312" t="s">
        <v>105</v>
      </c>
      <c r="D636" s="312" t="s">
        <v>114</v>
      </c>
      <c r="E636" s="312" t="s">
        <v>107</v>
      </c>
      <c r="F636" s="312">
        <v>1825</v>
      </c>
      <c r="G636" s="312" t="s">
        <v>108</v>
      </c>
      <c r="H636" s="312">
        <v>1827</v>
      </c>
      <c r="I636" s="312" t="s">
        <v>107</v>
      </c>
      <c r="J636" s="312">
        <v>1913</v>
      </c>
      <c r="K636" s="312" t="s">
        <v>109</v>
      </c>
    </row>
    <row r="637" spans="1:11">
      <c r="A637" s="312" t="s">
        <v>1497</v>
      </c>
      <c r="B637" s="312" t="s">
        <v>1498</v>
      </c>
      <c r="C637" s="312" t="s">
        <v>105</v>
      </c>
      <c r="D637" s="312" t="s">
        <v>1499</v>
      </c>
      <c r="E637" s="312" t="s">
        <v>107</v>
      </c>
      <c r="F637" s="312">
        <v>1825</v>
      </c>
      <c r="G637" s="312" t="s">
        <v>108</v>
      </c>
      <c r="H637" s="312">
        <v>1827</v>
      </c>
      <c r="I637" s="312" t="s">
        <v>107</v>
      </c>
      <c r="J637" s="312">
        <v>1913</v>
      </c>
      <c r="K637" s="312" t="s">
        <v>109</v>
      </c>
    </row>
    <row r="638" spans="1:11">
      <c r="A638" s="312" t="s">
        <v>1500</v>
      </c>
      <c r="B638" s="312" t="s">
        <v>1501</v>
      </c>
      <c r="C638" s="312" t="s">
        <v>105</v>
      </c>
      <c r="D638" s="312" t="s">
        <v>1499</v>
      </c>
      <c r="E638" s="312" t="s">
        <v>107</v>
      </c>
      <c r="F638" s="312">
        <v>1825</v>
      </c>
      <c r="G638" s="312" t="s">
        <v>108</v>
      </c>
      <c r="H638" s="312">
        <v>1827</v>
      </c>
      <c r="I638" s="312" t="s">
        <v>107</v>
      </c>
      <c r="J638" s="312">
        <v>1913</v>
      </c>
      <c r="K638" s="312" t="s">
        <v>109</v>
      </c>
    </row>
    <row r="639" spans="1:11">
      <c r="A639" s="312" t="s">
        <v>1502</v>
      </c>
      <c r="B639" s="312" t="s">
        <v>1503</v>
      </c>
      <c r="C639" s="312" t="s">
        <v>105</v>
      </c>
      <c r="D639" s="312" t="s">
        <v>1499</v>
      </c>
      <c r="E639" s="312" t="s">
        <v>107</v>
      </c>
      <c r="F639" s="312">
        <v>1825</v>
      </c>
      <c r="G639" s="312" t="s">
        <v>108</v>
      </c>
      <c r="H639" s="312">
        <v>1827</v>
      </c>
      <c r="I639" s="312" t="s">
        <v>107</v>
      </c>
      <c r="J639" s="312">
        <v>1913</v>
      </c>
      <c r="K639" s="312" t="s">
        <v>109</v>
      </c>
    </row>
    <row r="640" spans="1:11">
      <c r="A640" s="312" t="s">
        <v>1504</v>
      </c>
      <c r="B640" s="312" t="s">
        <v>1505</v>
      </c>
      <c r="C640" s="312" t="s">
        <v>105</v>
      </c>
      <c r="D640" s="312" t="s">
        <v>1499</v>
      </c>
      <c r="E640" s="312" t="s">
        <v>107</v>
      </c>
      <c r="F640" s="312">
        <v>1825</v>
      </c>
      <c r="G640" s="312" t="s">
        <v>108</v>
      </c>
      <c r="H640" s="312">
        <v>1827</v>
      </c>
      <c r="I640" s="312" t="s">
        <v>107</v>
      </c>
      <c r="J640" s="312">
        <v>1913</v>
      </c>
      <c r="K640" s="312" t="s">
        <v>109</v>
      </c>
    </row>
    <row r="641" spans="1:11">
      <c r="A641" s="312" t="s">
        <v>1506</v>
      </c>
      <c r="B641" s="312" t="s">
        <v>1507</v>
      </c>
      <c r="C641" s="312" t="s">
        <v>105</v>
      </c>
      <c r="D641" s="312" t="s">
        <v>1499</v>
      </c>
      <c r="E641" s="312" t="s">
        <v>107</v>
      </c>
      <c r="F641" s="312">
        <v>1825</v>
      </c>
      <c r="G641" s="312" t="s">
        <v>108</v>
      </c>
      <c r="H641" s="312">
        <v>1827</v>
      </c>
      <c r="I641" s="312" t="s">
        <v>107</v>
      </c>
      <c r="J641" s="312">
        <v>1913</v>
      </c>
      <c r="K641" s="312" t="s">
        <v>109</v>
      </c>
    </row>
    <row r="642" spans="1:11">
      <c r="A642" s="312" t="s">
        <v>1508</v>
      </c>
      <c r="B642" s="312" t="s">
        <v>1509</v>
      </c>
      <c r="C642" s="312" t="s">
        <v>105</v>
      </c>
      <c r="D642" s="312" t="s">
        <v>1499</v>
      </c>
      <c r="E642" s="312" t="s">
        <v>107</v>
      </c>
      <c r="F642" s="312">
        <v>1825</v>
      </c>
      <c r="G642" s="312" t="s">
        <v>108</v>
      </c>
      <c r="H642" s="312">
        <v>1827</v>
      </c>
      <c r="I642" s="312" t="s">
        <v>107</v>
      </c>
      <c r="J642" s="312">
        <v>1913</v>
      </c>
      <c r="K642" s="312" t="s">
        <v>109</v>
      </c>
    </row>
    <row r="643" spans="1:11">
      <c r="A643" s="312" t="s">
        <v>1510</v>
      </c>
      <c r="B643" s="312" t="s">
        <v>1511</v>
      </c>
      <c r="C643" s="312" t="s">
        <v>105</v>
      </c>
      <c r="D643" s="312" t="s">
        <v>1499</v>
      </c>
      <c r="E643" s="312" t="s">
        <v>107</v>
      </c>
      <c r="F643" s="312">
        <v>1825</v>
      </c>
      <c r="G643" s="312" t="s">
        <v>108</v>
      </c>
      <c r="H643" s="312">
        <v>1827</v>
      </c>
      <c r="I643" s="312" t="s">
        <v>107</v>
      </c>
      <c r="J643" s="312">
        <v>1913</v>
      </c>
      <c r="K643" s="312" t="s">
        <v>109</v>
      </c>
    </row>
    <row r="644" spans="1:11">
      <c r="A644" s="312" t="s">
        <v>1512</v>
      </c>
      <c r="B644" s="312" t="s">
        <v>1513</v>
      </c>
      <c r="C644" s="312" t="s">
        <v>105</v>
      </c>
      <c r="D644" s="312" t="s">
        <v>1499</v>
      </c>
      <c r="E644" s="312" t="s">
        <v>107</v>
      </c>
      <c r="F644" s="312">
        <v>1825</v>
      </c>
      <c r="G644" s="312" t="s">
        <v>108</v>
      </c>
      <c r="H644" s="312">
        <v>1827</v>
      </c>
      <c r="I644" s="312" t="s">
        <v>107</v>
      </c>
      <c r="J644" s="312">
        <v>1913</v>
      </c>
      <c r="K644" s="312" t="s">
        <v>109</v>
      </c>
    </row>
    <row r="645" spans="1:11">
      <c r="A645" s="312" t="s">
        <v>1514</v>
      </c>
      <c r="B645" s="312" t="s">
        <v>1515</v>
      </c>
      <c r="C645" s="312" t="s">
        <v>105</v>
      </c>
      <c r="D645" s="312" t="s">
        <v>1516</v>
      </c>
      <c r="E645" s="312" t="s">
        <v>320</v>
      </c>
      <c r="F645" s="312">
        <v>1716</v>
      </c>
      <c r="G645" s="312" t="s">
        <v>321</v>
      </c>
      <c r="H645" s="312">
        <v>1725</v>
      </c>
      <c r="I645" s="312" t="s">
        <v>320</v>
      </c>
      <c r="J645" s="312">
        <v>1910</v>
      </c>
      <c r="K645" s="312" t="s">
        <v>322</v>
      </c>
    </row>
    <row r="646" spans="1:11">
      <c r="A646" s="312" t="s">
        <v>1517</v>
      </c>
      <c r="B646" s="312" t="s">
        <v>1518</v>
      </c>
      <c r="C646" s="312" t="s">
        <v>105</v>
      </c>
      <c r="D646" s="312" t="s">
        <v>1516</v>
      </c>
      <c r="E646" s="312" t="s">
        <v>320</v>
      </c>
      <c r="F646" s="312">
        <v>1716</v>
      </c>
      <c r="G646" s="312" t="s">
        <v>321</v>
      </c>
      <c r="H646" s="312">
        <v>1725</v>
      </c>
      <c r="I646" s="312" t="s">
        <v>320</v>
      </c>
      <c r="J646" s="312">
        <v>1910</v>
      </c>
      <c r="K646" s="312" t="s">
        <v>322</v>
      </c>
    </row>
    <row r="647" spans="1:11">
      <c r="A647" s="312" t="s">
        <v>1519</v>
      </c>
      <c r="B647" s="312" t="s">
        <v>1520</v>
      </c>
      <c r="C647" s="312" t="s">
        <v>105</v>
      </c>
      <c r="D647" s="312" t="s">
        <v>1516</v>
      </c>
      <c r="E647" s="312" t="s">
        <v>320</v>
      </c>
      <c r="F647" s="312">
        <v>1716</v>
      </c>
      <c r="G647" s="312" t="s">
        <v>321</v>
      </c>
      <c r="H647" s="312">
        <v>1725</v>
      </c>
      <c r="I647" s="312" t="s">
        <v>320</v>
      </c>
      <c r="J647" s="312">
        <v>1910</v>
      </c>
      <c r="K647" s="312" t="s">
        <v>322</v>
      </c>
    </row>
    <row r="648" spans="1:11">
      <c r="A648" s="312" t="s">
        <v>1521</v>
      </c>
      <c r="B648" s="312" t="s">
        <v>1522</v>
      </c>
      <c r="C648" s="312" t="s">
        <v>105</v>
      </c>
      <c r="D648" s="312" t="s">
        <v>352</v>
      </c>
      <c r="E648" s="312" t="s">
        <v>466</v>
      </c>
      <c r="F648" s="312">
        <v>1796</v>
      </c>
      <c r="G648" s="312" t="s">
        <v>467</v>
      </c>
      <c r="H648" s="312">
        <v>1799</v>
      </c>
      <c r="I648" s="312" t="s">
        <v>466</v>
      </c>
      <c r="J648" s="312">
        <v>1918</v>
      </c>
      <c r="K648" s="312" t="s">
        <v>468</v>
      </c>
    </row>
    <row r="649" spans="1:11">
      <c r="A649" s="312" t="s">
        <v>1523</v>
      </c>
      <c r="B649" s="312" t="s">
        <v>1524</v>
      </c>
      <c r="C649" s="312" t="s">
        <v>105</v>
      </c>
      <c r="D649" s="312" t="s">
        <v>114</v>
      </c>
      <c r="E649" s="312" t="s">
        <v>107</v>
      </c>
      <c r="F649" s="312">
        <v>1825</v>
      </c>
      <c r="G649" s="312" t="s">
        <v>108</v>
      </c>
      <c r="H649" s="312">
        <v>1827</v>
      </c>
      <c r="I649" s="312" t="s">
        <v>107</v>
      </c>
      <c r="J649" s="312">
        <v>1913</v>
      </c>
      <c r="K649" s="312" t="s">
        <v>109</v>
      </c>
    </row>
    <row r="650" spans="1:11">
      <c r="A650" s="312" t="s">
        <v>1525</v>
      </c>
      <c r="B650" s="312" t="s">
        <v>1526</v>
      </c>
      <c r="C650" s="312" t="s">
        <v>105</v>
      </c>
      <c r="D650" s="312" t="s">
        <v>1156</v>
      </c>
      <c r="E650" s="312" t="s">
        <v>107</v>
      </c>
      <c r="F650" s="312">
        <v>1825</v>
      </c>
      <c r="G650" s="312" t="s">
        <v>108</v>
      </c>
      <c r="H650" s="312">
        <v>1827</v>
      </c>
      <c r="I650" s="312" t="s">
        <v>107</v>
      </c>
      <c r="J650" s="312">
        <v>1913</v>
      </c>
      <c r="K650" s="312" t="s">
        <v>109</v>
      </c>
    </row>
    <row r="651" spans="1:11">
      <c r="A651" s="312" t="s">
        <v>1527</v>
      </c>
      <c r="B651" s="312" t="s">
        <v>1528</v>
      </c>
      <c r="C651" s="312" t="s">
        <v>105</v>
      </c>
      <c r="D651" s="312" t="s">
        <v>114</v>
      </c>
      <c r="E651" s="312" t="s">
        <v>107</v>
      </c>
      <c r="F651" s="312">
        <v>1825</v>
      </c>
      <c r="G651" s="312" t="s">
        <v>108</v>
      </c>
      <c r="H651" s="312">
        <v>1827</v>
      </c>
      <c r="I651" s="312" t="s">
        <v>107</v>
      </c>
      <c r="J651" s="312">
        <v>1913</v>
      </c>
      <c r="K651" s="312" t="s">
        <v>109</v>
      </c>
    </row>
    <row r="652" spans="1:11">
      <c r="A652" s="312" t="s">
        <v>1529</v>
      </c>
      <c r="B652" s="312" t="s">
        <v>1530</v>
      </c>
      <c r="C652" s="312" t="s">
        <v>105</v>
      </c>
      <c r="D652" s="312" t="s">
        <v>848</v>
      </c>
      <c r="E652" s="312" t="s">
        <v>886</v>
      </c>
      <c r="F652" s="312">
        <v>1857</v>
      </c>
      <c r="G652" s="312" t="s">
        <v>887</v>
      </c>
      <c r="H652" s="312">
        <v>1858</v>
      </c>
      <c r="I652" s="312" t="s">
        <v>886</v>
      </c>
      <c r="J652" s="312">
        <v>1924</v>
      </c>
      <c r="K652" s="312" t="s">
        <v>888</v>
      </c>
    </row>
    <row r="653" spans="1:11">
      <c r="A653" s="312" t="s">
        <v>1531</v>
      </c>
      <c r="B653" s="312" t="s">
        <v>1532</v>
      </c>
      <c r="C653" s="312" t="s">
        <v>105</v>
      </c>
      <c r="D653" s="312" t="s">
        <v>1533</v>
      </c>
      <c r="E653" s="312" t="s">
        <v>107</v>
      </c>
      <c r="F653" s="312">
        <v>1825</v>
      </c>
      <c r="G653" s="312" t="s">
        <v>108</v>
      </c>
      <c r="H653" s="312">
        <v>1827</v>
      </c>
      <c r="I653" s="312" t="s">
        <v>107</v>
      </c>
      <c r="J653" s="312">
        <v>1913</v>
      </c>
      <c r="K653" s="312" t="s">
        <v>109</v>
      </c>
    </row>
    <row r="654" spans="1:11">
      <c r="A654" s="312" t="s">
        <v>1534</v>
      </c>
      <c r="B654" s="312" t="s">
        <v>1535</v>
      </c>
      <c r="C654" s="312" t="s">
        <v>105</v>
      </c>
      <c r="D654" s="312" t="s">
        <v>404</v>
      </c>
      <c r="E654" s="312" t="s">
        <v>107</v>
      </c>
      <c r="F654" s="312">
        <v>1825</v>
      </c>
      <c r="G654" s="312" t="s">
        <v>108</v>
      </c>
      <c r="H654" s="312">
        <v>1827</v>
      </c>
      <c r="I654" s="312" t="s">
        <v>107</v>
      </c>
      <c r="J654" s="312">
        <v>1913</v>
      </c>
      <c r="K654" s="312" t="s">
        <v>109</v>
      </c>
    </row>
    <row r="655" spans="1:11">
      <c r="A655" s="312" t="s">
        <v>1536</v>
      </c>
      <c r="B655" s="312" t="s">
        <v>1537</v>
      </c>
      <c r="C655" s="312" t="s">
        <v>105</v>
      </c>
      <c r="D655" s="312" t="s">
        <v>106</v>
      </c>
      <c r="E655" s="312" t="s">
        <v>107</v>
      </c>
      <c r="F655" s="312">
        <v>1825</v>
      </c>
      <c r="G655" s="312" t="s">
        <v>108</v>
      </c>
      <c r="H655" s="312">
        <v>1827</v>
      </c>
      <c r="I655" s="312" t="s">
        <v>107</v>
      </c>
      <c r="J655" s="312">
        <v>1913</v>
      </c>
      <c r="K655" s="312" t="s">
        <v>109</v>
      </c>
    </row>
    <row r="656" spans="1:11">
      <c r="A656" s="312" t="s">
        <v>1538</v>
      </c>
      <c r="B656" s="312" t="s">
        <v>1539</v>
      </c>
      <c r="C656" s="312" t="s">
        <v>105</v>
      </c>
      <c r="D656" s="312" t="s">
        <v>106</v>
      </c>
      <c r="E656" s="312" t="s">
        <v>107</v>
      </c>
      <c r="F656" s="312">
        <v>1825</v>
      </c>
      <c r="G656" s="312" t="s">
        <v>108</v>
      </c>
      <c r="H656" s="312">
        <v>1827</v>
      </c>
      <c r="I656" s="312" t="s">
        <v>107</v>
      </c>
      <c r="J656" s="312">
        <v>1913</v>
      </c>
      <c r="K656" s="312" t="s">
        <v>109</v>
      </c>
    </row>
    <row r="657" spans="1:11">
      <c r="A657" s="312" t="s">
        <v>1540</v>
      </c>
      <c r="B657" s="312" t="s">
        <v>1541</v>
      </c>
      <c r="C657" s="312" t="s">
        <v>105</v>
      </c>
      <c r="D657" s="312" t="s">
        <v>114</v>
      </c>
      <c r="E657" s="312" t="s">
        <v>107</v>
      </c>
      <c r="F657" s="312">
        <v>1825</v>
      </c>
      <c r="G657" s="312" t="s">
        <v>108</v>
      </c>
      <c r="H657" s="312">
        <v>1827</v>
      </c>
      <c r="I657" s="312" t="s">
        <v>107</v>
      </c>
      <c r="J657" s="312">
        <v>1913</v>
      </c>
      <c r="K657" s="312" t="s">
        <v>109</v>
      </c>
    </row>
    <row r="658" spans="1:11">
      <c r="A658" s="312" t="s">
        <v>1542</v>
      </c>
      <c r="B658" s="312" t="s">
        <v>1543</v>
      </c>
      <c r="C658" s="312" t="s">
        <v>105</v>
      </c>
      <c r="D658" s="312" t="s">
        <v>114</v>
      </c>
      <c r="E658" s="312" t="s">
        <v>107</v>
      </c>
      <c r="F658" s="312">
        <v>1825</v>
      </c>
      <c r="G658" s="312" t="s">
        <v>108</v>
      </c>
      <c r="H658" s="312">
        <v>1827</v>
      </c>
      <c r="I658" s="312" t="s">
        <v>107</v>
      </c>
      <c r="J658" s="312">
        <v>1913</v>
      </c>
      <c r="K658" s="312" t="s">
        <v>109</v>
      </c>
    </row>
    <row r="659" spans="1:11">
      <c r="A659" s="312" t="s">
        <v>1544</v>
      </c>
      <c r="B659" s="312" t="s">
        <v>1545</v>
      </c>
      <c r="C659" s="312" t="s">
        <v>105</v>
      </c>
      <c r="D659" s="312" t="s">
        <v>114</v>
      </c>
      <c r="E659" s="312" t="s">
        <v>107</v>
      </c>
      <c r="F659" s="312">
        <v>1825</v>
      </c>
      <c r="G659" s="312" t="s">
        <v>108</v>
      </c>
      <c r="H659" s="312">
        <v>1827</v>
      </c>
      <c r="I659" s="312" t="s">
        <v>107</v>
      </c>
      <c r="J659" s="312">
        <v>1913</v>
      </c>
      <c r="K659" s="312" t="s">
        <v>109</v>
      </c>
    </row>
    <row r="660" spans="1:11">
      <c r="A660" s="312" t="s">
        <v>1546</v>
      </c>
      <c r="B660" s="312" t="s">
        <v>1547</v>
      </c>
      <c r="C660" s="312" t="s">
        <v>105</v>
      </c>
      <c r="D660" s="312" t="s">
        <v>184</v>
      </c>
      <c r="E660" s="312" t="s">
        <v>107</v>
      </c>
      <c r="F660" s="312">
        <v>1825</v>
      </c>
      <c r="G660" s="312" t="s">
        <v>108</v>
      </c>
      <c r="H660" s="312">
        <v>1827</v>
      </c>
      <c r="I660" s="312" t="s">
        <v>107</v>
      </c>
      <c r="J660" s="312">
        <v>1913</v>
      </c>
      <c r="K660" s="312" t="s">
        <v>109</v>
      </c>
    </row>
    <row r="661" spans="1:11">
      <c r="A661" s="312" t="s">
        <v>1548</v>
      </c>
      <c r="B661" s="312" t="s">
        <v>1549</v>
      </c>
      <c r="C661" s="312" t="s">
        <v>105</v>
      </c>
      <c r="D661" s="312" t="s">
        <v>117</v>
      </c>
      <c r="E661" s="312" t="s">
        <v>107</v>
      </c>
      <c r="F661" s="312">
        <v>1825</v>
      </c>
      <c r="G661" s="312" t="s">
        <v>108</v>
      </c>
      <c r="H661" s="312">
        <v>1827</v>
      </c>
      <c r="I661" s="312" t="s">
        <v>107</v>
      </c>
      <c r="J661" s="312">
        <v>1913</v>
      </c>
      <c r="K661" s="312" t="s">
        <v>109</v>
      </c>
    </row>
    <row r="662" spans="1:11">
      <c r="A662" s="312" t="s">
        <v>1550</v>
      </c>
      <c r="B662" s="312" t="s">
        <v>1551</v>
      </c>
      <c r="C662" s="312" t="s">
        <v>105</v>
      </c>
      <c r="D662" s="312" t="s">
        <v>483</v>
      </c>
      <c r="E662" s="312" t="s">
        <v>696</v>
      </c>
      <c r="F662" s="312">
        <v>1736</v>
      </c>
      <c r="G662" s="312" t="s">
        <v>697</v>
      </c>
      <c r="H662" s="312">
        <v>1741</v>
      </c>
      <c r="I662" s="312" t="s">
        <v>696</v>
      </c>
      <c r="J662" s="312">
        <v>1929</v>
      </c>
      <c r="K662" s="312" t="s">
        <v>698</v>
      </c>
    </row>
    <row r="663" spans="1:11">
      <c r="A663" s="312" t="s">
        <v>1552</v>
      </c>
      <c r="B663" s="312" t="s">
        <v>1553</v>
      </c>
      <c r="C663" s="312" t="s">
        <v>105</v>
      </c>
      <c r="D663" s="312" t="s">
        <v>739</v>
      </c>
      <c r="E663" s="312" t="s">
        <v>696</v>
      </c>
      <c r="F663" s="312">
        <v>1736</v>
      </c>
      <c r="G663" s="312" t="s">
        <v>697</v>
      </c>
      <c r="H663" s="312">
        <v>1741</v>
      </c>
      <c r="I663" s="312" t="s">
        <v>696</v>
      </c>
      <c r="J663" s="312">
        <v>1929</v>
      </c>
      <c r="K663" s="312" t="s">
        <v>698</v>
      </c>
    </row>
    <row r="664" spans="1:11">
      <c r="A664" s="312" t="s">
        <v>1554</v>
      </c>
      <c r="B664" s="312" t="s">
        <v>1555</v>
      </c>
      <c r="C664" s="312" t="s">
        <v>105</v>
      </c>
      <c r="D664" s="312" t="s">
        <v>730</v>
      </c>
      <c r="E664" s="312" t="s">
        <v>696</v>
      </c>
      <c r="F664" s="312">
        <v>1736</v>
      </c>
      <c r="G664" s="312" t="s">
        <v>697</v>
      </c>
      <c r="H664" s="312">
        <v>1741</v>
      </c>
      <c r="I664" s="312" t="s">
        <v>696</v>
      </c>
      <c r="J664" s="312">
        <v>1929</v>
      </c>
      <c r="K664" s="312" t="s">
        <v>698</v>
      </c>
    </row>
    <row r="665" spans="1:11">
      <c r="A665" s="312" t="s">
        <v>1556</v>
      </c>
      <c r="B665" s="312" t="s">
        <v>1557</v>
      </c>
      <c r="C665" s="312" t="s">
        <v>105</v>
      </c>
      <c r="D665" s="312" t="s">
        <v>730</v>
      </c>
      <c r="E665" s="312" t="s">
        <v>696</v>
      </c>
      <c r="F665" s="312">
        <v>1736</v>
      </c>
      <c r="G665" s="312" t="s">
        <v>697</v>
      </c>
      <c r="H665" s="312">
        <v>1741</v>
      </c>
      <c r="I665" s="312" t="s">
        <v>696</v>
      </c>
      <c r="J665" s="312">
        <v>1929</v>
      </c>
      <c r="K665" s="312" t="s">
        <v>698</v>
      </c>
    </row>
    <row r="666" spans="1:11">
      <c r="A666" s="312" t="s">
        <v>1558</v>
      </c>
      <c r="B666" s="312" t="s">
        <v>1559</v>
      </c>
      <c r="C666" s="312" t="s">
        <v>105</v>
      </c>
      <c r="D666" s="312" t="s">
        <v>1533</v>
      </c>
      <c r="E666" s="312" t="s">
        <v>696</v>
      </c>
      <c r="F666" s="312">
        <v>1736</v>
      </c>
      <c r="G666" s="312" t="s">
        <v>697</v>
      </c>
      <c r="H666" s="312">
        <v>1741</v>
      </c>
      <c r="I666" s="312" t="s">
        <v>696</v>
      </c>
      <c r="J666" s="312">
        <v>1929</v>
      </c>
      <c r="K666" s="312" t="s">
        <v>698</v>
      </c>
    </row>
    <row r="667" spans="1:11">
      <c r="A667" s="312" t="s">
        <v>1560</v>
      </c>
      <c r="B667" s="312" t="s">
        <v>1561</v>
      </c>
      <c r="C667" s="312" t="s">
        <v>105</v>
      </c>
      <c r="D667" s="312" t="s">
        <v>117</v>
      </c>
      <c r="E667" s="312" t="s">
        <v>107</v>
      </c>
      <c r="F667" s="312">
        <v>1825</v>
      </c>
      <c r="G667" s="312" t="s">
        <v>108</v>
      </c>
      <c r="H667" s="312">
        <v>1827</v>
      </c>
      <c r="I667" s="312" t="s">
        <v>107</v>
      </c>
      <c r="J667" s="312">
        <v>1913</v>
      </c>
      <c r="K667" s="312" t="s">
        <v>109</v>
      </c>
    </row>
    <row r="668" spans="1:11">
      <c r="A668" s="312" t="s">
        <v>1562</v>
      </c>
      <c r="B668" s="312" t="s">
        <v>1563</v>
      </c>
      <c r="C668" s="312" t="s">
        <v>105</v>
      </c>
      <c r="D668" s="312" t="s">
        <v>1402</v>
      </c>
      <c r="E668" s="312" t="s">
        <v>167</v>
      </c>
      <c r="F668" s="312">
        <v>1705</v>
      </c>
      <c r="G668" s="312" t="s">
        <v>168</v>
      </c>
      <c r="H668" s="312">
        <v>1707</v>
      </c>
      <c r="I668" s="312" t="s">
        <v>167</v>
      </c>
      <c r="J668" s="312">
        <v>1899</v>
      </c>
      <c r="K668" s="312" t="s">
        <v>169</v>
      </c>
    </row>
    <row r="669" spans="1:11">
      <c r="A669" s="312" t="s">
        <v>1564</v>
      </c>
      <c r="B669" s="312" t="s">
        <v>1565</v>
      </c>
      <c r="C669" s="312" t="s">
        <v>105</v>
      </c>
      <c r="D669" s="312" t="s">
        <v>1402</v>
      </c>
      <c r="E669" s="312" t="s">
        <v>167</v>
      </c>
      <c r="F669" s="312">
        <v>1705</v>
      </c>
      <c r="G669" s="312" t="s">
        <v>168</v>
      </c>
      <c r="H669" s="312">
        <v>1707</v>
      </c>
      <c r="I669" s="312" t="s">
        <v>167</v>
      </c>
      <c r="J669" s="312">
        <v>1899</v>
      </c>
      <c r="K669" s="312" t="s">
        <v>169</v>
      </c>
    </row>
    <row r="670" spans="1:11">
      <c r="A670" s="312" t="s">
        <v>1566</v>
      </c>
      <c r="B670" s="312" t="s">
        <v>1567</v>
      </c>
      <c r="C670" s="312" t="s">
        <v>105</v>
      </c>
      <c r="D670" s="312" t="s">
        <v>114</v>
      </c>
      <c r="E670" s="312" t="s">
        <v>107</v>
      </c>
      <c r="F670" s="312">
        <v>1825</v>
      </c>
      <c r="G670" s="312" t="s">
        <v>108</v>
      </c>
      <c r="H670" s="312">
        <v>1827</v>
      </c>
      <c r="I670" s="312" t="s">
        <v>107</v>
      </c>
      <c r="J670" s="312">
        <v>1913</v>
      </c>
      <c r="K670" s="312" t="s">
        <v>109</v>
      </c>
    </row>
    <row r="671" spans="1:11">
      <c r="A671" s="312" t="s">
        <v>1568</v>
      </c>
      <c r="B671" s="312" t="s">
        <v>1569</v>
      </c>
      <c r="C671" s="312" t="s">
        <v>105</v>
      </c>
      <c r="D671" s="312" t="s">
        <v>114</v>
      </c>
      <c r="E671" s="312" t="s">
        <v>107</v>
      </c>
      <c r="F671" s="312">
        <v>1825</v>
      </c>
      <c r="G671" s="312" t="s">
        <v>108</v>
      </c>
      <c r="H671" s="312">
        <v>1827</v>
      </c>
      <c r="I671" s="312" t="s">
        <v>107</v>
      </c>
      <c r="J671" s="312">
        <v>1913</v>
      </c>
      <c r="K671" s="312" t="s">
        <v>109</v>
      </c>
    </row>
    <row r="672" spans="1:11">
      <c r="A672" s="312" t="s">
        <v>1570</v>
      </c>
      <c r="B672" s="312" t="s">
        <v>1571</v>
      </c>
      <c r="C672" s="312" t="s">
        <v>105</v>
      </c>
      <c r="D672" s="312" t="s">
        <v>114</v>
      </c>
      <c r="E672" s="312" t="s">
        <v>107</v>
      </c>
      <c r="F672" s="312">
        <v>1825</v>
      </c>
      <c r="G672" s="312" t="s">
        <v>108</v>
      </c>
      <c r="H672" s="312">
        <v>1827</v>
      </c>
      <c r="I672" s="312" t="s">
        <v>107</v>
      </c>
      <c r="J672" s="312">
        <v>1913</v>
      </c>
      <c r="K672" s="312" t="s">
        <v>109</v>
      </c>
    </row>
    <row r="673" spans="1:11">
      <c r="A673" s="312" t="s">
        <v>1572</v>
      </c>
      <c r="B673" s="312" t="s">
        <v>1573</v>
      </c>
      <c r="C673" s="312" t="s">
        <v>105</v>
      </c>
      <c r="D673" s="312" t="s">
        <v>600</v>
      </c>
      <c r="E673" s="312" t="s">
        <v>107</v>
      </c>
      <c r="F673" s="312">
        <v>1825</v>
      </c>
      <c r="G673" s="312" t="s">
        <v>108</v>
      </c>
      <c r="H673" s="312">
        <v>1827</v>
      </c>
      <c r="I673" s="312" t="s">
        <v>107</v>
      </c>
      <c r="J673" s="312">
        <v>1913</v>
      </c>
      <c r="K673" s="312" t="s">
        <v>109</v>
      </c>
    </row>
    <row r="674" spans="1:11">
      <c r="A674" s="312" t="s">
        <v>1574</v>
      </c>
      <c r="B674" s="312" t="s">
        <v>1575</v>
      </c>
      <c r="C674" s="312" t="s">
        <v>105</v>
      </c>
      <c r="D674" s="312" t="s">
        <v>106</v>
      </c>
      <c r="E674" s="312" t="s">
        <v>107</v>
      </c>
      <c r="F674" s="312">
        <v>1825</v>
      </c>
      <c r="G674" s="312" t="s">
        <v>108</v>
      </c>
      <c r="H674" s="312">
        <v>1827</v>
      </c>
      <c r="I674" s="312" t="s">
        <v>107</v>
      </c>
      <c r="J674" s="312">
        <v>1913</v>
      </c>
      <c r="K674" s="312" t="s">
        <v>109</v>
      </c>
    </row>
    <row r="675" spans="1:11">
      <c r="A675" s="312" t="s">
        <v>1576</v>
      </c>
      <c r="B675" s="312" t="s">
        <v>1577</v>
      </c>
      <c r="C675" s="312" t="s">
        <v>105</v>
      </c>
      <c r="D675" s="312" t="s">
        <v>114</v>
      </c>
      <c r="E675" s="312" t="s">
        <v>107</v>
      </c>
      <c r="F675" s="312">
        <v>1825</v>
      </c>
      <c r="G675" s="312" t="s">
        <v>108</v>
      </c>
      <c r="H675" s="312">
        <v>1827</v>
      </c>
      <c r="I675" s="312" t="s">
        <v>107</v>
      </c>
      <c r="J675" s="312">
        <v>1913</v>
      </c>
      <c r="K675" s="312" t="s">
        <v>109</v>
      </c>
    </row>
    <row r="676" spans="1:11">
      <c r="A676" s="312" t="s">
        <v>1578</v>
      </c>
      <c r="B676" s="312" t="s">
        <v>1579</v>
      </c>
      <c r="C676" s="312" t="s">
        <v>105</v>
      </c>
      <c r="D676" s="312" t="s">
        <v>114</v>
      </c>
      <c r="E676" s="312" t="s">
        <v>107</v>
      </c>
      <c r="F676" s="312">
        <v>1825</v>
      </c>
      <c r="G676" s="312" t="s">
        <v>108</v>
      </c>
      <c r="H676" s="312">
        <v>1827</v>
      </c>
      <c r="I676" s="312" t="s">
        <v>107</v>
      </c>
      <c r="J676" s="312">
        <v>1913</v>
      </c>
      <c r="K676" s="312" t="s">
        <v>109</v>
      </c>
    </row>
    <row r="677" spans="1:11">
      <c r="A677" s="312" t="s">
        <v>1580</v>
      </c>
      <c r="B677" s="312" t="s">
        <v>1581</v>
      </c>
      <c r="C677" s="312" t="s">
        <v>105</v>
      </c>
      <c r="D677" s="312" t="s">
        <v>114</v>
      </c>
      <c r="E677" s="312" t="s">
        <v>107</v>
      </c>
      <c r="F677" s="312">
        <v>1825</v>
      </c>
      <c r="G677" s="312" t="s">
        <v>108</v>
      </c>
      <c r="H677" s="312">
        <v>1827</v>
      </c>
      <c r="I677" s="312" t="s">
        <v>107</v>
      </c>
      <c r="J677" s="312">
        <v>1913</v>
      </c>
      <c r="K677" s="312" t="s">
        <v>109</v>
      </c>
    </row>
    <row r="678" spans="1:11">
      <c r="A678" s="312" t="s">
        <v>1582</v>
      </c>
      <c r="B678" s="312" t="s">
        <v>1583</v>
      </c>
      <c r="C678" s="312" t="s">
        <v>105</v>
      </c>
      <c r="D678" s="312" t="s">
        <v>114</v>
      </c>
      <c r="E678" s="312" t="s">
        <v>107</v>
      </c>
      <c r="F678" s="312">
        <v>1825</v>
      </c>
      <c r="G678" s="312" t="s">
        <v>108</v>
      </c>
      <c r="H678" s="312">
        <v>1827</v>
      </c>
      <c r="I678" s="312" t="s">
        <v>107</v>
      </c>
      <c r="J678" s="312">
        <v>1913</v>
      </c>
      <c r="K678" s="312" t="s">
        <v>109</v>
      </c>
    </row>
    <row r="679" spans="1:11">
      <c r="A679" s="312" t="s">
        <v>1584</v>
      </c>
      <c r="B679" s="312" t="s">
        <v>1585</v>
      </c>
      <c r="C679" s="312" t="s">
        <v>105</v>
      </c>
      <c r="D679" s="312" t="s">
        <v>114</v>
      </c>
      <c r="E679" s="312" t="s">
        <v>107</v>
      </c>
      <c r="F679" s="312">
        <v>1825</v>
      </c>
      <c r="G679" s="312" t="s">
        <v>108</v>
      </c>
      <c r="H679" s="312">
        <v>1827</v>
      </c>
      <c r="I679" s="312" t="s">
        <v>107</v>
      </c>
      <c r="J679" s="312">
        <v>1913</v>
      </c>
      <c r="K679" s="312" t="s">
        <v>109</v>
      </c>
    </row>
    <row r="680" spans="1:11">
      <c r="A680" s="312" t="s">
        <v>1586</v>
      </c>
      <c r="B680" s="312" t="s">
        <v>1587</v>
      </c>
      <c r="C680" s="312" t="s">
        <v>105</v>
      </c>
      <c r="D680" s="312" t="s">
        <v>114</v>
      </c>
      <c r="E680" s="312" t="s">
        <v>107</v>
      </c>
      <c r="F680" s="312">
        <v>1825</v>
      </c>
      <c r="G680" s="312" t="s">
        <v>108</v>
      </c>
      <c r="H680" s="312">
        <v>1827</v>
      </c>
      <c r="I680" s="312" t="s">
        <v>107</v>
      </c>
      <c r="J680" s="312">
        <v>1913</v>
      </c>
      <c r="K680" s="312" t="s">
        <v>109</v>
      </c>
    </row>
    <row r="681" spans="1:11">
      <c r="A681" s="312" t="s">
        <v>1588</v>
      </c>
      <c r="B681" s="312" t="s">
        <v>1589</v>
      </c>
      <c r="C681" s="312" t="s">
        <v>105</v>
      </c>
      <c r="D681" s="312" t="s">
        <v>114</v>
      </c>
      <c r="E681" s="312" t="s">
        <v>107</v>
      </c>
      <c r="F681" s="312">
        <v>1825</v>
      </c>
      <c r="G681" s="312" t="s">
        <v>108</v>
      </c>
      <c r="H681" s="312">
        <v>1827</v>
      </c>
      <c r="I681" s="312" t="s">
        <v>107</v>
      </c>
      <c r="J681" s="312">
        <v>1913</v>
      </c>
      <c r="K681" s="312" t="s">
        <v>109</v>
      </c>
    </row>
    <row r="682" spans="1:11">
      <c r="A682" s="312" t="s">
        <v>1590</v>
      </c>
      <c r="B682" s="312" t="s">
        <v>1591</v>
      </c>
      <c r="C682" s="312" t="s">
        <v>105</v>
      </c>
      <c r="D682" s="312" t="s">
        <v>114</v>
      </c>
      <c r="E682" s="312" t="s">
        <v>107</v>
      </c>
      <c r="F682" s="312">
        <v>1825</v>
      </c>
      <c r="G682" s="312" t="s">
        <v>108</v>
      </c>
      <c r="H682" s="312">
        <v>1827</v>
      </c>
      <c r="I682" s="312" t="s">
        <v>107</v>
      </c>
      <c r="J682" s="312">
        <v>1913</v>
      </c>
      <c r="K682" s="312" t="s">
        <v>109</v>
      </c>
    </row>
    <row r="683" spans="1:11">
      <c r="A683" s="312" t="s">
        <v>1592</v>
      </c>
      <c r="B683" s="312" t="s">
        <v>1593</v>
      </c>
      <c r="C683" s="312" t="s">
        <v>105</v>
      </c>
      <c r="D683" s="312" t="s">
        <v>114</v>
      </c>
      <c r="E683" s="312" t="s">
        <v>107</v>
      </c>
      <c r="F683" s="312">
        <v>1825</v>
      </c>
      <c r="G683" s="312" t="s">
        <v>108</v>
      </c>
      <c r="H683" s="312">
        <v>1827</v>
      </c>
      <c r="I683" s="312" t="s">
        <v>107</v>
      </c>
      <c r="J683" s="312">
        <v>1913</v>
      </c>
      <c r="K683" s="312" t="s">
        <v>109</v>
      </c>
    </row>
    <row r="684" spans="1:11">
      <c r="A684" s="312" t="s">
        <v>1594</v>
      </c>
      <c r="B684" s="312" t="s">
        <v>1595</v>
      </c>
      <c r="C684" s="312" t="s">
        <v>105</v>
      </c>
      <c r="D684" s="312" t="s">
        <v>114</v>
      </c>
      <c r="E684" s="312" t="s">
        <v>107</v>
      </c>
      <c r="F684" s="312">
        <v>1825</v>
      </c>
      <c r="G684" s="312" t="s">
        <v>108</v>
      </c>
      <c r="H684" s="312">
        <v>1827</v>
      </c>
      <c r="I684" s="312" t="s">
        <v>107</v>
      </c>
      <c r="J684" s="312">
        <v>1913</v>
      </c>
      <c r="K684" s="312" t="s">
        <v>109</v>
      </c>
    </row>
    <row r="685" spans="1:11">
      <c r="A685" s="312" t="s">
        <v>1596</v>
      </c>
      <c r="B685" s="312" t="s">
        <v>1597</v>
      </c>
      <c r="C685" s="312" t="s">
        <v>105</v>
      </c>
      <c r="D685" s="312" t="s">
        <v>114</v>
      </c>
      <c r="E685" s="312" t="s">
        <v>107</v>
      </c>
      <c r="F685" s="312">
        <v>1825</v>
      </c>
      <c r="G685" s="312" t="s">
        <v>108</v>
      </c>
      <c r="H685" s="312">
        <v>1827</v>
      </c>
      <c r="I685" s="312" t="s">
        <v>107</v>
      </c>
      <c r="J685" s="312">
        <v>1913</v>
      </c>
      <c r="K685" s="312" t="s">
        <v>109</v>
      </c>
    </row>
    <row r="686" spans="1:11">
      <c r="A686" s="312" t="s">
        <v>1598</v>
      </c>
      <c r="B686" s="312" t="s">
        <v>1599</v>
      </c>
      <c r="C686" s="312" t="s">
        <v>105</v>
      </c>
      <c r="D686" s="312" t="s">
        <v>114</v>
      </c>
      <c r="E686" s="312" t="s">
        <v>107</v>
      </c>
      <c r="F686" s="312">
        <v>1825</v>
      </c>
      <c r="G686" s="312" t="s">
        <v>108</v>
      </c>
      <c r="H686" s="312">
        <v>1827</v>
      </c>
      <c r="I686" s="312" t="s">
        <v>107</v>
      </c>
      <c r="J686" s="312">
        <v>1913</v>
      </c>
      <c r="K686" s="312" t="s">
        <v>109</v>
      </c>
    </row>
    <row r="687" spans="1:11">
      <c r="A687" s="312" t="s">
        <v>1600</v>
      </c>
      <c r="B687" s="312" t="s">
        <v>1601</v>
      </c>
      <c r="C687" s="312" t="s">
        <v>105</v>
      </c>
      <c r="D687" s="312" t="s">
        <v>114</v>
      </c>
      <c r="E687" s="312" t="s">
        <v>107</v>
      </c>
      <c r="F687" s="312">
        <v>1825</v>
      </c>
      <c r="G687" s="312" t="s">
        <v>108</v>
      </c>
      <c r="H687" s="312">
        <v>1827</v>
      </c>
      <c r="I687" s="312" t="s">
        <v>107</v>
      </c>
      <c r="J687" s="312">
        <v>1913</v>
      </c>
      <c r="K687" s="312" t="s">
        <v>109</v>
      </c>
    </row>
    <row r="688" spans="1:11">
      <c r="A688" s="312" t="s">
        <v>1602</v>
      </c>
      <c r="B688" s="312" t="s">
        <v>1603</v>
      </c>
      <c r="C688" s="312" t="s">
        <v>105</v>
      </c>
      <c r="D688" s="312" t="s">
        <v>106</v>
      </c>
      <c r="E688" s="312" t="s">
        <v>107</v>
      </c>
      <c r="F688" s="312">
        <v>1825</v>
      </c>
      <c r="G688" s="312" t="s">
        <v>108</v>
      </c>
      <c r="H688" s="312">
        <v>1827</v>
      </c>
      <c r="I688" s="312" t="s">
        <v>107</v>
      </c>
      <c r="J688" s="312">
        <v>1913</v>
      </c>
      <c r="K688" s="312" t="s">
        <v>109</v>
      </c>
    </row>
    <row r="689" spans="1:11">
      <c r="A689" s="312" t="s">
        <v>1604</v>
      </c>
      <c r="B689" s="312" t="s">
        <v>1605</v>
      </c>
      <c r="C689" s="312" t="s">
        <v>105</v>
      </c>
      <c r="D689" s="312" t="s">
        <v>114</v>
      </c>
      <c r="E689" s="312" t="s">
        <v>107</v>
      </c>
      <c r="F689" s="312">
        <v>1825</v>
      </c>
      <c r="G689" s="312" t="s">
        <v>108</v>
      </c>
      <c r="H689" s="312">
        <v>1827</v>
      </c>
      <c r="I689" s="312" t="s">
        <v>107</v>
      </c>
      <c r="J689" s="312">
        <v>1913</v>
      </c>
      <c r="K689" s="312" t="s">
        <v>109</v>
      </c>
    </row>
    <row r="690" spans="1:11">
      <c r="A690" s="312" t="s">
        <v>1606</v>
      </c>
      <c r="B690" s="312" t="s">
        <v>1607</v>
      </c>
      <c r="C690" s="312" t="s">
        <v>105</v>
      </c>
      <c r="D690" s="312" t="s">
        <v>891</v>
      </c>
      <c r="E690" s="312" t="s">
        <v>107</v>
      </c>
      <c r="F690" s="312">
        <v>1825</v>
      </c>
      <c r="G690" s="312" t="s">
        <v>108</v>
      </c>
      <c r="H690" s="312">
        <v>1827</v>
      </c>
      <c r="I690" s="312" t="s">
        <v>107</v>
      </c>
      <c r="J690" s="312">
        <v>1913</v>
      </c>
      <c r="K690" s="312" t="s">
        <v>109</v>
      </c>
    </row>
    <row r="691" spans="1:11">
      <c r="A691" s="312" t="s">
        <v>1608</v>
      </c>
      <c r="B691" s="312" t="s">
        <v>1609</v>
      </c>
      <c r="C691" s="312" t="s">
        <v>105</v>
      </c>
      <c r="D691" s="312" t="s">
        <v>891</v>
      </c>
      <c r="E691" s="312" t="s">
        <v>107</v>
      </c>
      <c r="F691" s="312">
        <v>1825</v>
      </c>
      <c r="G691" s="312" t="s">
        <v>108</v>
      </c>
      <c r="H691" s="312">
        <v>1827</v>
      </c>
      <c r="I691" s="312" t="s">
        <v>107</v>
      </c>
      <c r="J691" s="312">
        <v>1913</v>
      </c>
      <c r="K691" s="312" t="s">
        <v>109</v>
      </c>
    </row>
    <row r="692" spans="1:11">
      <c r="A692" s="312" t="s">
        <v>1610</v>
      </c>
      <c r="B692" s="312" t="s">
        <v>1611</v>
      </c>
      <c r="C692" s="312" t="s">
        <v>105</v>
      </c>
      <c r="D692" s="312" t="s">
        <v>891</v>
      </c>
      <c r="E692" s="312" t="s">
        <v>107</v>
      </c>
      <c r="F692" s="312">
        <v>1825</v>
      </c>
      <c r="G692" s="312" t="s">
        <v>108</v>
      </c>
      <c r="H692" s="312">
        <v>1827</v>
      </c>
      <c r="I692" s="312" t="s">
        <v>107</v>
      </c>
      <c r="J692" s="312">
        <v>1913</v>
      </c>
      <c r="K692" s="312" t="s">
        <v>109</v>
      </c>
    </row>
    <row r="693" spans="1:11">
      <c r="A693" s="312" t="s">
        <v>1612</v>
      </c>
      <c r="B693" s="312" t="s">
        <v>1613</v>
      </c>
      <c r="C693" s="312" t="s">
        <v>105</v>
      </c>
      <c r="D693" s="312" t="s">
        <v>114</v>
      </c>
      <c r="E693" s="312" t="s">
        <v>107</v>
      </c>
      <c r="F693" s="312">
        <v>1825</v>
      </c>
      <c r="G693" s="312" t="s">
        <v>108</v>
      </c>
      <c r="H693" s="312">
        <v>1827</v>
      </c>
      <c r="I693" s="312" t="s">
        <v>107</v>
      </c>
      <c r="J693" s="312">
        <v>1913</v>
      </c>
      <c r="K693" s="312" t="s">
        <v>109</v>
      </c>
    </row>
    <row r="694" spans="1:11">
      <c r="A694" s="312" t="s">
        <v>1614</v>
      </c>
      <c r="B694" s="312" t="s">
        <v>1615</v>
      </c>
      <c r="C694" s="312" t="s">
        <v>105</v>
      </c>
      <c r="D694" s="312" t="s">
        <v>106</v>
      </c>
      <c r="E694" s="312" t="s">
        <v>107</v>
      </c>
      <c r="F694" s="312">
        <v>1825</v>
      </c>
      <c r="G694" s="312" t="s">
        <v>108</v>
      </c>
      <c r="H694" s="312">
        <v>1827</v>
      </c>
      <c r="I694" s="312" t="s">
        <v>107</v>
      </c>
      <c r="J694" s="312">
        <v>1913</v>
      </c>
      <c r="K694" s="312" t="s">
        <v>109</v>
      </c>
    </row>
    <row r="695" spans="1:11">
      <c r="A695" s="312" t="s">
        <v>1616</v>
      </c>
      <c r="B695" s="312" t="s">
        <v>1617</v>
      </c>
      <c r="C695" s="312" t="s">
        <v>105</v>
      </c>
      <c r="D695" s="312" t="s">
        <v>114</v>
      </c>
      <c r="E695" s="312" t="s">
        <v>107</v>
      </c>
      <c r="F695" s="312">
        <v>1825</v>
      </c>
      <c r="G695" s="312" t="s">
        <v>108</v>
      </c>
      <c r="H695" s="312">
        <v>1827</v>
      </c>
      <c r="I695" s="312" t="s">
        <v>107</v>
      </c>
      <c r="J695" s="312">
        <v>1913</v>
      </c>
      <c r="K695" s="312" t="s">
        <v>109</v>
      </c>
    </row>
    <row r="696" spans="1:11">
      <c r="A696" s="312" t="s">
        <v>1618</v>
      </c>
      <c r="B696" s="312" t="s">
        <v>1619</v>
      </c>
      <c r="C696" s="312" t="s">
        <v>105</v>
      </c>
      <c r="D696" s="312" t="s">
        <v>114</v>
      </c>
      <c r="E696" s="312" t="s">
        <v>107</v>
      </c>
      <c r="F696" s="312">
        <v>1825</v>
      </c>
      <c r="G696" s="312" t="s">
        <v>108</v>
      </c>
      <c r="H696" s="312">
        <v>1827</v>
      </c>
      <c r="I696" s="312" t="s">
        <v>107</v>
      </c>
      <c r="J696" s="312">
        <v>1913</v>
      </c>
      <c r="K696" s="312" t="s">
        <v>109</v>
      </c>
    </row>
    <row r="697" spans="1:11">
      <c r="A697" s="312" t="s">
        <v>1620</v>
      </c>
      <c r="B697" s="312" t="s">
        <v>1621</v>
      </c>
      <c r="C697" s="312" t="s">
        <v>105</v>
      </c>
      <c r="D697" s="312" t="s">
        <v>1300</v>
      </c>
      <c r="E697" s="312" t="s">
        <v>167</v>
      </c>
      <c r="F697" s="312">
        <v>1705</v>
      </c>
      <c r="G697" s="312" t="s">
        <v>168</v>
      </c>
      <c r="H697" s="312">
        <v>1707</v>
      </c>
      <c r="I697" s="312" t="s">
        <v>167</v>
      </c>
      <c r="J697" s="312">
        <v>1899</v>
      </c>
      <c r="K697" s="312" t="s">
        <v>169</v>
      </c>
    </row>
    <row r="698" spans="1:11">
      <c r="A698" s="312" t="s">
        <v>1622</v>
      </c>
      <c r="B698" s="312" t="s">
        <v>1623</v>
      </c>
      <c r="C698" s="312" t="s">
        <v>105</v>
      </c>
      <c r="D698" s="312" t="s">
        <v>512</v>
      </c>
      <c r="E698" s="312" t="s">
        <v>167</v>
      </c>
      <c r="F698" s="312">
        <v>1705</v>
      </c>
      <c r="G698" s="312" t="s">
        <v>168</v>
      </c>
      <c r="H698" s="312">
        <v>1707</v>
      </c>
      <c r="I698" s="312" t="s">
        <v>167</v>
      </c>
      <c r="J698" s="312">
        <v>1899</v>
      </c>
      <c r="K698" s="312" t="s">
        <v>169</v>
      </c>
    </row>
    <row r="699" spans="1:11">
      <c r="A699" s="312" t="s">
        <v>1624</v>
      </c>
      <c r="B699" s="312" t="s">
        <v>1625</v>
      </c>
      <c r="C699" s="312" t="s">
        <v>105</v>
      </c>
      <c r="D699" s="312" t="s">
        <v>512</v>
      </c>
      <c r="E699" s="312" t="s">
        <v>167</v>
      </c>
      <c r="F699" s="312">
        <v>1705</v>
      </c>
      <c r="G699" s="312" t="s">
        <v>168</v>
      </c>
      <c r="H699" s="312">
        <v>1707</v>
      </c>
      <c r="I699" s="312" t="s">
        <v>167</v>
      </c>
      <c r="J699" s="312">
        <v>1899</v>
      </c>
      <c r="K699" s="312" t="s">
        <v>169</v>
      </c>
    </row>
    <row r="700" spans="1:11">
      <c r="A700" s="312" t="s">
        <v>1626</v>
      </c>
      <c r="B700" s="312" t="s">
        <v>1627</v>
      </c>
      <c r="C700" s="312" t="s">
        <v>105</v>
      </c>
      <c r="D700" s="312" t="s">
        <v>114</v>
      </c>
      <c r="E700" s="312" t="s">
        <v>107</v>
      </c>
      <c r="F700" s="312">
        <v>1825</v>
      </c>
      <c r="G700" s="312" t="s">
        <v>108</v>
      </c>
      <c r="H700" s="312">
        <v>1827</v>
      </c>
      <c r="I700" s="312" t="s">
        <v>107</v>
      </c>
      <c r="J700" s="312">
        <v>1913</v>
      </c>
      <c r="K700" s="312" t="s">
        <v>109</v>
      </c>
    </row>
    <row r="701" spans="1:11">
      <c r="A701" s="312" t="s">
        <v>1628</v>
      </c>
      <c r="B701" s="312" t="s">
        <v>1629</v>
      </c>
      <c r="C701" s="312" t="s">
        <v>105</v>
      </c>
      <c r="D701" s="312" t="s">
        <v>512</v>
      </c>
      <c r="E701" s="312" t="s">
        <v>167</v>
      </c>
      <c r="F701" s="312">
        <v>1705</v>
      </c>
      <c r="G701" s="312" t="s">
        <v>168</v>
      </c>
      <c r="H701" s="312">
        <v>1707</v>
      </c>
      <c r="I701" s="312" t="s">
        <v>167</v>
      </c>
      <c r="J701" s="312">
        <v>1899</v>
      </c>
      <c r="K701" s="312" t="s">
        <v>169</v>
      </c>
    </row>
    <row r="702" spans="1:11">
      <c r="A702" s="312" t="s">
        <v>1630</v>
      </c>
      <c r="B702" s="312" t="s">
        <v>1631</v>
      </c>
      <c r="C702" s="312" t="s">
        <v>105</v>
      </c>
      <c r="D702" s="312" t="s">
        <v>512</v>
      </c>
      <c r="E702" s="312" t="s">
        <v>167</v>
      </c>
      <c r="F702" s="312">
        <v>1705</v>
      </c>
      <c r="G702" s="312" t="s">
        <v>168</v>
      </c>
      <c r="H702" s="312">
        <v>1707</v>
      </c>
      <c r="I702" s="312" t="s">
        <v>167</v>
      </c>
      <c r="J702" s="312">
        <v>1899</v>
      </c>
      <c r="K702" s="312" t="s">
        <v>169</v>
      </c>
    </row>
    <row r="703" spans="1:11">
      <c r="A703" s="312" t="s">
        <v>1632</v>
      </c>
      <c r="B703" s="312" t="s">
        <v>1633</v>
      </c>
      <c r="C703" s="312" t="s">
        <v>105</v>
      </c>
      <c r="D703" s="312" t="s">
        <v>114</v>
      </c>
      <c r="E703" s="312" t="s">
        <v>107</v>
      </c>
      <c r="F703" s="312">
        <v>1825</v>
      </c>
      <c r="G703" s="312" t="s">
        <v>108</v>
      </c>
      <c r="H703" s="312">
        <v>1827</v>
      </c>
      <c r="I703" s="312" t="s">
        <v>107</v>
      </c>
      <c r="J703" s="312">
        <v>1913</v>
      </c>
      <c r="K703" s="312" t="s">
        <v>109</v>
      </c>
    </row>
    <row r="704" spans="1:11">
      <c r="A704" s="312" t="s">
        <v>1634</v>
      </c>
      <c r="B704" s="312" t="s">
        <v>1635</v>
      </c>
      <c r="C704" s="312" t="s">
        <v>105</v>
      </c>
      <c r="D704" s="312" t="s">
        <v>1307</v>
      </c>
      <c r="E704" s="312" t="s">
        <v>320</v>
      </c>
      <c r="F704" s="312">
        <v>1716</v>
      </c>
      <c r="G704" s="312" t="s">
        <v>321</v>
      </c>
      <c r="H704" s="312">
        <v>1725</v>
      </c>
      <c r="I704" s="312" t="s">
        <v>320</v>
      </c>
      <c r="J704" s="312">
        <v>1910</v>
      </c>
      <c r="K704" s="312" t="s">
        <v>322</v>
      </c>
    </row>
    <row r="705" spans="1:11">
      <c r="A705" s="312" t="s">
        <v>1636</v>
      </c>
      <c r="B705" s="312" t="s">
        <v>1637</v>
      </c>
      <c r="C705" s="312" t="s">
        <v>105</v>
      </c>
      <c r="D705" s="312" t="s">
        <v>106</v>
      </c>
      <c r="E705" s="312" t="s">
        <v>107</v>
      </c>
      <c r="F705" s="312">
        <v>1825</v>
      </c>
      <c r="G705" s="312" t="s">
        <v>108</v>
      </c>
      <c r="H705" s="312">
        <v>1827</v>
      </c>
      <c r="I705" s="312" t="s">
        <v>107</v>
      </c>
      <c r="J705" s="312">
        <v>1913</v>
      </c>
      <c r="K705" s="312" t="s">
        <v>109</v>
      </c>
    </row>
    <row r="706" spans="1:11">
      <c r="A706" s="312" t="s">
        <v>1638</v>
      </c>
      <c r="B706" s="312" t="s">
        <v>1639</v>
      </c>
      <c r="C706" s="312" t="s">
        <v>105</v>
      </c>
      <c r="D706" s="312" t="s">
        <v>114</v>
      </c>
      <c r="E706" s="312" t="s">
        <v>107</v>
      </c>
      <c r="F706" s="312">
        <v>1825</v>
      </c>
      <c r="G706" s="312" t="s">
        <v>108</v>
      </c>
      <c r="H706" s="312">
        <v>1827</v>
      </c>
      <c r="I706" s="312" t="s">
        <v>107</v>
      </c>
      <c r="J706" s="312">
        <v>1913</v>
      </c>
      <c r="K706" s="312" t="s">
        <v>109</v>
      </c>
    </row>
    <row r="707" spans="1:11">
      <c r="A707" s="312" t="s">
        <v>1640</v>
      </c>
      <c r="B707" s="312" t="s">
        <v>1641</v>
      </c>
      <c r="C707" s="312" t="s">
        <v>105</v>
      </c>
      <c r="D707" s="312" t="s">
        <v>769</v>
      </c>
      <c r="E707" s="312" t="s">
        <v>107</v>
      </c>
      <c r="F707" s="312">
        <v>1825</v>
      </c>
      <c r="G707" s="312" t="s">
        <v>108</v>
      </c>
      <c r="H707" s="312">
        <v>1827</v>
      </c>
      <c r="I707" s="312" t="s">
        <v>107</v>
      </c>
      <c r="J707" s="312">
        <v>1913</v>
      </c>
      <c r="K707" s="312" t="s">
        <v>109</v>
      </c>
    </row>
    <row r="708" spans="1:11">
      <c r="A708" s="312" t="s">
        <v>1642</v>
      </c>
      <c r="B708" s="312" t="s">
        <v>1643</v>
      </c>
      <c r="C708" s="312" t="s">
        <v>105</v>
      </c>
      <c r="D708" s="312" t="s">
        <v>252</v>
      </c>
      <c r="E708" s="312" t="s">
        <v>167</v>
      </c>
      <c r="F708" s="312">
        <v>1705</v>
      </c>
      <c r="G708" s="312" t="s">
        <v>168</v>
      </c>
      <c r="H708" s="312">
        <v>1707</v>
      </c>
      <c r="I708" s="312" t="s">
        <v>167</v>
      </c>
      <c r="J708" s="312">
        <v>1899</v>
      </c>
      <c r="K708" s="312" t="s">
        <v>169</v>
      </c>
    </row>
    <row r="709" spans="1:11">
      <c r="A709" s="312" t="s">
        <v>1644</v>
      </c>
      <c r="B709" s="312" t="s">
        <v>1645</v>
      </c>
      <c r="C709" s="312" t="s">
        <v>105</v>
      </c>
      <c r="D709" s="312" t="s">
        <v>1646</v>
      </c>
      <c r="E709" s="312" t="s">
        <v>466</v>
      </c>
      <c r="F709" s="312">
        <v>1796</v>
      </c>
      <c r="G709" s="312" t="s">
        <v>467</v>
      </c>
      <c r="H709" s="312">
        <v>1799</v>
      </c>
      <c r="I709" s="312" t="s">
        <v>466</v>
      </c>
      <c r="J709" s="312">
        <v>1918</v>
      </c>
      <c r="K709" s="312" t="s">
        <v>468</v>
      </c>
    </row>
    <row r="710" spans="1:11">
      <c r="A710" s="312" t="s">
        <v>1647</v>
      </c>
      <c r="B710" s="312" t="s">
        <v>1648</v>
      </c>
      <c r="C710" s="312" t="s">
        <v>105</v>
      </c>
      <c r="D710" s="312" t="s">
        <v>1646</v>
      </c>
      <c r="E710" s="312" t="s">
        <v>466</v>
      </c>
      <c r="F710" s="312">
        <v>1796</v>
      </c>
      <c r="G710" s="312" t="s">
        <v>467</v>
      </c>
      <c r="H710" s="312">
        <v>1799</v>
      </c>
      <c r="I710" s="312" t="s">
        <v>466</v>
      </c>
      <c r="J710" s="312">
        <v>1918</v>
      </c>
      <c r="K710" s="312" t="s">
        <v>468</v>
      </c>
    </row>
    <row r="711" spans="1:11">
      <c r="A711" s="312" t="s">
        <v>1649</v>
      </c>
      <c r="B711" s="312" t="s">
        <v>1650</v>
      </c>
      <c r="C711" s="312" t="s">
        <v>105</v>
      </c>
      <c r="D711" s="312" t="s">
        <v>1235</v>
      </c>
      <c r="E711" s="312" t="s">
        <v>466</v>
      </c>
      <c r="F711" s="312">
        <v>1796</v>
      </c>
      <c r="G711" s="312" t="s">
        <v>467</v>
      </c>
      <c r="H711" s="312">
        <v>1799</v>
      </c>
      <c r="I711" s="312" t="s">
        <v>466</v>
      </c>
      <c r="J711" s="312">
        <v>1918</v>
      </c>
      <c r="K711" s="312" t="s">
        <v>468</v>
      </c>
    </row>
    <row r="712" spans="1:11">
      <c r="A712" s="312" t="s">
        <v>1651</v>
      </c>
      <c r="B712" s="312" t="s">
        <v>1652</v>
      </c>
      <c r="C712" s="312" t="s">
        <v>105</v>
      </c>
      <c r="D712" s="312" t="s">
        <v>1646</v>
      </c>
      <c r="E712" s="312" t="s">
        <v>466</v>
      </c>
      <c r="F712" s="312">
        <v>1796</v>
      </c>
      <c r="G712" s="312" t="s">
        <v>467</v>
      </c>
      <c r="H712" s="312">
        <v>1799</v>
      </c>
      <c r="I712" s="312" t="s">
        <v>466</v>
      </c>
      <c r="J712" s="312">
        <v>1918</v>
      </c>
      <c r="K712" s="312" t="s">
        <v>468</v>
      </c>
    </row>
    <row r="713" spans="1:11">
      <c r="A713" s="312" t="s">
        <v>1653</v>
      </c>
      <c r="B713" s="1" t="s">
        <v>1654</v>
      </c>
      <c r="C713" s="312" t="s">
        <v>105</v>
      </c>
      <c r="D713" s="312" t="s">
        <v>603</v>
      </c>
      <c r="E713" s="312" t="s">
        <v>107</v>
      </c>
      <c r="F713" s="312">
        <v>1825</v>
      </c>
      <c r="G713" s="312" t="s">
        <v>108</v>
      </c>
      <c r="H713" s="312">
        <v>1827</v>
      </c>
      <c r="I713" s="312" t="s">
        <v>107</v>
      </c>
      <c r="J713" s="312">
        <v>1913</v>
      </c>
      <c r="K713" s="312" t="s">
        <v>109</v>
      </c>
    </row>
    <row r="714" spans="1:11">
      <c r="A714" s="312" t="s">
        <v>1655</v>
      </c>
      <c r="B714" s="312" t="s">
        <v>1656</v>
      </c>
      <c r="C714" s="312" t="s">
        <v>105</v>
      </c>
      <c r="D714" s="312" t="s">
        <v>327</v>
      </c>
      <c r="E714" s="312" t="s">
        <v>684</v>
      </c>
      <c r="F714" s="312">
        <v>1750</v>
      </c>
      <c r="G714" s="312" t="s">
        <v>685</v>
      </c>
      <c r="H714" s="312">
        <v>1754</v>
      </c>
      <c r="I714" s="312" t="s">
        <v>684</v>
      </c>
      <c r="J714" s="312">
        <v>1920</v>
      </c>
      <c r="K714" s="312" t="s">
        <v>686</v>
      </c>
    </row>
    <row r="715" spans="1:11">
      <c r="A715" s="312" t="s">
        <v>1657</v>
      </c>
      <c r="B715" s="312" t="s">
        <v>1658</v>
      </c>
      <c r="C715" s="312" t="s">
        <v>105</v>
      </c>
      <c r="D715" s="312" t="s">
        <v>327</v>
      </c>
      <c r="E715" s="312" t="s">
        <v>684</v>
      </c>
      <c r="F715" s="312">
        <v>1750</v>
      </c>
      <c r="G715" s="312" t="s">
        <v>685</v>
      </c>
      <c r="H715" s="312">
        <v>1754</v>
      </c>
      <c r="I715" s="312" t="s">
        <v>684</v>
      </c>
      <c r="J715" s="312">
        <v>1920</v>
      </c>
      <c r="K715" s="312" t="s">
        <v>686</v>
      </c>
    </row>
    <row r="716" spans="1:11">
      <c r="A716" s="312" t="s">
        <v>1659</v>
      </c>
      <c r="B716" s="312" t="s">
        <v>1660</v>
      </c>
      <c r="C716" s="312" t="s">
        <v>105</v>
      </c>
      <c r="D716" s="312" t="s">
        <v>327</v>
      </c>
      <c r="E716" s="312" t="s">
        <v>684</v>
      </c>
      <c r="F716" s="312">
        <v>1750</v>
      </c>
      <c r="G716" s="312" t="s">
        <v>685</v>
      </c>
      <c r="H716" s="312">
        <v>1754</v>
      </c>
      <c r="I716" s="312" t="s">
        <v>684</v>
      </c>
      <c r="J716" s="312">
        <v>1920</v>
      </c>
      <c r="K716" s="312" t="s">
        <v>686</v>
      </c>
    </row>
    <row r="717" spans="1:11">
      <c r="A717" s="312" t="s">
        <v>1661</v>
      </c>
      <c r="B717" s="312" t="s">
        <v>1662</v>
      </c>
      <c r="C717" s="312" t="s">
        <v>105</v>
      </c>
      <c r="D717" s="312" t="s">
        <v>1300</v>
      </c>
      <c r="E717" s="312" t="s">
        <v>167</v>
      </c>
      <c r="F717" s="312">
        <v>1705</v>
      </c>
      <c r="G717" s="312" t="s">
        <v>168</v>
      </c>
      <c r="H717" s="312">
        <v>1707</v>
      </c>
      <c r="I717" s="312" t="s">
        <v>167</v>
      </c>
      <c r="J717" s="312">
        <v>1899</v>
      </c>
      <c r="K717" s="312" t="s">
        <v>169</v>
      </c>
    </row>
    <row r="718" spans="1:11">
      <c r="A718" s="312" t="s">
        <v>1663</v>
      </c>
      <c r="B718" s="312" t="s">
        <v>1664</v>
      </c>
      <c r="C718" s="312" t="s">
        <v>105</v>
      </c>
      <c r="D718" s="312" t="s">
        <v>536</v>
      </c>
      <c r="E718" s="312" t="s">
        <v>684</v>
      </c>
      <c r="F718" s="312">
        <v>1750</v>
      </c>
      <c r="G718" s="312" t="s">
        <v>685</v>
      </c>
      <c r="H718" s="312">
        <v>1754</v>
      </c>
      <c r="I718" s="312" t="s">
        <v>684</v>
      </c>
      <c r="J718" s="312">
        <v>1920</v>
      </c>
      <c r="K718" s="312" t="s">
        <v>686</v>
      </c>
    </row>
    <row r="719" spans="1:11">
      <c r="A719" s="312" t="s">
        <v>1665</v>
      </c>
      <c r="B719" s="312" t="s">
        <v>1666</v>
      </c>
      <c r="C719" s="312" t="s">
        <v>105</v>
      </c>
      <c r="D719" s="312" t="s">
        <v>536</v>
      </c>
      <c r="E719" s="312" t="s">
        <v>684</v>
      </c>
      <c r="F719" s="312">
        <v>1750</v>
      </c>
      <c r="G719" s="312" t="s">
        <v>685</v>
      </c>
      <c r="H719" s="312">
        <v>1754</v>
      </c>
      <c r="I719" s="312" t="s">
        <v>684</v>
      </c>
      <c r="J719" s="312">
        <v>1920</v>
      </c>
      <c r="K719" s="312" t="s">
        <v>686</v>
      </c>
    </row>
    <row r="720" spans="1:11">
      <c r="A720" s="312" t="s">
        <v>1667</v>
      </c>
      <c r="B720" s="1" t="s">
        <v>1668</v>
      </c>
      <c r="C720" s="312" t="s">
        <v>105</v>
      </c>
      <c r="D720" s="312" t="s">
        <v>536</v>
      </c>
      <c r="E720" s="312" t="s">
        <v>684</v>
      </c>
      <c r="F720" s="312">
        <v>1750</v>
      </c>
      <c r="G720" s="312" t="s">
        <v>685</v>
      </c>
      <c r="H720" s="312">
        <v>1754</v>
      </c>
      <c r="I720" s="312" t="s">
        <v>684</v>
      </c>
      <c r="J720" s="312">
        <v>1920</v>
      </c>
      <c r="K720" s="312" t="s">
        <v>686</v>
      </c>
    </row>
    <row r="721" spans="1:11">
      <c r="A721" s="312" t="s">
        <v>1669</v>
      </c>
      <c r="B721" s="312" t="s">
        <v>1670</v>
      </c>
      <c r="C721" s="312" t="s">
        <v>105</v>
      </c>
      <c r="D721" s="312" t="s">
        <v>536</v>
      </c>
      <c r="E721" s="312" t="s">
        <v>684</v>
      </c>
      <c r="F721" s="312">
        <v>1750</v>
      </c>
      <c r="G721" s="312" t="s">
        <v>685</v>
      </c>
      <c r="H721" s="312">
        <v>1754</v>
      </c>
      <c r="I721" s="312" t="s">
        <v>684</v>
      </c>
      <c r="J721" s="312">
        <v>1920</v>
      </c>
      <c r="K721" s="312" t="s">
        <v>686</v>
      </c>
    </row>
    <row r="722" spans="1:11">
      <c r="A722" s="312" t="s">
        <v>1671</v>
      </c>
      <c r="B722" s="312" t="s">
        <v>1672</v>
      </c>
      <c r="C722" s="312" t="s">
        <v>105</v>
      </c>
      <c r="D722" s="312" t="s">
        <v>536</v>
      </c>
      <c r="E722" s="312" t="s">
        <v>684</v>
      </c>
      <c r="F722" s="312">
        <v>1750</v>
      </c>
      <c r="G722" s="312" t="s">
        <v>685</v>
      </c>
      <c r="H722" s="312">
        <v>1754</v>
      </c>
      <c r="I722" s="312" t="s">
        <v>684</v>
      </c>
      <c r="J722" s="312">
        <v>1920</v>
      </c>
      <c r="K722" s="312" t="s">
        <v>686</v>
      </c>
    </row>
    <row r="723" spans="1:11">
      <c r="A723" s="312" t="s">
        <v>1673</v>
      </c>
      <c r="B723" s="312" t="s">
        <v>1674</v>
      </c>
      <c r="C723" s="312" t="s">
        <v>105</v>
      </c>
      <c r="D723" s="312" t="s">
        <v>536</v>
      </c>
      <c r="E723" s="312" t="s">
        <v>684</v>
      </c>
      <c r="F723" s="312">
        <v>1750</v>
      </c>
      <c r="G723" s="312" t="s">
        <v>685</v>
      </c>
      <c r="H723" s="312">
        <v>1754</v>
      </c>
      <c r="I723" s="312" t="s">
        <v>684</v>
      </c>
      <c r="J723" s="312">
        <v>1920</v>
      </c>
      <c r="K723" s="312" t="s">
        <v>686</v>
      </c>
    </row>
    <row r="724" spans="1:11">
      <c r="A724" s="312" t="s">
        <v>1675</v>
      </c>
      <c r="B724" s="312" t="s">
        <v>1676</v>
      </c>
      <c r="C724" s="312" t="s">
        <v>105</v>
      </c>
      <c r="D724" s="312" t="s">
        <v>536</v>
      </c>
      <c r="E724" s="312" t="s">
        <v>684</v>
      </c>
      <c r="F724" s="312">
        <v>1750</v>
      </c>
      <c r="G724" s="312" t="s">
        <v>685</v>
      </c>
      <c r="H724" s="312">
        <v>1754</v>
      </c>
      <c r="I724" s="312" t="s">
        <v>684</v>
      </c>
      <c r="J724" s="312">
        <v>1920</v>
      </c>
      <c r="K724" s="312" t="s">
        <v>686</v>
      </c>
    </row>
    <row r="725" spans="1:11">
      <c r="A725" s="312" t="s">
        <v>1677</v>
      </c>
      <c r="B725" s="1" t="s">
        <v>1678</v>
      </c>
      <c r="C725" s="312" t="s">
        <v>105</v>
      </c>
      <c r="D725" s="312" t="s">
        <v>691</v>
      </c>
      <c r="E725" s="312" t="s">
        <v>684</v>
      </c>
      <c r="F725" s="312">
        <v>1750</v>
      </c>
      <c r="G725" s="312" t="s">
        <v>685</v>
      </c>
      <c r="H725" s="312">
        <v>1754</v>
      </c>
      <c r="I725" s="312" t="s">
        <v>684</v>
      </c>
      <c r="J725" s="312">
        <v>1920</v>
      </c>
      <c r="K725" s="312" t="s">
        <v>686</v>
      </c>
    </row>
    <row r="726" spans="1:11">
      <c r="A726" s="312" t="s">
        <v>1679</v>
      </c>
      <c r="B726" s="312" t="s">
        <v>1680</v>
      </c>
      <c r="C726" s="312" t="s">
        <v>105</v>
      </c>
      <c r="D726" s="312" t="s">
        <v>114</v>
      </c>
      <c r="E726" s="312" t="s">
        <v>107</v>
      </c>
      <c r="F726" s="312">
        <v>1825</v>
      </c>
      <c r="G726" s="312" t="s">
        <v>108</v>
      </c>
      <c r="H726" s="312">
        <v>1827</v>
      </c>
      <c r="I726" s="312" t="s">
        <v>107</v>
      </c>
      <c r="J726" s="312">
        <v>1913</v>
      </c>
      <c r="K726" s="312" t="s">
        <v>109</v>
      </c>
    </row>
    <row r="727" spans="1:11">
      <c r="A727" s="312" t="s">
        <v>1681</v>
      </c>
      <c r="B727" s="312" t="s">
        <v>1682</v>
      </c>
      <c r="C727" s="312" t="s">
        <v>105</v>
      </c>
      <c r="D727" s="312" t="s">
        <v>327</v>
      </c>
      <c r="E727" s="312" t="s">
        <v>466</v>
      </c>
      <c r="F727" s="312">
        <v>1796</v>
      </c>
      <c r="G727" s="312" t="s">
        <v>467</v>
      </c>
      <c r="H727" s="312">
        <v>1799</v>
      </c>
      <c r="I727" s="312" t="s">
        <v>466</v>
      </c>
      <c r="J727" s="312">
        <v>1918</v>
      </c>
      <c r="K727" s="312" t="s">
        <v>468</v>
      </c>
    </row>
    <row r="728" spans="1:11">
      <c r="A728" s="312" t="s">
        <v>1683</v>
      </c>
      <c r="B728" s="312" t="s">
        <v>1684</v>
      </c>
      <c r="C728" s="312" t="s">
        <v>105</v>
      </c>
      <c r="D728" s="312" t="s">
        <v>166</v>
      </c>
      <c r="E728" s="312" t="s">
        <v>167</v>
      </c>
      <c r="F728" s="312">
        <v>1705</v>
      </c>
      <c r="G728" s="312" t="s">
        <v>168</v>
      </c>
      <c r="H728" s="312">
        <v>1707</v>
      </c>
      <c r="I728" s="312" t="s">
        <v>167</v>
      </c>
      <c r="J728" s="312">
        <v>1899</v>
      </c>
      <c r="K728" s="312" t="s">
        <v>169</v>
      </c>
    </row>
    <row r="729" spans="1:11">
      <c r="A729" s="312" t="s">
        <v>1685</v>
      </c>
      <c r="B729" s="312" t="s">
        <v>1686</v>
      </c>
      <c r="C729" s="312" t="s">
        <v>105</v>
      </c>
      <c r="D729" s="312" t="s">
        <v>166</v>
      </c>
      <c r="E729" s="312" t="s">
        <v>167</v>
      </c>
      <c r="F729" s="312">
        <v>1705</v>
      </c>
      <c r="G729" s="312" t="s">
        <v>168</v>
      </c>
      <c r="H729" s="312">
        <v>1707</v>
      </c>
      <c r="I729" s="312" t="s">
        <v>167</v>
      </c>
      <c r="J729" s="312">
        <v>1899</v>
      </c>
      <c r="K729" s="312" t="s">
        <v>169</v>
      </c>
    </row>
    <row r="730" spans="1:11">
      <c r="A730" s="312" t="s">
        <v>1687</v>
      </c>
      <c r="B730" s="312" t="s">
        <v>1688</v>
      </c>
      <c r="C730" s="312" t="s">
        <v>105</v>
      </c>
      <c r="D730" s="312" t="s">
        <v>166</v>
      </c>
      <c r="E730" s="312" t="s">
        <v>167</v>
      </c>
      <c r="F730" s="312">
        <v>1705</v>
      </c>
      <c r="G730" s="312" t="s">
        <v>168</v>
      </c>
      <c r="H730" s="312">
        <v>1707</v>
      </c>
      <c r="I730" s="312" t="s">
        <v>167</v>
      </c>
      <c r="J730" s="312">
        <v>1899</v>
      </c>
      <c r="K730" s="312" t="s">
        <v>169</v>
      </c>
    </row>
    <row r="731" spans="1:11">
      <c r="A731" s="312" t="s">
        <v>1689</v>
      </c>
      <c r="B731" s="312" t="s">
        <v>1690</v>
      </c>
      <c r="C731" s="312" t="s">
        <v>105</v>
      </c>
      <c r="D731" s="312" t="s">
        <v>556</v>
      </c>
      <c r="E731" s="312" t="s">
        <v>107</v>
      </c>
      <c r="F731" s="312">
        <v>1825</v>
      </c>
      <c r="G731" s="312" t="s">
        <v>108</v>
      </c>
      <c r="H731" s="312">
        <v>1827</v>
      </c>
      <c r="I731" s="312" t="s">
        <v>107</v>
      </c>
      <c r="J731" s="312">
        <v>1913</v>
      </c>
      <c r="K731" s="312" t="s">
        <v>109</v>
      </c>
    </row>
    <row r="732" spans="1:11">
      <c r="A732" s="312" t="s">
        <v>1691</v>
      </c>
      <c r="B732" s="312" t="s">
        <v>1692</v>
      </c>
      <c r="C732" s="312" t="s">
        <v>105</v>
      </c>
      <c r="D732" s="312" t="s">
        <v>114</v>
      </c>
      <c r="E732" s="312" t="s">
        <v>107</v>
      </c>
      <c r="F732" s="312">
        <v>1825</v>
      </c>
      <c r="G732" s="312" t="s">
        <v>108</v>
      </c>
      <c r="H732" s="312">
        <v>1827</v>
      </c>
      <c r="I732" s="312" t="s">
        <v>107</v>
      </c>
      <c r="J732" s="312">
        <v>1913</v>
      </c>
      <c r="K732" s="312" t="s">
        <v>109</v>
      </c>
    </row>
    <row r="733" spans="1:11">
      <c r="A733" s="312" t="s">
        <v>1693</v>
      </c>
      <c r="B733" s="312" t="s">
        <v>1694</v>
      </c>
      <c r="C733" s="312" t="s">
        <v>105</v>
      </c>
      <c r="D733" s="312" t="s">
        <v>343</v>
      </c>
      <c r="E733" s="312" t="s">
        <v>167</v>
      </c>
      <c r="F733" s="312">
        <v>1705</v>
      </c>
      <c r="G733" s="312" t="s">
        <v>168</v>
      </c>
      <c r="H733" s="312">
        <v>1707</v>
      </c>
      <c r="I733" s="312" t="s">
        <v>167</v>
      </c>
      <c r="J733" s="312">
        <v>1899</v>
      </c>
      <c r="K733" s="312" t="s">
        <v>169</v>
      </c>
    </row>
    <row r="734" spans="1:11">
      <c r="A734" s="312" t="s">
        <v>1695</v>
      </c>
      <c r="B734" s="312" t="s">
        <v>1696</v>
      </c>
      <c r="C734" s="312" t="s">
        <v>105</v>
      </c>
      <c r="D734" s="312" t="s">
        <v>603</v>
      </c>
      <c r="E734" s="312" t="s">
        <v>107</v>
      </c>
      <c r="F734" s="312">
        <v>1825</v>
      </c>
      <c r="G734" s="312" t="s">
        <v>108</v>
      </c>
      <c r="H734" s="312">
        <v>1827</v>
      </c>
      <c r="I734" s="312" t="s">
        <v>107</v>
      </c>
      <c r="J734" s="312">
        <v>1913</v>
      </c>
      <c r="K734" s="312" t="s">
        <v>109</v>
      </c>
    </row>
    <row r="735" spans="1:11">
      <c r="A735" s="312" t="s">
        <v>1697</v>
      </c>
      <c r="B735" s="312" t="s">
        <v>1698</v>
      </c>
      <c r="C735" s="312" t="s">
        <v>105</v>
      </c>
      <c r="D735" s="312" t="s">
        <v>603</v>
      </c>
      <c r="E735" s="312" t="s">
        <v>107</v>
      </c>
      <c r="F735" s="312">
        <v>1825</v>
      </c>
      <c r="G735" s="312" t="s">
        <v>108</v>
      </c>
      <c r="H735" s="312">
        <v>1827</v>
      </c>
      <c r="I735" s="312" t="s">
        <v>107</v>
      </c>
      <c r="J735" s="312">
        <v>1913</v>
      </c>
      <c r="K735" s="312" t="s">
        <v>109</v>
      </c>
    </row>
    <row r="736" spans="1:11">
      <c r="A736" s="312" t="s">
        <v>1699</v>
      </c>
      <c r="B736" s="312" t="s">
        <v>1700</v>
      </c>
      <c r="C736" s="312" t="s">
        <v>105</v>
      </c>
      <c r="D736" s="312" t="s">
        <v>1701</v>
      </c>
      <c r="E736" s="312" t="s">
        <v>167</v>
      </c>
      <c r="F736" s="312">
        <v>1705</v>
      </c>
      <c r="G736" s="312" t="s">
        <v>168</v>
      </c>
      <c r="H736" s="312">
        <v>1707</v>
      </c>
      <c r="I736" s="312" t="s">
        <v>167</v>
      </c>
      <c r="J736" s="312">
        <v>1899</v>
      </c>
      <c r="K736" s="312" t="s">
        <v>169</v>
      </c>
    </row>
    <row r="737" spans="1:11">
      <c r="A737" s="312" t="s">
        <v>1702</v>
      </c>
      <c r="B737" s="312" t="s">
        <v>1703</v>
      </c>
      <c r="C737" s="312" t="s">
        <v>105</v>
      </c>
      <c r="D737" s="312" t="s">
        <v>891</v>
      </c>
      <c r="E737" s="312" t="s">
        <v>107</v>
      </c>
      <c r="F737" s="312">
        <v>1825</v>
      </c>
      <c r="G737" s="312" t="s">
        <v>108</v>
      </c>
      <c r="H737" s="312">
        <v>1827</v>
      </c>
      <c r="I737" s="312" t="s">
        <v>107</v>
      </c>
      <c r="J737" s="312">
        <v>1913</v>
      </c>
      <c r="K737" s="312" t="s">
        <v>109</v>
      </c>
    </row>
    <row r="738" spans="1:11">
      <c r="A738" s="312" t="s">
        <v>1704</v>
      </c>
      <c r="B738" s="312" t="s">
        <v>1705</v>
      </c>
      <c r="C738" s="312" t="s">
        <v>105</v>
      </c>
      <c r="D738" s="312" t="s">
        <v>891</v>
      </c>
      <c r="E738" s="312" t="s">
        <v>107</v>
      </c>
      <c r="F738" s="312">
        <v>1825</v>
      </c>
      <c r="G738" s="312" t="s">
        <v>108</v>
      </c>
      <c r="H738" s="312">
        <v>1827</v>
      </c>
      <c r="I738" s="312" t="s">
        <v>107</v>
      </c>
      <c r="J738" s="312">
        <v>1913</v>
      </c>
      <c r="K738" s="312" t="s">
        <v>109</v>
      </c>
    </row>
    <row r="739" spans="1:11">
      <c r="A739" s="312" t="s">
        <v>1706</v>
      </c>
      <c r="B739" s="312" t="s">
        <v>1707</v>
      </c>
      <c r="C739" s="312" t="s">
        <v>105</v>
      </c>
      <c r="D739" s="312" t="s">
        <v>891</v>
      </c>
      <c r="E739" s="312" t="s">
        <v>107</v>
      </c>
      <c r="F739" s="312">
        <v>1825</v>
      </c>
      <c r="G739" s="312" t="s">
        <v>108</v>
      </c>
      <c r="H739" s="312">
        <v>1827</v>
      </c>
      <c r="I739" s="312" t="s">
        <v>107</v>
      </c>
      <c r="J739" s="312">
        <v>1913</v>
      </c>
      <c r="K739" s="312" t="s">
        <v>109</v>
      </c>
    </row>
    <row r="740" spans="1:11">
      <c r="A740" s="312" t="s">
        <v>1708</v>
      </c>
      <c r="B740" s="312" t="s">
        <v>1709</v>
      </c>
      <c r="C740" s="312" t="s">
        <v>105</v>
      </c>
      <c r="D740" s="312" t="s">
        <v>1300</v>
      </c>
      <c r="E740" s="312" t="s">
        <v>167</v>
      </c>
      <c r="F740" s="312">
        <v>1705</v>
      </c>
      <c r="G740" s="312" t="s">
        <v>168</v>
      </c>
      <c r="H740" s="312">
        <v>1707</v>
      </c>
      <c r="I740" s="312" t="s">
        <v>167</v>
      </c>
      <c r="J740" s="312">
        <v>1899</v>
      </c>
      <c r="K740" s="312" t="s">
        <v>169</v>
      </c>
    </row>
    <row r="741" spans="1:11">
      <c r="A741" s="312" t="s">
        <v>1710</v>
      </c>
      <c r="B741" s="312" t="s">
        <v>1711</v>
      </c>
      <c r="C741" s="312" t="s">
        <v>105</v>
      </c>
      <c r="D741" s="312" t="s">
        <v>1402</v>
      </c>
      <c r="E741" s="312" t="s">
        <v>107</v>
      </c>
      <c r="F741" s="312">
        <v>1825</v>
      </c>
      <c r="G741" s="312" t="s">
        <v>108</v>
      </c>
      <c r="H741" s="312">
        <v>1827</v>
      </c>
      <c r="I741" s="312" t="s">
        <v>107</v>
      </c>
      <c r="J741" s="312">
        <v>1913</v>
      </c>
      <c r="K741" s="312" t="s">
        <v>109</v>
      </c>
    </row>
    <row r="742" spans="1:11">
      <c r="A742" s="312" t="s">
        <v>1712</v>
      </c>
      <c r="B742" s="312" t="s">
        <v>1713</v>
      </c>
      <c r="C742" s="312" t="s">
        <v>105</v>
      </c>
      <c r="D742" s="312" t="s">
        <v>1402</v>
      </c>
      <c r="E742" s="312" t="s">
        <v>107</v>
      </c>
      <c r="F742" s="312">
        <v>1825</v>
      </c>
      <c r="G742" s="312" t="s">
        <v>108</v>
      </c>
      <c r="H742" s="312">
        <v>1827</v>
      </c>
      <c r="I742" s="312" t="s">
        <v>107</v>
      </c>
      <c r="J742" s="312">
        <v>1913</v>
      </c>
      <c r="K742" s="312" t="s">
        <v>109</v>
      </c>
    </row>
    <row r="743" spans="1:11">
      <c r="A743" s="312" t="s">
        <v>1714</v>
      </c>
      <c r="B743" s="312" t="s">
        <v>1715</v>
      </c>
      <c r="C743" s="312" t="s">
        <v>105</v>
      </c>
      <c r="D743" s="312" t="s">
        <v>1402</v>
      </c>
      <c r="E743" s="312" t="s">
        <v>107</v>
      </c>
      <c r="F743" s="312">
        <v>1825</v>
      </c>
      <c r="G743" s="312" t="s">
        <v>108</v>
      </c>
      <c r="H743" s="312">
        <v>1827</v>
      </c>
      <c r="I743" s="312" t="s">
        <v>107</v>
      </c>
      <c r="J743" s="312">
        <v>1913</v>
      </c>
      <c r="K743" s="312" t="s">
        <v>109</v>
      </c>
    </row>
    <row r="744" spans="1:11">
      <c r="A744" s="312" t="s">
        <v>1716</v>
      </c>
      <c r="B744" s="1" t="s">
        <v>1717</v>
      </c>
      <c r="C744" s="312" t="s">
        <v>105</v>
      </c>
      <c r="D744" s="312" t="s">
        <v>1402</v>
      </c>
      <c r="E744" s="312" t="s">
        <v>167</v>
      </c>
      <c r="F744" s="312">
        <v>1705</v>
      </c>
      <c r="G744" s="312" t="s">
        <v>168</v>
      </c>
      <c r="H744" s="312">
        <v>1707</v>
      </c>
      <c r="I744" s="312" t="s">
        <v>167</v>
      </c>
      <c r="J744" s="312">
        <v>1899</v>
      </c>
      <c r="K744" s="312" t="s">
        <v>169</v>
      </c>
    </row>
    <row r="745" spans="1:11">
      <c r="A745" s="312" t="s">
        <v>1718</v>
      </c>
      <c r="B745" s="312" t="s">
        <v>1719</v>
      </c>
      <c r="C745" s="312" t="s">
        <v>105</v>
      </c>
      <c r="D745" s="312" t="s">
        <v>1402</v>
      </c>
      <c r="E745" s="312" t="s">
        <v>167</v>
      </c>
      <c r="F745" s="312">
        <v>1705</v>
      </c>
      <c r="G745" s="312" t="s">
        <v>168</v>
      </c>
      <c r="H745" s="312">
        <v>1707</v>
      </c>
      <c r="I745" s="312" t="s">
        <v>167</v>
      </c>
      <c r="J745" s="312">
        <v>1899</v>
      </c>
      <c r="K745" s="312" t="s">
        <v>169</v>
      </c>
    </row>
    <row r="746" spans="1:11">
      <c r="A746" s="312" t="s">
        <v>1720</v>
      </c>
      <c r="B746" s="312" t="s">
        <v>1721</v>
      </c>
      <c r="C746" s="312" t="s">
        <v>105</v>
      </c>
      <c r="D746" s="312" t="s">
        <v>1701</v>
      </c>
      <c r="E746" s="312" t="s">
        <v>107</v>
      </c>
      <c r="F746" s="312">
        <v>1825</v>
      </c>
      <c r="G746" s="312" t="s">
        <v>108</v>
      </c>
      <c r="H746" s="312">
        <v>1827</v>
      </c>
      <c r="I746" s="312" t="s">
        <v>107</v>
      </c>
      <c r="J746" s="312">
        <v>1913</v>
      </c>
      <c r="K746" s="312" t="s">
        <v>109</v>
      </c>
    </row>
    <row r="747" spans="1:11">
      <c r="A747" s="312" t="s">
        <v>1722</v>
      </c>
      <c r="B747" s="312" t="s">
        <v>1723</v>
      </c>
      <c r="C747" s="312" t="s">
        <v>105</v>
      </c>
      <c r="D747" s="312" t="s">
        <v>600</v>
      </c>
      <c r="E747" s="312" t="s">
        <v>696</v>
      </c>
      <c r="F747" s="312">
        <v>1736</v>
      </c>
      <c r="G747" s="312" t="s">
        <v>697</v>
      </c>
      <c r="H747" s="312">
        <v>1741</v>
      </c>
      <c r="I747" s="312" t="s">
        <v>696</v>
      </c>
      <c r="J747" s="312">
        <v>1929</v>
      </c>
      <c r="K747" s="312" t="s">
        <v>698</v>
      </c>
    </row>
    <row r="748" spans="1:11">
      <c r="A748" s="312" t="s">
        <v>1724</v>
      </c>
      <c r="B748" s="312" t="s">
        <v>1725</v>
      </c>
      <c r="C748" s="312" t="s">
        <v>105</v>
      </c>
      <c r="D748" s="312" t="s">
        <v>730</v>
      </c>
      <c r="E748" s="312" t="s">
        <v>696</v>
      </c>
      <c r="F748" s="312">
        <v>1736</v>
      </c>
      <c r="G748" s="312" t="s">
        <v>697</v>
      </c>
      <c r="H748" s="312">
        <v>1741</v>
      </c>
      <c r="I748" s="312" t="s">
        <v>696</v>
      </c>
      <c r="J748" s="312">
        <v>1929</v>
      </c>
      <c r="K748" s="312" t="s">
        <v>698</v>
      </c>
    </row>
    <row r="749" spans="1:11">
      <c r="A749" s="312" t="s">
        <v>1726</v>
      </c>
      <c r="B749" s="312" t="s">
        <v>1727</v>
      </c>
      <c r="C749" s="312" t="s">
        <v>105</v>
      </c>
      <c r="D749" s="312" t="s">
        <v>730</v>
      </c>
      <c r="E749" s="312" t="s">
        <v>696</v>
      </c>
      <c r="F749" s="312">
        <v>1736</v>
      </c>
      <c r="G749" s="312" t="s">
        <v>697</v>
      </c>
      <c r="H749" s="312">
        <v>1741</v>
      </c>
      <c r="I749" s="312" t="s">
        <v>696</v>
      </c>
      <c r="J749" s="312">
        <v>1929</v>
      </c>
      <c r="K749" s="312" t="s">
        <v>698</v>
      </c>
    </row>
    <row r="750" spans="1:11">
      <c r="A750" s="312" t="s">
        <v>1728</v>
      </c>
      <c r="B750" s="312" t="s">
        <v>1729</v>
      </c>
      <c r="C750" s="312" t="s">
        <v>105</v>
      </c>
      <c r="D750" s="312" t="s">
        <v>730</v>
      </c>
      <c r="E750" s="312" t="s">
        <v>696</v>
      </c>
      <c r="F750" s="312">
        <v>1736</v>
      </c>
      <c r="G750" s="312" t="s">
        <v>697</v>
      </c>
      <c r="H750" s="312">
        <v>1741</v>
      </c>
      <c r="I750" s="312" t="s">
        <v>696</v>
      </c>
      <c r="J750" s="312">
        <v>1929</v>
      </c>
      <c r="K750" s="312" t="s">
        <v>698</v>
      </c>
    </row>
    <row r="751" spans="1:11">
      <c r="A751" s="312" t="s">
        <v>1730</v>
      </c>
      <c r="B751" s="312" t="s">
        <v>1731</v>
      </c>
      <c r="C751" s="312" t="s">
        <v>105</v>
      </c>
      <c r="D751" s="312" t="s">
        <v>730</v>
      </c>
      <c r="E751" s="312" t="s">
        <v>696</v>
      </c>
      <c r="F751" s="312">
        <v>1736</v>
      </c>
      <c r="G751" s="312" t="s">
        <v>697</v>
      </c>
      <c r="H751" s="312">
        <v>1741</v>
      </c>
      <c r="I751" s="312" t="s">
        <v>696</v>
      </c>
      <c r="J751" s="312">
        <v>1929</v>
      </c>
      <c r="K751" s="312" t="s">
        <v>698</v>
      </c>
    </row>
    <row r="752" spans="1:11">
      <c r="A752" s="312" t="s">
        <v>1732</v>
      </c>
      <c r="B752" s="312" t="s">
        <v>1733</v>
      </c>
      <c r="C752" s="312" t="s">
        <v>105</v>
      </c>
      <c r="D752" s="312" t="s">
        <v>730</v>
      </c>
      <c r="E752" s="312" t="s">
        <v>696</v>
      </c>
      <c r="F752" s="312">
        <v>1736</v>
      </c>
      <c r="G752" s="312" t="s">
        <v>697</v>
      </c>
      <c r="H752" s="312">
        <v>1741</v>
      </c>
      <c r="I752" s="312" t="s">
        <v>696</v>
      </c>
      <c r="J752" s="312">
        <v>1929</v>
      </c>
      <c r="K752" s="312" t="s">
        <v>698</v>
      </c>
    </row>
    <row r="753" spans="1:11">
      <c r="A753" s="312" t="s">
        <v>1734</v>
      </c>
      <c r="B753" s="312" t="s">
        <v>1735</v>
      </c>
      <c r="C753" s="312" t="s">
        <v>105</v>
      </c>
      <c r="D753" s="312" t="s">
        <v>730</v>
      </c>
      <c r="E753" s="312" t="s">
        <v>696</v>
      </c>
      <c r="F753" s="312">
        <v>1736</v>
      </c>
      <c r="G753" s="312" t="s">
        <v>697</v>
      </c>
      <c r="H753" s="312">
        <v>1741</v>
      </c>
      <c r="I753" s="312" t="s">
        <v>696</v>
      </c>
      <c r="J753" s="312">
        <v>1929</v>
      </c>
      <c r="K753" s="312" t="s">
        <v>698</v>
      </c>
    </row>
    <row r="754" spans="1:11">
      <c r="A754" s="312" t="s">
        <v>1736</v>
      </c>
      <c r="B754" s="312" t="s">
        <v>1737</v>
      </c>
      <c r="C754" s="312" t="s">
        <v>105</v>
      </c>
      <c r="D754" s="312" t="s">
        <v>730</v>
      </c>
      <c r="E754" s="312" t="s">
        <v>696</v>
      </c>
      <c r="F754" s="312">
        <v>1736</v>
      </c>
      <c r="G754" s="312" t="s">
        <v>697</v>
      </c>
      <c r="H754" s="312">
        <v>1741</v>
      </c>
      <c r="I754" s="312" t="s">
        <v>696</v>
      </c>
      <c r="J754" s="312">
        <v>1929</v>
      </c>
      <c r="K754" s="312" t="s">
        <v>698</v>
      </c>
    </row>
    <row r="755" spans="1:11">
      <c r="A755" s="312" t="s">
        <v>1738</v>
      </c>
      <c r="B755" s="312" t="s">
        <v>1739</v>
      </c>
      <c r="C755" s="312" t="s">
        <v>105</v>
      </c>
      <c r="D755" s="312" t="s">
        <v>730</v>
      </c>
      <c r="E755" s="312" t="s">
        <v>696</v>
      </c>
      <c r="F755" s="312">
        <v>1736</v>
      </c>
      <c r="G755" s="312" t="s">
        <v>697</v>
      </c>
      <c r="H755" s="312">
        <v>1741</v>
      </c>
      <c r="I755" s="312" t="s">
        <v>696</v>
      </c>
      <c r="J755" s="312">
        <v>1929</v>
      </c>
      <c r="K755" s="312" t="s">
        <v>698</v>
      </c>
    </row>
    <row r="756" spans="1:11">
      <c r="A756" s="312" t="s">
        <v>1740</v>
      </c>
      <c r="B756" s="312" t="s">
        <v>1741</v>
      </c>
      <c r="C756" s="312" t="s">
        <v>105</v>
      </c>
      <c r="D756" s="312" t="s">
        <v>730</v>
      </c>
      <c r="E756" s="312" t="s">
        <v>696</v>
      </c>
      <c r="F756" s="312">
        <v>1736</v>
      </c>
      <c r="G756" s="312" t="s">
        <v>697</v>
      </c>
      <c r="H756" s="312">
        <v>1741</v>
      </c>
      <c r="I756" s="312" t="s">
        <v>696</v>
      </c>
      <c r="J756" s="312">
        <v>1929</v>
      </c>
      <c r="K756" s="312" t="s">
        <v>698</v>
      </c>
    </row>
    <row r="757" spans="1:11">
      <c r="A757" s="312" t="s">
        <v>1742</v>
      </c>
      <c r="B757" s="312" t="s">
        <v>1743</v>
      </c>
      <c r="C757" s="312" t="s">
        <v>105</v>
      </c>
      <c r="D757" s="312" t="s">
        <v>730</v>
      </c>
      <c r="E757" s="312" t="s">
        <v>696</v>
      </c>
      <c r="F757" s="312">
        <v>1736</v>
      </c>
      <c r="G757" s="312" t="s">
        <v>697</v>
      </c>
      <c r="H757" s="312">
        <v>1741</v>
      </c>
      <c r="I757" s="312" t="s">
        <v>696</v>
      </c>
      <c r="J757" s="312">
        <v>1929</v>
      </c>
      <c r="K757" s="312" t="s">
        <v>698</v>
      </c>
    </row>
    <row r="758" spans="1:11">
      <c r="A758" s="312" t="s">
        <v>1744</v>
      </c>
      <c r="B758" s="312" t="s">
        <v>1745</v>
      </c>
      <c r="C758" s="312" t="s">
        <v>105</v>
      </c>
      <c r="D758" s="312" t="s">
        <v>730</v>
      </c>
      <c r="E758" s="312" t="s">
        <v>696</v>
      </c>
      <c r="F758" s="312">
        <v>1736</v>
      </c>
      <c r="G758" s="312" t="s">
        <v>697</v>
      </c>
      <c r="H758" s="312">
        <v>1741</v>
      </c>
      <c r="I758" s="312" t="s">
        <v>696</v>
      </c>
      <c r="J758" s="312">
        <v>1929</v>
      </c>
      <c r="K758" s="312" t="s">
        <v>698</v>
      </c>
    </row>
    <row r="759" spans="1:11">
      <c r="A759" s="312" t="s">
        <v>1746</v>
      </c>
      <c r="B759" s="312" t="s">
        <v>1747</v>
      </c>
      <c r="C759" s="312" t="s">
        <v>105</v>
      </c>
      <c r="D759" s="312" t="s">
        <v>730</v>
      </c>
      <c r="E759" s="312" t="s">
        <v>696</v>
      </c>
      <c r="F759" s="312">
        <v>1736</v>
      </c>
      <c r="G759" s="312" t="s">
        <v>697</v>
      </c>
      <c r="H759" s="312">
        <v>1741</v>
      </c>
      <c r="I759" s="312" t="s">
        <v>696</v>
      </c>
      <c r="J759" s="312">
        <v>1929</v>
      </c>
      <c r="K759" s="312" t="s">
        <v>698</v>
      </c>
    </row>
    <row r="760" spans="1:11">
      <c r="A760" s="312" t="s">
        <v>1748</v>
      </c>
      <c r="B760" s="312" t="s">
        <v>1749</v>
      </c>
      <c r="C760" s="312" t="s">
        <v>105</v>
      </c>
      <c r="D760" s="312" t="s">
        <v>455</v>
      </c>
      <c r="E760" s="312" t="s">
        <v>107</v>
      </c>
      <c r="F760" s="312">
        <v>1825</v>
      </c>
      <c r="G760" s="312" t="s">
        <v>108</v>
      </c>
      <c r="H760" s="312">
        <v>1827</v>
      </c>
      <c r="I760" s="312" t="s">
        <v>107</v>
      </c>
      <c r="J760" s="312">
        <v>1913</v>
      </c>
      <c r="K760" s="312" t="s">
        <v>109</v>
      </c>
    </row>
    <row r="761" spans="1:11">
      <c r="A761" s="312" t="s">
        <v>1750</v>
      </c>
      <c r="B761" s="312" t="s">
        <v>1751</v>
      </c>
      <c r="C761" s="312" t="s">
        <v>105</v>
      </c>
      <c r="D761" s="312" t="s">
        <v>455</v>
      </c>
      <c r="E761" s="312" t="s">
        <v>107</v>
      </c>
      <c r="F761" s="312">
        <v>1825</v>
      </c>
      <c r="G761" s="312" t="s">
        <v>108</v>
      </c>
      <c r="H761" s="312">
        <v>1827</v>
      </c>
      <c r="I761" s="312" t="s">
        <v>107</v>
      </c>
      <c r="J761" s="312">
        <v>1913</v>
      </c>
      <c r="K761" s="312" t="s">
        <v>109</v>
      </c>
    </row>
    <row r="762" spans="1:11">
      <c r="A762" s="312" t="s">
        <v>1752</v>
      </c>
      <c r="B762" s="312" t="s">
        <v>1753</v>
      </c>
      <c r="C762" s="312" t="s">
        <v>105</v>
      </c>
      <c r="D762" s="312" t="s">
        <v>455</v>
      </c>
      <c r="E762" s="312" t="s">
        <v>107</v>
      </c>
      <c r="F762" s="312">
        <v>1825</v>
      </c>
      <c r="G762" s="312" t="s">
        <v>108</v>
      </c>
      <c r="H762" s="312">
        <v>1827</v>
      </c>
      <c r="I762" s="312" t="s">
        <v>107</v>
      </c>
      <c r="J762" s="312">
        <v>1913</v>
      </c>
      <c r="K762" s="312" t="s">
        <v>109</v>
      </c>
    </row>
    <row r="763" spans="1:11">
      <c r="A763" s="312" t="s">
        <v>1754</v>
      </c>
      <c r="B763" s="312" t="s">
        <v>1755</v>
      </c>
      <c r="C763" s="312" t="s">
        <v>105</v>
      </c>
      <c r="D763" s="312" t="s">
        <v>312</v>
      </c>
      <c r="E763" s="312" t="s">
        <v>107</v>
      </c>
      <c r="F763" s="312">
        <v>1825</v>
      </c>
      <c r="G763" s="312" t="s">
        <v>108</v>
      </c>
      <c r="H763" s="312">
        <v>1827</v>
      </c>
      <c r="I763" s="312" t="s">
        <v>107</v>
      </c>
      <c r="J763" s="312">
        <v>1913</v>
      </c>
      <c r="K763" s="312" t="s">
        <v>109</v>
      </c>
    </row>
    <row r="764" spans="1:11">
      <c r="A764" s="312" t="s">
        <v>1756</v>
      </c>
      <c r="B764" s="312" t="s">
        <v>1757</v>
      </c>
      <c r="C764" s="312" t="s">
        <v>105</v>
      </c>
      <c r="D764" s="312" t="s">
        <v>1758</v>
      </c>
      <c r="E764" s="312" t="s">
        <v>107</v>
      </c>
      <c r="F764" s="312">
        <v>1825</v>
      </c>
      <c r="G764" s="312" t="s">
        <v>108</v>
      </c>
      <c r="H764" s="312">
        <v>1827</v>
      </c>
      <c r="I764" s="312" t="s">
        <v>107</v>
      </c>
      <c r="J764" s="312">
        <v>1913</v>
      </c>
      <c r="K764" s="312" t="s">
        <v>109</v>
      </c>
    </row>
    <row r="765" spans="1:11">
      <c r="A765" s="312" t="s">
        <v>1759</v>
      </c>
      <c r="B765" s="312" t="s">
        <v>1760</v>
      </c>
      <c r="C765" s="312" t="s">
        <v>105</v>
      </c>
      <c r="D765" s="312" t="s">
        <v>455</v>
      </c>
      <c r="E765" s="312" t="s">
        <v>107</v>
      </c>
      <c r="F765" s="312">
        <v>1825</v>
      </c>
      <c r="G765" s="312" t="s">
        <v>108</v>
      </c>
      <c r="H765" s="312">
        <v>1827</v>
      </c>
      <c r="I765" s="312" t="s">
        <v>107</v>
      </c>
      <c r="J765" s="312">
        <v>1913</v>
      </c>
      <c r="K765" s="312" t="s">
        <v>109</v>
      </c>
    </row>
    <row r="766" spans="1:11">
      <c r="A766" s="312" t="s">
        <v>1761</v>
      </c>
      <c r="B766" s="312" t="s">
        <v>1762</v>
      </c>
      <c r="C766" s="312" t="s">
        <v>105</v>
      </c>
      <c r="D766" s="312" t="s">
        <v>114</v>
      </c>
      <c r="E766" s="312" t="s">
        <v>107</v>
      </c>
      <c r="F766" s="312">
        <v>1825</v>
      </c>
      <c r="G766" s="312" t="s">
        <v>108</v>
      </c>
      <c r="H766" s="312">
        <v>1827</v>
      </c>
      <c r="I766" s="312" t="s">
        <v>107</v>
      </c>
      <c r="J766" s="312">
        <v>1913</v>
      </c>
      <c r="K766" s="312" t="s">
        <v>109</v>
      </c>
    </row>
    <row r="767" spans="1:11">
      <c r="A767" s="312" t="s">
        <v>1763</v>
      </c>
      <c r="B767" s="312" t="s">
        <v>1764</v>
      </c>
      <c r="C767" s="312" t="s">
        <v>105</v>
      </c>
      <c r="D767" s="312" t="s">
        <v>312</v>
      </c>
      <c r="E767" s="312" t="s">
        <v>684</v>
      </c>
      <c r="F767" s="312">
        <v>1750</v>
      </c>
      <c r="G767" s="312" t="s">
        <v>685</v>
      </c>
      <c r="H767" s="312">
        <v>1754</v>
      </c>
      <c r="I767" s="312" t="s">
        <v>684</v>
      </c>
      <c r="J767" s="312">
        <v>1920</v>
      </c>
      <c r="K767" s="312" t="s">
        <v>686</v>
      </c>
    </row>
    <row r="768" spans="1:11">
      <c r="A768" s="312" t="s">
        <v>1765</v>
      </c>
      <c r="B768" s="312" t="s">
        <v>1766</v>
      </c>
      <c r="C768" s="312" t="s">
        <v>105</v>
      </c>
      <c r="D768" s="312" t="s">
        <v>891</v>
      </c>
      <c r="E768" s="312" t="s">
        <v>107</v>
      </c>
      <c r="F768" s="312">
        <v>1825</v>
      </c>
      <c r="G768" s="312" t="s">
        <v>108</v>
      </c>
      <c r="H768" s="312">
        <v>1827</v>
      </c>
      <c r="I768" s="312" t="s">
        <v>107</v>
      </c>
      <c r="J768" s="312">
        <v>1913</v>
      </c>
      <c r="K768" s="312" t="s">
        <v>109</v>
      </c>
    </row>
    <row r="769" spans="1:11">
      <c r="A769" s="312" t="s">
        <v>1767</v>
      </c>
      <c r="B769" s="312" t="s">
        <v>1768</v>
      </c>
      <c r="C769" s="312" t="s">
        <v>105</v>
      </c>
      <c r="D769" s="312" t="s">
        <v>252</v>
      </c>
      <c r="E769" s="312" t="s">
        <v>167</v>
      </c>
      <c r="F769" s="312">
        <v>1705</v>
      </c>
      <c r="G769" s="312" t="s">
        <v>168</v>
      </c>
      <c r="H769" s="312">
        <v>1707</v>
      </c>
      <c r="I769" s="312" t="s">
        <v>167</v>
      </c>
      <c r="J769" s="312">
        <v>1899</v>
      </c>
      <c r="K769" s="312" t="s">
        <v>169</v>
      </c>
    </row>
    <row r="770" spans="1:11">
      <c r="A770" s="312" t="s">
        <v>1769</v>
      </c>
      <c r="B770" s="312" t="s">
        <v>1770</v>
      </c>
      <c r="C770" s="312" t="s">
        <v>105</v>
      </c>
      <c r="D770" s="312" t="s">
        <v>1771</v>
      </c>
      <c r="E770" s="312" t="s">
        <v>167</v>
      </c>
      <c r="F770" s="312">
        <v>1705</v>
      </c>
      <c r="G770" s="312" t="s">
        <v>168</v>
      </c>
      <c r="H770" s="312">
        <v>1707</v>
      </c>
      <c r="I770" s="312" t="s">
        <v>167</v>
      </c>
      <c r="J770" s="312">
        <v>1899</v>
      </c>
      <c r="K770" s="312" t="s">
        <v>169</v>
      </c>
    </row>
    <row r="771" spans="1:11">
      <c r="A771" s="312" t="s">
        <v>1772</v>
      </c>
      <c r="B771" s="312" t="s">
        <v>1773</v>
      </c>
      <c r="C771" s="312" t="s">
        <v>105</v>
      </c>
      <c r="D771" s="312" t="s">
        <v>891</v>
      </c>
      <c r="E771" s="312" t="s">
        <v>107</v>
      </c>
      <c r="F771" s="312">
        <v>1825</v>
      </c>
      <c r="G771" s="312" t="s">
        <v>108</v>
      </c>
      <c r="H771" s="312">
        <v>1827</v>
      </c>
      <c r="I771" s="312" t="s">
        <v>107</v>
      </c>
      <c r="J771" s="312">
        <v>1913</v>
      </c>
      <c r="K771" s="312" t="s">
        <v>109</v>
      </c>
    </row>
    <row r="772" spans="1:11">
      <c r="A772" s="312" t="s">
        <v>1774</v>
      </c>
      <c r="B772" s="312" t="s">
        <v>1775</v>
      </c>
      <c r="C772" s="312" t="s">
        <v>105</v>
      </c>
      <c r="D772" s="312" t="s">
        <v>891</v>
      </c>
      <c r="E772" s="312" t="s">
        <v>107</v>
      </c>
      <c r="F772" s="312">
        <v>1825</v>
      </c>
      <c r="G772" s="312" t="s">
        <v>108</v>
      </c>
      <c r="H772" s="312">
        <v>1827</v>
      </c>
      <c r="I772" s="312" t="s">
        <v>107</v>
      </c>
      <c r="J772" s="312">
        <v>1913</v>
      </c>
      <c r="K772" s="312" t="s">
        <v>109</v>
      </c>
    </row>
    <row r="773" spans="1:11">
      <c r="A773" s="312" t="s">
        <v>1776</v>
      </c>
      <c r="B773" s="312" t="s">
        <v>1777</v>
      </c>
      <c r="C773" s="312" t="s">
        <v>105</v>
      </c>
      <c r="D773" s="312" t="s">
        <v>891</v>
      </c>
      <c r="E773" s="312" t="s">
        <v>107</v>
      </c>
      <c r="F773" s="312">
        <v>1825</v>
      </c>
      <c r="G773" s="312" t="s">
        <v>108</v>
      </c>
      <c r="H773" s="312">
        <v>1827</v>
      </c>
      <c r="I773" s="312" t="s">
        <v>107</v>
      </c>
      <c r="J773" s="312">
        <v>1913</v>
      </c>
      <c r="K773" s="312" t="s">
        <v>109</v>
      </c>
    </row>
    <row r="774" spans="1:11">
      <c r="A774" s="312" t="s">
        <v>1778</v>
      </c>
      <c r="B774" s="312" t="s">
        <v>1779</v>
      </c>
      <c r="C774" s="312" t="s">
        <v>105</v>
      </c>
      <c r="D774" s="312" t="s">
        <v>1288</v>
      </c>
      <c r="E774" s="312" t="s">
        <v>107</v>
      </c>
      <c r="F774" s="312">
        <v>1825</v>
      </c>
      <c r="G774" s="312" t="s">
        <v>108</v>
      </c>
      <c r="H774" s="312">
        <v>1827</v>
      </c>
      <c r="I774" s="312" t="s">
        <v>107</v>
      </c>
      <c r="J774" s="312">
        <v>1913</v>
      </c>
      <c r="K774" s="312" t="s">
        <v>109</v>
      </c>
    </row>
    <row r="775" spans="1:11">
      <c r="A775" s="312" t="s">
        <v>1780</v>
      </c>
      <c r="B775" s="312" t="s">
        <v>1781</v>
      </c>
      <c r="C775" s="312" t="s">
        <v>105</v>
      </c>
      <c r="D775" s="312" t="s">
        <v>1402</v>
      </c>
      <c r="E775" s="312" t="s">
        <v>107</v>
      </c>
      <c r="F775" s="312">
        <v>1825</v>
      </c>
      <c r="G775" s="312" t="s">
        <v>108</v>
      </c>
      <c r="H775" s="312">
        <v>1827</v>
      </c>
      <c r="I775" s="312" t="s">
        <v>107</v>
      </c>
      <c r="J775" s="312">
        <v>1913</v>
      </c>
      <c r="K775" s="312" t="s">
        <v>109</v>
      </c>
    </row>
    <row r="776" spans="1:11">
      <c r="A776" s="312" t="s">
        <v>1782</v>
      </c>
      <c r="B776" s="312" t="s">
        <v>1783</v>
      </c>
      <c r="C776" s="312" t="s">
        <v>105</v>
      </c>
      <c r="D776" s="312" t="s">
        <v>201</v>
      </c>
      <c r="E776" s="312" t="s">
        <v>107</v>
      </c>
      <c r="F776" s="312">
        <v>1825</v>
      </c>
      <c r="G776" s="312" t="s">
        <v>108</v>
      </c>
      <c r="H776" s="312">
        <v>1827</v>
      </c>
      <c r="I776" s="312" t="s">
        <v>107</v>
      </c>
      <c r="J776" s="312">
        <v>1913</v>
      </c>
      <c r="K776" s="312" t="s">
        <v>109</v>
      </c>
    </row>
    <row r="777" spans="1:11">
      <c r="A777" s="312" t="s">
        <v>1784</v>
      </c>
      <c r="B777" s="312" t="s">
        <v>1785</v>
      </c>
      <c r="C777" s="312" t="s">
        <v>105</v>
      </c>
      <c r="D777" s="312" t="s">
        <v>1407</v>
      </c>
      <c r="E777" s="312" t="s">
        <v>167</v>
      </c>
      <c r="F777" s="312">
        <v>1705</v>
      </c>
      <c r="G777" s="312" t="s">
        <v>168</v>
      </c>
      <c r="H777" s="312">
        <v>1707</v>
      </c>
      <c r="I777" s="312" t="s">
        <v>167</v>
      </c>
      <c r="J777" s="312">
        <v>1899</v>
      </c>
      <c r="K777" s="312" t="s">
        <v>169</v>
      </c>
    </row>
    <row r="778" spans="1:11">
      <c r="A778" s="312" t="s">
        <v>1786</v>
      </c>
      <c r="B778" s="312" t="s">
        <v>1787</v>
      </c>
      <c r="C778" s="312" t="s">
        <v>105</v>
      </c>
      <c r="D778" s="312" t="s">
        <v>352</v>
      </c>
      <c r="E778" s="312" t="s">
        <v>466</v>
      </c>
      <c r="F778" s="312">
        <v>1796</v>
      </c>
      <c r="G778" s="312" t="s">
        <v>467</v>
      </c>
      <c r="H778" s="312">
        <v>1799</v>
      </c>
      <c r="I778" s="312" t="s">
        <v>466</v>
      </c>
      <c r="J778" s="312">
        <v>1918</v>
      </c>
      <c r="K778" s="312" t="s">
        <v>468</v>
      </c>
    </row>
    <row r="779" spans="1:11">
      <c r="A779" s="312" t="s">
        <v>1788</v>
      </c>
      <c r="B779" s="312" t="s">
        <v>1789</v>
      </c>
      <c r="C779" s="312" t="s">
        <v>105</v>
      </c>
      <c r="D779" s="312" t="s">
        <v>1790</v>
      </c>
      <c r="E779" s="312" t="s">
        <v>107</v>
      </c>
      <c r="F779" s="312">
        <v>1825</v>
      </c>
      <c r="G779" s="312" t="s">
        <v>108</v>
      </c>
      <c r="H779" s="312">
        <v>1827</v>
      </c>
      <c r="I779" s="312" t="s">
        <v>107</v>
      </c>
      <c r="J779" s="312">
        <v>1913</v>
      </c>
      <c r="K779" s="312" t="s">
        <v>109</v>
      </c>
    </row>
    <row r="780" spans="1:11">
      <c r="A780" s="312" t="s">
        <v>1791</v>
      </c>
      <c r="B780" s="312" t="s">
        <v>1792</v>
      </c>
      <c r="C780" s="312" t="s">
        <v>105</v>
      </c>
      <c r="D780" s="312" t="s">
        <v>1790</v>
      </c>
      <c r="E780" s="312" t="s">
        <v>107</v>
      </c>
      <c r="F780" s="312">
        <v>1825</v>
      </c>
      <c r="G780" s="312" t="s">
        <v>108</v>
      </c>
      <c r="H780" s="312">
        <v>1827</v>
      </c>
      <c r="I780" s="312" t="s">
        <v>107</v>
      </c>
      <c r="J780" s="312">
        <v>1913</v>
      </c>
      <c r="K780" s="312" t="s">
        <v>109</v>
      </c>
    </row>
    <row r="781" spans="1:11">
      <c r="A781" s="312" t="s">
        <v>1793</v>
      </c>
      <c r="B781" s="312" t="s">
        <v>1794</v>
      </c>
      <c r="C781" s="312" t="s">
        <v>105</v>
      </c>
      <c r="D781" s="312" t="s">
        <v>576</v>
      </c>
      <c r="E781" s="312" t="s">
        <v>696</v>
      </c>
      <c r="F781" s="312">
        <v>1736</v>
      </c>
      <c r="G781" s="312" t="s">
        <v>697</v>
      </c>
      <c r="H781" s="312">
        <v>1741</v>
      </c>
      <c r="I781" s="312" t="s">
        <v>696</v>
      </c>
      <c r="J781" s="312">
        <v>1929</v>
      </c>
      <c r="K781" s="312" t="s">
        <v>698</v>
      </c>
    </row>
    <row r="782" spans="1:11">
      <c r="A782" s="312" t="s">
        <v>1795</v>
      </c>
      <c r="B782" s="312" t="s">
        <v>1796</v>
      </c>
      <c r="C782" s="312" t="s">
        <v>105</v>
      </c>
      <c r="D782" s="312" t="s">
        <v>507</v>
      </c>
      <c r="E782" s="312" t="s">
        <v>167</v>
      </c>
      <c r="F782" s="312">
        <v>1705</v>
      </c>
      <c r="G782" s="312" t="s">
        <v>168</v>
      </c>
      <c r="H782" s="312">
        <v>1707</v>
      </c>
      <c r="I782" s="312" t="s">
        <v>167</v>
      </c>
      <c r="J782" s="312">
        <v>1899</v>
      </c>
      <c r="K782" s="312" t="s">
        <v>169</v>
      </c>
    </row>
    <row r="783" spans="1:11">
      <c r="A783" s="312" t="s">
        <v>1797</v>
      </c>
      <c r="B783" s="312" t="s">
        <v>1798</v>
      </c>
      <c r="C783" s="312" t="s">
        <v>105</v>
      </c>
      <c r="D783" s="312" t="s">
        <v>1799</v>
      </c>
      <c r="E783" s="312" t="s">
        <v>696</v>
      </c>
      <c r="F783" s="312">
        <v>1736</v>
      </c>
      <c r="G783" s="312" t="s">
        <v>697</v>
      </c>
      <c r="H783" s="312">
        <v>1741</v>
      </c>
      <c r="I783" s="312" t="s">
        <v>696</v>
      </c>
      <c r="J783" s="312">
        <v>1929</v>
      </c>
      <c r="K783" s="312" t="s">
        <v>698</v>
      </c>
    </row>
    <row r="784" spans="1:11">
      <c r="A784" s="312" t="s">
        <v>1800</v>
      </c>
      <c r="B784" s="312" t="s">
        <v>1801</v>
      </c>
      <c r="C784" s="312" t="s">
        <v>105</v>
      </c>
      <c r="D784" s="312" t="s">
        <v>1802</v>
      </c>
      <c r="E784" s="312" t="s">
        <v>320</v>
      </c>
      <c r="F784" s="312">
        <v>1716</v>
      </c>
      <c r="G784" s="312" t="s">
        <v>321</v>
      </c>
      <c r="H784" s="312">
        <v>1725</v>
      </c>
      <c r="I784" s="312" t="s">
        <v>320</v>
      </c>
      <c r="J784" s="312">
        <v>1910</v>
      </c>
      <c r="K784" s="312" t="s">
        <v>322</v>
      </c>
    </row>
    <row r="785" spans="1:11">
      <c r="A785" s="312" t="s">
        <v>1803</v>
      </c>
      <c r="B785" s="312" t="s">
        <v>1804</v>
      </c>
      <c r="C785" s="312" t="s">
        <v>105</v>
      </c>
      <c r="D785" s="312" t="s">
        <v>1802</v>
      </c>
      <c r="E785" s="312" t="s">
        <v>320</v>
      </c>
      <c r="F785" s="312">
        <v>1716</v>
      </c>
      <c r="G785" s="312" t="s">
        <v>321</v>
      </c>
      <c r="H785" s="312">
        <v>1725</v>
      </c>
      <c r="I785" s="312" t="s">
        <v>320</v>
      </c>
      <c r="J785" s="312">
        <v>1910</v>
      </c>
      <c r="K785" s="312" t="s">
        <v>322</v>
      </c>
    </row>
    <row r="786" spans="1:11">
      <c r="A786" s="312" t="s">
        <v>1805</v>
      </c>
      <c r="B786" s="312" t="s">
        <v>1806</v>
      </c>
      <c r="C786" s="312" t="s">
        <v>105</v>
      </c>
      <c r="D786" s="312" t="s">
        <v>228</v>
      </c>
      <c r="E786" s="312" t="s">
        <v>167</v>
      </c>
      <c r="F786" s="312">
        <v>1705</v>
      </c>
      <c r="G786" s="312" t="s">
        <v>168</v>
      </c>
      <c r="H786" s="312">
        <v>1707</v>
      </c>
      <c r="I786" s="312" t="s">
        <v>167</v>
      </c>
      <c r="J786" s="312">
        <v>1899</v>
      </c>
      <c r="K786" s="312" t="s">
        <v>169</v>
      </c>
    </row>
    <row r="787" spans="1:11">
      <c r="A787" s="312" t="s">
        <v>1807</v>
      </c>
      <c r="B787" s="312" t="s">
        <v>1808</v>
      </c>
      <c r="C787" s="312" t="s">
        <v>105</v>
      </c>
      <c r="D787" s="312" t="s">
        <v>114</v>
      </c>
      <c r="E787" s="312" t="s">
        <v>107</v>
      </c>
      <c r="F787" s="312">
        <v>1825</v>
      </c>
      <c r="G787" s="312" t="s">
        <v>108</v>
      </c>
      <c r="H787" s="312">
        <v>1827</v>
      </c>
      <c r="I787" s="312" t="s">
        <v>107</v>
      </c>
      <c r="J787" s="312">
        <v>1913</v>
      </c>
      <c r="K787" s="312" t="s">
        <v>109</v>
      </c>
    </row>
    <row r="788" spans="1:11">
      <c r="A788" s="312" t="s">
        <v>1809</v>
      </c>
      <c r="B788" s="312" t="s">
        <v>1810</v>
      </c>
      <c r="C788" s="312" t="s">
        <v>105</v>
      </c>
      <c r="D788" s="312" t="s">
        <v>114</v>
      </c>
      <c r="E788" s="312" t="s">
        <v>107</v>
      </c>
      <c r="F788" s="312">
        <v>1825</v>
      </c>
      <c r="G788" s="312" t="s">
        <v>108</v>
      </c>
      <c r="H788" s="312">
        <v>1827</v>
      </c>
      <c r="I788" s="312" t="s">
        <v>107</v>
      </c>
      <c r="J788" s="312">
        <v>1913</v>
      </c>
      <c r="K788" s="312" t="s">
        <v>109</v>
      </c>
    </row>
    <row r="789" spans="1:11">
      <c r="A789" s="312" t="s">
        <v>1811</v>
      </c>
      <c r="B789" s="312" t="s">
        <v>1812</v>
      </c>
      <c r="C789" s="312" t="s">
        <v>105</v>
      </c>
      <c r="D789" s="312" t="s">
        <v>114</v>
      </c>
      <c r="E789" s="312" t="s">
        <v>107</v>
      </c>
      <c r="F789" s="312">
        <v>1825</v>
      </c>
      <c r="G789" s="312" t="s">
        <v>108</v>
      </c>
      <c r="H789" s="312">
        <v>1827</v>
      </c>
      <c r="I789" s="312" t="s">
        <v>107</v>
      </c>
      <c r="J789" s="312">
        <v>1913</v>
      </c>
      <c r="K789" s="312" t="s">
        <v>109</v>
      </c>
    </row>
    <row r="790" spans="1:11">
      <c r="A790" s="312" t="s">
        <v>1813</v>
      </c>
      <c r="B790" s="312" t="s">
        <v>1814</v>
      </c>
      <c r="C790" s="312" t="s">
        <v>105</v>
      </c>
      <c r="D790" s="312" t="s">
        <v>184</v>
      </c>
      <c r="E790" s="312" t="s">
        <v>107</v>
      </c>
      <c r="F790" s="312">
        <v>1825</v>
      </c>
      <c r="G790" s="312" t="s">
        <v>108</v>
      </c>
      <c r="H790" s="312">
        <v>1827</v>
      </c>
      <c r="I790" s="312" t="s">
        <v>107</v>
      </c>
      <c r="J790" s="312">
        <v>1913</v>
      </c>
      <c r="K790" s="312" t="s">
        <v>109</v>
      </c>
    </row>
    <row r="791" spans="1:11">
      <c r="A791" s="312" t="s">
        <v>1815</v>
      </c>
      <c r="B791" s="312" t="s">
        <v>1816</v>
      </c>
      <c r="C791" s="312" t="s">
        <v>105</v>
      </c>
      <c r="D791" s="312" t="s">
        <v>184</v>
      </c>
      <c r="E791" s="312" t="s">
        <v>107</v>
      </c>
      <c r="F791" s="312">
        <v>1825</v>
      </c>
      <c r="G791" s="312" t="s">
        <v>108</v>
      </c>
      <c r="H791" s="312">
        <v>1827</v>
      </c>
      <c r="I791" s="312" t="s">
        <v>107</v>
      </c>
      <c r="J791" s="312">
        <v>1913</v>
      </c>
      <c r="K791" s="312" t="s">
        <v>109</v>
      </c>
    </row>
    <row r="792" spans="1:11">
      <c r="A792" s="312" t="s">
        <v>1817</v>
      </c>
      <c r="B792" s="312" t="s">
        <v>1818</v>
      </c>
      <c r="C792" s="312" t="s">
        <v>105</v>
      </c>
      <c r="D792" s="312" t="s">
        <v>114</v>
      </c>
      <c r="E792" s="312" t="s">
        <v>107</v>
      </c>
      <c r="F792" s="312">
        <v>1825</v>
      </c>
      <c r="G792" s="312" t="s">
        <v>108</v>
      </c>
      <c r="H792" s="312">
        <v>1827</v>
      </c>
      <c r="I792" s="312" t="s">
        <v>107</v>
      </c>
      <c r="J792" s="312">
        <v>1913</v>
      </c>
      <c r="K792" s="312" t="s">
        <v>109</v>
      </c>
    </row>
    <row r="793" spans="1:11">
      <c r="A793" s="312" t="s">
        <v>1819</v>
      </c>
      <c r="B793" s="312" t="s">
        <v>1820</v>
      </c>
      <c r="C793" s="312" t="s">
        <v>105</v>
      </c>
      <c r="D793" s="312" t="s">
        <v>556</v>
      </c>
      <c r="E793" s="312" t="s">
        <v>107</v>
      </c>
      <c r="F793" s="312">
        <v>1825</v>
      </c>
      <c r="G793" s="312" t="s">
        <v>108</v>
      </c>
      <c r="H793" s="312">
        <v>1827</v>
      </c>
      <c r="I793" s="312" t="s">
        <v>107</v>
      </c>
      <c r="J793" s="312">
        <v>1913</v>
      </c>
      <c r="K793" s="312" t="s">
        <v>109</v>
      </c>
    </row>
    <row r="794" spans="1:11">
      <c r="A794" s="312" t="s">
        <v>1821</v>
      </c>
      <c r="B794" s="312" t="s">
        <v>1822</v>
      </c>
      <c r="C794" s="312" t="s">
        <v>105</v>
      </c>
      <c r="D794" s="312" t="s">
        <v>483</v>
      </c>
      <c r="E794" s="312" t="s">
        <v>167</v>
      </c>
      <c r="F794" s="312">
        <v>1705</v>
      </c>
      <c r="G794" s="312" t="s">
        <v>168</v>
      </c>
      <c r="H794" s="312">
        <v>1707</v>
      </c>
      <c r="I794" s="312" t="s">
        <v>167</v>
      </c>
      <c r="J794" s="312">
        <v>1899</v>
      </c>
      <c r="K794" s="312" t="s">
        <v>169</v>
      </c>
    </row>
    <row r="795" spans="1:11">
      <c r="A795" s="312" t="s">
        <v>1823</v>
      </c>
      <c r="B795" s="312" t="s">
        <v>1824</v>
      </c>
      <c r="C795" s="312" t="s">
        <v>105</v>
      </c>
      <c r="D795" s="312" t="s">
        <v>294</v>
      </c>
      <c r="E795" s="312" t="s">
        <v>107</v>
      </c>
      <c r="F795" s="312">
        <v>1825</v>
      </c>
      <c r="G795" s="312" t="s">
        <v>108</v>
      </c>
      <c r="H795" s="312">
        <v>1827</v>
      </c>
      <c r="I795" s="312" t="s">
        <v>107</v>
      </c>
      <c r="J795" s="312">
        <v>1913</v>
      </c>
      <c r="K795" s="312" t="s">
        <v>109</v>
      </c>
    </row>
    <row r="796" spans="1:11">
      <c r="A796" s="312" t="s">
        <v>1825</v>
      </c>
      <c r="B796" s="312" t="s">
        <v>1826</v>
      </c>
      <c r="C796" s="312" t="s">
        <v>105</v>
      </c>
      <c r="D796" s="312" t="s">
        <v>114</v>
      </c>
      <c r="E796" s="312" t="s">
        <v>107</v>
      </c>
      <c r="F796" s="312">
        <v>1825</v>
      </c>
      <c r="G796" s="312" t="s">
        <v>108</v>
      </c>
      <c r="H796" s="312">
        <v>1827</v>
      </c>
      <c r="I796" s="312" t="s">
        <v>107</v>
      </c>
      <c r="J796" s="312">
        <v>1913</v>
      </c>
      <c r="K796" s="312" t="s">
        <v>109</v>
      </c>
    </row>
    <row r="797" spans="1:11">
      <c r="A797" s="312" t="s">
        <v>1827</v>
      </c>
      <c r="B797" s="312" t="s">
        <v>1828</v>
      </c>
      <c r="C797" s="312" t="s">
        <v>105</v>
      </c>
      <c r="D797" s="312" t="s">
        <v>858</v>
      </c>
      <c r="E797" s="312" t="s">
        <v>107</v>
      </c>
      <c r="F797" s="312">
        <v>1825</v>
      </c>
      <c r="G797" s="312" t="s">
        <v>108</v>
      </c>
      <c r="H797" s="312">
        <v>1827</v>
      </c>
      <c r="I797" s="312" t="s">
        <v>107</v>
      </c>
      <c r="J797" s="312">
        <v>1913</v>
      </c>
      <c r="K797" s="312" t="s">
        <v>109</v>
      </c>
    </row>
    <row r="798" spans="1:11">
      <c r="A798" s="312" t="s">
        <v>1829</v>
      </c>
      <c r="B798" s="312" t="s">
        <v>1830</v>
      </c>
      <c r="C798" s="312" t="s">
        <v>105</v>
      </c>
      <c r="D798" s="312" t="s">
        <v>252</v>
      </c>
      <c r="E798" s="312" t="s">
        <v>167</v>
      </c>
      <c r="F798" s="312">
        <v>1705</v>
      </c>
      <c r="G798" s="312" t="s">
        <v>168</v>
      </c>
      <c r="H798" s="312">
        <v>1707</v>
      </c>
      <c r="I798" s="312" t="s">
        <v>167</v>
      </c>
      <c r="J798" s="312">
        <v>1899</v>
      </c>
      <c r="K798" s="312" t="s">
        <v>169</v>
      </c>
    </row>
    <row r="799" spans="1:11">
      <c r="A799" s="312" t="s">
        <v>1831</v>
      </c>
      <c r="B799" s="312" t="s">
        <v>1832</v>
      </c>
      <c r="C799" s="312" t="s">
        <v>105</v>
      </c>
      <c r="D799" s="312" t="s">
        <v>114</v>
      </c>
      <c r="E799" s="312" t="s">
        <v>107</v>
      </c>
      <c r="F799" s="312">
        <v>1825</v>
      </c>
      <c r="G799" s="312" t="s">
        <v>108</v>
      </c>
      <c r="H799" s="312">
        <v>1827</v>
      </c>
      <c r="I799" s="312" t="s">
        <v>107</v>
      </c>
      <c r="J799" s="312">
        <v>1913</v>
      </c>
      <c r="K799" s="312" t="s">
        <v>109</v>
      </c>
    </row>
    <row r="800" spans="1:11">
      <c r="A800" s="312" t="s">
        <v>1833</v>
      </c>
      <c r="B800" s="312" t="s">
        <v>1834</v>
      </c>
      <c r="C800" s="312" t="s">
        <v>105</v>
      </c>
      <c r="D800" s="312" t="s">
        <v>114</v>
      </c>
      <c r="E800" s="312" t="s">
        <v>107</v>
      </c>
      <c r="F800" s="312">
        <v>1825</v>
      </c>
      <c r="G800" s="312" t="s">
        <v>108</v>
      </c>
      <c r="H800" s="312">
        <v>1827</v>
      </c>
      <c r="I800" s="312" t="s">
        <v>107</v>
      </c>
      <c r="J800" s="312">
        <v>1913</v>
      </c>
      <c r="K800" s="312" t="s">
        <v>109</v>
      </c>
    </row>
    <row r="801" spans="1:11">
      <c r="A801" s="312" t="s">
        <v>1835</v>
      </c>
      <c r="B801" s="312" t="s">
        <v>1836</v>
      </c>
      <c r="C801" s="312" t="s">
        <v>105</v>
      </c>
      <c r="D801" s="312" t="s">
        <v>531</v>
      </c>
      <c r="E801" s="312" t="s">
        <v>107</v>
      </c>
      <c r="F801" s="312">
        <v>1825</v>
      </c>
      <c r="G801" s="312" t="s">
        <v>108</v>
      </c>
      <c r="H801" s="312">
        <v>1827</v>
      </c>
      <c r="I801" s="312" t="s">
        <v>107</v>
      </c>
      <c r="J801" s="312">
        <v>1913</v>
      </c>
      <c r="K801" s="312" t="s">
        <v>109</v>
      </c>
    </row>
    <row r="802" spans="1:11">
      <c r="A802" s="312" t="s">
        <v>1837</v>
      </c>
      <c r="B802" s="312" t="s">
        <v>1838</v>
      </c>
      <c r="C802" s="312" t="s">
        <v>105</v>
      </c>
      <c r="D802" s="312" t="s">
        <v>114</v>
      </c>
      <c r="E802" s="312" t="s">
        <v>107</v>
      </c>
      <c r="F802" s="312">
        <v>1825</v>
      </c>
      <c r="G802" s="312" t="s">
        <v>108</v>
      </c>
      <c r="H802" s="312">
        <v>1827</v>
      </c>
      <c r="I802" s="312" t="s">
        <v>107</v>
      </c>
      <c r="J802" s="312">
        <v>1913</v>
      </c>
      <c r="K802" s="312" t="s">
        <v>109</v>
      </c>
    </row>
    <row r="803" spans="1:11">
      <c r="A803" s="312" t="s">
        <v>1839</v>
      </c>
      <c r="B803" s="312" t="s">
        <v>1840</v>
      </c>
      <c r="C803" s="312" t="s">
        <v>105</v>
      </c>
      <c r="D803" s="312" t="s">
        <v>294</v>
      </c>
      <c r="E803" s="312" t="s">
        <v>107</v>
      </c>
      <c r="F803" s="312">
        <v>1825</v>
      </c>
      <c r="G803" s="312" t="s">
        <v>108</v>
      </c>
      <c r="H803" s="312">
        <v>1827</v>
      </c>
      <c r="I803" s="312" t="s">
        <v>107</v>
      </c>
      <c r="J803" s="312">
        <v>1913</v>
      </c>
      <c r="K803" s="312" t="s">
        <v>109</v>
      </c>
    </row>
    <row r="804" spans="1:11">
      <c r="A804" s="312" t="s">
        <v>1841</v>
      </c>
      <c r="B804" s="312" t="s">
        <v>1842</v>
      </c>
      <c r="C804" s="312" t="s">
        <v>105</v>
      </c>
      <c r="D804" s="312" t="s">
        <v>294</v>
      </c>
      <c r="E804" s="312" t="s">
        <v>107</v>
      </c>
      <c r="F804" s="312">
        <v>1825</v>
      </c>
      <c r="G804" s="312" t="s">
        <v>108</v>
      </c>
      <c r="H804" s="312">
        <v>1827</v>
      </c>
      <c r="I804" s="312" t="s">
        <v>107</v>
      </c>
      <c r="J804" s="312">
        <v>1913</v>
      </c>
      <c r="K804" s="312" t="s">
        <v>109</v>
      </c>
    </row>
    <row r="805" spans="1:11">
      <c r="A805" s="312" t="s">
        <v>1843</v>
      </c>
      <c r="B805" s="312" t="s">
        <v>1844</v>
      </c>
      <c r="C805" s="312" t="s">
        <v>105</v>
      </c>
      <c r="D805" s="312" t="s">
        <v>294</v>
      </c>
      <c r="E805" s="312" t="s">
        <v>107</v>
      </c>
      <c r="F805" s="312">
        <v>1825</v>
      </c>
      <c r="G805" s="312" t="s">
        <v>108</v>
      </c>
      <c r="H805" s="312">
        <v>1827</v>
      </c>
      <c r="I805" s="312" t="s">
        <v>107</v>
      </c>
      <c r="J805" s="312">
        <v>1913</v>
      </c>
      <c r="K805" s="312" t="s">
        <v>109</v>
      </c>
    </row>
    <row r="806" spans="1:11">
      <c r="A806" s="312" t="s">
        <v>1845</v>
      </c>
      <c r="B806" s="312" t="s">
        <v>1846</v>
      </c>
      <c r="C806" s="312" t="s">
        <v>105</v>
      </c>
      <c r="D806" s="312" t="s">
        <v>294</v>
      </c>
      <c r="E806" s="312" t="s">
        <v>107</v>
      </c>
      <c r="F806" s="312">
        <v>1825</v>
      </c>
      <c r="G806" s="312" t="s">
        <v>108</v>
      </c>
      <c r="H806" s="312">
        <v>1827</v>
      </c>
      <c r="I806" s="312" t="s">
        <v>107</v>
      </c>
      <c r="J806" s="312">
        <v>1913</v>
      </c>
      <c r="K806" s="312" t="s">
        <v>109</v>
      </c>
    </row>
    <row r="807" spans="1:11">
      <c r="A807" s="312" t="s">
        <v>1847</v>
      </c>
      <c r="B807" s="312" t="s">
        <v>1848</v>
      </c>
      <c r="C807" s="312" t="s">
        <v>105</v>
      </c>
      <c r="D807" s="312" t="s">
        <v>114</v>
      </c>
      <c r="E807" s="312" t="s">
        <v>107</v>
      </c>
      <c r="F807" s="312">
        <v>1825</v>
      </c>
      <c r="G807" s="312" t="s">
        <v>108</v>
      </c>
      <c r="H807" s="312">
        <v>1827</v>
      </c>
      <c r="I807" s="312" t="s">
        <v>107</v>
      </c>
      <c r="J807" s="312">
        <v>1913</v>
      </c>
      <c r="K807" s="312" t="s">
        <v>109</v>
      </c>
    </row>
    <row r="808" spans="1:11">
      <c r="A808" s="312" t="s">
        <v>1849</v>
      </c>
      <c r="B808" s="312" t="s">
        <v>1850</v>
      </c>
      <c r="C808" s="312" t="s">
        <v>105</v>
      </c>
      <c r="D808" s="312" t="s">
        <v>114</v>
      </c>
      <c r="E808" s="312" t="s">
        <v>107</v>
      </c>
      <c r="F808" s="312">
        <v>1825</v>
      </c>
      <c r="G808" s="312" t="s">
        <v>108</v>
      </c>
      <c r="H808" s="312">
        <v>1827</v>
      </c>
      <c r="I808" s="312" t="s">
        <v>107</v>
      </c>
      <c r="J808" s="312">
        <v>1913</v>
      </c>
      <c r="K808" s="312" t="s">
        <v>109</v>
      </c>
    </row>
    <row r="809" spans="1:11">
      <c r="A809" s="312" t="s">
        <v>1851</v>
      </c>
      <c r="B809" s="312" t="s">
        <v>1852</v>
      </c>
      <c r="C809" s="312" t="s">
        <v>105</v>
      </c>
      <c r="D809" s="312" t="s">
        <v>114</v>
      </c>
      <c r="E809" s="312" t="s">
        <v>107</v>
      </c>
      <c r="F809" s="312">
        <v>1825</v>
      </c>
      <c r="G809" s="312" t="s">
        <v>108</v>
      </c>
      <c r="H809" s="312">
        <v>1827</v>
      </c>
      <c r="I809" s="312" t="s">
        <v>107</v>
      </c>
      <c r="J809" s="312">
        <v>1913</v>
      </c>
      <c r="K809" s="312" t="s">
        <v>109</v>
      </c>
    </row>
    <row r="810" spans="1:11">
      <c r="A810" s="312" t="s">
        <v>1853</v>
      </c>
      <c r="B810" s="312" t="s">
        <v>1854</v>
      </c>
      <c r="C810" s="312" t="s">
        <v>105</v>
      </c>
      <c r="D810" s="312" t="s">
        <v>114</v>
      </c>
      <c r="E810" s="312" t="s">
        <v>107</v>
      </c>
      <c r="F810" s="312">
        <v>1825</v>
      </c>
      <c r="G810" s="312" t="s">
        <v>108</v>
      </c>
      <c r="H810" s="312">
        <v>1827</v>
      </c>
      <c r="I810" s="312" t="s">
        <v>107</v>
      </c>
      <c r="J810" s="312">
        <v>1913</v>
      </c>
      <c r="K810" s="312" t="s">
        <v>109</v>
      </c>
    </row>
    <row r="811" spans="1:11">
      <c r="A811" s="312" t="s">
        <v>1855</v>
      </c>
      <c r="B811" s="312" t="s">
        <v>1856</v>
      </c>
      <c r="C811" s="312" t="s">
        <v>105</v>
      </c>
      <c r="D811" s="312" t="s">
        <v>117</v>
      </c>
      <c r="E811" s="312" t="s">
        <v>107</v>
      </c>
      <c r="F811" s="312">
        <v>1825</v>
      </c>
      <c r="G811" s="312" t="s">
        <v>108</v>
      </c>
      <c r="H811" s="312">
        <v>1827</v>
      </c>
      <c r="I811" s="312" t="s">
        <v>107</v>
      </c>
      <c r="J811" s="312">
        <v>1913</v>
      </c>
      <c r="K811" s="312" t="s">
        <v>109</v>
      </c>
    </row>
    <row r="812" spans="1:11">
      <c r="A812" s="312" t="s">
        <v>1857</v>
      </c>
      <c r="B812" s="312" t="s">
        <v>1858</v>
      </c>
      <c r="C812" s="312" t="s">
        <v>105</v>
      </c>
      <c r="D812" s="312" t="s">
        <v>114</v>
      </c>
      <c r="E812" s="312" t="s">
        <v>107</v>
      </c>
      <c r="F812" s="312">
        <v>1825</v>
      </c>
      <c r="G812" s="312" t="s">
        <v>108</v>
      </c>
      <c r="H812" s="312">
        <v>1827</v>
      </c>
      <c r="I812" s="312" t="s">
        <v>107</v>
      </c>
      <c r="J812" s="312">
        <v>1913</v>
      </c>
      <c r="K812" s="312" t="s">
        <v>109</v>
      </c>
    </row>
    <row r="813" spans="1:11">
      <c r="A813" s="312" t="s">
        <v>1859</v>
      </c>
      <c r="B813" s="312" t="s">
        <v>1860</v>
      </c>
      <c r="C813" s="312" t="s">
        <v>105</v>
      </c>
      <c r="D813" s="312" t="s">
        <v>114</v>
      </c>
      <c r="E813" s="312" t="s">
        <v>107</v>
      </c>
      <c r="F813" s="312">
        <v>1825</v>
      </c>
      <c r="G813" s="312" t="s">
        <v>108</v>
      </c>
      <c r="H813" s="312">
        <v>1827</v>
      </c>
      <c r="I813" s="312" t="s">
        <v>107</v>
      </c>
      <c r="J813" s="312">
        <v>1913</v>
      </c>
      <c r="K813" s="312" t="s">
        <v>109</v>
      </c>
    </row>
    <row r="814" spans="1:11">
      <c r="A814" s="312" t="s">
        <v>1861</v>
      </c>
      <c r="B814" s="312" t="s">
        <v>1862</v>
      </c>
      <c r="C814" s="312" t="s">
        <v>105</v>
      </c>
      <c r="D814" s="312" t="s">
        <v>114</v>
      </c>
      <c r="E814" s="312" t="s">
        <v>107</v>
      </c>
      <c r="F814" s="312">
        <v>1825</v>
      </c>
      <c r="G814" s="312" t="s">
        <v>108</v>
      </c>
      <c r="H814" s="312">
        <v>1827</v>
      </c>
      <c r="I814" s="312" t="s">
        <v>107</v>
      </c>
      <c r="J814" s="312">
        <v>1913</v>
      </c>
      <c r="K814" s="312" t="s">
        <v>109</v>
      </c>
    </row>
    <row r="815" spans="1:11">
      <c r="A815" s="312" t="s">
        <v>1863</v>
      </c>
      <c r="B815" s="312" t="s">
        <v>1864</v>
      </c>
      <c r="C815" s="312" t="s">
        <v>105</v>
      </c>
      <c r="D815" s="312" t="s">
        <v>114</v>
      </c>
      <c r="E815" s="312" t="s">
        <v>107</v>
      </c>
      <c r="F815" s="312">
        <v>1825</v>
      </c>
      <c r="G815" s="312" t="s">
        <v>108</v>
      </c>
      <c r="H815" s="312">
        <v>1827</v>
      </c>
      <c r="I815" s="312" t="s">
        <v>107</v>
      </c>
      <c r="J815" s="312">
        <v>1913</v>
      </c>
      <c r="K815" s="312" t="s">
        <v>109</v>
      </c>
    </row>
    <row r="816" spans="1:11">
      <c r="A816" s="312" t="s">
        <v>1865</v>
      </c>
      <c r="B816" s="312" t="s">
        <v>1866</v>
      </c>
      <c r="C816" s="312" t="s">
        <v>105</v>
      </c>
      <c r="D816" s="312" t="s">
        <v>114</v>
      </c>
      <c r="E816" s="312" t="s">
        <v>107</v>
      </c>
      <c r="F816" s="312">
        <v>1825</v>
      </c>
      <c r="G816" s="312" t="s">
        <v>108</v>
      </c>
      <c r="H816" s="312">
        <v>1827</v>
      </c>
      <c r="I816" s="312" t="s">
        <v>107</v>
      </c>
      <c r="J816" s="312">
        <v>1913</v>
      </c>
      <c r="K816" s="312" t="s">
        <v>109</v>
      </c>
    </row>
    <row r="817" spans="1:11">
      <c r="A817" s="312" t="s">
        <v>1867</v>
      </c>
      <c r="B817" s="312" t="s">
        <v>1868</v>
      </c>
      <c r="C817" s="312" t="s">
        <v>105</v>
      </c>
      <c r="D817" s="312" t="s">
        <v>114</v>
      </c>
      <c r="E817" s="312" t="s">
        <v>107</v>
      </c>
      <c r="F817" s="312">
        <v>1825</v>
      </c>
      <c r="G817" s="312" t="s">
        <v>108</v>
      </c>
      <c r="H817" s="312">
        <v>1827</v>
      </c>
      <c r="I817" s="312" t="s">
        <v>107</v>
      </c>
      <c r="J817" s="312">
        <v>1913</v>
      </c>
      <c r="K817" s="312" t="s">
        <v>109</v>
      </c>
    </row>
    <row r="818" spans="1:11">
      <c r="A818" s="312" t="s">
        <v>1869</v>
      </c>
      <c r="B818" s="312" t="s">
        <v>1870</v>
      </c>
      <c r="C818" s="312" t="s">
        <v>105</v>
      </c>
      <c r="D818" s="312" t="s">
        <v>114</v>
      </c>
      <c r="E818" s="312" t="s">
        <v>107</v>
      </c>
      <c r="F818" s="312">
        <v>1825</v>
      </c>
      <c r="G818" s="312" t="s">
        <v>108</v>
      </c>
      <c r="H818" s="312">
        <v>1827</v>
      </c>
      <c r="I818" s="312" t="s">
        <v>107</v>
      </c>
      <c r="J818" s="312">
        <v>1913</v>
      </c>
      <c r="K818" s="312" t="s">
        <v>109</v>
      </c>
    </row>
    <row r="819" spans="1:11">
      <c r="A819" s="312" t="s">
        <v>1871</v>
      </c>
      <c r="B819" s="312" t="s">
        <v>1872</v>
      </c>
      <c r="C819" s="312" t="s">
        <v>105</v>
      </c>
      <c r="D819" s="312" t="s">
        <v>114</v>
      </c>
      <c r="E819" s="312" t="s">
        <v>107</v>
      </c>
      <c r="F819" s="312">
        <v>1825</v>
      </c>
      <c r="G819" s="312" t="s">
        <v>108</v>
      </c>
      <c r="H819" s="312">
        <v>1827</v>
      </c>
      <c r="I819" s="312" t="s">
        <v>107</v>
      </c>
      <c r="J819" s="312">
        <v>1913</v>
      </c>
      <c r="K819" s="312" t="s">
        <v>109</v>
      </c>
    </row>
    <row r="820" spans="1:11">
      <c r="A820" s="312" t="s">
        <v>1873</v>
      </c>
      <c r="B820" s="312" t="s">
        <v>1874</v>
      </c>
      <c r="C820" s="312" t="s">
        <v>105</v>
      </c>
      <c r="D820" s="312" t="s">
        <v>184</v>
      </c>
      <c r="E820" s="312" t="s">
        <v>107</v>
      </c>
      <c r="F820" s="312">
        <v>1825</v>
      </c>
      <c r="G820" s="312" t="s">
        <v>108</v>
      </c>
      <c r="H820" s="312">
        <v>1827</v>
      </c>
      <c r="I820" s="312" t="s">
        <v>107</v>
      </c>
      <c r="J820" s="312">
        <v>1913</v>
      </c>
      <c r="K820" s="312" t="s">
        <v>109</v>
      </c>
    </row>
    <row r="821" spans="1:11">
      <c r="A821" s="312" t="s">
        <v>1875</v>
      </c>
      <c r="B821" s="312" t="s">
        <v>1876</v>
      </c>
      <c r="C821" s="312" t="s">
        <v>105</v>
      </c>
      <c r="D821" s="312" t="s">
        <v>117</v>
      </c>
      <c r="E821" s="312" t="s">
        <v>107</v>
      </c>
      <c r="F821" s="312">
        <v>1825</v>
      </c>
      <c r="G821" s="312" t="s">
        <v>108</v>
      </c>
      <c r="H821" s="312">
        <v>1827</v>
      </c>
      <c r="I821" s="312" t="s">
        <v>107</v>
      </c>
      <c r="J821" s="312">
        <v>1913</v>
      </c>
      <c r="K821" s="312" t="s">
        <v>109</v>
      </c>
    </row>
    <row r="822" spans="1:11">
      <c r="A822" s="312" t="s">
        <v>1877</v>
      </c>
      <c r="B822" s="312" t="s">
        <v>1878</v>
      </c>
      <c r="C822" s="312" t="s">
        <v>105</v>
      </c>
      <c r="D822" s="312" t="s">
        <v>114</v>
      </c>
      <c r="E822" s="312" t="s">
        <v>107</v>
      </c>
      <c r="F822" s="312">
        <v>1825</v>
      </c>
      <c r="G822" s="312" t="s">
        <v>108</v>
      </c>
      <c r="H822" s="312">
        <v>1827</v>
      </c>
      <c r="I822" s="312" t="s">
        <v>107</v>
      </c>
      <c r="J822" s="312">
        <v>1913</v>
      </c>
      <c r="K822" s="312" t="s">
        <v>109</v>
      </c>
    </row>
    <row r="823" spans="1:11">
      <c r="A823" s="312" t="s">
        <v>1879</v>
      </c>
      <c r="B823" s="1" t="s">
        <v>1880</v>
      </c>
      <c r="C823" s="312" t="s">
        <v>105</v>
      </c>
      <c r="D823" s="312" t="s">
        <v>746</v>
      </c>
      <c r="E823" s="312" t="s">
        <v>107</v>
      </c>
      <c r="F823" s="312">
        <v>1825</v>
      </c>
      <c r="G823" s="312" t="s">
        <v>108</v>
      </c>
      <c r="H823" s="312">
        <v>1827</v>
      </c>
      <c r="I823" s="312" t="s">
        <v>107</v>
      </c>
      <c r="J823" s="312">
        <v>1913</v>
      </c>
      <c r="K823" s="312" t="s">
        <v>109</v>
      </c>
    </row>
    <row r="824" spans="1:11">
      <c r="A824" s="312" t="s">
        <v>1881</v>
      </c>
      <c r="B824" s="312" t="s">
        <v>1882</v>
      </c>
      <c r="C824" s="312" t="s">
        <v>105</v>
      </c>
      <c r="D824" s="312" t="s">
        <v>504</v>
      </c>
      <c r="E824" s="312" t="s">
        <v>167</v>
      </c>
      <c r="F824" s="312">
        <v>1705</v>
      </c>
      <c r="G824" s="312" t="s">
        <v>168</v>
      </c>
      <c r="H824" s="312">
        <v>1707</v>
      </c>
      <c r="I824" s="312" t="s">
        <v>167</v>
      </c>
      <c r="J824" s="312">
        <v>1899</v>
      </c>
      <c r="K824" s="312" t="s">
        <v>169</v>
      </c>
    </row>
    <row r="825" spans="1:11">
      <c r="A825" s="312" t="s">
        <v>1883</v>
      </c>
      <c r="B825" s="312" t="s">
        <v>1884</v>
      </c>
      <c r="C825" s="312" t="s">
        <v>105</v>
      </c>
      <c r="D825" s="312" t="s">
        <v>1885</v>
      </c>
      <c r="E825" s="312" t="s">
        <v>167</v>
      </c>
      <c r="F825" s="312">
        <v>1705</v>
      </c>
      <c r="G825" s="312" t="s">
        <v>168</v>
      </c>
      <c r="H825" s="312">
        <v>1707</v>
      </c>
      <c r="I825" s="312" t="s">
        <v>167</v>
      </c>
      <c r="J825" s="312">
        <v>1899</v>
      </c>
      <c r="K825" s="312" t="s">
        <v>169</v>
      </c>
    </row>
    <row r="826" spans="1:11">
      <c r="A826" s="312" t="s">
        <v>1886</v>
      </c>
      <c r="B826" s="312" t="s">
        <v>1887</v>
      </c>
      <c r="C826" s="312" t="s">
        <v>105</v>
      </c>
      <c r="D826" s="312" t="s">
        <v>556</v>
      </c>
      <c r="E826" s="312" t="s">
        <v>107</v>
      </c>
      <c r="F826" s="312">
        <v>1825</v>
      </c>
      <c r="G826" s="312" t="s">
        <v>108</v>
      </c>
      <c r="H826" s="312">
        <v>1827</v>
      </c>
      <c r="I826" s="312" t="s">
        <v>107</v>
      </c>
      <c r="J826" s="312">
        <v>1913</v>
      </c>
      <c r="K826" s="312" t="s">
        <v>109</v>
      </c>
    </row>
    <row r="827" spans="1:11">
      <c r="A827" s="312" t="s">
        <v>1888</v>
      </c>
      <c r="B827" s="312" t="s">
        <v>1889</v>
      </c>
      <c r="C827" s="312" t="s">
        <v>105</v>
      </c>
      <c r="D827" s="312" t="s">
        <v>343</v>
      </c>
      <c r="E827" s="312" t="s">
        <v>466</v>
      </c>
      <c r="F827" s="312">
        <v>1796</v>
      </c>
      <c r="G827" s="312" t="s">
        <v>467</v>
      </c>
      <c r="H827" s="312">
        <v>1799</v>
      </c>
      <c r="I827" s="312" t="s">
        <v>466</v>
      </c>
      <c r="J827" s="312">
        <v>1918</v>
      </c>
      <c r="K827" s="312" t="s">
        <v>468</v>
      </c>
    </row>
    <row r="828" spans="1:11">
      <c r="A828" s="312" t="s">
        <v>1890</v>
      </c>
      <c r="B828" s="312" t="s">
        <v>1891</v>
      </c>
      <c r="C828" s="312" t="s">
        <v>105</v>
      </c>
      <c r="D828" s="312" t="s">
        <v>865</v>
      </c>
      <c r="E828" s="312" t="s">
        <v>107</v>
      </c>
      <c r="F828" s="312">
        <v>1825</v>
      </c>
      <c r="G828" s="312" t="s">
        <v>108</v>
      </c>
      <c r="H828" s="312">
        <v>1827</v>
      </c>
      <c r="I828" s="312" t="s">
        <v>107</v>
      </c>
      <c r="J828" s="312">
        <v>1913</v>
      </c>
      <c r="K828" s="312" t="s">
        <v>109</v>
      </c>
    </row>
    <row r="829" spans="1:11">
      <c r="A829" s="312" t="s">
        <v>1892</v>
      </c>
      <c r="B829" s="312" t="s">
        <v>1893</v>
      </c>
      <c r="C829" s="312" t="s">
        <v>105</v>
      </c>
      <c r="D829" s="312" t="s">
        <v>739</v>
      </c>
      <c r="E829" s="312" t="s">
        <v>684</v>
      </c>
      <c r="F829" s="312">
        <v>1750</v>
      </c>
      <c r="G829" s="312" t="s">
        <v>685</v>
      </c>
      <c r="H829" s="312">
        <v>1754</v>
      </c>
      <c r="I829" s="312" t="s">
        <v>684</v>
      </c>
      <c r="J829" s="312">
        <v>1920</v>
      </c>
      <c r="K829" s="312" t="s">
        <v>686</v>
      </c>
    </row>
    <row r="830" spans="1:11">
      <c r="A830" s="312" t="s">
        <v>1894</v>
      </c>
      <c r="B830" s="312" t="s">
        <v>1895</v>
      </c>
      <c r="C830" s="312" t="s">
        <v>105</v>
      </c>
      <c r="D830" s="312" t="s">
        <v>739</v>
      </c>
      <c r="E830" s="312" t="s">
        <v>684</v>
      </c>
      <c r="F830" s="312">
        <v>1750</v>
      </c>
      <c r="G830" s="312" t="s">
        <v>685</v>
      </c>
      <c r="H830" s="312">
        <v>1754</v>
      </c>
      <c r="I830" s="312" t="s">
        <v>684</v>
      </c>
      <c r="J830" s="312">
        <v>1920</v>
      </c>
      <c r="K830" s="312" t="s">
        <v>686</v>
      </c>
    </row>
    <row r="831" spans="1:11">
      <c r="A831" s="312" t="s">
        <v>1896</v>
      </c>
      <c r="B831" s="312" t="s">
        <v>1897</v>
      </c>
      <c r="C831" s="312" t="s">
        <v>105</v>
      </c>
      <c r="D831" s="312" t="s">
        <v>166</v>
      </c>
      <c r="E831" s="312" t="s">
        <v>167</v>
      </c>
      <c r="F831" s="312">
        <v>1705</v>
      </c>
      <c r="G831" s="312" t="s">
        <v>168</v>
      </c>
      <c r="H831" s="312">
        <v>1707</v>
      </c>
      <c r="I831" s="312" t="s">
        <v>167</v>
      </c>
      <c r="J831" s="312">
        <v>1899</v>
      </c>
      <c r="K831" s="312" t="s">
        <v>169</v>
      </c>
    </row>
    <row r="832" spans="1:11">
      <c r="A832" s="312" t="s">
        <v>1898</v>
      </c>
      <c r="B832" s="312" t="s">
        <v>1899</v>
      </c>
      <c r="C832" s="312" t="s">
        <v>105</v>
      </c>
      <c r="D832" s="312" t="s">
        <v>166</v>
      </c>
      <c r="E832" s="312" t="s">
        <v>167</v>
      </c>
      <c r="F832" s="312">
        <v>1705</v>
      </c>
      <c r="G832" s="312" t="s">
        <v>168</v>
      </c>
      <c r="H832" s="312">
        <v>1707</v>
      </c>
      <c r="I832" s="312" t="s">
        <v>167</v>
      </c>
      <c r="J832" s="312">
        <v>1899</v>
      </c>
      <c r="K832" s="312" t="s">
        <v>169</v>
      </c>
    </row>
    <row r="833" spans="1:11">
      <c r="A833" s="312" t="s">
        <v>1900</v>
      </c>
      <c r="B833" s="312" t="s">
        <v>1901</v>
      </c>
      <c r="C833" s="312" t="s">
        <v>105</v>
      </c>
      <c r="D833" s="312" t="s">
        <v>166</v>
      </c>
      <c r="E833" s="312" t="s">
        <v>167</v>
      </c>
      <c r="F833" s="312">
        <v>1705</v>
      </c>
      <c r="G833" s="312" t="s">
        <v>168</v>
      </c>
      <c r="H833" s="312">
        <v>1707</v>
      </c>
      <c r="I833" s="312" t="s">
        <v>167</v>
      </c>
      <c r="J833" s="312">
        <v>1899</v>
      </c>
      <c r="K833" s="312" t="s">
        <v>169</v>
      </c>
    </row>
    <row r="834" spans="1:11">
      <c r="A834" s="312" t="s">
        <v>1902</v>
      </c>
      <c r="B834" s="312" t="s">
        <v>1903</v>
      </c>
      <c r="C834" s="312" t="s">
        <v>105</v>
      </c>
      <c r="D834" s="312" t="s">
        <v>711</v>
      </c>
      <c r="E834" s="312" t="s">
        <v>107</v>
      </c>
      <c r="F834" s="312">
        <v>1825</v>
      </c>
      <c r="G834" s="312" t="s">
        <v>108</v>
      </c>
      <c r="H834" s="312">
        <v>1827</v>
      </c>
      <c r="I834" s="312" t="s">
        <v>107</v>
      </c>
      <c r="J834" s="312">
        <v>1913</v>
      </c>
      <c r="K834" s="312" t="s">
        <v>109</v>
      </c>
    </row>
    <row r="835" spans="1:11">
      <c r="A835" s="312" t="s">
        <v>1904</v>
      </c>
      <c r="B835" s="312" t="s">
        <v>1905</v>
      </c>
      <c r="C835" s="312" t="s">
        <v>105</v>
      </c>
      <c r="D835" s="312" t="s">
        <v>711</v>
      </c>
      <c r="E835" s="312" t="s">
        <v>107</v>
      </c>
      <c r="F835" s="312">
        <v>1825</v>
      </c>
      <c r="G835" s="312" t="s">
        <v>108</v>
      </c>
      <c r="H835" s="312">
        <v>1827</v>
      </c>
      <c r="I835" s="312" t="s">
        <v>107</v>
      </c>
      <c r="J835" s="312">
        <v>1913</v>
      </c>
      <c r="K835" s="312" t="s">
        <v>109</v>
      </c>
    </row>
    <row r="836" spans="1:11">
      <c r="A836" s="312" t="s">
        <v>1906</v>
      </c>
      <c r="B836" s="312" t="s">
        <v>1907</v>
      </c>
      <c r="C836" s="312" t="s">
        <v>105</v>
      </c>
      <c r="D836" s="312" t="s">
        <v>711</v>
      </c>
      <c r="E836" s="312" t="s">
        <v>107</v>
      </c>
      <c r="F836" s="312">
        <v>1825</v>
      </c>
      <c r="G836" s="312" t="s">
        <v>108</v>
      </c>
      <c r="H836" s="312">
        <v>1827</v>
      </c>
      <c r="I836" s="312" t="s">
        <v>107</v>
      </c>
      <c r="J836" s="312">
        <v>1913</v>
      </c>
      <c r="K836" s="312" t="s">
        <v>109</v>
      </c>
    </row>
    <row r="837" spans="1:11">
      <c r="A837" s="312" t="s">
        <v>1908</v>
      </c>
      <c r="B837" s="312" t="s">
        <v>1909</v>
      </c>
      <c r="C837" s="312" t="s">
        <v>105</v>
      </c>
      <c r="D837" s="312" t="s">
        <v>1910</v>
      </c>
      <c r="E837" s="312" t="s">
        <v>167</v>
      </c>
      <c r="F837" s="312">
        <v>1705</v>
      </c>
      <c r="G837" s="312" t="s">
        <v>168</v>
      </c>
      <c r="H837" s="312">
        <v>1707</v>
      </c>
      <c r="I837" s="312" t="s">
        <v>167</v>
      </c>
      <c r="J837" s="312">
        <v>1899</v>
      </c>
      <c r="K837" s="312" t="s">
        <v>169</v>
      </c>
    </row>
    <row r="838" spans="1:11">
      <c r="A838" s="312" t="s">
        <v>1911</v>
      </c>
      <c r="B838" s="312" t="s">
        <v>1912</v>
      </c>
      <c r="C838" s="312" t="s">
        <v>105</v>
      </c>
      <c r="D838" s="312" t="s">
        <v>1910</v>
      </c>
      <c r="E838" s="312" t="s">
        <v>167</v>
      </c>
      <c r="F838" s="312">
        <v>1705</v>
      </c>
      <c r="G838" s="312" t="s">
        <v>168</v>
      </c>
      <c r="H838" s="312">
        <v>1707</v>
      </c>
      <c r="I838" s="312" t="s">
        <v>167</v>
      </c>
      <c r="J838" s="312">
        <v>1899</v>
      </c>
      <c r="K838" s="312" t="s">
        <v>169</v>
      </c>
    </row>
    <row r="839" spans="1:11">
      <c r="A839" s="312" t="s">
        <v>1913</v>
      </c>
      <c r="B839" s="312" t="s">
        <v>1914</v>
      </c>
      <c r="C839" s="312" t="s">
        <v>105</v>
      </c>
      <c r="D839" s="312" t="s">
        <v>216</v>
      </c>
      <c r="E839" s="312" t="s">
        <v>107</v>
      </c>
      <c r="F839" s="312">
        <v>1825</v>
      </c>
      <c r="G839" s="312" t="s">
        <v>108</v>
      </c>
      <c r="H839" s="312">
        <v>1827</v>
      </c>
      <c r="I839" s="312" t="s">
        <v>107</v>
      </c>
      <c r="J839" s="312">
        <v>1913</v>
      </c>
      <c r="K839" s="312" t="s">
        <v>109</v>
      </c>
    </row>
    <row r="840" spans="1:11">
      <c r="A840" s="312" t="s">
        <v>1915</v>
      </c>
      <c r="B840" s="312" t="s">
        <v>1916</v>
      </c>
      <c r="C840" s="312" t="s">
        <v>105</v>
      </c>
      <c r="D840" s="312" t="s">
        <v>252</v>
      </c>
      <c r="E840" s="312" t="s">
        <v>167</v>
      </c>
      <c r="F840" s="312">
        <v>1705</v>
      </c>
      <c r="G840" s="312" t="s">
        <v>168</v>
      </c>
      <c r="H840" s="312">
        <v>1707</v>
      </c>
      <c r="I840" s="312" t="s">
        <v>167</v>
      </c>
      <c r="J840" s="312">
        <v>1899</v>
      </c>
      <c r="K840" s="312" t="s">
        <v>169</v>
      </c>
    </row>
    <row r="841" spans="1:11">
      <c r="A841" s="312" t="s">
        <v>1917</v>
      </c>
      <c r="B841" s="312" t="s">
        <v>1918</v>
      </c>
      <c r="C841" s="312" t="s">
        <v>105</v>
      </c>
      <c r="D841" s="312" t="s">
        <v>746</v>
      </c>
      <c r="E841" s="312" t="s">
        <v>107</v>
      </c>
      <c r="F841" s="312">
        <v>1825</v>
      </c>
      <c r="G841" s="312" t="s">
        <v>108</v>
      </c>
      <c r="H841" s="312">
        <v>1827</v>
      </c>
      <c r="I841" s="312" t="s">
        <v>107</v>
      </c>
      <c r="J841" s="312">
        <v>1913</v>
      </c>
      <c r="K841" s="312" t="s">
        <v>109</v>
      </c>
    </row>
    <row r="842" spans="1:11">
      <c r="A842" s="312" t="s">
        <v>1919</v>
      </c>
      <c r="B842" s="312" t="s">
        <v>1920</v>
      </c>
      <c r="C842" s="312" t="s">
        <v>105</v>
      </c>
      <c r="D842" s="312" t="s">
        <v>746</v>
      </c>
      <c r="E842" s="312" t="s">
        <v>107</v>
      </c>
      <c r="F842" s="312">
        <v>1825</v>
      </c>
      <c r="G842" s="312" t="s">
        <v>108</v>
      </c>
      <c r="H842" s="312">
        <v>1827</v>
      </c>
      <c r="I842" s="312" t="s">
        <v>107</v>
      </c>
      <c r="J842" s="312">
        <v>1913</v>
      </c>
      <c r="K842" s="312" t="s">
        <v>109</v>
      </c>
    </row>
    <row r="843" spans="1:11">
      <c r="A843" s="312" t="s">
        <v>1921</v>
      </c>
      <c r="B843" s="312" t="s">
        <v>1922</v>
      </c>
      <c r="C843" s="312" t="s">
        <v>105</v>
      </c>
      <c r="D843" s="312" t="s">
        <v>746</v>
      </c>
      <c r="E843" s="312" t="s">
        <v>107</v>
      </c>
      <c r="F843" s="312">
        <v>1825</v>
      </c>
      <c r="G843" s="312" t="s">
        <v>108</v>
      </c>
      <c r="H843" s="312">
        <v>1827</v>
      </c>
      <c r="I843" s="312" t="s">
        <v>107</v>
      </c>
      <c r="J843" s="312">
        <v>1913</v>
      </c>
      <c r="K843" s="312" t="s">
        <v>109</v>
      </c>
    </row>
    <row r="844" spans="1:11">
      <c r="A844" s="312" t="s">
        <v>1923</v>
      </c>
      <c r="B844" s="312" t="s">
        <v>1924</v>
      </c>
      <c r="C844" s="312" t="s">
        <v>105</v>
      </c>
      <c r="D844" s="312" t="s">
        <v>746</v>
      </c>
      <c r="E844" s="312" t="s">
        <v>107</v>
      </c>
      <c r="F844" s="312">
        <v>1825</v>
      </c>
      <c r="G844" s="312" t="s">
        <v>108</v>
      </c>
      <c r="H844" s="312">
        <v>1827</v>
      </c>
      <c r="I844" s="312" t="s">
        <v>107</v>
      </c>
      <c r="J844" s="312">
        <v>1913</v>
      </c>
      <c r="K844" s="312" t="s">
        <v>109</v>
      </c>
    </row>
    <row r="845" spans="1:11">
      <c r="A845" s="312" t="s">
        <v>1925</v>
      </c>
      <c r="B845" s="312" t="s">
        <v>1926</v>
      </c>
      <c r="C845" s="312" t="s">
        <v>105</v>
      </c>
      <c r="D845" s="312" t="s">
        <v>891</v>
      </c>
      <c r="E845" s="312" t="s">
        <v>107</v>
      </c>
      <c r="F845" s="312">
        <v>1825</v>
      </c>
      <c r="G845" s="312" t="s">
        <v>108</v>
      </c>
      <c r="H845" s="312">
        <v>1827</v>
      </c>
      <c r="I845" s="312" t="s">
        <v>107</v>
      </c>
      <c r="J845" s="312">
        <v>1913</v>
      </c>
      <c r="K845" s="312" t="s">
        <v>109</v>
      </c>
    </row>
    <row r="846" spans="1:11">
      <c r="A846" s="312" t="s">
        <v>1927</v>
      </c>
      <c r="B846" s="312" t="s">
        <v>1928</v>
      </c>
      <c r="C846" s="312" t="s">
        <v>105</v>
      </c>
      <c r="D846" s="312" t="s">
        <v>114</v>
      </c>
      <c r="E846" s="312" t="s">
        <v>107</v>
      </c>
      <c r="F846" s="312">
        <v>1825</v>
      </c>
      <c r="G846" s="312" t="s">
        <v>108</v>
      </c>
      <c r="H846" s="312">
        <v>1827</v>
      </c>
      <c r="I846" s="312" t="s">
        <v>107</v>
      </c>
      <c r="J846" s="312">
        <v>1913</v>
      </c>
      <c r="K846" s="312" t="s">
        <v>109</v>
      </c>
    </row>
    <row r="847" spans="1:11">
      <c r="A847" s="312" t="s">
        <v>1929</v>
      </c>
      <c r="B847" s="312" t="s">
        <v>1930</v>
      </c>
      <c r="C847" s="312" t="s">
        <v>105</v>
      </c>
      <c r="D847" s="312" t="s">
        <v>117</v>
      </c>
      <c r="E847" s="312" t="s">
        <v>107</v>
      </c>
      <c r="F847" s="312">
        <v>1825</v>
      </c>
      <c r="G847" s="312" t="s">
        <v>108</v>
      </c>
      <c r="H847" s="312">
        <v>1827</v>
      </c>
      <c r="I847" s="312" t="s">
        <v>107</v>
      </c>
      <c r="J847" s="312">
        <v>1913</v>
      </c>
      <c r="K847" s="312" t="s">
        <v>109</v>
      </c>
    </row>
    <row r="848" spans="1:11">
      <c r="A848" s="312" t="s">
        <v>1931</v>
      </c>
      <c r="B848" s="312" t="s">
        <v>1932</v>
      </c>
      <c r="C848" s="312" t="s">
        <v>105</v>
      </c>
      <c r="D848" s="312" t="s">
        <v>114</v>
      </c>
      <c r="E848" s="312" t="s">
        <v>107</v>
      </c>
      <c r="F848" s="312">
        <v>1825</v>
      </c>
      <c r="G848" s="312" t="s">
        <v>108</v>
      </c>
      <c r="H848" s="312">
        <v>1827</v>
      </c>
      <c r="I848" s="312" t="s">
        <v>107</v>
      </c>
      <c r="J848" s="312">
        <v>1913</v>
      </c>
      <c r="K848" s="312" t="s">
        <v>109</v>
      </c>
    </row>
    <row r="849" spans="1:11">
      <c r="A849" s="312" t="s">
        <v>1933</v>
      </c>
      <c r="B849" s="312" t="s">
        <v>1934</v>
      </c>
      <c r="C849" s="312" t="s">
        <v>105</v>
      </c>
      <c r="D849" s="312" t="s">
        <v>294</v>
      </c>
      <c r="E849" s="312" t="s">
        <v>107</v>
      </c>
      <c r="F849" s="312">
        <v>1825</v>
      </c>
      <c r="G849" s="312" t="s">
        <v>108</v>
      </c>
      <c r="H849" s="312">
        <v>1827</v>
      </c>
      <c r="I849" s="312" t="s">
        <v>107</v>
      </c>
      <c r="J849" s="312">
        <v>1913</v>
      </c>
      <c r="K849" s="312" t="s">
        <v>109</v>
      </c>
    </row>
    <row r="850" spans="1:11">
      <c r="A850" s="312" t="s">
        <v>1935</v>
      </c>
      <c r="B850" s="312" t="s">
        <v>1936</v>
      </c>
      <c r="C850" s="312" t="s">
        <v>105</v>
      </c>
      <c r="D850" s="312" t="s">
        <v>587</v>
      </c>
      <c r="E850" s="312" t="s">
        <v>107</v>
      </c>
      <c r="F850" s="312">
        <v>1825</v>
      </c>
      <c r="G850" s="312" t="s">
        <v>108</v>
      </c>
      <c r="H850" s="312">
        <v>1827</v>
      </c>
      <c r="I850" s="312" t="s">
        <v>107</v>
      </c>
      <c r="J850" s="312">
        <v>1913</v>
      </c>
      <c r="K850" s="312" t="s">
        <v>109</v>
      </c>
    </row>
    <row r="851" spans="1:11">
      <c r="A851" s="312" t="s">
        <v>1937</v>
      </c>
      <c r="B851" s="312" t="s">
        <v>1938</v>
      </c>
      <c r="C851" s="312" t="s">
        <v>105</v>
      </c>
      <c r="D851" s="312" t="s">
        <v>587</v>
      </c>
      <c r="E851" s="312" t="s">
        <v>107</v>
      </c>
      <c r="F851" s="312">
        <v>1825</v>
      </c>
      <c r="G851" s="312" t="s">
        <v>108</v>
      </c>
      <c r="H851" s="312">
        <v>1827</v>
      </c>
      <c r="I851" s="312" t="s">
        <v>107</v>
      </c>
      <c r="J851" s="312">
        <v>1913</v>
      </c>
      <c r="K851" s="312" t="s">
        <v>109</v>
      </c>
    </row>
    <row r="852" spans="1:11">
      <c r="A852" s="312" t="s">
        <v>1939</v>
      </c>
      <c r="B852" s="312" t="s">
        <v>1940</v>
      </c>
      <c r="C852" s="312" t="s">
        <v>105</v>
      </c>
      <c r="D852" s="312" t="s">
        <v>576</v>
      </c>
      <c r="E852" s="312" t="s">
        <v>107</v>
      </c>
      <c r="F852" s="312">
        <v>1825</v>
      </c>
      <c r="G852" s="312" t="s">
        <v>108</v>
      </c>
      <c r="H852" s="312">
        <v>1827</v>
      </c>
      <c r="I852" s="312" t="s">
        <v>107</v>
      </c>
      <c r="J852" s="312">
        <v>1913</v>
      </c>
      <c r="K852" s="312" t="s">
        <v>109</v>
      </c>
    </row>
    <row r="853" spans="1:11">
      <c r="A853" s="312" t="s">
        <v>1941</v>
      </c>
      <c r="B853" s="312" t="s">
        <v>1942</v>
      </c>
      <c r="C853" s="312" t="s">
        <v>105</v>
      </c>
      <c r="D853" s="312" t="s">
        <v>573</v>
      </c>
      <c r="E853" s="312" t="s">
        <v>107</v>
      </c>
      <c r="F853" s="312">
        <v>1825</v>
      </c>
      <c r="G853" s="312" t="s">
        <v>108</v>
      </c>
      <c r="H853" s="312">
        <v>1827</v>
      </c>
      <c r="I853" s="312" t="s">
        <v>107</v>
      </c>
      <c r="J853" s="312">
        <v>1913</v>
      </c>
      <c r="K853" s="312" t="s">
        <v>109</v>
      </c>
    </row>
    <row r="854" spans="1:11">
      <c r="A854" s="312" t="s">
        <v>1943</v>
      </c>
      <c r="B854" s="312" t="s">
        <v>1944</v>
      </c>
      <c r="C854" s="312" t="s">
        <v>105</v>
      </c>
      <c r="D854" s="312" t="s">
        <v>573</v>
      </c>
      <c r="E854" s="312" t="s">
        <v>107</v>
      </c>
      <c r="F854" s="312">
        <v>1825</v>
      </c>
      <c r="G854" s="312" t="s">
        <v>108</v>
      </c>
      <c r="H854" s="312">
        <v>1827</v>
      </c>
      <c r="I854" s="312" t="s">
        <v>107</v>
      </c>
      <c r="J854" s="312">
        <v>1913</v>
      </c>
      <c r="K854" s="312" t="s">
        <v>109</v>
      </c>
    </row>
    <row r="855" spans="1:11">
      <c r="A855" s="312" t="s">
        <v>1945</v>
      </c>
      <c r="B855" s="312" t="s">
        <v>1946</v>
      </c>
      <c r="C855" s="312" t="s">
        <v>105</v>
      </c>
      <c r="D855" s="312" t="s">
        <v>438</v>
      </c>
      <c r="E855" s="312" t="s">
        <v>107</v>
      </c>
      <c r="F855" s="312">
        <v>1825</v>
      </c>
      <c r="G855" s="312" t="s">
        <v>108</v>
      </c>
      <c r="H855" s="312">
        <v>1827</v>
      </c>
      <c r="I855" s="312" t="s">
        <v>107</v>
      </c>
      <c r="J855" s="312">
        <v>1913</v>
      </c>
      <c r="K855" s="312" t="s">
        <v>109</v>
      </c>
    </row>
    <row r="856" spans="1:11">
      <c r="A856" s="312" t="s">
        <v>1947</v>
      </c>
      <c r="B856" s="312" t="s">
        <v>1948</v>
      </c>
      <c r="C856" s="312" t="s">
        <v>105</v>
      </c>
      <c r="D856" s="312" t="s">
        <v>517</v>
      </c>
      <c r="E856" s="312" t="s">
        <v>107</v>
      </c>
      <c r="F856" s="312">
        <v>1825</v>
      </c>
      <c r="G856" s="312" t="s">
        <v>108</v>
      </c>
      <c r="H856" s="312">
        <v>1827</v>
      </c>
      <c r="I856" s="312" t="s">
        <v>107</v>
      </c>
      <c r="J856" s="312">
        <v>1913</v>
      </c>
      <c r="K856" s="312" t="s">
        <v>109</v>
      </c>
    </row>
    <row r="857" spans="1:11">
      <c r="A857" s="312" t="s">
        <v>1949</v>
      </c>
      <c r="B857" s="312" t="s">
        <v>1950</v>
      </c>
      <c r="C857" s="312" t="s">
        <v>105</v>
      </c>
      <c r="D857" s="312" t="s">
        <v>483</v>
      </c>
      <c r="E857" s="312" t="s">
        <v>107</v>
      </c>
      <c r="F857" s="312">
        <v>1825</v>
      </c>
      <c r="G857" s="312" t="s">
        <v>108</v>
      </c>
      <c r="H857" s="312">
        <v>1827</v>
      </c>
      <c r="I857" s="312" t="s">
        <v>107</v>
      </c>
      <c r="J857" s="312">
        <v>1913</v>
      </c>
      <c r="K857" s="312" t="s">
        <v>109</v>
      </c>
    </row>
    <row r="858" spans="1:11">
      <c r="A858" s="312" t="s">
        <v>1951</v>
      </c>
      <c r="B858" s="312" t="s">
        <v>1952</v>
      </c>
      <c r="C858" s="312" t="s">
        <v>105</v>
      </c>
      <c r="D858" s="312" t="s">
        <v>1953</v>
      </c>
      <c r="E858" s="312" t="s">
        <v>107</v>
      </c>
      <c r="F858" s="312">
        <v>1825</v>
      </c>
      <c r="G858" s="312" t="s">
        <v>108</v>
      </c>
      <c r="H858" s="312">
        <v>1827</v>
      </c>
      <c r="I858" s="312" t="s">
        <v>107</v>
      </c>
      <c r="J858" s="312">
        <v>1913</v>
      </c>
      <c r="K858" s="312" t="s">
        <v>109</v>
      </c>
    </row>
    <row r="859" spans="1:11">
      <c r="A859" s="312" t="s">
        <v>1954</v>
      </c>
      <c r="B859" s="312" t="s">
        <v>1955</v>
      </c>
      <c r="C859" s="312" t="s">
        <v>105</v>
      </c>
      <c r="D859" s="312" t="s">
        <v>603</v>
      </c>
      <c r="E859" s="312" t="s">
        <v>107</v>
      </c>
      <c r="F859" s="312">
        <v>1825</v>
      </c>
      <c r="G859" s="312" t="s">
        <v>108</v>
      </c>
      <c r="H859" s="312">
        <v>1827</v>
      </c>
      <c r="I859" s="312" t="s">
        <v>107</v>
      </c>
      <c r="J859" s="312">
        <v>1913</v>
      </c>
      <c r="K859" s="312" t="s">
        <v>109</v>
      </c>
    </row>
    <row r="860" spans="1:11">
      <c r="A860" s="312" t="s">
        <v>1956</v>
      </c>
      <c r="B860" s="1" t="s">
        <v>1957</v>
      </c>
      <c r="C860" s="312" t="s">
        <v>105</v>
      </c>
      <c r="D860" s="312" t="s">
        <v>603</v>
      </c>
      <c r="E860" s="312" t="s">
        <v>107</v>
      </c>
      <c r="F860" s="312">
        <v>1825</v>
      </c>
      <c r="G860" s="312" t="s">
        <v>108</v>
      </c>
      <c r="H860" s="312">
        <v>1827</v>
      </c>
      <c r="I860" s="312" t="s">
        <v>107</v>
      </c>
      <c r="J860" s="312">
        <v>1913</v>
      </c>
      <c r="K860" s="312" t="s">
        <v>109</v>
      </c>
    </row>
    <row r="861" spans="1:11">
      <c r="A861" s="312" t="s">
        <v>1958</v>
      </c>
      <c r="B861" s="312" t="s">
        <v>1959</v>
      </c>
      <c r="C861" s="312" t="s">
        <v>105</v>
      </c>
      <c r="D861" s="312" t="s">
        <v>603</v>
      </c>
      <c r="E861" s="312" t="s">
        <v>107</v>
      </c>
      <c r="F861" s="312">
        <v>1825</v>
      </c>
      <c r="G861" s="312" t="s">
        <v>108</v>
      </c>
      <c r="H861" s="312">
        <v>1827</v>
      </c>
      <c r="I861" s="312" t="s">
        <v>107</v>
      </c>
      <c r="J861" s="312">
        <v>1913</v>
      </c>
      <c r="K861" s="312" t="s">
        <v>109</v>
      </c>
    </row>
    <row r="862" spans="1:11">
      <c r="A862" s="312" t="s">
        <v>1960</v>
      </c>
      <c r="B862" s="312" t="s">
        <v>1961</v>
      </c>
      <c r="C862" s="312" t="s">
        <v>105</v>
      </c>
      <c r="D862" s="312" t="s">
        <v>312</v>
      </c>
      <c r="E862" s="312" t="s">
        <v>107</v>
      </c>
      <c r="F862" s="312">
        <v>1825</v>
      </c>
      <c r="G862" s="312" t="s">
        <v>108</v>
      </c>
      <c r="H862" s="312">
        <v>1827</v>
      </c>
      <c r="I862" s="312" t="s">
        <v>107</v>
      </c>
      <c r="J862" s="312">
        <v>1913</v>
      </c>
      <c r="K862" s="312" t="s">
        <v>109</v>
      </c>
    </row>
    <row r="863" spans="1:11">
      <c r="A863" s="312" t="s">
        <v>1962</v>
      </c>
      <c r="B863" s="312" t="s">
        <v>1963</v>
      </c>
      <c r="C863" s="312" t="s">
        <v>105</v>
      </c>
      <c r="D863" s="312" t="s">
        <v>603</v>
      </c>
      <c r="E863" s="312" t="s">
        <v>107</v>
      </c>
      <c r="F863" s="312">
        <v>1825</v>
      </c>
      <c r="G863" s="312" t="s">
        <v>108</v>
      </c>
      <c r="H863" s="312">
        <v>1827</v>
      </c>
      <c r="I863" s="312" t="s">
        <v>107</v>
      </c>
      <c r="J863" s="312">
        <v>1913</v>
      </c>
      <c r="K863" s="312" t="s">
        <v>109</v>
      </c>
    </row>
    <row r="864" spans="1:11">
      <c r="A864" s="312" t="s">
        <v>1964</v>
      </c>
      <c r="B864" s="312" t="s">
        <v>1965</v>
      </c>
      <c r="C864" s="312" t="s">
        <v>105</v>
      </c>
      <c r="D864" s="312" t="s">
        <v>603</v>
      </c>
      <c r="E864" s="312" t="s">
        <v>107</v>
      </c>
      <c r="F864" s="312">
        <v>1825</v>
      </c>
      <c r="G864" s="312" t="s">
        <v>108</v>
      </c>
      <c r="H864" s="312">
        <v>1827</v>
      </c>
      <c r="I864" s="312" t="s">
        <v>107</v>
      </c>
      <c r="J864" s="312">
        <v>1913</v>
      </c>
      <c r="K864" s="312" t="s">
        <v>109</v>
      </c>
    </row>
    <row r="865" spans="1:11">
      <c r="A865" s="312" t="s">
        <v>1966</v>
      </c>
      <c r="B865" s="1" t="s">
        <v>1967</v>
      </c>
      <c r="C865" s="312" t="s">
        <v>105</v>
      </c>
      <c r="D865" s="312" t="s">
        <v>379</v>
      </c>
      <c r="E865" s="312" t="s">
        <v>107</v>
      </c>
      <c r="F865" s="312">
        <v>1825</v>
      </c>
      <c r="G865" s="312" t="s">
        <v>108</v>
      </c>
      <c r="H865" s="312">
        <v>1827</v>
      </c>
      <c r="I865" s="312" t="s">
        <v>107</v>
      </c>
      <c r="J865" s="312">
        <v>1913</v>
      </c>
      <c r="K865" s="312" t="s">
        <v>109</v>
      </c>
    </row>
    <row r="866" spans="1:11">
      <c r="A866" s="312" t="s">
        <v>1968</v>
      </c>
      <c r="B866" s="312" t="s">
        <v>1969</v>
      </c>
      <c r="C866" s="312" t="s">
        <v>105</v>
      </c>
      <c r="D866" s="312" t="s">
        <v>551</v>
      </c>
      <c r="E866" s="312" t="s">
        <v>167</v>
      </c>
      <c r="F866" s="312">
        <v>1705</v>
      </c>
      <c r="G866" s="312" t="s">
        <v>168</v>
      </c>
      <c r="H866" s="312">
        <v>1707</v>
      </c>
      <c r="I866" s="312" t="s">
        <v>167</v>
      </c>
      <c r="J866" s="312">
        <v>1899</v>
      </c>
      <c r="K866" s="312" t="s">
        <v>169</v>
      </c>
    </row>
    <row r="867" spans="1:11">
      <c r="A867" s="312" t="s">
        <v>1970</v>
      </c>
      <c r="B867" s="312" t="s">
        <v>1971</v>
      </c>
      <c r="C867" s="312" t="s">
        <v>105</v>
      </c>
      <c r="D867" s="312" t="s">
        <v>483</v>
      </c>
      <c r="E867" s="312" t="s">
        <v>466</v>
      </c>
      <c r="F867" s="312">
        <v>1796</v>
      </c>
      <c r="G867" s="312" t="s">
        <v>467</v>
      </c>
      <c r="H867" s="312">
        <v>1799</v>
      </c>
      <c r="I867" s="312" t="s">
        <v>466</v>
      </c>
      <c r="J867" s="312">
        <v>1918</v>
      </c>
      <c r="K867" s="312" t="s">
        <v>468</v>
      </c>
    </row>
    <row r="868" spans="1:11">
      <c r="A868" s="312" t="s">
        <v>1972</v>
      </c>
      <c r="B868" s="312" t="s">
        <v>1973</v>
      </c>
      <c r="C868" s="312" t="s">
        <v>105</v>
      </c>
      <c r="D868" s="312" t="s">
        <v>483</v>
      </c>
      <c r="E868" s="312" t="s">
        <v>466</v>
      </c>
      <c r="F868" s="312">
        <v>1796</v>
      </c>
      <c r="G868" s="312" t="s">
        <v>467</v>
      </c>
      <c r="H868" s="312">
        <v>1799</v>
      </c>
      <c r="I868" s="312" t="s">
        <v>466</v>
      </c>
      <c r="J868" s="312">
        <v>1918</v>
      </c>
      <c r="K868" s="312" t="s">
        <v>468</v>
      </c>
    </row>
    <row r="869" spans="1:11">
      <c r="A869" s="312" t="s">
        <v>1974</v>
      </c>
      <c r="B869" s="312" t="s">
        <v>1975</v>
      </c>
      <c r="C869" s="312" t="s">
        <v>105</v>
      </c>
      <c r="D869" s="312" t="s">
        <v>483</v>
      </c>
      <c r="E869" s="312" t="s">
        <v>466</v>
      </c>
      <c r="F869" s="312">
        <v>1796</v>
      </c>
      <c r="G869" s="312" t="s">
        <v>467</v>
      </c>
      <c r="H869" s="312">
        <v>1799</v>
      </c>
      <c r="I869" s="312" t="s">
        <v>466</v>
      </c>
      <c r="J869" s="312">
        <v>1918</v>
      </c>
      <c r="K869" s="312" t="s">
        <v>468</v>
      </c>
    </row>
    <row r="870" spans="1:11">
      <c r="A870" s="312" t="s">
        <v>1976</v>
      </c>
      <c r="B870" s="312" t="s">
        <v>1977</v>
      </c>
      <c r="C870" s="312" t="s">
        <v>105</v>
      </c>
      <c r="D870" s="312" t="s">
        <v>600</v>
      </c>
      <c r="E870" s="312" t="s">
        <v>107</v>
      </c>
      <c r="F870" s="312">
        <v>1825</v>
      </c>
      <c r="G870" s="312" t="s">
        <v>108</v>
      </c>
      <c r="H870" s="312">
        <v>1827</v>
      </c>
      <c r="I870" s="312" t="s">
        <v>107</v>
      </c>
      <c r="J870" s="312">
        <v>1913</v>
      </c>
      <c r="K870" s="312" t="s">
        <v>109</v>
      </c>
    </row>
    <row r="871" spans="1:11">
      <c r="A871" s="312" t="s">
        <v>1978</v>
      </c>
      <c r="B871" s="312" t="s">
        <v>1979</v>
      </c>
      <c r="C871" s="312" t="s">
        <v>105</v>
      </c>
      <c r="D871" s="312" t="s">
        <v>435</v>
      </c>
      <c r="E871" s="312" t="s">
        <v>107</v>
      </c>
      <c r="F871" s="312">
        <v>1825</v>
      </c>
      <c r="G871" s="312" t="s">
        <v>108</v>
      </c>
      <c r="H871" s="312">
        <v>1827</v>
      </c>
      <c r="I871" s="312" t="s">
        <v>107</v>
      </c>
      <c r="J871" s="312">
        <v>1913</v>
      </c>
      <c r="K871" s="312" t="s">
        <v>109</v>
      </c>
    </row>
    <row r="872" spans="1:11">
      <c r="A872" s="312" t="s">
        <v>1980</v>
      </c>
      <c r="B872" s="312" t="s">
        <v>1981</v>
      </c>
      <c r="C872" s="312" t="s">
        <v>105</v>
      </c>
      <c r="D872" s="312" t="s">
        <v>435</v>
      </c>
      <c r="E872" s="312" t="s">
        <v>107</v>
      </c>
      <c r="F872" s="312">
        <v>1825</v>
      </c>
      <c r="G872" s="312" t="s">
        <v>108</v>
      </c>
      <c r="H872" s="312">
        <v>1827</v>
      </c>
      <c r="I872" s="312" t="s">
        <v>107</v>
      </c>
      <c r="J872" s="312">
        <v>1913</v>
      </c>
      <c r="K872" s="312" t="s">
        <v>109</v>
      </c>
    </row>
    <row r="873" spans="1:11">
      <c r="A873" s="312" t="s">
        <v>1982</v>
      </c>
      <c r="B873" s="312" t="s">
        <v>1983</v>
      </c>
      <c r="C873" s="312" t="s">
        <v>105</v>
      </c>
      <c r="D873" s="312" t="s">
        <v>435</v>
      </c>
      <c r="E873" s="312" t="s">
        <v>107</v>
      </c>
      <c r="F873" s="312">
        <v>1825</v>
      </c>
      <c r="G873" s="312" t="s">
        <v>108</v>
      </c>
      <c r="H873" s="312">
        <v>1827</v>
      </c>
      <c r="I873" s="312" t="s">
        <v>107</v>
      </c>
      <c r="J873" s="312">
        <v>1913</v>
      </c>
      <c r="K873" s="312" t="s">
        <v>109</v>
      </c>
    </row>
    <row r="874" spans="1:11">
      <c r="A874" s="312" t="s">
        <v>1984</v>
      </c>
      <c r="B874" s="312" t="s">
        <v>1985</v>
      </c>
      <c r="C874" s="312" t="s">
        <v>105</v>
      </c>
      <c r="D874" s="312" t="s">
        <v>435</v>
      </c>
      <c r="E874" s="312" t="s">
        <v>107</v>
      </c>
      <c r="F874" s="312">
        <v>1825</v>
      </c>
      <c r="G874" s="312" t="s">
        <v>108</v>
      </c>
      <c r="H874" s="312">
        <v>1827</v>
      </c>
      <c r="I874" s="312" t="s">
        <v>107</v>
      </c>
      <c r="J874" s="312">
        <v>1913</v>
      </c>
      <c r="K874" s="312" t="s">
        <v>109</v>
      </c>
    </row>
    <row r="875" spans="1:11">
      <c r="A875" s="312" t="s">
        <v>1986</v>
      </c>
      <c r="B875" s="312" t="s">
        <v>1987</v>
      </c>
      <c r="C875" s="312" t="s">
        <v>105</v>
      </c>
      <c r="D875" s="312" t="s">
        <v>435</v>
      </c>
      <c r="E875" s="312" t="s">
        <v>107</v>
      </c>
      <c r="F875" s="312">
        <v>1825</v>
      </c>
      <c r="G875" s="312" t="s">
        <v>108</v>
      </c>
      <c r="H875" s="312">
        <v>1827</v>
      </c>
      <c r="I875" s="312" t="s">
        <v>107</v>
      </c>
      <c r="J875" s="312">
        <v>1913</v>
      </c>
      <c r="K875" s="312" t="s">
        <v>109</v>
      </c>
    </row>
    <row r="876" spans="1:11">
      <c r="A876" s="312" t="s">
        <v>1988</v>
      </c>
      <c r="B876" s="312" t="s">
        <v>1989</v>
      </c>
      <c r="C876" s="312" t="s">
        <v>105</v>
      </c>
      <c r="D876" s="312" t="s">
        <v>536</v>
      </c>
      <c r="E876" s="312" t="s">
        <v>107</v>
      </c>
      <c r="F876" s="312">
        <v>1825</v>
      </c>
      <c r="G876" s="312" t="s">
        <v>108</v>
      </c>
      <c r="H876" s="312">
        <v>1827</v>
      </c>
      <c r="I876" s="312" t="s">
        <v>107</v>
      </c>
      <c r="J876" s="312">
        <v>1913</v>
      </c>
      <c r="K876" s="312" t="s">
        <v>109</v>
      </c>
    </row>
    <row r="877" spans="1:11">
      <c r="A877" s="312" t="s">
        <v>1990</v>
      </c>
      <c r="B877" s="312" t="s">
        <v>1991</v>
      </c>
      <c r="C877" s="312" t="s">
        <v>105</v>
      </c>
      <c r="D877" s="312" t="s">
        <v>536</v>
      </c>
      <c r="E877" s="312" t="s">
        <v>107</v>
      </c>
      <c r="F877" s="312">
        <v>1825</v>
      </c>
      <c r="G877" s="312" t="s">
        <v>108</v>
      </c>
      <c r="H877" s="312">
        <v>1827</v>
      </c>
      <c r="I877" s="312" t="s">
        <v>107</v>
      </c>
      <c r="J877" s="312">
        <v>1913</v>
      </c>
      <c r="K877" s="312" t="s">
        <v>109</v>
      </c>
    </row>
    <row r="878" spans="1:11">
      <c r="A878" s="312" t="s">
        <v>1992</v>
      </c>
      <c r="B878" s="312" t="s">
        <v>1993</v>
      </c>
      <c r="C878" s="312" t="s">
        <v>105</v>
      </c>
      <c r="D878" s="312" t="s">
        <v>1994</v>
      </c>
      <c r="E878" s="312" t="s">
        <v>107</v>
      </c>
      <c r="F878" s="312">
        <v>1825</v>
      </c>
      <c r="G878" s="312" t="s">
        <v>108</v>
      </c>
      <c r="H878" s="312">
        <v>1827</v>
      </c>
      <c r="I878" s="312" t="s">
        <v>107</v>
      </c>
      <c r="J878" s="312">
        <v>1913</v>
      </c>
      <c r="K878" s="312" t="s">
        <v>109</v>
      </c>
    </row>
    <row r="879" spans="1:11">
      <c r="A879" s="312" t="s">
        <v>1995</v>
      </c>
      <c r="B879" s="312" t="s">
        <v>1996</v>
      </c>
      <c r="C879" s="312" t="s">
        <v>105</v>
      </c>
      <c r="D879" s="312" t="s">
        <v>1994</v>
      </c>
      <c r="E879" s="312" t="s">
        <v>107</v>
      </c>
      <c r="F879" s="312">
        <v>1825</v>
      </c>
      <c r="G879" s="312" t="s">
        <v>108</v>
      </c>
      <c r="H879" s="312">
        <v>1827</v>
      </c>
      <c r="I879" s="312" t="s">
        <v>107</v>
      </c>
      <c r="J879" s="312">
        <v>1913</v>
      </c>
      <c r="K879" s="312" t="s">
        <v>109</v>
      </c>
    </row>
    <row r="880" spans="1:11">
      <c r="A880" s="312" t="s">
        <v>1997</v>
      </c>
      <c r="B880" s="312" t="s">
        <v>1998</v>
      </c>
      <c r="C880" s="312" t="s">
        <v>105</v>
      </c>
      <c r="D880" s="312" t="s">
        <v>1994</v>
      </c>
      <c r="E880" s="312" t="s">
        <v>107</v>
      </c>
      <c r="F880" s="312">
        <v>1825</v>
      </c>
      <c r="G880" s="312" t="s">
        <v>108</v>
      </c>
      <c r="H880" s="312">
        <v>1827</v>
      </c>
      <c r="I880" s="312" t="s">
        <v>107</v>
      </c>
      <c r="J880" s="312">
        <v>1913</v>
      </c>
      <c r="K880" s="312" t="s">
        <v>109</v>
      </c>
    </row>
    <row r="881" spans="1:11">
      <c r="A881" s="312" t="s">
        <v>1999</v>
      </c>
      <c r="B881" s="312" t="s">
        <v>2000</v>
      </c>
      <c r="C881" s="312" t="s">
        <v>105</v>
      </c>
      <c r="D881" s="312" t="s">
        <v>2001</v>
      </c>
      <c r="E881" s="312" t="s">
        <v>107</v>
      </c>
      <c r="F881" s="312">
        <v>1825</v>
      </c>
      <c r="G881" s="312" t="s">
        <v>108</v>
      </c>
      <c r="H881" s="312">
        <v>1827</v>
      </c>
      <c r="I881" s="312" t="s">
        <v>107</v>
      </c>
      <c r="J881" s="312">
        <v>1913</v>
      </c>
      <c r="K881" s="312" t="s">
        <v>109</v>
      </c>
    </row>
    <row r="882" spans="1:11">
      <c r="A882" s="312" t="s">
        <v>2002</v>
      </c>
      <c r="B882" s="312" t="s">
        <v>2003</v>
      </c>
      <c r="C882" s="312" t="s">
        <v>105</v>
      </c>
      <c r="D882" s="312" t="s">
        <v>1994</v>
      </c>
      <c r="E882" s="312" t="s">
        <v>107</v>
      </c>
      <c r="F882" s="312">
        <v>1825</v>
      </c>
      <c r="G882" s="312" t="s">
        <v>108</v>
      </c>
      <c r="H882" s="312">
        <v>1827</v>
      </c>
      <c r="I882" s="312" t="s">
        <v>107</v>
      </c>
      <c r="J882" s="312">
        <v>1913</v>
      </c>
      <c r="K882" s="312" t="s">
        <v>109</v>
      </c>
    </row>
    <row r="883" spans="1:11">
      <c r="A883" s="312" t="s">
        <v>2004</v>
      </c>
      <c r="B883" s="312" t="s">
        <v>2005</v>
      </c>
      <c r="C883" s="312" t="s">
        <v>105</v>
      </c>
      <c r="D883" s="312" t="s">
        <v>2001</v>
      </c>
      <c r="E883" s="312" t="s">
        <v>107</v>
      </c>
      <c r="F883" s="312">
        <v>1825</v>
      </c>
      <c r="G883" s="312" t="s">
        <v>108</v>
      </c>
      <c r="H883" s="312">
        <v>1827</v>
      </c>
      <c r="I883" s="312" t="s">
        <v>107</v>
      </c>
      <c r="J883" s="312">
        <v>1913</v>
      </c>
      <c r="K883" s="312" t="s">
        <v>109</v>
      </c>
    </row>
    <row r="884" spans="1:11">
      <c r="A884" s="312" t="s">
        <v>2006</v>
      </c>
      <c r="B884" s="312" t="s">
        <v>2007</v>
      </c>
      <c r="C884" s="312" t="s">
        <v>105</v>
      </c>
      <c r="D884" s="312" t="s">
        <v>570</v>
      </c>
      <c r="E884" s="312" t="s">
        <v>684</v>
      </c>
      <c r="F884" s="312">
        <v>1750</v>
      </c>
      <c r="G884" s="312" t="s">
        <v>685</v>
      </c>
      <c r="H884" s="312">
        <v>1754</v>
      </c>
      <c r="I884" s="312" t="s">
        <v>684</v>
      </c>
      <c r="J884" s="312">
        <v>1920</v>
      </c>
      <c r="K884" s="312" t="s">
        <v>686</v>
      </c>
    </row>
    <row r="885" spans="1:11">
      <c r="A885" s="312" t="s">
        <v>2008</v>
      </c>
      <c r="B885" s="312" t="s">
        <v>2009</v>
      </c>
      <c r="C885" s="312" t="s">
        <v>105</v>
      </c>
      <c r="D885" s="312" t="s">
        <v>570</v>
      </c>
      <c r="E885" s="312" t="s">
        <v>684</v>
      </c>
      <c r="F885" s="312">
        <v>1750</v>
      </c>
      <c r="G885" s="312" t="s">
        <v>685</v>
      </c>
      <c r="H885" s="312">
        <v>1754</v>
      </c>
      <c r="I885" s="312" t="s">
        <v>684</v>
      </c>
      <c r="J885" s="312">
        <v>1920</v>
      </c>
      <c r="K885" s="312" t="s">
        <v>686</v>
      </c>
    </row>
    <row r="886" spans="1:11">
      <c r="A886" s="312" t="s">
        <v>2010</v>
      </c>
      <c r="B886" s="312" t="s">
        <v>2011</v>
      </c>
      <c r="C886" s="312" t="s">
        <v>105</v>
      </c>
      <c r="D886" s="312" t="s">
        <v>570</v>
      </c>
      <c r="E886" s="312" t="s">
        <v>684</v>
      </c>
      <c r="F886" s="312">
        <v>1750</v>
      </c>
      <c r="G886" s="312" t="s">
        <v>685</v>
      </c>
      <c r="H886" s="312">
        <v>1754</v>
      </c>
      <c r="I886" s="312" t="s">
        <v>684</v>
      </c>
      <c r="J886" s="312">
        <v>1920</v>
      </c>
      <c r="K886" s="312" t="s">
        <v>686</v>
      </c>
    </row>
    <row r="887" spans="1:11">
      <c r="A887" s="312" t="s">
        <v>2012</v>
      </c>
      <c r="B887" s="312" t="s">
        <v>2013</v>
      </c>
      <c r="C887" s="312" t="s">
        <v>105</v>
      </c>
      <c r="D887" s="312" t="s">
        <v>570</v>
      </c>
      <c r="E887" s="312" t="s">
        <v>684</v>
      </c>
      <c r="F887" s="312">
        <v>1750</v>
      </c>
      <c r="G887" s="312" t="s">
        <v>685</v>
      </c>
      <c r="H887" s="312">
        <v>1754</v>
      </c>
      <c r="I887" s="312" t="s">
        <v>684</v>
      </c>
      <c r="J887" s="312">
        <v>1920</v>
      </c>
      <c r="K887" s="312" t="s">
        <v>686</v>
      </c>
    </row>
    <row r="888" spans="1:11">
      <c r="A888" s="312" t="s">
        <v>2014</v>
      </c>
      <c r="B888" s="312" t="s">
        <v>2015</v>
      </c>
      <c r="C888" s="312" t="s">
        <v>105</v>
      </c>
      <c r="D888" s="312" t="s">
        <v>435</v>
      </c>
      <c r="E888" s="312" t="s">
        <v>684</v>
      </c>
      <c r="F888" s="312">
        <v>1750</v>
      </c>
      <c r="G888" s="312" t="s">
        <v>685</v>
      </c>
      <c r="H888" s="312">
        <v>1754</v>
      </c>
      <c r="I888" s="312" t="s">
        <v>684</v>
      </c>
      <c r="J888" s="312">
        <v>1920</v>
      </c>
      <c r="K888" s="312" t="s">
        <v>686</v>
      </c>
    </row>
    <row r="889" spans="1:11">
      <c r="A889" s="312" t="s">
        <v>2016</v>
      </c>
      <c r="B889" s="312" t="s">
        <v>2017</v>
      </c>
      <c r="C889" s="312" t="s">
        <v>105</v>
      </c>
      <c r="D889" s="312" t="s">
        <v>483</v>
      </c>
      <c r="E889" s="312" t="s">
        <v>466</v>
      </c>
      <c r="F889" s="312">
        <v>1796</v>
      </c>
      <c r="G889" s="312" t="s">
        <v>467</v>
      </c>
      <c r="H889" s="312">
        <v>1799</v>
      </c>
      <c r="I889" s="312" t="s">
        <v>466</v>
      </c>
      <c r="J889" s="312">
        <v>1918</v>
      </c>
      <c r="K889" s="312" t="s">
        <v>468</v>
      </c>
    </row>
    <row r="890" spans="1:11">
      <c r="A890" s="312" t="s">
        <v>2018</v>
      </c>
      <c r="B890" s="312" t="s">
        <v>2019</v>
      </c>
      <c r="C890" s="312" t="s">
        <v>105</v>
      </c>
      <c r="D890" s="312" t="s">
        <v>483</v>
      </c>
      <c r="E890" s="312" t="s">
        <v>107</v>
      </c>
      <c r="F890" s="312">
        <v>1825</v>
      </c>
      <c r="G890" s="312" t="s">
        <v>108</v>
      </c>
      <c r="H890" s="312">
        <v>1827</v>
      </c>
      <c r="I890" s="312" t="s">
        <v>107</v>
      </c>
      <c r="J890" s="312">
        <v>1913</v>
      </c>
      <c r="K890" s="312" t="s">
        <v>109</v>
      </c>
    </row>
    <row r="891" spans="1:11">
      <c r="A891" s="312" t="s">
        <v>2020</v>
      </c>
      <c r="B891" s="312" t="s">
        <v>2021</v>
      </c>
      <c r="C891" s="312" t="s">
        <v>105</v>
      </c>
      <c r="D891" s="312" t="s">
        <v>610</v>
      </c>
      <c r="E891" s="312" t="s">
        <v>107</v>
      </c>
      <c r="F891" s="312">
        <v>1825</v>
      </c>
      <c r="G891" s="312" t="s">
        <v>108</v>
      </c>
      <c r="H891" s="312">
        <v>1827</v>
      </c>
      <c r="I891" s="312" t="s">
        <v>107</v>
      </c>
      <c r="J891" s="312">
        <v>1913</v>
      </c>
      <c r="K891" s="312" t="s">
        <v>109</v>
      </c>
    </row>
    <row r="892" spans="1:11">
      <c r="A892" s="312" t="s">
        <v>2022</v>
      </c>
      <c r="B892" s="312" t="s">
        <v>2023</v>
      </c>
      <c r="C892" s="312" t="s">
        <v>105</v>
      </c>
      <c r="D892" s="312" t="s">
        <v>610</v>
      </c>
      <c r="E892" s="312" t="s">
        <v>107</v>
      </c>
      <c r="F892" s="312">
        <v>1825</v>
      </c>
      <c r="G892" s="312" t="s">
        <v>108</v>
      </c>
      <c r="H892" s="312">
        <v>1827</v>
      </c>
      <c r="I892" s="312" t="s">
        <v>107</v>
      </c>
      <c r="J892" s="312">
        <v>1913</v>
      </c>
      <c r="K892" s="312" t="s">
        <v>109</v>
      </c>
    </row>
    <row r="893" spans="1:11">
      <c r="A893" s="312" t="s">
        <v>2024</v>
      </c>
      <c r="B893" s="312" t="s">
        <v>2025</v>
      </c>
      <c r="C893" s="312" t="s">
        <v>105</v>
      </c>
      <c r="D893" s="312" t="s">
        <v>1533</v>
      </c>
      <c r="E893" s="312" t="s">
        <v>107</v>
      </c>
      <c r="F893" s="312">
        <v>1825</v>
      </c>
      <c r="G893" s="312" t="s">
        <v>108</v>
      </c>
      <c r="H893" s="312">
        <v>1827</v>
      </c>
      <c r="I893" s="312" t="s">
        <v>107</v>
      </c>
      <c r="J893" s="312">
        <v>1913</v>
      </c>
      <c r="K893" s="312" t="s">
        <v>109</v>
      </c>
    </row>
    <row r="894" spans="1:11">
      <c r="A894" s="312" t="s">
        <v>2026</v>
      </c>
      <c r="B894" s="312" t="s">
        <v>2027</v>
      </c>
      <c r="C894" s="312" t="s">
        <v>105</v>
      </c>
      <c r="D894" s="312" t="s">
        <v>252</v>
      </c>
      <c r="E894" s="312" t="s">
        <v>167</v>
      </c>
      <c r="F894" s="312">
        <v>1705</v>
      </c>
      <c r="G894" s="312" t="s">
        <v>168</v>
      </c>
      <c r="H894" s="312">
        <v>1707</v>
      </c>
      <c r="I894" s="312" t="s">
        <v>167</v>
      </c>
      <c r="J894" s="312">
        <v>1899</v>
      </c>
      <c r="K894" s="312" t="s">
        <v>169</v>
      </c>
    </row>
    <row r="895" spans="1:11">
      <c r="A895" s="312" t="s">
        <v>2028</v>
      </c>
      <c r="B895" s="312" t="s">
        <v>2029</v>
      </c>
      <c r="C895" s="312" t="s">
        <v>105</v>
      </c>
      <c r="D895" s="312" t="s">
        <v>2030</v>
      </c>
      <c r="E895" s="312" t="s">
        <v>107</v>
      </c>
      <c r="F895" s="312">
        <v>1825</v>
      </c>
      <c r="G895" s="312" t="s">
        <v>108</v>
      </c>
      <c r="H895" s="312">
        <v>1827</v>
      </c>
      <c r="I895" s="312" t="s">
        <v>107</v>
      </c>
      <c r="J895" s="312">
        <v>1913</v>
      </c>
      <c r="K895" s="312" t="s">
        <v>109</v>
      </c>
    </row>
    <row r="896" spans="1:11">
      <c r="A896" s="312" t="s">
        <v>2031</v>
      </c>
      <c r="B896" s="312" t="s">
        <v>2032</v>
      </c>
      <c r="C896" s="312" t="s">
        <v>105</v>
      </c>
      <c r="D896" s="312" t="s">
        <v>2030</v>
      </c>
      <c r="E896" s="312" t="s">
        <v>107</v>
      </c>
      <c r="F896" s="312">
        <v>1825</v>
      </c>
      <c r="G896" s="312" t="s">
        <v>108</v>
      </c>
      <c r="H896" s="312">
        <v>1827</v>
      </c>
      <c r="I896" s="312" t="s">
        <v>107</v>
      </c>
      <c r="J896" s="312">
        <v>1913</v>
      </c>
      <c r="K896" s="312" t="s">
        <v>109</v>
      </c>
    </row>
    <row r="897" spans="1:11">
      <c r="A897" s="312" t="s">
        <v>2033</v>
      </c>
      <c r="B897" s="312" t="s">
        <v>2034</v>
      </c>
      <c r="C897" s="312" t="s">
        <v>105</v>
      </c>
      <c r="D897" s="312" t="s">
        <v>252</v>
      </c>
      <c r="E897" s="312" t="s">
        <v>167</v>
      </c>
      <c r="F897" s="312">
        <v>1705</v>
      </c>
      <c r="G897" s="312" t="s">
        <v>168</v>
      </c>
      <c r="H897" s="312">
        <v>1707</v>
      </c>
      <c r="I897" s="312" t="s">
        <v>167</v>
      </c>
      <c r="J897" s="312">
        <v>1899</v>
      </c>
      <c r="K897" s="312" t="s">
        <v>169</v>
      </c>
    </row>
    <row r="898" spans="1:11">
      <c r="A898" s="312" t="s">
        <v>2035</v>
      </c>
      <c r="B898" s="312" t="s">
        <v>2036</v>
      </c>
      <c r="C898" s="312" t="s">
        <v>105</v>
      </c>
      <c r="D898" s="312" t="s">
        <v>2030</v>
      </c>
      <c r="E898" s="312" t="s">
        <v>107</v>
      </c>
      <c r="F898" s="312">
        <v>1825</v>
      </c>
      <c r="G898" s="312" t="s">
        <v>108</v>
      </c>
      <c r="H898" s="312">
        <v>1827</v>
      </c>
      <c r="I898" s="312" t="s">
        <v>107</v>
      </c>
      <c r="J898" s="312">
        <v>1913</v>
      </c>
      <c r="K898" s="312" t="s">
        <v>109</v>
      </c>
    </row>
    <row r="899" spans="1:11">
      <c r="A899" s="312" t="s">
        <v>2037</v>
      </c>
      <c r="B899" s="312" t="s">
        <v>2038</v>
      </c>
      <c r="C899" s="312" t="s">
        <v>105</v>
      </c>
      <c r="D899" s="312" t="s">
        <v>252</v>
      </c>
      <c r="E899" s="312" t="s">
        <v>167</v>
      </c>
      <c r="F899" s="312">
        <v>1705</v>
      </c>
      <c r="G899" s="312" t="s">
        <v>168</v>
      </c>
      <c r="H899" s="312">
        <v>1707</v>
      </c>
      <c r="I899" s="312" t="s">
        <v>167</v>
      </c>
      <c r="J899" s="312">
        <v>1899</v>
      </c>
      <c r="K899" s="312" t="s">
        <v>169</v>
      </c>
    </row>
    <row r="900" spans="1:11">
      <c r="A900" s="312" t="s">
        <v>2039</v>
      </c>
      <c r="B900" s="312" t="s">
        <v>2040</v>
      </c>
      <c r="C900" s="312" t="s">
        <v>105</v>
      </c>
      <c r="D900" s="312" t="s">
        <v>2030</v>
      </c>
      <c r="E900" s="312" t="s">
        <v>107</v>
      </c>
      <c r="F900" s="312">
        <v>1825</v>
      </c>
      <c r="G900" s="312" t="s">
        <v>108</v>
      </c>
      <c r="H900" s="312">
        <v>1827</v>
      </c>
      <c r="I900" s="312" t="s">
        <v>107</v>
      </c>
      <c r="J900" s="312">
        <v>1913</v>
      </c>
      <c r="K900" s="312" t="s">
        <v>109</v>
      </c>
    </row>
    <row r="901" spans="1:11">
      <c r="A901" s="312" t="s">
        <v>2041</v>
      </c>
      <c r="B901" s="312" t="s">
        <v>2042</v>
      </c>
      <c r="C901" s="312" t="s">
        <v>105</v>
      </c>
      <c r="D901" s="312" t="s">
        <v>2030</v>
      </c>
      <c r="E901" s="312" t="s">
        <v>107</v>
      </c>
      <c r="F901" s="312">
        <v>1825</v>
      </c>
      <c r="G901" s="312" t="s">
        <v>108</v>
      </c>
      <c r="H901" s="312">
        <v>1827</v>
      </c>
      <c r="I901" s="312" t="s">
        <v>107</v>
      </c>
      <c r="J901" s="312">
        <v>1913</v>
      </c>
      <c r="K901" s="312" t="s">
        <v>109</v>
      </c>
    </row>
    <row r="902" spans="1:11">
      <c r="A902" s="312" t="s">
        <v>2043</v>
      </c>
      <c r="B902" s="312" t="s">
        <v>2044</v>
      </c>
      <c r="C902" s="312" t="s">
        <v>105</v>
      </c>
      <c r="D902" s="312" t="s">
        <v>2030</v>
      </c>
      <c r="E902" s="312" t="s">
        <v>107</v>
      </c>
      <c r="F902" s="312">
        <v>1825</v>
      </c>
      <c r="G902" s="312" t="s">
        <v>108</v>
      </c>
      <c r="H902" s="312">
        <v>1827</v>
      </c>
      <c r="I902" s="312" t="s">
        <v>107</v>
      </c>
      <c r="J902" s="312">
        <v>1913</v>
      </c>
      <c r="K902" s="312" t="s">
        <v>109</v>
      </c>
    </row>
    <row r="903" spans="1:11">
      <c r="A903" s="312" t="s">
        <v>2045</v>
      </c>
      <c r="B903" s="312" t="s">
        <v>2046</v>
      </c>
      <c r="C903" s="312" t="s">
        <v>105</v>
      </c>
      <c r="D903" s="312" t="s">
        <v>252</v>
      </c>
      <c r="E903" s="312" t="s">
        <v>167</v>
      </c>
      <c r="F903" s="312">
        <v>1705</v>
      </c>
      <c r="G903" s="312" t="s">
        <v>168</v>
      </c>
      <c r="H903" s="312">
        <v>1707</v>
      </c>
      <c r="I903" s="312" t="s">
        <v>167</v>
      </c>
      <c r="J903" s="312">
        <v>1899</v>
      </c>
      <c r="K903" s="312" t="s">
        <v>169</v>
      </c>
    </row>
    <row r="904" spans="1:11">
      <c r="A904" s="312" t="s">
        <v>2047</v>
      </c>
      <c r="B904" s="312" t="s">
        <v>2048</v>
      </c>
      <c r="C904" s="312" t="s">
        <v>105</v>
      </c>
      <c r="D904" s="312" t="s">
        <v>1533</v>
      </c>
      <c r="E904" s="312" t="s">
        <v>107</v>
      </c>
      <c r="F904" s="312">
        <v>1825</v>
      </c>
      <c r="G904" s="312" t="s">
        <v>108</v>
      </c>
      <c r="H904" s="312">
        <v>1827</v>
      </c>
      <c r="I904" s="312" t="s">
        <v>107</v>
      </c>
      <c r="J904" s="312">
        <v>1913</v>
      </c>
      <c r="K904" s="312" t="s">
        <v>109</v>
      </c>
    </row>
    <row r="905" spans="1:11">
      <c r="A905" s="312" t="s">
        <v>2049</v>
      </c>
      <c r="B905" s="312" t="s">
        <v>2050</v>
      </c>
      <c r="C905" s="312" t="s">
        <v>105</v>
      </c>
      <c r="D905" s="312" t="s">
        <v>2030</v>
      </c>
      <c r="E905" s="312" t="s">
        <v>107</v>
      </c>
      <c r="F905" s="312">
        <v>1825</v>
      </c>
      <c r="G905" s="312" t="s">
        <v>108</v>
      </c>
      <c r="H905" s="312">
        <v>1827</v>
      </c>
      <c r="I905" s="312" t="s">
        <v>107</v>
      </c>
      <c r="J905" s="312">
        <v>1913</v>
      </c>
      <c r="K905" s="312" t="s">
        <v>109</v>
      </c>
    </row>
    <row r="906" spans="1:11">
      <c r="A906" s="312" t="s">
        <v>2051</v>
      </c>
      <c r="B906" s="312" t="s">
        <v>2052</v>
      </c>
      <c r="C906" s="312" t="s">
        <v>105</v>
      </c>
      <c r="D906" s="312" t="s">
        <v>252</v>
      </c>
      <c r="E906" s="312" t="s">
        <v>167</v>
      </c>
      <c r="F906" s="312">
        <v>1705</v>
      </c>
      <c r="G906" s="312" t="s">
        <v>168</v>
      </c>
      <c r="H906" s="312">
        <v>1707</v>
      </c>
      <c r="I906" s="312" t="s">
        <v>167</v>
      </c>
      <c r="J906" s="312">
        <v>1899</v>
      </c>
      <c r="K906" s="312" t="s">
        <v>169</v>
      </c>
    </row>
    <row r="907" spans="1:11">
      <c r="A907" s="312" t="s">
        <v>2053</v>
      </c>
      <c r="B907" s="312" t="s">
        <v>2054</v>
      </c>
      <c r="C907" s="312" t="s">
        <v>105</v>
      </c>
      <c r="D907" s="312" t="s">
        <v>477</v>
      </c>
      <c r="E907" s="312" t="s">
        <v>107</v>
      </c>
      <c r="F907" s="312">
        <v>1825</v>
      </c>
      <c r="G907" s="312" t="s">
        <v>108</v>
      </c>
      <c r="H907" s="312">
        <v>1827</v>
      </c>
      <c r="I907" s="312" t="s">
        <v>107</v>
      </c>
      <c r="J907" s="312">
        <v>1913</v>
      </c>
      <c r="K907" s="312" t="s">
        <v>109</v>
      </c>
    </row>
    <row r="908" spans="1:11">
      <c r="A908" s="312" t="s">
        <v>2055</v>
      </c>
      <c r="B908" s="312" t="s">
        <v>2056</v>
      </c>
      <c r="C908" s="312" t="s">
        <v>105</v>
      </c>
      <c r="D908" s="312" t="s">
        <v>477</v>
      </c>
      <c r="E908" s="312" t="s">
        <v>107</v>
      </c>
      <c r="F908" s="312">
        <v>1825</v>
      </c>
      <c r="G908" s="312" t="s">
        <v>108</v>
      </c>
      <c r="H908" s="312">
        <v>1827</v>
      </c>
      <c r="I908" s="312" t="s">
        <v>107</v>
      </c>
      <c r="J908" s="312">
        <v>1913</v>
      </c>
      <c r="K908" s="312" t="s">
        <v>109</v>
      </c>
    </row>
    <row r="909" spans="1:11">
      <c r="A909" s="312" t="s">
        <v>2057</v>
      </c>
      <c r="B909" s="312" t="s">
        <v>2058</v>
      </c>
      <c r="C909" s="312" t="s">
        <v>105</v>
      </c>
      <c r="D909" s="312" t="s">
        <v>343</v>
      </c>
      <c r="E909" s="312" t="s">
        <v>466</v>
      </c>
      <c r="F909" s="312">
        <v>1796</v>
      </c>
      <c r="G909" s="312" t="s">
        <v>467</v>
      </c>
      <c r="H909" s="312">
        <v>1799</v>
      </c>
      <c r="I909" s="312" t="s">
        <v>466</v>
      </c>
      <c r="J909" s="312">
        <v>1918</v>
      </c>
      <c r="K909" s="312" t="s">
        <v>468</v>
      </c>
    </row>
    <row r="910" spans="1:11">
      <c r="A910" s="312" t="s">
        <v>2059</v>
      </c>
      <c r="B910" s="312" t="s">
        <v>2060</v>
      </c>
      <c r="C910" s="312" t="s">
        <v>105</v>
      </c>
      <c r="D910" s="312" t="s">
        <v>544</v>
      </c>
      <c r="E910" s="312" t="s">
        <v>107</v>
      </c>
      <c r="F910" s="312">
        <v>1825</v>
      </c>
      <c r="G910" s="312" t="s">
        <v>108</v>
      </c>
      <c r="H910" s="312">
        <v>1827</v>
      </c>
      <c r="I910" s="312" t="s">
        <v>107</v>
      </c>
      <c r="J910" s="312">
        <v>1913</v>
      </c>
      <c r="K910" s="312" t="s">
        <v>109</v>
      </c>
    </row>
    <row r="911" spans="1:11">
      <c r="A911" s="312" t="s">
        <v>2061</v>
      </c>
      <c r="B911" s="312" t="s">
        <v>2062</v>
      </c>
      <c r="C911" s="312" t="s">
        <v>105</v>
      </c>
      <c r="D911" s="312" t="s">
        <v>1994</v>
      </c>
      <c r="E911" s="312" t="s">
        <v>107</v>
      </c>
      <c r="F911" s="312">
        <v>1825</v>
      </c>
      <c r="G911" s="312" t="s">
        <v>108</v>
      </c>
      <c r="H911" s="312">
        <v>1827</v>
      </c>
      <c r="I911" s="312" t="s">
        <v>107</v>
      </c>
      <c r="J911" s="312">
        <v>1913</v>
      </c>
      <c r="K911" s="312" t="s">
        <v>109</v>
      </c>
    </row>
    <row r="912" spans="1:11">
      <c r="A912" s="312" t="s">
        <v>2063</v>
      </c>
      <c r="B912" s="312" t="s">
        <v>2064</v>
      </c>
      <c r="C912" s="312" t="s">
        <v>105</v>
      </c>
      <c r="D912" s="312" t="s">
        <v>2065</v>
      </c>
      <c r="E912" s="312" t="s">
        <v>107</v>
      </c>
      <c r="F912" s="312">
        <v>1825</v>
      </c>
      <c r="G912" s="312" t="s">
        <v>108</v>
      </c>
      <c r="H912" s="312">
        <v>1827</v>
      </c>
      <c r="I912" s="312" t="s">
        <v>107</v>
      </c>
      <c r="J912" s="312">
        <v>1913</v>
      </c>
      <c r="K912" s="312" t="s">
        <v>109</v>
      </c>
    </row>
    <row r="913" spans="1:11">
      <c r="A913" s="312" t="s">
        <v>2066</v>
      </c>
      <c r="B913" s="312" t="s">
        <v>2067</v>
      </c>
      <c r="C913" s="312" t="s">
        <v>105</v>
      </c>
      <c r="D913" s="312" t="s">
        <v>2068</v>
      </c>
      <c r="E913" s="312" t="s">
        <v>107</v>
      </c>
      <c r="F913" s="312">
        <v>1825</v>
      </c>
      <c r="G913" s="312" t="s">
        <v>108</v>
      </c>
      <c r="H913" s="312">
        <v>1827</v>
      </c>
      <c r="I913" s="312" t="s">
        <v>107</v>
      </c>
      <c r="J913" s="312">
        <v>1913</v>
      </c>
      <c r="K913" s="312" t="s">
        <v>109</v>
      </c>
    </row>
    <row r="914" spans="1:11">
      <c r="A914" s="312" t="s">
        <v>2069</v>
      </c>
      <c r="B914" s="312" t="s">
        <v>2070</v>
      </c>
      <c r="C914" s="312" t="s">
        <v>105</v>
      </c>
      <c r="D914" s="312" t="s">
        <v>166</v>
      </c>
      <c r="E914" s="312" t="s">
        <v>320</v>
      </c>
      <c r="F914" s="312">
        <v>1716</v>
      </c>
      <c r="G914" s="312" t="s">
        <v>321</v>
      </c>
      <c r="H914" s="312">
        <v>1725</v>
      </c>
      <c r="I914" s="312" t="s">
        <v>320</v>
      </c>
      <c r="J914" s="312">
        <v>1910</v>
      </c>
      <c r="K914" s="312" t="s">
        <v>322</v>
      </c>
    </row>
    <row r="915" spans="1:11">
      <c r="A915" s="312" t="s">
        <v>2071</v>
      </c>
      <c r="B915" s="312" t="s">
        <v>2072</v>
      </c>
      <c r="C915" s="312" t="s">
        <v>105</v>
      </c>
      <c r="D915" s="312" t="s">
        <v>2073</v>
      </c>
      <c r="E915" s="312" t="s">
        <v>320</v>
      </c>
      <c r="F915" s="312">
        <v>1716</v>
      </c>
      <c r="G915" s="312" t="s">
        <v>321</v>
      </c>
      <c r="H915" s="312">
        <v>1725</v>
      </c>
      <c r="I915" s="312" t="s">
        <v>320</v>
      </c>
      <c r="J915" s="312">
        <v>1910</v>
      </c>
      <c r="K915" s="312" t="s">
        <v>322</v>
      </c>
    </row>
    <row r="916" spans="1:11">
      <c r="A916" s="312" t="s">
        <v>2074</v>
      </c>
      <c r="B916" s="312" t="s">
        <v>2075</v>
      </c>
      <c r="C916" s="312" t="s">
        <v>105</v>
      </c>
      <c r="D916" s="312" t="s">
        <v>2073</v>
      </c>
      <c r="E916" s="312" t="s">
        <v>320</v>
      </c>
      <c r="F916" s="312">
        <v>1716</v>
      </c>
      <c r="G916" s="312" t="s">
        <v>321</v>
      </c>
      <c r="H916" s="312">
        <v>1725</v>
      </c>
      <c r="I916" s="312" t="s">
        <v>320</v>
      </c>
      <c r="J916" s="312">
        <v>1910</v>
      </c>
      <c r="K916" s="312" t="s">
        <v>322</v>
      </c>
    </row>
    <row r="917" spans="1:11">
      <c r="A917" s="312" t="s">
        <v>2076</v>
      </c>
      <c r="B917" s="312" t="s">
        <v>2077</v>
      </c>
      <c r="C917" s="312" t="s">
        <v>105</v>
      </c>
      <c r="D917" s="312" t="s">
        <v>114</v>
      </c>
      <c r="E917" s="312" t="s">
        <v>107</v>
      </c>
      <c r="F917" s="312">
        <v>1825</v>
      </c>
      <c r="G917" s="312" t="s">
        <v>108</v>
      </c>
      <c r="H917" s="312">
        <v>1827</v>
      </c>
      <c r="I917" s="312" t="s">
        <v>107</v>
      </c>
      <c r="J917" s="312">
        <v>1913</v>
      </c>
      <c r="K917" s="312" t="s">
        <v>109</v>
      </c>
    </row>
    <row r="918" spans="1:11">
      <c r="A918" s="312" t="s">
        <v>2078</v>
      </c>
      <c r="B918" s="312" t="s">
        <v>2079</v>
      </c>
      <c r="C918" s="312" t="s">
        <v>105</v>
      </c>
      <c r="D918" s="312" t="s">
        <v>114</v>
      </c>
      <c r="E918" s="312" t="s">
        <v>107</v>
      </c>
      <c r="F918" s="312">
        <v>1825</v>
      </c>
      <c r="G918" s="312" t="s">
        <v>108</v>
      </c>
      <c r="H918" s="312">
        <v>1827</v>
      </c>
      <c r="I918" s="312" t="s">
        <v>107</v>
      </c>
      <c r="J918" s="312">
        <v>1913</v>
      </c>
      <c r="K918" s="312" t="s">
        <v>109</v>
      </c>
    </row>
    <row r="919" spans="1:11">
      <c r="A919" s="312" t="s">
        <v>2080</v>
      </c>
      <c r="B919" s="312" t="s">
        <v>2081</v>
      </c>
      <c r="C919" s="312" t="s">
        <v>105</v>
      </c>
      <c r="D919" s="312" t="s">
        <v>114</v>
      </c>
      <c r="E919" s="312" t="s">
        <v>107</v>
      </c>
      <c r="F919" s="312">
        <v>1825</v>
      </c>
      <c r="G919" s="312" t="s">
        <v>108</v>
      </c>
      <c r="H919" s="312">
        <v>1827</v>
      </c>
      <c r="I919" s="312" t="s">
        <v>107</v>
      </c>
      <c r="J919" s="312">
        <v>1913</v>
      </c>
      <c r="K919" s="312" t="s">
        <v>109</v>
      </c>
    </row>
    <row r="920" spans="1:11">
      <c r="A920" s="312" t="s">
        <v>2082</v>
      </c>
      <c r="B920" s="312" t="s">
        <v>2083</v>
      </c>
      <c r="C920" s="312" t="s">
        <v>105</v>
      </c>
      <c r="D920" s="312" t="s">
        <v>312</v>
      </c>
      <c r="E920" s="312" t="s">
        <v>107</v>
      </c>
      <c r="F920" s="312">
        <v>1825</v>
      </c>
      <c r="G920" s="312" t="s">
        <v>108</v>
      </c>
      <c r="H920" s="312">
        <v>1827</v>
      </c>
      <c r="I920" s="312" t="s">
        <v>107</v>
      </c>
      <c r="J920" s="312">
        <v>1913</v>
      </c>
      <c r="K920" s="312" t="s">
        <v>109</v>
      </c>
    </row>
    <row r="921" spans="1:11">
      <c r="A921" s="312" t="s">
        <v>2084</v>
      </c>
      <c r="B921" s="312" t="s">
        <v>2085</v>
      </c>
      <c r="C921" s="312" t="s">
        <v>105</v>
      </c>
      <c r="D921" s="312" t="s">
        <v>404</v>
      </c>
      <c r="E921" s="312" t="s">
        <v>107</v>
      </c>
      <c r="F921" s="312">
        <v>1825</v>
      </c>
      <c r="G921" s="312" t="s">
        <v>108</v>
      </c>
      <c r="H921" s="312">
        <v>1827</v>
      </c>
      <c r="I921" s="312" t="s">
        <v>107</v>
      </c>
      <c r="J921" s="312">
        <v>1913</v>
      </c>
      <c r="K921" s="312" t="s">
        <v>109</v>
      </c>
    </row>
    <row r="922" spans="1:11">
      <c r="A922" s="312" t="s">
        <v>2086</v>
      </c>
      <c r="B922" s="312" t="s">
        <v>2087</v>
      </c>
      <c r="C922" s="312" t="s">
        <v>105</v>
      </c>
      <c r="D922" s="312" t="s">
        <v>216</v>
      </c>
      <c r="E922" s="312" t="s">
        <v>107</v>
      </c>
      <c r="F922" s="312">
        <v>1825</v>
      </c>
      <c r="G922" s="312" t="s">
        <v>108</v>
      </c>
      <c r="H922" s="312">
        <v>1827</v>
      </c>
      <c r="I922" s="312" t="s">
        <v>107</v>
      </c>
      <c r="J922" s="312">
        <v>1913</v>
      </c>
      <c r="K922" s="312" t="s">
        <v>109</v>
      </c>
    </row>
    <row r="923" spans="1:11">
      <c r="A923" s="312" t="s">
        <v>2088</v>
      </c>
      <c r="B923" s="312" t="s">
        <v>2089</v>
      </c>
      <c r="C923" s="312" t="s">
        <v>105</v>
      </c>
      <c r="D923" s="312" t="s">
        <v>435</v>
      </c>
      <c r="E923" s="312" t="s">
        <v>107</v>
      </c>
      <c r="F923" s="312">
        <v>1825</v>
      </c>
      <c r="G923" s="312" t="s">
        <v>108</v>
      </c>
      <c r="H923" s="312">
        <v>1827</v>
      </c>
      <c r="I923" s="312" t="s">
        <v>107</v>
      </c>
      <c r="J923" s="312">
        <v>1913</v>
      </c>
      <c r="K923" s="312" t="s">
        <v>109</v>
      </c>
    </row>
    <row r="924" spans="1:11">
      <c r="A924" s="312" t="s">
        <v>2090</v>
      </c>
      <c r="B924" s="312" t="s">
        <v>2091</v>
      </c>
      <c r="C924" s="312" t="s">
        <v>105</v>
      </c>
      <c r="D924" s="312" t="s">
        <v>711</v>
      </c>
      <c r="E924" s="312" t="s">
        <v>107</v>
      </c>
      <c r="F924" s="312">
        <v>1825</v>
      </c>
      <c r="G924" s="312" t="s">
        <v>108</v>
      </c>
      <c r="H924" s="312">
        <v>1827</v>
      </c>
      <c r="I924" s="312" t="s">
        <v>107</v>
      </c>
      <c r="J924" s="312">
        <v>1913</v>
      </c>
      <c r="K924" s="312" t="s">
        <v>109</v>
      </c>
    </row>
    <row r="925" spans="1:11">
      <c r="A925" s="312" t="s">
        <v>2092</v>
      </c>
      <c r="B925" s="312" t="s">
        <v>2093</v>
      </c>
      <c r="C925" s="312" t="s">
        <v>105</v>
      </c>
      <c r="D925" s="312" t="s">
        <v>252</v>
      </c>
      <c r="E925" s="312" t="s">
        <v>167</v>
      </c>
      <c r="F925" s="312">
        <v>1705</v>
      </c>
      <c r="G925" s="312" t="s">
        <v>168</v>
      </c>
      <c r="H925" s="312">
        <v>1707</v>
      </c>
      <c r="I925" s="312" t="s">
        <v>167</v>
      </c>
      <c r="J925" s="312">
        <v>1899</v>
      </c>
      <c r="K925" s="312" t="s">
        <v>169</v>
      </c>
    </row>
    <row r="926" spans="1:11">
      <c r="A926" s="312" t="s">
        <v>2094</v>
      </c>
      <c r="B926" s="312" t="s">
        <v>2095</v>
      </c>
      <c r="C926" s="312" t="s">
        <v>105</v>
      </c>
      <c r="D926" s="312" t="s">
        <v>711</v>
      </c>
      <c r="E926" s="312" t="s">
        <v>107</v>
      </c>
      <c r="F926" s="312">
        <v>1825</v>
      </c>
      <c r="G926" s="312" t="s">
        <v>108</v>
      </c>
      <c r="H926" s="312">
        <v>1827</v>
      </c>
      <c r="I926" s="312" t="s">
        <v>107</v>
      </c>
      <c r="J926" s="312">
        <v>1913</v>
      </c>
      <c r="K926" s="312" t="s">
        <v>109</v>
      </c>
    </row>
    <row r="927" spans="1:11">
      <c r="A927" s="312" t="s">
        <v>2096</v>
      </c>
      <c r="B927" s="312" t="s">
        <v>2097</v>
      </c>
      <c r="C927" s="312" t="s">
        <v>105</v>
      </c>
      <c r="D927" s="312" t="s">
        <v>294</v>
      </c>
      <c r="E927" s="312" t="s">
        <v>107</v>
      </c>
      <c r="F927" s="312">
        <v>1825</v>
      </c>
      <c r="G927" s="312" t="s">
        <v>108</v>
      </c>
      <c r="H927" s="312">
        <v>1827</v>
      </c>
      <c r="I927" s="312" t="s">
        <v>107</v>
      </c>
      <c r="J927" s="312">
        <v>1913</v>
      </c>
      <c r="K927" s="312" t="s">
        <v>109</v>
      </c>
    </row>
    <row r="928" spans="1:11">
      <c r="A928" s="312" t="s">
        <v>2098</v>
      </c>
      <c r="B928" s="312" t="s">
        <v>2099</v>
      </c>
      <c r="C928" s="312" t="s">
        <v>105</v>
      </c>
      <c r="D928" s="312" t="s">
        <v>587</v>
      </c>
      <c r="E928" s="312" t="s">
        <v>107</v>
      </c>
      <c r="F928" s="312">
        <v>1825</v>
      </c>
      <c r="G928" s="312" t="s">
        <v>108</v>
      </c>
      <c r="H928" s="312">
        <v>1827</v>
      </c>
      <c r="I928" s="312" t="s">
        <v>107</v>
      </c>
      <c r="J928" s="312">
        <v>1913</v>
      </c>
      <c r="K928" s="312" t="s">
        <v>109</v>
      </c>
    </row>
    <row r="929" spans="1:11">
      <c r="A929" s="312" t="s">
        <v>2100</v>
      </c>
      <c r="B929" s="312" t="s">
        <v>2101</v>
      </c>
      <c r="C929" s="312" t="s">
        <v>105</v>
      </c>
      <c r="D929" s="312" t="s">
        <v>283</v>
      </c>
      <c r="E929" s="312" t="s">
        <v>107</v>
      </c>
      <c r="F929" s="312">
        <v>1825</v>
      </c>
      <c r="G929" s="312" t="s">
        <v>108</v>
      </c>
      <c r="H929" s="312">
        <v>1827</v>
      </c>
      <c r="I929" s="312" t="s">
        <v>107</v>
      </c>
      <c r="J929" s="312">
        <v>1913</v>
      </c>
      <c r="K929" s="312" t="s">
        <v>109</v>
      </c>
    </row>
    <row r="930" spans="1:11">
      <c r="A930" s="312" t="s">
        <v>2102</v>
      </c>
      <c r="B930" s="312" t="s">
        <v>2103</v>
      </c>
      <c r="C930" s="312" t="s">
        <v>105</v>
      </c>
      <c r="D930" s="312" t="s">
        <v>483</v>
      </c>
      <c r="E930" s="312" t="s">
        <v>684</v>
      </c>
      <c r="F930" s="312">
        <v>1750</v>
      </c>
      <c r="G930" s="312" t="s">
        <v>685</v>
      </c>
      <c r="H930" s="312">
        <v>1754</v>
      </c>
      <c r="I930" s="312" t="s">
        <v>684</v>
      </c>
      <c r="J930" s="312">
        <v>1920</v>
      </c>
      <c r="K930" s="312" t="s">
        <v>686</v>
      </c>
    </row>
    <row r="931" spans="1:11">
      <c r="A931" s="312" t="s">
        <v>2104</v>
      </c>
      <c r="B931" s="312" t="s">
        <v>2105</v>
      </c>
      <c r="C931" s="312" t="s">
        <v>105</v>
      </c>
      <c r="D931" s="312" t="s">
        <v>114</v>
      </c>
      <c r="E931" s="312" t="s">
        <v>107</v>
      </c>
      <c r="F931" s="312">
        <v>1825</v>
      </c>
      <c r="G931" s="312" t="s">
        <v>108</v>
      </c>
      <c r="H931" s="312">
        <v>1827</v>
      </c>
      <c r="I931" s="312" t="s">
        <v>107</v>
      </c>
      <c r="J931" s="312">
        <v>1913</v>
      </c>
      <c r="K931" s="312" t="s">
        <v>109</v>
      </c>
    </row>
    <row r="932" spans="1:11">
      <c r="A932" s="312" t="s">
        <v>2106</v>
      </c>
      <c r="B932" s="312" t="s">
        <v>2107</v>
      </c>
      <c r="C932" s="312" t="s">
        <v>105</v>
      </c>
      <c r="D932" s="312" t="s">
        <v>1156</v>
      </c>
      <c r="E932" s="312" t="s">
        <v>107</v>
      </c>
      <c r="F932" s="312">
        <v>1825</v>
      </c>
      <c r="G932" s="312" t="s">
        <v>108</v>
      </c>
      <c r="H932" s="312">
        <v>1827</v>
      </c>
      <c r="I932" s="312" t="s">
        <v>107</v>
      </c>
      <c r="J932" s="312">
        <v>1913</v>
      </c>
      <c r="K932" s="312" t="s">
        <v>109</v>
      </c>
    </row>
    <row r="933" spans="1:11">
      <c r="A933" s="312" t="s">
        <v>2108</v>
      </c>
      <c r="B933" s="312" t="s">
        <v>2109</v>
      </c>
      <c r="C933" s="312" t="s">
        <v>105</v>
      </c>
      <c r="D933" s="312" t="s">
        <v>106</v>
      </c>
      <c r="E933" s="312" t="s">
        <v>107</v>
      </c>
      <c r="F933" s="312">
        <v>1825</v>
      </c>
      <c r="G933" s="312" t="s">
        <v>108</v>
      </c>
      <c r="H933" s="312">
        <v>1827</v>
      </c>
      <c r="I933" s="312" t="s">
        <v>107</v>
      </c>
      <c r="J933" s="312">
        <v>1913</v>
      </c>
      <c r="K933" s="312" t="s">
        <v>109</v>
      </c>
    </row>
    <row r="934" spans="1:11">
      <c r="A934" s="312" t="s">
        <v>2110</v>
      </c>
      <c r="B934" s="312" t="s">
        <v>2111</v>
      </c>
      <c r="C934" s="312" t="s">
        <v>105</v>
      </c>
      <c r="D934" s="312" t="s">
        <v>228</v>
      </c>
      <c r="E934" s="312" t="s">
        <v>167</v>
      </c>
      <c r="F934" s="312">
        <v>1705</v>
      </c>
      <c r="G934" s="312" t="s">
        <v>168</v>
      </c>
      <c r="H934" s="312">
        <v>1707</v>
      </c>
      <c r="I934" s="312" t="s">
        <v>167</v>
      </c>
      <c r="J934" s="312">
        <v>1899</v>
      </c>
      <c r="K934" s="312" t="s">
        <v>169</v>
      </c>
    </row>
    <row r="935" spans="1:11">
      <c r="A935" s="312" t="s">
        <v>2112</v>
      </c>
      <c r="B935" s="312" t="s">
        <v>2113</v>
      </c>
      <c r="C935" s="312" t="s">
        <v>105</v>
      </c>
      <c r="D935" s="312" t="s">
        <v>603</v>
      </c>
      <c r="E935" s="312" t="s">
        <v>107</v>
      </c>
      <c r="F935" s="312">
        <v>1825</v>
      </c>
      <c r="G935" s="312" t="s">
        <v>108</v>
      </c>
      <c r="H935" s="312">
        <v>1827</v>
      </c>
      <c r="I935" s="312" t="s">
        <v>107</v>
      </c>
      <c r="J935" s="312">
        <v>1913</v>
      </c>
      <c r="K935" s="312" t="s">
        <v>109</v>
      </c>
    </row>
    <row r="936" spans="1:11">
      <c r="A936" s="312" t="s">
        <v>2114</v>
      </c>
      <c r="B936" s="312" t="s">
        <v>2115</v>
      </c>
      <c r="C936" s="312" t="s">
        <v>105</v>
      </c>
      <c r="D936" s="312" t="s">
        <v>114</v>
      </c>
      <c r="E936" s="312" t="s">
        <v>107</v>
      </c>
      <c r="F936" s="312">
        <v>1825</v>
      </c>
      <c r="G936" s="312" t="s">
        <v>108</v>
      </c>
      <c r="H936" s="312">
        <v>1827</v>
      </c>
      <c r="I936" s="312" t="s">
        <v>107</v>
      </c>
      <c r="J936" s="312">
        <v>1913</v>
      </c>
      <c r="K936" s="312" t="s">
        <v>109</v>
      </c>
    </row>
    <row r="937" spans="1:11">
      <c r="A937" s="312" t="s">
        <v>2116</v>
      </c>
      <c r="B937" s="312" t="s">
        <v>2117</v>
      </c>
      <c r="C937" s="312" t="s">
        <v>105</v>
      </c>
      <c r="D937" s="312" t="s">
        <v>114</v>
      </c>
      <c r="E937" s="312" t="s">
        <v>107</v>
      </c>
      <c r="F937" s="312">
        <v>1825</v>
      </c>
      <c r="G937" s="312" t="s">
        <v>108</v>
      </c>
      <c r="H937" s="312">
        <v>1827</v>
      </c>
      <c r="I937" s="312" t="s">
        <v>107</v>
      </c>
      <c r="J937" s="312">
        <v>1913</v>
      </c>
      <c r="K937" s="312" t="s">
        <v>109</v>
      </c>
    </row>
    <row r="938" spans="1:11">
      <c r="A938" s="312" t="s">
        <v>2118</v>
      </c>
      <c r="B938" s="312" t="s">
        <v>2119</v>
      </c>
      <c r="C938" s="312" t="s">
        <v>105</v>
      </c>
      <c r="D938" s="312" t="s">
        <v>228</v>
      </c>
      <c r="E938" s="312" t="s">
        <v>167</v>
      </c>
      <c r="F938" s="312">
        <v>1705</v>
      </c>
      <c r="G938" s="312" t="s">
        <v>168</v>
      </c>
      <c r="H938" s="312">
        <v>1707</v>
      </c>
      <c r="I938" s="312" t="s">
        <v>167</v>
      </c>
      <c r="J938" s="312">
        <v>1899</v>
      </c>
      <c r="K938" s="312" t="s">
        <v>169</v>
      </c>
    </row>
    <row r="939" spans="1:11">
      <c r="A939" s="312" t="s">
        <v>2120</v>
      </c>
      <c r="B939" s="312" t="s">
        <v>2121</v>
      </c>
      <c r="C939" s="312" t="s">
        <v>105</v>
      </c>
      <c r="D939" s="312" t="s">
        <v>848</v>
      </c>
      <c r="E939" s="312" t="s">
        <v>886</v>
      </c>
      <c r="F939" s="312">
        <v>1857</v>
      </c>
      <c r="G939" s="312" t="s">
        <v>887</v>
      </c>
      <c r="H939" s="312">
        <v>1858</v>
      </c>
      <c r="I939" s="312" t="s">
        <v>886</v>
      </c>
      <c r="J939" s="312">
        <v>1924</v>
      </c>
      <c r="K939" s="312" t="s">
        <v>888</v>
      </c>
    </row>
    <row r="940" spans="1:11">
      <c r="A940" s="312" t="s">
        <v>2122</v>
      </c>
      <c r="B940" s="312" t="s">
        <v>2123</v>
      </c>
      <c r="C940" s="312" t="s">
        <v>105</v>
      </c>
      <c r="D940" s="312" t="s">
        <v>106</v>
      </c>
      <c r="E940" s="312" t="s">
        <v>107</v>
      </c>
      <c r="F940" s="312">
        <v>1825</v>
      </c>
      <c r="G940" s="312" t="s">
        <v>108</v>
      </c>
      <c r="H940" s="312">
        <v>1827</v>
      </c>
      <c r="I940" s="312" t="s">
        <v>107</v>
      </c>
      <c r="J940" s="312">
        <v>1913</v>
      </c>
      <c r="K940" s="312" t="s">
        <v>109</v>
      </c>
    </row>
    <row r="941" spans="1:11">
      <c r="A941" s="312" t="s">
        <v>2124</v>
      </c>
      <c r="B941" s="312" t="s">
        <v>2125</v>
      </c>
      <c r="C941" s="312" t="s">
        <v>105</v>
      </c>
      <c r="D941" s="312" t="s">
        <v>117</v>
      </c>
      <c r="E941" s="312" t="s">
        <v>107</v>
      </c>
      <c r="F941" s="312">
        <v>1825</v>
      </c>
      <c r="G941" s="312" t="s">
        <v>108</v>
      </c>
      <c r="H941" s="312">
        <v>1827</v>
      </c>
      <c r="I941" s="312" t="s">
        <v>107</v>
      </c>
      <c r="J941" s="312">
        <v>1913</v>
      </c>
      <c r="K941" s="312" t="s">
        <v>109</v>
      </c>
    </row>
    <row r="942" spans="1:11">
      <c r="A942" s="312" t="s">
        <v>2126</v>
      </c>
      <c r="B942" s="312" t="s">
        <v>2127</v>
      </c>
      <c r="C942" s="312" t="s">
        <v>105</v>
      </c>
      <c r="D942" s="312" t="s">
        <v>117</v>
      </c>
      <c r="E942" s="312" t="s">
        <v>107</v>
      </c>
      <c r="F942" s="312">
        <v>1825</v>
      </c>
      <c r="G942" s="312" t="s">
        <v>108</v>
      </c>
      <c r="H942" s="312">
        <v>1827</v>
      </c>
      <c r="I942" s="312" t="s">
        <v>107</v>
      </c>
      <c r="J942" s="312">
        <v>1913</v>
      </c>
      <c r="K942" s="312" t="s">
        <v>109</v>
      </c>
    </row>
    <row r="943" spans="1:11">
      <c r="A943" s="312" t="s">
        <v>2128</v>
      </c>
      <c r="B943" s="312" t="s">
        <v>2129</v>
      </c>
      <c r="C943" s="312" t="s">
        <v>105</v>
      </c>
      <c r="D943" s="312" t="s">
        <v>117</v>
      </c>
      <c r="E943" s="312" t="s">
        <v>107</v>
      </c>
      <c r="F943" s="312">
        <v>1825</v>
      </c>
      <c r="G943" s="312" t="s">
        <v>108</v>
      </c>
      <c r="H943" s="312">
        <v>1827</v>
      </c>
      <c r="I943" s="312" t="s">
        <v>107</v>
      </c>
      <c r="J943" s="312">
        <v>1913</v>
      </c>
      <c r="K943" s="312" t="s">
        <v>109</v>
      </c>
    </row>
    <row r="944" spans="1:11">
      <c r="A944" s="312" t="s">
        <v>2130</v>
      </c>
      <c r="B944" s="312" t="s">
        <v>2131</v>
      </c>
      <c r="C944" s="312" t="s">
        <v>105</v>
      </c>
      <c r="D944" s="312" t="s">
        <v>477</v>
      </c>
      <c r="E944" s="312" t="s">
        <v>107</v>
      </c>
      <c r="F944" s="312">
        <v>1825</v>
      </c>
      <c r="G944" s="312" t="s">
        <v>108</v>
      </c>
      <c r="H944" s="312">
        <v>1827</v>
      </c>
      <c r="I944" s="312" t="s">
        <v>107</v>
      </c>
      <c r="J944" s="312">
        <v>1913</v>
      </c>
      <c r="K944" s="312" t="s">
        <v>109</v>
      </c>
    </row>
    <row r="945" spans="1:11">
      <c r="A945" s="312" t="s">
        <v>2132</v>
      </c>
      <c r="B945" s="312" t="s">
        <v>2133</v>
      </c>
      <c r="C945" s="312" t="s">
        <v>105</v>
      </c>
      <c r="D945" s="312" t="s">
        <v>114</v>
      </c>
      <c r="E945" s="312" t="s">
        <v>107</v>
      </c>
      <c r="F945" s="312">
        <v>1825</v>
      </c>
      <c r="G945" s="312" t="s">
        <v>108</v>
      </c>
      <c r="H945" s="312">
        <v>1827</v>
      </c>
      <c r="I945" s="312" t="s">
        <v>107</v>
      </c>
      <c r="J945" s="312">
        <v>1913</v>
      </c>
      <c r="K945" s="312" t="s">
        <v>109</v>
      </c>
    </row>
    <row r="946" spans="1:11">
      <c r="A946" s="312" t="s">
        <v>2134</v>
      </c>
      <c r="B946" s="312" t="s">
        <v>2135</v>
      </c>
      <c r="C946" s="312" t="s">
        <v>105</v>
      </c>
      <c r="D946" s="312" t="s">
        <v>2136</v>
      </c>
      <c r="E946" s="312" t="s">
        <v>107</v>
      </c>
      <c r="F946" s="312">
        <v>1825</v>
      </c>
      <c r="G946" s="312" t="s">
        <v>108</v>
      </c>
      <c r="H946" s="312">
        <v>1827</v>
      </c>
      <c r="I946" s="312" t="s">
        <v>107</v>
      </c>
      <c r="J946" s="312">
        <v>1913</v>
      </c>
      <c r="K946" s="312" t="s">
        <v>109</v>
      </c>
    </row>
    <row r="947" spans="1:11">
      <c r="A947" s="312" t="s">
        <v>2137</v>
      </c>
      <c r="B947" s="312" t="s">
        <v>2138</v>
      </c>
      <c r="C947" s="312" t="s">
        <v>105</v>
      </c>
      <c r="D947" s="312" t="s">
        <v>504</v>
      </c>
      <c r="E947" s="312" t="s">
        <v>167</v>
      </c>
      <c r="F947" s="312">
        <v>1705</v>
      </c>
      <c r="G947" s="312" t="s">
        <v>168</v>
      </c>
      <c r="H947" s="312">
        <v>1707</v>
      </c>
      <c r="I947" s="312" t="s">
        <v>167</v>
      </c>
      <c r="J947" s="312">
        <v>1899</v>
      </c>
      <c r="K947" s="312" t="s">
        <v>169</v>
      </c>
    </row>
    <row r="948" spans="1:11">
      <c r="A948" s="312" t="s">
        <v>2139</v>
      </c>
      <c r="B948" s="312" t="s">
        <v>2140</v>
      </c>
      <c r="C948" s="312" t="s">
        <v>105</v>
      </c>
      <c r="D948" s="312" t="s">
        <v>332</v>
      </c>
      <c r="E948" s="312" t="s">
        <v>167</v>
      </c>
      <c r="F948" s="312">
        <v>1705</v>
      </c>
      <c r="G948" s="312" t="s">
        <v>168</v>
      </c>
      <c r="H948" s="312">
        <v>1707</v>
      </c>
      <c r="I948" s="312" t="s">
        <v>167</v>
      </c>
      <c r="J948" s="312">
        <v>1899</v>
      </c>
      <c r="K948" s="312" t="s">
        <v>169</v>
      </c>
    </row>
    <row r="949" spans="1:11">
      <c r="A949" s="312" t="s">
        <v>2141</v>
      </c>
      <c r="B949" s="312" t="s">
        <v>2142</v>
      </c>
      <c r="C949" s="312" t="s">
        <v>105</v>
      </c>
      <c r="D949" s="312" t="s">
        <v>332</v>
      </c>
      <c r="E949" s="312" t="s">
        <v>167</v>
      </c>
      <c r="F949" s="312">
        <v>1705</v>
      </c>
      <c r="G949" s="312" t="s">
        <v>168</v>
      </c>
      <c r="H949" s="312">
        <v>1707</v>
      </c>
      <c r="I949" s="312" t="s">
        <v>167</v>
      </c>
      <c r="J949" s="312">
        <v>1899</v>
      </c>
      <c r="K949" s="312" t="s">
        <v>169</v>
      </c>
    </row>
    <row r="950" spans="1:11">
      <c r="A950" s="312" t="s">
        <v>2143</v>
      </c>
      <c r="B950" s="312" t="s">
        <v>2144</v>
      </c>
      <c r="C950" s="312" t="s">
        <v>105</v>
      </c>
      <c r="D950" s="312" t="s">
        <v>332</v>
      </c>
      <c r="E950" s="312" t="s">
        <v>167</v>
      </c>
      <c r="F950" s="312">
        <v>1705</v>
      </c>
      <c r="G950" s="312" t="s">
        <v>168</v>
      </c>
      <c r="H950" s="312">
        <v>1707</v>
      </c>
      <c r="I950" s="312" t="s">
        <v>167</v>
      </c>
      <c r="J950" s="312">
        <v>1899</v>
      </c>
      <c r="K950" s="312" t="s">
        <v>169</v>
      </c>
    </row>
    <row r="951" spans="1:11">
      <c r="A951" s="312" t="s">
        <v>2145</v>
      </c>
      <c r="B951" s="312" t="s">
        <v>2146</v>
      </c>
      <c r="C951" s="312" t="s">
        <v>105</v>
      </c>
      <c r="D951" s="312" t="s">
        <v>332</v>
      </c>
      <c r="E951" s="312" t="s">
        <v>167</v>
      </c>
      <c r="F951" s="312">
        <v>1705</v>
      </c>
      <c r="G951" s="312" t="s">
        <v>168</v>
      </c>
      <c r="H951" s="312">
        <v>1707</v>
      </c>
      <c r="I951" s="312" t="s">
        <v>167</v>
      </c>
      <c r="J951" s="312">
        <v>1899</v>
      </c>
      <c r="K951" s="312" t="s">
        <v>169</v>
      </c>
    </row>
    <row r="952" spans="1:11">
      <c r="A952" s="312" t="s">
        <v>2147</v>
      </c>
      <c r="B952" s="312" t="s">
        <v>2148</v>
      </c>
      <c r="C952" s="312" t="s">
        <v>105</v>
      </c>
      <c r="D952" s="312" t="s">
        <v>332</v>
      </c>
      <c r="E952" s="312" t="s">
        <v>167</v>
      </c>
      <c r="F952" s="312">
        <v>1705</v>
      </c>
      <c r="G952" s="312" t="s">
        <v>168</v>
      </c>
      <c r="H952" s="312">
        <v>1707</v>
      </c>
      <c r="I952" s="312" t="s">
        <v>167</v>
      </c>
      <c r="J952" s="312">
        <v>1899</v>
      </c>
      <c r="K952" s="312" t="s">
        <v>169</v>
      </c>
    </row>
    <row r="953" spans="1:11">
      <c r="A953" s="312" t="s">
        <v>2149</v>
      </c>
      <c r="B953" s="312" t="s">
        <v>2150</v>
      </c>
      <c r="C953" s="312" t="s">
        <v>105</v>
      </c>
      <c r="D953" s="312" t="s">
        <v>477</v>
      </c>
      <c r="E953" s="312" t="s">
        <v>107</v>
      </c>
      <c r="F953" s="312">
        <v>1825</v>
      </c>
      <c r="G953" s="312" t="s">
        <v>108</v>
      </c>
      <c r="H953" s="312">
        <v>1827</v>
      </c>
      <c r="I953" s="312" t="s">
        <v>107</v>
      </c>
      <c r="J953" s="312">
        <v>1913</v>
      </c>
      <c r="K953" s="312" t="s">
        <v>109</v>
      </c>
    </row>
    <row r="954" spans="1:11">
      <c r="A954" s="312" t="s">
        <v>2151</v>
      </c>
      <c r="B954" s="312" t="s">
        <v>2152</v>
      </c>
      <c r="C954" s="312" t="s">
        <v>105</v>
      </c>
      <c r="D954" s="312" t="s">
        <v>343</v>
      </c>
      <c r="E954" s="312" t="s">
        <v>167</v>
      </c>
      <c r="F954" s="312">
        <v>1705</v>
      </c>
      <c r="G954" s="312" t="s">
        <v>168</v>
      </c>
      <c r="H954" s="312">
        <v>1707</v>
      </c>
      <c r="I954" s="312" t="s">
        <v>167</v>
      </c>
      <c r="J954" s="312">
        <v>1899</v>
      </c>
      <c r="K954" s="312" t="s">
        <v>169</v>
      </c>
    </row>
    <row r="955" spans="1:11">
      <c r="A955" s="312" t="s">
        <v>2153</v>
      </c>
      <c r="B955" s="312" t="s">
        <v>2154</v>
      </c>
      <c r="C955" s="312" t="s">
        <v>105</v>
      </c>
      <c r="D955" s="312" t="s">
        <v>343</v>
      </c>
      <c r="E955" s="312" t="s">
        <v>167</v>
      </c>
      <c r="F955" s="312">
        <v>1705</v>
      </c>
      <c r="G955" s="312" t="s">
        <v>168</v>
      </c>
      <c r="H955" s="312">
        <v>1707</v>
      </c>
      <c r="I955" s="312" t="s">
        <v>167</v>
      </c>
      <c r="J955" s="312">
        <v>1899</v>
      </c>
      <c r="K955" s="312" t="s">
        <v>169</v>
      </c>
    </row>
    <row r="956" spans="1:11">
      <c r="A956" s="312" t="s">
        <v>2155</v>
      </c>
      <c r="B956" s="312" t="s">
        <v>2156</v>
      </c>
      <c r="C956" s="312" t="s">
        <v>105</v>
      </c>
      <c r="D956" s="312" t="s">
        <v>343</v>
      </c>
      <c r="E956" s="312" t="s">
        <v>167</v>
      </c>
      <c r="F956" s="312">
        <v>1705</v>
      </c>
      <c r="G956" s="312" t="s">
        <v>168</v>
      </c>
      <c r="H956" s="312">
        <v>1707</v>
      </c>
      <c r="I956" s="312" t="s">
        <v>167</v>
      </c>
      <c r="J956" s="312">
        <v>1899</v>
      </c>
      <c r="K956" s="312" t="s">
        <v>169</v>
      </c>
    </row>
    <row r="957" spans="1:11">
      <c r="A957" s="312" t="s">
        <v>2157</v>
      </c>
      <c r="B957" s="312" t="s">
        <v>2158</v>
      </c>
      <c r="C957" s="312" t="s">
        <v>105</v>
      </c>
      <c r="D957" s="312" t="s">
        <v>343</v>
      </c>
      <c r="E957" s="312" t="s">
        <v>167</v>
      </c>
      <c r="F957" s="312">
        <v>1705</v>
      </c>
      <c r="G957" s="312" t="s">
        <v>168</v>
      </c>
      <c r="H957" s="312">
        <v>1707</v>
      </c>
      <c r="I957" s="312" t="s">
        <v>167</v>
      </c>
      <c r="J957" s="312">
        <v>1899</v>
      </c>
      <c r="K957" s="312" t="s">
        <v>169</v>
      </c>
    </row>
    <row r="958" spans="1:11">
      <c r="A958" s="312" t="s">
        <v>2159</v>
      </c>
      <c r="B958" s="312" t="s">
        <v>2160</v>
      </c>
      <c r="C958" s="312" t="s">
        <v>105</v>
      </c>
      <c r="D958" s="312" t="s">
        <v>343</v>
      </c>
      <c r="E958" s="312" t="s">
        <v>167</v>
      </c>
      <c r="F958" s="312">
        <v>1705</v>
      </c>
      <c r="G958" s="312" t="s">
        <v>168</v>
      </c>
      <c r="H958" s="312">
        <v>1707</v>
      </c>
      <c r="I958" s="312" t="s">
        <v>167</v>
      </c>
      <c r="J958" s="312">
        <v>1899</v>
      </c>
      <c r="K958" s="312" t="s">
        <v>169</v>
      </c>
    </row>
    <row r="959" spans="1:11">
      <c r="A959" s="312" t="s">
        <v>2161</v>
      </c>
      <c r="B959" s="312" t="s">
        <v>2162</v>
      </c>
      <c r="C959" s="312" t="s">
        <v>105</v>
      </c>
      <c r="D959" s="312" t="s">
        <v>343</v>
      </c>
      <c r="E959" s="312" t="s">
        <v>167</v>
      </c>
      <c r="F959" s="312">
        <v>1705</v>
      </c>
      <c r="G959" s="312" t="s">
        <v>168</v>
      </c>
      <c r="H959" s="312">
        <v>1707</v>
      </c>
      <c r="I959" s="312" t="s">
        <v>167</v>
      </c>
      <c r="J959" s="312">
        <v>1899</v>
      </c>
      <c r="K959" s="312" t="s">
        <v>169</v>
      </c>
    </row>
    <row r="960" spans="1:11">
      <c r="A960" s="312" t="s">
        <v>2163</v>
      </c>
      <c r="B960" s="312" t="s">
        <v>2164</v>
      </c>
      <c r="C960" s="312" t="s">
        <v>105</v>
      </c>
      <c r="D960" s="312" t="s">
        <v>343</v>
      </c>
      <c r="E960" s="312" t="s">
        <v>167</v>
      </c>
      <c r="F960" s="312">
        <v>1705</v>
      </c>
      <c r="G960" s="312" t="s">
        <v>168</v>
      </c>
      <c r="H960" s="312">
        <v>1707</v>
      </c>
      <c r="I960" s="312" t="s">
        <v>167</v>
      </c>
      <c r="J960" s="312">
        <v>1899</v>
      </c>
      <c r="K960" s="312" t="s">
        <v>169</v>
      </c>
    </row>
    <row r="961" spans="1:11">
      <c r="A961" s="312" t="s">
        <v>2165</v>
      </c>
      <c r="B961" s="312" t="s">
        <v>2166</v>
      </c>
      <c r="C961" s="312" t="s">
        <v>105</v>
      </c>
      <c r="D961" s="312" t="s">
        <v>343</v>
      </c>
      <c r="E961" s="312" t="s">
        <v>167</v>
      </c>
      <c r="F961" s="312">
        <v>1705</v>
      </c>
      <c r="G961" s="312" t="s">
        <v>168</v>
      </c>
      <c r="H961" s="312">
        <v>1707</v>
      </c>
      <c r="I961" s="312" t="s">
        <v>167</v>
      </c>
      <c r="J961" s="312">
        <v>1899</v>
      </c>
      <c r="K961" s="312" t="s">
        <v>169</v>
      </c>
    </row>
    <row r="962" spans="1:11">
      <c r="A962" s="312" t="s">
        <v>2167</v>
      </c>
      <c r="B962" s="312" t="s">
        <v>2168</v>
      </c>
      <c r="C962" s="312" t="s">
        <v>105</v>
      </c>
      <c r="D962" s="312" t="s">
        <v>343</v>
      </c>
      <c r="E962" s="312" t="s">
        <v>167</v>
      </c>
      <c r="F962" s="312">
        <v>1705</v>
      </c>
      <c r="G962" s="312" t="s">
        <v>168</v>
      </c>
      <c r="H962" s="312">
        <v>1707</v>
      </c>
      <c r="I962" s="312" t="s">
        <v>167</v>
      </c>
      <c r="J962" s="312">
        <v>1899</v>
      </c>
      <c r="K962" s="312" t="s">
        <v>169</v>
      </c>
    </row>
    <row r="963" spans="1:11">
      <c r="A963" s="312" t="s">
        <v>2169</v>
      </c>
      <c r="B963" s="312" t="s">
        <v>2170</v>
      </c>
      <c r="C963" s="312" t="s">
        <v>105</v>
      </c>
      <c r="D963" s="312" t="s">
        <v>343</v>
      </c>
      <c r="E963" s="312" t="s">
        <v>167</v>
      </c>
      <c r="F963" s="312">
        <v>1705</v>
      </c>
      <c r="G963" s="312" t="s">
        <v>168</v>
      </c>
      <c r="H963" s="312">
        <v>1707</v>
      </c>
      <c r="I963" s="312" t="s">
        <v>167</v>
      </c>
      <c r="J963" s="312">
        <v>1899</v>
      </c>
      <c r="K963" s="312" t="s">
        <v>169</v>
      </c>
    </row>
    <row r="964" spans="1:11">
      <c r="A964" s="312" t="s">
        <v>2171</v>
      </c>
      <c r="B964" s="312" t="s">
        <v>2172</v>
      </c>
      <c r="C964" s="312" t="s">
        <v>105</v>
      </c>
      <c r="D964" s="312" t="s">
        <v>343</v>
      </c>
      <c r="E964" s="312" t="s">
        <v>167</v>
      </c>
      <c r="F964" s="312">
        <v>1705</v>
      </c>
      <c r="G964" s="312" t="s">
        <v>168</v>
      </c>
      <c r="H964" s="312">
        <v>1707</v>
      </c>
      <c r="I964" s="312" t="s">
        <v>167</v>
      </c>
      <c r="J964" s="312">
        <v>1899</v>
      </c>
      <c r="K964" s="312" t="s">
        <v>169</v>
      </c>
    </row>
    <row r="965" spans="1:11">
      <c r="A965" s="312" t="s">
        <v>2173</v>
      </c>
      <c r="B965" s="312" t="s">
        <v>2174</v>
      </c>
      <c r="C965" s="312" t="s">
        <v>105</v>
      </c>
      <c r="D965" s="312" t="s">
        <v>343</v>
      </c>
      <c r="E965" s="312" t="s">
        <v>167</v>
      </c>
      <c r="F965" s="312">
        <v>1705</v>
      </c>
      <c r="G965" s="312" t="s">
        <v>168</v>
      </c>
      <c r="H965" s="312">
        <v>1707</v>
      </c>
      <c r="I965" s="312" t="s">
        <v>167</v>
      </c>
      <c r="J965" s="312">
        <v>1899</v>
      </c>
      <c r="K965" s="312" t="s">
        <v>169</v>
      </c>
    </row>
    <row r="966" spans="1:11">
      <c r="A966" s="312" t="s">
        <v>2175</v>
      </c>
      <c r="B966" s="312" t="s">
        <v>2176</v>
      </c>
      <c r="C966" s="312" t="s">
        <v>105</v>
      </c>
      <c r="D966" s="312" t="s">
        <v>343</v>
      </c>
      <c r="E966" s="312" t="s">
        <v>167</v>
      </c>
      <c r="F966" s="312">
        <v>1705</v>
      </c>
      <c r="G966" s="312" t="s">
        <v>168</v>
      </c>
      <c r="H966" s="312">
        <v>1707</v>
      </c>
      <c r="I966" s="312" t="s">
        <v>167</v>
      </c>
      <c r="J966" s="312">
        <v>1899</v>
      </c>
      <c r="K966" s="312" t="s">
        <v>169</v>
      </c>
    </row>
    <row r="967" spans="1:11">
      <c r="A967" s="312" t="s">
        <v>2177</v>
      </c>
      <c r="B967" s="312" t="s">
        <v>2178</v>
      </c>
      <c r="C967" s="312" t="s">
        <v>105</v>
      </c>
      <c r="D967" s="312" t="s">
        <v>343</v>
      </c>
      <c r="E967" s="312" t="s">
        <v>167</v>
      </c>
      <c r="F967" s="312">
        <v>1705</v>
      </c>
      <c r="G967" s="312" t="s">
        <v>168</v>
      </c>
      <c r="H967" s="312">
        <v>1707</v>
      </c>
      <c r="I967" s="312" t="s">
        <v>167</v>
      </c>
      <c r="J967" s="312">
        <v>1899</v>
      </c>
      <c r="K967" s="312" t="s">
        <v>169</v>
      </c>
    </row>
    <row r="968" spans="1:11">
      <c r="A968" s="312" t="s">
        <v>2179</v>
      </c>
      <c r="B968" s="312" t="s">
        <v>2180</v>
      </c>
      <c r="C968" s="312" t="s">
        <v>105</v>
      </c>
      <c r="D968" s="312" t="s">
        <v>343</v>
      </c>
      <c r="E968" s="312" t="s">
        <v>167</v>
      </c>
      <c r="F968" s="312">
        <v>1705</v>
      </c>
      <c r="G968" s="312" t="s">
        <v>168</v>
      </c>
      <c r="H968" s="312">
        <v>1707</v>
      </c>
      <c r="I968" s="312" t="s">
        <v>167</v>
      </c>
      <c r="J968" s="312">
        <v>1899</v>
      </c>
      <c r="K968" s="312" t="s">
        <v>169</v>
      </c>
    </row>
    <row r="969" spans="1:11">
      <c r="A969" s="312" t="s">
        <v>2181</v>
      </c>
      <c r="B969" s="312" t="s">
        <v>2182</v>
      </c>
      <c r="C969" s="312" t="s">
        <v>105</v>
      </c>
      <c r="D969" s="312" t="s">
        <v>343</v>
      </c>
      <c r="E969" s="312" t="s">
        <v>167</v>
      </c>
      <c r="F969" s="312">
        <v>1705</v>
      </c>
      <c r="G969" s="312" t="s">
        <v>168</v>
      </c>
      <c r="H969" s="312">
        <v>1707</v>
      </c>
      <c r="I969" s="312" t="s">
        <v>167</v>
      </c>
      <c r="J969" s="312">
        <v>1899</v>
      </c>
      <c r="K969" s="312" t="s">
        <v>169</v>
      </c>
    </row>
    <row r="970" spans="1:11">
      <c r="A970" s="312" t="s">
        <v>2183</v>
      </c>
      <c r="B970" s="312" t="s">
        <v>2184</v>
      </c>
      <c r="C970" s="312" t="s">
        <v>105</v>
      </c>
      <c r="D970" s="312" t="s">
        <v>343</v>
      </c>
      <c r="E970" s="312" t="s">
        <v>167</v>
      </c>
      <c r="F970" s="312">
        <v>1705</v>
      </c>
      <c r="G970" s="312" t="s">
        <v>168</v>
      </c>
      <c r="H970" s="312">
        <v>1707</v>
      </c>
      <c r="I970" s="312" t="s">
        <v>167</v>
      </c>
      <c r="J970" s="312">
        <v>1899</v>
      </c>
      <c r="K970" s="312" t="s">
        <v>169</v>
      </c>
    </row>
    <row r="971" spans="1:11">
      <c r="A971" s="312" t="s">
        <v>2185</v>
      </c>
      <c r="B971" s="312" t="s">
        <v>2186</v>
      </c>
      <c r="C971" s="312" t="s">
        <v>105</v>
      </c>
      <c r="D971" s="312" t="s">
        <v>343</v>
      </c>
      <c r="E971" s="312" t="s">
        <v>167</v>
      </c>
      <c r="F971" s="312">
        <v>1705</v>
      </c>
      <c r="G971" s="312" t="s">
        <v>168</v>
      </c>
      <c r="H971" s="312">
        <v>1707</v>
      </c>
      <c r="I971" s="312" t="s">
        <v>167</v>
      </c>
      <c r="J971" s="312">
        <v>1899</v>
      </c>
      <c r="K971" s="312" t="s">
        <v>169</v>
      </c>
    </row>
    <row r="972" spans="1:11">
      <c r="A972" s="312" t="s">
        <v>2187</v>
      </c>
      <c r="B972" s="312" t="s">
        <v>2188</v>
      </c>
      <c r="C972" s="312" t="s">
        <v>105</v>
      </c>
      <c r="D972" s="312" t="s">
        <v>343</v>
      </c>
      <c r="E972" s="312" t="s">
        <v>167</v>
      </c>
      <c r="F972" s="312">
        <v>1705</v>
      </c>
      <c r="G972" s="312" t="s">
        <v>168</v>
      </c>
      <c r="H972" s="312">
        <v>1707</v>
      </c>
      <c r="I972" s="312" t="s">
        <v>167</v>
      </c>
      <c r="J972" s="312">
        <v>1899</v>
      </c>
      <c r="K972" s="312" t="s">
        <v>169</v>
      </c>
    </row>
    <row r="973" spans="1:11">
      <c r="A973" s="312" t="s">
        <v>2189</v>
      </c>
      <c r="B973" s="312" t="s">
        <v>2190</v>
      </c>
      <c r="C973" s="312" t="s">
        <v>105</v>
      </c>
      <c r="D973" s="312" t="s">
        <v>343</v>
      </c>
      <c r="E973" s="312" t="s">
        <v>167</v>
      </c>
      <c r="F973" s="312">
        <v>1705</v>
      </c>
      <c r="G973" s="312" t="s">
        <v>168</v>
      </c>
      <c r="H973" s="312">
        <v>1707</v>
      </c>
      <c r="I973" s="312" t="s">
        <v>167</v>
      </c>
      <c r="J973" s="312">
        <v>1899</v>
      </c>
      <c r="K973" s="312" t="s">
        <v>169</v>
      </c>
    </row>
    <row r="974" spans="1:11">
      <c r="A974" s="312" t="s">
        <v>2191</v>
      </c>
      <c r="B974" s="312" t="s">
        <v>2192</v>
      </c>
      <c r="C974" s="312" t="s">
        <v>105</v>
      </c>
      <c r="D974" s="312" t="s">
        <v>343</v>
      </c>
      <c r="E974" s="312" t="s">
        <v>167</v>
      </c>
      <c r="F974" s="312">
        <v>1705</v>
      </c>
      <c r="G974" s="312" t="s">
        <v>168</v>
      </c>
      <c r="H974" s="312">
        <v>1707</v>
      </c>
      <c r="I974" s="312" t="s">
        <v>167</v>
      </c>
      <c r="J974" s="312">
        <v>1899</v>
      </c>
      <c r="K974" s="312" t="s">
        <v>169</v>
      </c>
    </row>
    <row r="975" spans="1:11">
      <c r="A975" s="312" t="s">
        <v>2193</v>
      </c>
      <c r="B975" s="312" t="s">
        <v>2194</v>
      </c>
      <c r="C975" s="312" t="s">
        <v>105</v>
      </c>
      <c r="D975" s="312" t="s">
        <v>343</v>
      </c>
      <c r="E975" s="312" t="s">
        <v>167</v>
      </c>
      <c r="F975" s="312">
        <v>1705</v>
      </c>
      <c r="G975" s="312" t="s">
        <v>168</v>
      </c>
      <c r="H975" s="312">
        <v>1707</v>
      </c>
      <c r="I975" s="312" t="s">
        <v>167</v>
      </c>
      <c r="J975" s="312">
        <v>1899</v>
      </c>
      <c r="K975" s="312" t="s">
        <v>169</v>
      </c>
    </row>
    <row r="976" spans="1:11">
      <c r="A976" s="312" t="s">
        <v>2195</v>
      </c>
      <c r="B976" s="312" t="s">
        <v>2196</v>
      </c>
      <c r="C976" s="312" t="s">
        <v>105</v>
      </c>
      <c r="D976" s="312" t="s">
        <v>343</v>
      </c>
      <c r="E976" s="312" t="s">
        <v>167</v>
      </c>
      <c r="F976" s="312">
        <v>1705</v>
      </c>
      <c r="G976" s="312" t="s">
        <v>168</v>
      </c>
      <c r="H976" s="312">
        <v>1707</v>
      </c>
      <c r="I976" s="312" t="s">
        <v>167</v>
      </c>
      <c r="J976" s="312">
        <v>1899</v>
      </c>
      <c r="K976" s="312" t="s">
        <v>169</v>
      </c>
    </row>
    <row r="977" spans="1:11">
      <c r="A977" s="312" t="s">
        <v>2197</v>
      </c>
      <c r="B977" s="312" t="s">
        <v>2198</v>
      </c>
      <c r="C977" s="312" t="s">
        <v>105</v>
      </c>
      <c r="D977" s="312" t="s">
        <v>343</v>
      </c>
      <c r="E977" s="312" t="s">
        <v>167</v>
      </c>
      <c r="F977" s="312">
        <v>1705</v>
      </c>
      <c r="G977" s="312" t="s">
        <v>168</v>
      </c>
      <c r="H977" s="312">
        <v>1707</v>
      </c>
      <c r="I977" s="312" t="s">
        <v>167</v>
      </c>
      <c r="J977" s="312">
        <v>1899</v>
      </c>
      <c r="K977" s="312" t="s">
        <v>169</v>
      </c>
    </row>
    <row r="978" spans="1:11">
      <c r="A978" s="312" t="s">
        <v>2199</v>
      </c>
      <c r="B978" s="312" t="s">
        <v>2200</v>
      </c>
      <c r="C978" s="312" t="s">
        <v>105</v>
      </c>
      <c r="D978" s="312" t="s">
        <v>343</v>
      </c>
      <c r="E978" s="312" t="s">
        <v>167</v>
      </c>
      <c r="F978" s="312">
        <v>1705</v>
      </c>
      <c r="G978" s="312" t="s">
        <v>168</v>
      </c>
      <c r="H978" s="312">
        <v>1707</v>
      </c>
      <c r="I978" s="312" t="s">
        <v>167</v>
      </c>
      <c r="J978" s="312">
        <v>1899</v>
      </c>
      <c r="K978" s="312" t="s">
        <v>169</v>
      </c>
    </row>
    <row r="979" spans="1:11">
      <c r="A979" s="312" t="s">
        <v>2201</v>
      </c>
      <c r="B979" s="312" t="s">
        <v>2202</v>
      </c>
      <c r="C979" s="312" t="s">
        <v>105</v>
      </c>
      <c r="D979" s="312" t="s">
        <v>343</v>
      </c>
      <c r="E979" s="312" t="s">
        <v>167</v>
      </c>
      <c r="F979" s="312">
        <v>1705</v>
      </c>
      <c r="G979" s="312" t="s">
        <v>168</v>
      </c>
      <c r="H979" s="312">
        <v>1707</v>
      </c>
      <c r="I979" s="312" t="s">
        <v>167</v>
      </c>
      <c r="J979" s="312">
        <v>1899</v>
      </c>
      <c r="K979" s="312" t="s">
        <v>169</v>
      </c>
    </row>
    <row r="980" spans="1:11">
      <c r="A980" s="312" t="s">
        <v>2203</v>
      </c>
      <c r="B980" s="312" t="s">
        <v>2204</v>
      </c>
      <c r="C980" s="312" t="s">
        <v>105</v>
      </c>
      <c r="D980" s="312" t="s">
        <v>343</v>
      </c>
      <c r="E980" s="312" t="s">
        <v>167</v>
      </c>
      <c r="F980" s="312">
        <v>1705</v>
      </c>
      <c r="G980" s="312" t="s">
        <v>168</v>
      </c>
      <c r="H980" s="312">
        <v>1707</v>
      </c>
      <c r="I980" s="312" t="s">
        <v>167</v>
      </c>
      <c r="J980" s="312">
        <v>1899</v>
      </c>
      <c r="K980" s="312" t="s">
        <v>169</v>
      </c>
    </row>
    <row r="981" spans="1:11">
      <c r="A981" s="312" t="s">
        <v>2205</v>
      </c>
      <c r="B981" s="312" t="s">
        <v>2206</v>
      </c>
      <c r="C981" s="312" t="s">
        <v>105</v>
      </c>
      <c r="D981" s="312" t="s">
        <v>343</v>
      </c>
      <c r="E981" s="312" t="s">
        <v>167</v>
      </c>
      <c r="F981" s="312">
        <v>1705</v>
      </c>
      <c r="G981" s="312" t="s">
        <v>168</v>
      </c>
      <c r="H981" s="312">
        <v>1707</v>
      </c>
      <c r="I981" s="312" t="s">
        <v>167</v>
      </c>
      <c r="J981" s="312">
        <v>1899</v>
      </c>
      <c r="K981" s="312" t="s">
        <v>169</v>
      </c>
    </row>
    <row r="982" spans="1:11">
      <c r="A982" s="312" t="s">
        <v>2207</v>
      </c>
      <c r="B982" s="312" t="s">
        <v>2208</v>
      </c>
      <c r="C982" s="312" t="s">
        <v>105</v>
      </c>
      <c r="D982" s="312" t="s">
        <v>343</v>
      </c>
      <c r="E982" s="312" t="s">
        <v>167</v>
      </c>
      <c r="F982" s="312">
        <v>1705</v>
      </c>
      <c r="G982" s="312" t="s">
        <v>168</v>
      </c>
      <c r="H982" s="312">
        <v>1707</v>
      </c>
      <c r="I982" s="312" t="s">
        <v>167</v>
      </c>
      <c r="J982" s="312">
        <v>1899</v>
      </c>
      <c r="K982" s="312" t="s">
        <v>169</v>
      </c>
    </row>
    <row r="983" spans="1:11">
      <c r="A983" s="312" t="s">
        <v>2209</v>
      </c>
      <c r="B983" s="312" t="s">
        <v>2210</v>
      </c>
      <c r="C983" s="312" t="s">
        <v>105</v>
      </c>
      <c r="D983" s="312" t="s">
        <v>2211</v>
      </c>
      <c r="E983" s="312" t="s">
        <v>107</v>
      </c>
      <c r="F983" s="312">
        <v>1825</v>
      </c>
      <c r="G983" s="312" t="s">
        <v>108</v>
      </c>
      <c r="H983" s="312">
        <v>1827</v>
      </c>
      <c r="I983" s="312" t="s">
        <v>107</v>
      </c>
      <c r="J983" s="312">
        <v>1913</v>
      </c>
      <c r="K983" s="312" t="s">
        <v>109</v>
      </c>
    </row>
    <row r="984" spans="1:11">
      <c r="A984" s="312" t="s">
        <v>2212</v>
      </c>
      <c r="B984" s="312" t="s">
        <v>2213</v>
      </c>
      <c r="C984" s="312" t="s">
        <v>105</v>
      </c>
      <c r="D984" s="312" t="s">
        <v>483</v>
      </c>
      <c r="E984" s="312" t="s">
        <v>466</v>
      </c>
      <c r="F984" s="312">
        <v>1796</v>
      </c>
      <c r="G984" s="312" t="s">
        <v>467</v>
      </c>
      <c r="H984" s="312">
        <v>1799</v>
      </c>
      <c r="I984" s="312" t="s">
        <v>466</v>
      </c>
      <c r="J984" s="312">
        <v>1918</v>
      </c>
      <c r="K984" s="312" t="s">
        <v>468</v>
      </c>
    </row>
    <row r="985" spans="1:11">
      <c r="A985" s="312" t="s">
        <v>2214</v>
      </c>
      <c r="B985" s="312" t="s">
        <v>2215</v>
      </c>
      <c r="C985" s="312" t="s">
        <v>105</v>
      </c>
      <c r="D985" s="312" t="s">
        <v>483</v>
      </c>
      <c r="E985" s="312" t="s">
        <v>466</v>
      </c>
      <c r="F985" s="312">
        <v>1796</v>
      </c>
      <c r="G985" s="312" t="s">
        <v>467</v>
      </c>
      <c r="H985" s="312">
        <v>1799</v>
      </c>
      <c r="I985" s="312" t="s">
        <v>466</v>
      </c>
      <c r="J985" s="312">
        <v>1918</v>
      </c>
      <c r="K985" s="312" t="s">
        <v>468</v>
      </c>
    </row>
    <row r="986" spans="1:11">
      <c r="A986" s="312" t="s">
        <v>2216</v>
      </c>
      <c r="B986" s="312" t="s">
        <v>2217</v>
      </c>
      <c r="C986" s="312" t="s">
        <v>105</v>
      </c>
      <c r="D986" s="312" t="s">
        <v>556</v>
      </c>
      <c r="E986" s="312" t="s">
        <v>107</v>
      </c>
      <c r="F986" s="312">
        <v>1825</v>
      </c>
      <c r="G986" s="312" t="s">
        <v>108</v>
      </c>
      <c r="H986" s="312">
        <v>1827</v>
      </c>
      <c r="I986" s="312" t="s">
        <v>107</v>
      </c>
      <c r="J986" s="312">
        <v>1913</v>
      </c>
      <c r="K986" s="312" t="s">
        <v>109</v>
      </c>
    </row>
    <row r="987" spans="1:11">
      <c r="A987" s="312" t="s">
        <v>2218</v>
      </c>
      <c r="B987" s="312" t="s">
        <v>2219</v>
      </c>
      <c r="C987" s="312" t="s">
        <v>105</v>
      </c>
      <c r="D987" s="312" t="s">
        <v>114</v>
      </c>
      <c r="E987" s="312" t="s">
        <v>107</v>
      </c>
      <c r="F987" s="312">
        <v>1825</v>
      </c>
      <c r="G987" s="312" t="s">
        <v>108</v>
      </c>
      <c r="H987" s="312">
        <v>1827</v>
      </c>
      <c r="I987" s="312" t="s">
        <v>107</v>
      </c>
      <c r="J987" s="312">
        <v>1913</v>
      </c>
      <c r="K987" s="312" t="s">
        <v>109</v>
      </c>
    </row>
    <row r="988" spans="1:11">
      <c r="A988" s="312" t="s">
        <v>2220</v>
      </c>
      <c r="B988" s="1" t="s">
        <v>2221</v>
      </c>
      <c r="C988" s="312" t="s">
        <v>105</v>
      </c>
      <c r="D988" s="312" t="s">
        <v>114</v>
      </c>
      <c r="E988" s="312" t="s">
        <v>107</v>
      </c>
      <c r="F988" s="312">
        <v>1825</v>
      </c>
      <c r="G988" s="312" t="s">
        <v>108</v>
      </c>
      <c r="H988" s="312">
        <v>1827</v>
      </c>
      <c r="I988" s="312" t="s">
        <v>107</v>
      </c>
      <c r="J988" s="312">
        <v>1913</v>
      </c>
      <c r="K988" s="312" t="s">
        <v>109</v>
      </c>
    </row>
    <row r="989" spans="1:11">
      <c r="A989" s="312" t="s">
        <v>2222</v>
      </c>
      <c r="B989" s="312" t="s">
        <v>2223</v>
      </c>
      <c r="C989" s="312" t="s">
        <v>105</v>
      </c>
      <c r="D989" s="312" t="s">
        <v>327</v>
      </c>
      <c r="E989" s="312" t="s">
        <v>466</v>
      </c>
      <c r="F989" s="312">
        <v>1796</v>
      </c>
      <c r="G989" s="312" t="s">
        <v>467</v>
      </c>
      <c r="H989" s="312">
        <v>1799</v>
      </c>
      <c r="I989" s="312" t="s">
        <v>466</v>
      </c>
      <c r="J989" s="312">
        <v>1918</v>
      </c>
      <c r="K989" s="312" t="s">
        <v>468</v>
      </c>
    </row>
    <row r="990" spans="1:11">
      <c r="A990" s="312" t="s">
        <v>2224</v>
      </c>
      <c r="B990" s="312" t="s">
        <v>2225</v>
      </c>
      <c r="C990" s="312" t="s">
        <v>105</v>
      </c>
      <c r="D990" s="312" t="s">
        <v>343</v>
      </c>
      <c r="E990" s="312" t="s">
        <v>167</v>
      </c>
      <c r="F990" s="312">
        <v>1705</v>
      </c>
      <c r="G990" s="312" t="s">
        <v>168</v>
      </c>
      <c r="H990" s="312">
        <v>1707</v>
      </c>
      <c r="I990" s="312" t="s">
        <v>167</v>
      </c>
      <c r="J990" s="312">
        <v>1899</v>
      </c>
      <c r="K990" s="312" t="s">
        <v>169</v>
      </c>
    </row>
    <row r="991" spans="1:11">
      <c r="A991" s="312" t="s">
        <v>2226</v>
      </c>
      <c r="B991" s="312" t="s">
        <v>2227</v>
      </c>
      <c r="C991" s="312" t="s">
        <v>105</v>
      </c>
      <c r="D991" s="312" t="s">
        <v>1402</v>
      </c>
      <c r="E991" s="312" t="s">
        <v>167</v>
      </c>
      <c r="F991" s="312">
        <v>1705</v>
      </c>
      <c r="G991" s="312" t="s">
        <v>168</v>
      </c>
      <c r="H991" s="312">
        <v>1707</v>
      </c>
      <c r="I991" s="312" t="s">
        <v>167</v>
      </c>
      <c r="J991" s="312">
        <v>1899</v>
      </c>
      <c r="K991" s="312" t="s">
        <v>169</v>
      </c>
    </row>
    <row r="992" spans="1:11">
      <c r="A992" s="312" t="s">
        <v>2228</v>
      </c>
      <c r="B992" s="312" t="s">
        <v>2229</v>
      </c>
      <c r="C992" s="312" t="s">
        <v>105</v>
      </c>
      <c r="D992" s="312" t="s">
        <v>1402</v>
      </c>
      <c r="E992" s="312" t="s">
        <v>167</v>
      </c>
      <c r="F992" s="312">
        <v>1705</v>
      </c>
      <c r="G992" s="312" t="s">
        <v>168</v>
      </c>
      <c r="H992" s="312">
        <v>1707</v>
      </c>
      <c r="I992" s="312" t="s">
        <v>167</v>
      </c>
      <c r="J992" s="312">
        <v>1899</v>
      </c>
      <c r="K992" s="312" t="s">
        <v>169</v>
      </c>
    </row>
    <row r="993" spans="1:11">
      <c r="A993" s="312" t="s">
        <v>2230</v>
      </c>
      <c r="B993" s="312" t="s">
        <v>2231</v>
      </c>
      <c r="C993" s="312" t="s">
        <v>105</v>
      </c>
      <c r="D993" s="312" t="s">
        <v>1307</v>
      </c>
      <c r="E993" s="312" t="s">
        <v>167</v>
      </c>
      <c r="F993" s="312">
        <v>1705</v>
      </c>
      <c r="G993" s="312" t="s">
        <v>168</v>
      </c>
      <c r="H993" s="312">
        <v>1707</v>
      </c>
      <c r="I993" s="312" t="s">
        <v>167</v>
      </c>
      <c r="J993" s="312">
        <v>1899</v>
      </c>
      <c r="K993" s="312" t="s">
        <v>169</v>
      </c>
    </row>
    <row r="994" spans="1:11">
      <c r="A994" s="312" t="s">
        <v>2232</v>
      </c>
      <c r="B994" s="312" t="s">
        <v>2233</v>
      </c>
      <c r="C994" s="312" t="s">
        <v>105</v>
      </c>
      <c r="D994" s="312" t="s">
        <v>1307</v>
      </c>
      <c r="E994" s="312" t="s">
        <v>167</v>
      </c>
      <c r="F994" s="312">
        <v>1705</v>
      </c>
      <c r="G994" s="312" t="s">
        <v>168</v>
      </c>
      <c r="H994" s="312">
        <v>1707</v>
      </c>
      <c r="I994" s="312" t="s">
        <v>167</v>
      </c>
      <c r="J994" s="312">
        <v>1899</v>
      </c>
      <c r="K994" s="312" t="s">
        <v>169</v>
      </c>
    </row>
    <row r="995" spans="1:11">
      <c r="A995" s="312" t="s">
        <v>2234</v>
      </c>
      <c r="B995" s="312" t="s">
        <v>2235</v>
      </c>
      <c r="C995" s="312" t="s">
        <v>105</v>
      </c>
      <c r="D995" s="312" t="s">
        <v>1307</v>
      </c>
      <c r="E995" s="312" t="s">
        <v>167</v>
      </c>
      <c r="F995" s="312">
        <v>1705</v>
      </c>
      <c r="G995" s="312" t="s">
        <v>168</v>
      </c>
      <c r="H995" s="312">
        <v>1707</v>
      </c>
      <c r="I995" s="312" t="s">
        <v>167</v>
      </c>
      <c r="J995" s="312">
        <v>1899</v>
      </c>
      <c r="K995" s="312" t="s">
        <v>169</v>
      </c>
    </row>
    <row r="996" spans="1:11">
      <c r="A996" s="312" t="s">
        <v>2236</v>
      </c>
      <c r="B996" s="312" t="s">
        <v>2237</v>
      </c>
      <c r="C996" s="312" t="s">
        <v>105</v>
      </c>
      <c r="D996" s="312" t="s">
        <v>507</v>
      </c>
      <c r="E996" s="312" t="s">
        <v>167</v>
      </c>
      <c r="F996" s="312">
        <v>1705</v>
      </c>
      <c r="G996" s="312" t="s">
        <v>168</v>
      </c>
      <c r="H996" s="312">
        <v>1707</v>
      </c>
      <c r="I996" s="312" t="s">
        <v>167</v>
      </c>
      <c r="J996" s="312">
        <v>1899</v>
      </c>
      <c r="K996" s="312" t="s">
        <v>169</v>
      </c>
    </row>
    <row r="997" spans="1:11">
      <c r="A997" s="312" t="s">
        <v>2238</v>
      </c>
      <c r="B997" s="312" t="s">
        <v>2239</v>
      </c>
      <c r="C997" s="312" t="s">
        <v>105</v>
      </c>
      <c r="D997" s="312" t="s">
        <v>507</v>
      </c>
      <c r="E997" s="312" t="s">
        <v>167</v>
      </c>
      <c r="F997" s="312">
        <v>1705</v>
      </c>
      <c r="G997" s="312" t="s">
        <v>168</v>
      </c>
      <c r="H997" s="312">
        <v>1707</v>
      </c>
      <c r="I997" s="312" t="s">
        <v>167</v>
      </c>
      <c r="J997" s="312">
        <v>1899</v>
      </c>
      <c r="K997" s="312" t="s">
        <v>169</v>
      </c>
    </row>
    <row r="998" spans="1:11">
      <c r="A998" s="312" t="s">
        <v>2240</v>
      </c>
      <c r="B998" s="312" t="s">
        <v>2241</v>
      </c>
      <c r="C998" s="312" t="s">
        <v>105</v>
      </c>
      <c r="D998" s="312" t="s">
        <v>1402</v>
      </c>
      <c r="E998" s="312" t="s">
        <v>167</v>
      </c>
      <c r="F998" s="312">
        <v>1705</v>
      </c>
      <c r="G998" s="312" t="s">
        <v>168</v>
      </c>
      <c r="H998" s="312">
        <v>1707</v>
      </c>
      <c r="I998" s="312" t="s">
        <v>167</v>
      </c>
      <c r="J998" s="312">
        <v>1899</v>
      </c>
      <c r="K998" s="312" t="s">
        <v>169</v>
      </c>
    </row>
    <row r="999" spans="1:11">
      <c r="A999" s="312" t="s">
        <v>2242</v>
      </c>
      <c r="B999" s="312" t="s">
        <v>2243</v>
      </c>
      <c r="C999" s="312" t="s">
        <v>105</v>
      </c>
      <c r="D999" s="312" t="s">
        <v>1402</v>
      </c>
      <c r="E999" s="312" t="s">
        <v>167</v>
      </c>
      <c r="F999" s="312">
        <v>1705</v>
      </c>
      <c r="G999" s="312" t="s">
        <v>168</v>
      </c>
      <c r="H999" s="312">
        <v>1707</v>
      </c>
      <c r="I999" s="312" t="s">
        <v>167</v>
      </c>
      <c r="J999" s="312">
        <v>1899</v>
      </c>
      <c r="K999" s="312" t="s">
        <v>169</v>
      </c>
    </row>
    <row r="1000" spans="1:11">
      <c r="A1000" s="312" t="s">
        <v>2244</v>
      </c>
      <c r="B1000" s="312" t="s">
        <v>2245</v>
      </c>
      <c r="C1000" s="312" t="s">
        <v>105</v>
      </c>
      <c r="D1000" s="312" t="s">
        <v>1307</v>
      </c>
      <c r="E1000" s="312" t="s">
        <v>167</v>
      </c>
      <c r="F1000" s="312">
        <v>1705</v>
      </c>
      <c r="G1000" s="312" t="s">
        <v>168</v>
      </c>
      <c r="H1000" s="312">
        <v>1707</v>
      </c>
      <c r="I1000" s="312" t="s">
        <v>167</v>
      </c>
      <c r="J1000" s="312">
        <v>1899</v>
      </c>
      <c r="K1000" s="312" t="s">
        <v>169</v>
      </c>
    </row>
    <row r="1001" spans="1:11">
      <c r="A1001" s="312" t="s">
        <v>2246</v>
      </c>
      <c r="B1001" s="312" t="s">
        <v>2247</v>
      </c>
      <c r="C1001" s="312" t="s">
        <v>105</v>
      </c>
      <c r="D1001" s="312" t="s">
        <v>1307</v>
      </c>
      <c r="E1001" s="312" t="s">
        <v>167</v>
      </c>
      <c r="F1001" s="312">
        <v>1705</v>
      </c>
      <c r="G1001" s="312" t="s">
        <v>168</v>
      </c>
      <c r="H1001" s="312">
        <v>1707</v>
      </c>
      <c r="I1001" s="312" t="s">
        <v>167</v>
      </c>
      <c r="J1001" s="312">
        <v>1899</v>
      </c>
      <c r="K1001" s="312" t="s">
        <v>169</v>
      </c>
    </row>
    <row r="1002" spans="1:11">
      <c r="A1002" s="312" t="s">
        <v>2248</v>
      </c>
      <c r="B1002" s="312" t="s">
        <v>2249</v>
      </c>
      <c r="C1002" s="312" t="s">
        <v>105</v>
      </c>
      <c r="D1002" s="312" t="s">
        <v>1307</v>
      </c>
      <c r="E1002" s="312" t="s">
        <v>167</v>
      </c>
      <c r="F1002" s="312">
        <v>1705</v>
      </c>
      <c r="G1002" s="312" t="s">
        <v>168</v>
      </c>
      <c r="H1002" s="312">
        <v>1707</v>
      </c>
      <c r="I1002" s="312" t="s">
        <v>167</v>
      </c>
      <c r="J1002" s="312">
        <v>1899</v>
      </c>
      <c r="K1002" s="312" t="s">
        <v>169</v>
      </c>
    </row>
    <row r="1003" spans="1:11">
      <c r="A1003" s="312" t="s">
        <v>2250</v>
      </c>
      <c r="B1003" s="312" t="s">
        <v>2251</v>
      </c>
      <c r="C1003" s="312" t="s">
        <v>105</v>
      </c>
      <c r="D1003" s="312" t="s">
        <v>2252</v>
      </c>
      <c r="E1003" s="312" t="s">
        <v>107</v>
      </c>
      <c r="F1003" s="312">
        <v>1825</v>
      </c>
      <c r="G1003" s="312" t="s">
        <v>108</v>
      </c>
      <c r="H1003" s="312">
        <v>1827</v>
      </c>
      <c r="I1003" s="312" t="s">
        <v>107</v>
      </c>
      <c r="J1003" s="312">
        <v>1913</v>
      </c>
      <c r="K1003" s="312" t="s">
        <v>109</v>
      </c>
    </row>
    <row r="1004" spans="1:11">
      <c r="A1004" s="312" t="s">
        <v>2253</v>
      </c>
      <c r="B1004" s="312" t="s">
        <v>2254</v>
      </c>
      <c r="C1004" s="312" t="s">
        <v>105</v>
      </c>
      <c r="D1004" s="312" t="s">
        <v>379</v>
      </c>
      <c r="E1004" s="312" t="s">
        <v>107</v>
      </c>
      <c r="F1004" s="312">
        <v>1825</v>
      </c>
      <c r="G1004" s="312" t="s">
        <v>108</v>
      </c>
      <c r="H1004" s="312">
        <v>1827</v>
      </c>
      <c r="I1004" s="312" t="s">
        <v>107</v>
      </c>
      <c r="J1004" s="312">
        <v>1913</v>
      </c>
      <c r="K1004" s="312" t="s">
        <v>109</v>
      </c>
    </row>
    <row r="1005" spans="1:11">
      <c r="A1005" s="312" t="s">
        <v>2255</v>
      </c>
      <c r="B1005" s="312" t="s">
        <v>2256</v>
      </c>
      <c r="C1005" s="312" t="s">
        <v>105</v>
      </c>
      <c r="D1005" s="312" t="s">
        <v>327</v>
      </c>
      <c r="E1005" s="312" t="s">
        <v>167</v>
      </c>
      <c r="F1005" s="312">
        <v>1705</v>
      </c>
      <c r="G1005" s="312" t="s">
        <v>168</v>
      </c>
      <c r="H1005" s="312">
        <v>1707</v>
      </c>
      <c r="I1005" s="312" t="s">
        <v>167</v>
      </c>
      <c r="J1005" s="312">
        <v>1899</v>
      </c>
      <c r="K1005" s="312" t="s">
        <v>169</v>
      </c>
    </row>
    <row r="1006" spans="1:11">
      <c r="A1006" s="312" t="s">
        <v>2257</v>
      </c>
      <c r="B1006" s="312" t="s">
        <v>2258</v>
      </c>
      <c r="C1006" s="312" t="s">
        <v>105</v>
      </c>
      <c r="D1006" s="312" t="s">
        <v>477</v>
      </c>
      <c r="E1006" s="312" t="s">
        <v>107</v>
      </c>
      <c r="F1006" s="312">
        <v>1825</v>
      </c>
      <c r="G1006" s="312" t="s">
        <v>108</v>
      </c>
      <c r="H1006" s="312">
        <v>1827</v>
      </c>
      <c r="I1006" s="312" t="s">
        <v>107</v>
      </c>
      <c r="J1006" s="312">
        <v>1913</v>
      </c>
      <c r="K1006" s="312" t="s">
        <v>109</v>
      </c>
    </row>
    <row r="1007" spans="1:11">
      <c r="A1007" s="312" t="s">
        <v>2259</v>
      </c>
      <c r="B1007" s="312" t="s">
        <v>2260</v>
      </c>
      <c r="C1007" s="312" t="s">
        <v>105</v>
      </c>
      <c r="D1007" s="312" t="s">
        <v>746</v>
      </c>
      <c r="E1007" s="312" t="s">
        <v>107</v>
      </c>
      <c r="F1007" s="312">
        <v>1825</v>
      </c>
      <c r="G1007" s="312" t="s">
        <v>108</v>
      </c>
      <c r="H1007" s="312">
        <v>1827</v>
      </c>
      <c r="I1007" s="312" t="s">
        <v>107</v>
      </c>
      <c r="J1007" s="312">
        <v>1913</v>
      </c>
      <c r="K1007" s="312" t="s">
        <v>109</v>
      </c>
    </row>
    <row r="1008" spans="1:11">
      <c r="A1008" s="312" t="s">
        <v>2261</v>
      </c>
      <c r="B1008" s="312" t="s">
        <v>2262</v>
      </c>
      <c r="C1008" s="312" t="s">
        <v>105</v>
      </c>
      <c r="D1008" s="312" t="s">
        <v>746</v>
      </c>
      <c r="E1008" s="312" t="s">
        <v>107</v>
      </c>
      <c r="F1008" s="312">
        <v>1825</v>
      </c>
      <c r="G1008" s="312" t="s">
        <v>108</v>
      </c>
      <c r="H1008" s="312">
        <v>1827</v>
      </c>
      <c r="I1008" s="312" t="s">
        <v>107</v>
      </c>
      <c r="J1008" s="312">
        <v>1913</v>
      </c>
      <c r="K1008" s="312" t="s">
        <v>109</v>
      </c>
    </row>
    <row r="1009" spans="1:11">
      <c r="A1009" s="312" t="s">
        <v>2263</v>
      </c>
      <c r="B1009" s="312" t="s">
        <v>2264</v>
      </c>
      <c r="C1009" s="312" t="s">
        <v>105</v>
      </c>
      <c r="D1009" s="312" t="s">
        <v>327</v>
      </c>
      <c r="E1009" s="312" t="s">
        <v>167</v>
      </c>
      <c r="F1009" s="312">
        <v>1705</v>
      </c>
      <c r="G1009" s="312" t="s">
        <v>168</v>
      </c>
      <c r="H1009" s="312">
        <v>1707</v>
      </c>
      <c r="I1009" s="312" t="s">
        <v>167</v>
      </c>
      <c r="J1009" s="312">
        <v>1899</v>
      </c>
      <c r="K1009" s="312" t="s">
        <v>169</v>
      </c>
    </row>
    <row r="1010" spans="1:11">
      <c r="A1010" s="312" t="s">
        <v>2265</v>
      </c>
      <c r="B1010" s="312" t="s">
        <v>2266</v>
      </c>
      <c r="C1010" s="312" t="s">
        <v>105</v>
      </c>
      <c r="D1010" s="312" t="s">
        <v>477</v>
      </c>
      <c r="E1010" s="312" t="s">
        <v>107</v>
      </c>
      <c r="F1010" s="312">
        <v>1825</v>
      </c>
      <c r="G1010" s="312" t="s">
        <v>108</v>
      </c>
      <c r="H1010" s="312">
        <v>1827</v>
      </c>
      <c r="I1010" s="312" t="s">
        <v>107</v>
      </c>
      <c r="J1010" s="312">
        <v>1913</v>
      </c>
      <c r="K1010" s="312" t="s">
        <v>109</v>
      </c>
    </row>
    <row r="1011" spans="1:11">
      <c r="A1011" s="312" t="s">
        <v>2267</v>
      </c>
      <c r="B1011" s="312" t="s">
        <v>2268</v>
      </c>
      <c r="C1011" s="312" t="s">
        <v>105</v>
      </c>
      <c r="D1011" s="312" t="s">
        <v>711</v>
      </c>
      <c r="E1011" s="312" t="s">
        <v>107</v>
      </c>
      <c r="F1011" s="312">
        <v>1825</v>
      </c>
      <c r="G1011" s="312" t="s">
        <v>108</v>
      </c>
      <c r="H1011" s="312">
        <v>1827</v>
      </c>
      <c r="I1011" s="312" t="s">
        <v>107</v>
      </c>
      <c r="J1011" s="312">
        <v>1913</v>
      </c>
      <c r="K1011" s="312" t="s">
        <v>109</v>
      </c>
    </row>
    <row r="1012" spans="1:11">
      <c r="A1012" s="312" t="s">
        <v>2269</v>
      </c>
      <c r="B1012" s="312" t="s">
        <v>2270</v>
      </c>
      <c r="C1012" s="312" t="s">
        <v>105</v>
      </c>
      <c r="D1012" s="312" t="s">
        <v>711</v>
      </c>
      <c r="E1012" s="312" t="s">
        <v>107</v>
      </c>
      <c r="F1012" s="312">
        <v>1825</v>
      </c>
      <c r="G1012" s="312" t="s">
        <v>108</v>
      </c>
      <c r="H1012" s="312">
        <v>1827</v>
      </c>
      <c r="I1012" s="312" t="s">
        <v>107</v>
      </c>
      <c r="J1012" s="312">
        <v>1913</v>
      </c>
      <c r="K1012" s="312" t="s">
        <v>109</v>
      </c>
    </row>
    <row r="1013" spans="1:11">
      <c r="A1013" s="312" t="s">
        <v>2271</v>
      </c>
      <c r="B1013" s="312" t="s">
        <v>2272</v>
      </c>
      <c r="C1013" s="312" t="s">
        <v>105</v>
      </c>
      <c r="D1013" s="312" t="s">
        <v>477</v>
      </c>
      <c r="E1013" s="312" t="s">
        <v>107</v>
      </c>
      <c r="F1013" s="312">
        <v>1825</v>
      </c>
      <c r="G1013" s="312" t="s">
        <v>108</v>
      </c>
      <c r="H1013" s="312">
        <v>1827</v>
      </c>
      <c r="I1013" s="312" t="s">
        <v>107</v>
      </c>
      <c r="J1013" s="312">
        <v>1913</v>
      </c>
      <c r="K1013" s="312" t="s">
        <v>109</v>
      </c>
    </row>
    <row r="1014" spans="1:11">
      <c r="A1014" s="312" t="s">
        <v>2273</v>
      </c>
      <c r="B1014" s="312" t="s">
        <v>2274</v>
      </c>
      <c r="C1014" s="312" t="s">
        <v>105</v>
      </c>
      <c r="D1014" s="312" t="s">
        <v>477</v>
      </c>
      <c r="E1014" s="312" t="s">
        <v>466</v>
      </c>
      <c r="F1014" s="312">
        <v>1796</v>
      </c>
      <c r="G1014" s="312" t="s">
        <v>467</v>
      </c>
      <c r="H1014" s="312">
        <v>1799</v>
      </c>
      <c r="I1014" s="312" t="s">
        <v>466</v>
      </c>
      <c r="J1014" s="312">
        <v>1918</v>
      </c>
      <c r="K1014" s="312" t="s">
        <v>468</v>
      </c>
    </row>
    <row r="1015" spans="1:11">
      <c r="A1015" s="312" t="s">
        <v>2275</v>
      </c>
      <c r="B1015" s="312" t="s">
        <v>2276</v>
      </c>
      <c r="C1015" s="312" t="s">
        <v>105</v>
      </c>
      <c r="D1015" s="312" t="s">
        <v>477</v>
      </c>
      <c r="E1015" s="312" t="s">
        <v>466</v>
      </c>
      <c r="F1015" s="312">
        <v>1796</v>
      </c>
      <c r="G1015" s="312" t="s">
        <v>467</v>
      </c>
      <c r="H1015" s="312">
        <v>1799</v>
      </c>
      <c r="I1015" s="312" t="s">
        <v>466</v>
      </c>
      <c r="J1015" s="312">
        <v>1918</v>
      </c>
      <c r="K1015" s="312" t="s">
        <v>468</v>
      </c>
    </row>
    <row r="1016" spans="1:11">
      <c r="A1016" s="312" t="s">
        <v>2277</v>
      </c>
      <c r="B1016" s="312" t="s">
        <v>2278</v>
      </c>
      <c r="C1016" s="312" t="s">
        <v>105</v>
      </c>
      <c r="D1016" s="312" t="s">
        <v>477</v>
      </c>
      <c r="E1016" s="312" t="s">
        <v>466</v>
      </c>
      <c r="F1016" s="312">
        <v>1796</v>
      </c>
      <c r="G1016" s="312" t="s">
        <v>467</v>
      </c>
      <c r="H1016" s="312">
        <v>1799</v>
      </c>
      <c r="I1016" s="312" t="s">
        <v>466</v>
      </c>
      <c r="J1016" s="312">
        <v>1918</v>
      </c>
      <c r="K1016" s="312" t="s">
        <v>468</v>
      </c>
    </row>
    <row r="1017" spans="1:11">
      <c r="A1017" s="312" t="s">
        <v>2279</v>
      </c>
      <c r="B1017" s="312" t="s">
        <v>2280</v>
      </c>
      <c r="C1017" s="312" t="s">
        <v>105</v>
      </c>
      <c r="D1017" s="312" t="s">
        <v>1701</v>
      </c>
      <c r="E1017" s="312" t="s">
        <v>107</v>
      </c>
      <c r="F1017" s="312">
        <v>1825</v>
      </c>
      <c r="G1017" s="312" t="s">
        <v>108</v>
      </c>
      <c r="H1017" s="312">
        <v>1827</v>
      </c>
      <c r="I1017" s="312" t="s">
        <v>107</v>
      </c>
      <c r="J1017" s="312">
        <v>1913</v>
      </c>
      <c r="K1017" s="312" t="s">
        <v>109</v>
      </c>
    </row>
    <row r="1018" spans="1:11">
      <c r="A1018" s="312" t="s">
        <v>2281</v>
      </c>
      <c r="B1018" s="312" t="s">
        <v>2282</v>
      </c>
      <c r="C1018" s="312" t="s">
        <v>105</v>
      </c>
      <c r="D1018" s="312" t="s">
        <v>853</v>
      </c>
      <c r="E1018" s="312" t="s">
        <v>107</v>
      </c>
      <c r="F1018" s="312">
        <v>1825</v>
      </c>
      <c r="G1018" s="312" t="s">
        <v>108</v>
      </c>
      <c r="H1018" s="312">
        <v>1827</v>
      </c>
      <c r="I1018" s="312" t="s">
        <v>107</v>
      </c>
      <c r="J1018" s="312">
        <v>1913</v>
      </c>
      <c r="K1018" s="312" t="s">
        <v>109</v>
      </c>
    </row>
    <row r="1019" spans="1:11">
      <c r="A1019" s="312" t="s">
        <v>2283</v>
      </c>
      <c r="B1019" s="312" t="s">
        <v>2284</v>
      </c>
      <c r="C1019" s="312" t="s">
        <v>105</v>
      </c>
      <c r="D1019" s="312" t="s">
        <v>2285</v>
      </c>
      <c r="E1019" s="312" t="s">
        <v>107</v>
      </c>
      <c r="F1019" s="312">
        <v>1825</v>
      </c>
      <c r="G1019" s="312" t="s">
        <v>108</v>
      </c>
      <c r="H1019" s="312">
        <v>1827</v>
      </c>
      <c r="I1019" s="312" t="s">
        <v>107</v>
      </c>
      <c r="J1019" s="312">
        <v>1913</v>
      </c>
      <c r="K1019" s="312" t="s">
        <v>109</v>
      </c>
    </row>
    <row r="1020" spans="1:11">
      <c r="A1020" s="312" t="s">
        <v>2286</v>
      </c>
      <c r="B1020" s="312" t="s">
        <v>2287</v>
      </c>
      <c r="C1020" s="312" t="s">
        <v>105</v>
      </c>
      <c r="D1020" s="312" t="s">
        <v>570</v>
      </c>
      <c r="E1020" s="312" t="s">
        <v>684</v>
      </c>
      <c r="F1020" s="312">
        <v>1750</v>
      </c>
      <c r="G1020" s="312" t="s">
        <v>685</v>
      </c>
      <c r="H1020" s="312">
        <v>1754</v>
      </c>
      <c r="I1020" s="312" t="s">
        <v>684</v>
      </c>
      <c r="J1020" s="312">
        <v>1920</v>
      </c>
      <c r="K1020" s="312" t="s">
        <v>686</v>
      </c>
    </row>
    <row r="1021" spans="1:11">
      <c r="A1021" s="312" t="s">
        <v>2288</v>
      </c>
      <c r="B1021" s="312" t="s">
        <v>2289</v>
      </c>
      <c r="C1021" s="312" t="s">
        <v>105</v>
      </c>
      <c r="D1021" s="312" t="s">
        <v>570</v>
      </c>
      <c r="E1021" s="312" t="s">
        <v>684</v>
      </c>
      <c r="F1021" s="312">
        <v>1750</v>
      </c>
      <c r="G1021" s="312" t="s">
        <v>685</v>
      </c>
      <c r="H1021" s="312">
        <v>1754</v>
      </c>
      <c r="I1021" s="312" t="s">
        <v>684</v>
      </c>
      <c r="J1021" s="312">
        <v>1920</v>
      </c>
      <c r="K1021" s="312" t="s">
        <v>686</v>
      </c>
    </row>
    <row r="1022" spans="1:11">
      <c r="A1022" s="312" t="s">
        <v>2290</v>
      </c>
      <c r="B1022" s="312" t="s">
        <v>2291</v>
      </c>
      <c r="C1022" s="312" t="s">
        <v>105</v>
      </c>
      <c r="D1022" s="312" t="s">
        <v>570</v>
      </c>
      <c r="E1022" s="312" t="s">
        <v>684</v>
      </c>
      <c r="F1022" s="312">
        <v>1750</v>
      </c>
      <c r="G1022" s="312" t="s">
        <v>685</v>
      </c>
      <c r="H1022" s="312">
        <v>1754</v>
      </c>
      <c r="I1022" s="312" t="s">
        <v>684</v>
      </c>
      <c r="J1022" s="312">
        <v>1920</v>
      </c>
      <c r="K1022" s="312" t="s">
        <v>686</v>
      </c>
    </row>
    <row r="1023" spans="1:11">
      <c r="A1023" s="312" t="s">
        <v>2292</v>
      </c>
      <c r="B1023" s="312" t="s">
        <v>2293</v>
      </c>
      <c r="C1023" s="312" t="s">
        <v>105</v>
      </c>
      <c r="D1023" s="312" t="s">
        <v>570</v>
      </c>
      <c r="E1023" s="312" t="s">
        <v>684</v>
      </c>
      <c r="F1023" s="312">
        <v>1750</v>
      </c>
      <c r="G1023" s="312" t="s">
        <v>685</v>
      </c>
      <c r="H1023" s="312">
        <v>1754</v>
      </c>
      <c r="I1023" s="312" t="s">
        <v>684</v>
      </c>
      <c r="J1023" s="312">
        <v>1920</v>
      </c>
      <c r="K1023" s="312" t="s">
        <v>686</v>
      </c>
    </row>
    <row r="1024" spans="1:11">
      <c r="A1024" s="312" t="s">
        <v>2294</v>
      </c>
      <c r="B1024" s="312" t="s">
        <v>2295</v>
      </c>
      <c r="C1024" s="312" t="s">
        <v>105</v>
      </c>
      <c r="D1024" s="312" t="s">
        <v>252</v>
      </c>
      <c r="E1024" s="312" t="s">
        <v>167</v>
      </c>
      <c r="F1024" s="312">
        <v>1705</v>
      </c>
      <c r="G1024" s="312" t="s">
        <v>168</v>
      </c>
      <c r="H1024" s="312">
        <v>1707</v>
      </c>
      <c r="I1024" s="312" t="s">
        <v>167</v>
      </c>
      <c r="J1024" s="312">
        <v>1899</v>
      </c>
      <c r="K1024" s="312" t="s">
        <v>169</v>
      </c>
    </row>
    <row r="1025" spans="1:11">
      <c r="A1025" s="312" t="s">
        <v>2296</v>
      </c>
      <c r="B1025" s="312" t="s">
        <v>2297</v>
      </c>
      <c r="C1025" s="312" t="s">
        <v>105</v>
      </c>
      <c r="D1025" s="312" t="s">
        <v>483</v>
      </c>
      <c r="E1025" s="312" t="s">
        <v>107</v>
      </c>
      <c r="F1025" s="312">
        <v>1825</v>
      </c>
      <c r="G1025" s="312" t="s">
        <v>108</v>
      </c>
      <c r="H1025" s="312">
        <v>1827</v>
      </c>
      <c r="I1025" s="312" t="s">
        <v>107</v>
      </c>
      <c r="J1025" s="312">
        <v>1913</v>
      </c>
      <c r="K1025" s="312" t="s">
        <v>109</v>
      </c>
    </row>
    <row r="1026" spans="1:11">
      <c r="A1026" s="312" t="s">
        <v>2298</v>
      </c>
      <c r="B1026" s="312" t="s">
        <v>2299</v>
      </c>
      <c r="C1026" s="312" t="s">
        <v>105</v>
      </c>
      <c r="D1026" s="312" t="s">
        <v>114</v>
      </c>
      <c r="E1026" s="312" t="s">
        <v>107</v>
      </c>
      <c r="F1026" s="312">
        <v>1825</v>
      </c>
      <c r="G1026" s="312" t="s">
        <v>108</v>
      </c>
      <c r="H1026" s="312">
        <v>1827</v>
      </c>
      <c r="I1026" s="312" t="s">
        <v>107</v>
      </c>
      <c r="J1026" s="312">
        <v>1913</v>
      </c>
      <c r="K1026" s="312" t="s">
        <v>109</v>
      </c>
    </row>
    <row r="1027" spans="1:11">
      <c r="A1027" s="312" t="s">
        <v>2300</v>
      </c>
      <c r="B1027" s="312" t="s">
        <v>2301</v>
      </c>
      <c r="C1027" s="312" t="s">
        <v>105</v>
      </c>
      <c r="D1027" s="312" t="s">
        <v>114</v>
      </c>
      <c r="E1027" s="312" t="s">
        <v>107</v>
      </c>
      <c r="F1027" s="312">
        <v>1825</v>
      </c>
      <c r="G1027" s="312" t="s">
        <v>108</v>
      </c>
      <c r="H1027" s="312">
        <v>1827</v>
      </c>
      <c r="I1027" s="312" t="s">
        <v>107</v>
      </c>
      <c r="J1027" s="312">
        <v>1913</v>
      </c>
      <c r="K1027" s="312" t="s">
        <v>109</v>
      </c>
    </row>
    <row r="1028" spans="1:11">
      <c r="A1028" s="312" t="s">
        <v>2302</v>
      </c>
      <c r="B1028" s="312" t="s">
        <v>2303</v>
      </c>
      <c r="C1028" s="312" t="s">
        <v>105</v>
      </c>
      <c r="D1028" s="312" t="s">
        <v>114</v>
      </c>
      <c r="E1028" s="312" t="s">
        <v>107</v>
      </c>
      <c r="F1028" s="312">
        <v>1825</v>
      </c>
      <c r="G1028" s="312" t="s">
        <v>108</v>
      </c>
      <c r="H1028" s="312">
        <v>1827</v>
      </c>
      <c r="I1028" s="312" t="s">
        <v>107</v>
      </c>
      <c r="J1028" s="312">
        <v>1913</v>
      </c>
      <c r="K1028" s="312" t="s">
        <v>109</v>
      </c>
    </row>
    <row r="1029" spans="1:11">
      <c r="A1029" s="312" t="s">
        <v>2304</v>
      </c>
      <c r="B1029" s="312" t="s">
        <v>2305</v>
      </c>
      <c r="C1029" s="312" t="s">
        <v>105</v>
      </c>
      <c r="D1029" s="312" t="s">
        <v>106</v>
      </c>
      <c r="E1029" s="312" t="s">
        <v>107</v>
      </c>
      <c r="F1029" s="312">
        <v>1825</v>
      </c>
      <c r="G1029" s="312" t="s">
        <v>108</v>
      </c>
      <c r="H1029" s="312">
        <v>1827</v>
      </c>
      <c r="I1029" s="312" t="s">
        <v>107</v>
      </c>
      <c r="J1029" s="312">
        <v>1913</v>
      </c>
      <c r="K1029" s="312" t="s">
        <v>109</v>
      </c>
    </row>
    <row r="1030" spans="1:11">
      <c r="A1030" s="312" t="s">
        <v>2306</v>
      </c>
      <c r="B1030" s="312" t="s">
        <v>2307</v>
      </c>
      <c r="C1030" s="312" t="s">
        <v>105</v>
      </c>
      <c r="D1030" s="312" t="s">
        <v>556</v>
      </c>
      <c r="E1030" s="312" t="s">
        <v>107</v>
      </c>
      <c r="F1030" s="312">
        <v>1825</v>
      </c>
      <c r="G1030" s="312" t="s">
        <v>108</v>
      </c>
      <c r="H1030" s="312">
        <v>1827</v>
      </c>
      <c r="I1030" s="312" t="s">
        <v>107</v>
      </c>
      <c r="J1030" s="312">
        <v>1913</v>
      </c>
      <c r="K1030" s="312" t="s">
        <v>109</v>
      </c>
    </row>
    <row r="1031" spans="1:11">
      <c r="A1031" s="312" t="s">
        <v>2308</v>
      </c>
      <c r="B1031" s="312" t="s">
        <v>2309</v>
      </c>
      <c r="C1031" s="312" t="s">
        <v>105</v>
      </c>
      <c r="D1031" s="312" t="s">
        <v>556</v>
      </c>
      <c r="E1031" s="312" t="s">
        <v>107</v>
      </c>
      <c r="F1031" s="312">
        <v>1825</v>
      </c>
      <c r="G1031" s="312" t="s">
        <v>108</v>
      </c>
      <c r="H1031" s="312">
        <v>1827</v>
      </c>
      <c r="I1031" s="312" t="s">
        <v>107</v>
      </c>
      <c r="J1031" s="312">
        <v>1913</v>
      </c>
      <c r="K1031" s="312" t="s">
        <v>109</v>
      </c>
    </row>
    <row r="1032" spans="1:11">
      <c r="A1032" s="312" t="s">
        <v>2310</v>
      </c>
      <c r="B1032" s="312" t="s">
        <v>2311</v>
      </c>
      <c r="C1032" s="312" t="s">
        <v>105</v>
      </c>
      <c r="D1032" s="312" t="s">
        <v>312</v>
      </c>
      <c r="E1032" s="312" t="s">
        <v>107</v>
      </c>
      <c r="F1032" s="312">
        <v>1825</v>
      </c>
      <c r="G1032" s="312" t="s">
        <v>108</v>
      </c>
      <c r="H1032" s="312">
        <v>1827</v>
      </c>
      <c r="I1032" s="312" t="s">
        <v>107</v>
      </c>
      <c r="J1032" s="312">
        <v>1913</v>
      </c>
      <c r="K1032" s="312" t="s">
        <v>109</v>
      </c>
    </row>
    <row r="1033" spans="1:11">
      <c r="A1033" s="312" t="s">
        <v>2312</v>
      </c>
      <c r="B1033" s="312" t="s">
        <v>2313</v>
      </c>
      <c r="C1033" s="312" t="s">
        <v>105</v>
      </c>
      <c r="D1033" s="312" t="s">
        <v>2314</v>
      </c>
      <c r="E1033" s="312" t="s">
        <v>167</v>
      </c>
      <c r="F1033" s="312">
        <v>1705</v>
      </c>
      <c r="G1033" s="312" t="s">
        <v>168</v>
      </c>
      <c r="H1033" s="312">
        <v>1707</v>
      </c>
      <c r="I1033" s="312" t="s">
        <v>167</v>
      </c>
      <c r="J1033" s="312">
        <v>1899</v>
      </c>
      <c r="K1033" s="312" t="s">
        <v>169</v>
      </c>
    </row>
    <row r="1034" spans="1:11">
      <c r="A1034" s="312" t="s">
        <v>2315</v>
      </c>
      <c r="B1034" s="312" t="s">
        <v>2316</v>
      </c>
      <c r="C1034" s="312" t="s">
        <v>105</v>
      </c>
      <c r="D1034" s="312" t="s">
        <v>435</v>
      </c>
      <c r="E1034" s="312" t="s">
        <v>107</v>
      </c>
      <c r="F1034" s="312">
        <v>1825</v>
      </c>
      <c r="G1034" s="312" t="s">
        <v>108</v>
      </c>
      <c r="H1034" s="312">
        <v>1827</v>
      </c>
      <c r="I1034" s="312" t="s">
        <v>107</v>
      </c>
      <c r="J1034" s="312">
        <v>1913</v>
      </c>
      <c r="K1034" s="312" t="s">
        <v>109</v>
      </c>
    </row>
    <row r="1035" spans="1:11">
      <c r="A1035" s="312" t="s">
        <v>2317</v>
      </c>
      <c r="B1035" s="312" t="s">
        <v>2318</v>
      </c>
      <c r="C1035" s="312" t="s">
        <v>105</v>
      </c>
      <c r="D1035" s="312" t="s">
        <v>2319</v>
      </c>
      <c r="E1035" s="312" t="s">
        <v>107</v>
      </c>
      <c r="F1035" s="312">
        <v>1825</v>
      </c>
      <c r="G1035" s="312" t="s">
        <v>108</v>
      </c>
      <c r="H1035" s="312">
        <v>1827</v>
      </c>
      <c r="I1035" s="312" t="s">
        <v>107</v>
      </c>
      <c r="J1035" s="312">
        <v>1913</v>
      </c>
      <c r="K1035" s="312" t="s">
        <v>109</v>
      </c>
    </row>
    <row r="1036" spans="1:11">
      <c r="A1036" s="312" t="s">
        <v>2320</v>
      </c>
      <c r="B1036" s="312" t="s">
        <v>2321</v>
      </c>
      <c r="C1036" s="312" t="s">
        <v>105</v>
      </c>
      <c r="D1036" s="312" t="s">
        <v>1156</v>
      </c>
      <c r="E1036" s="312" t="s">
        <v>107</v>
      </c>
      <c r="F1036" s="312">
        <v>1825</v>
      </c>
      <c r="G1036" s="312" t="s">
        <v>108</v>
      </c>
      <c r="H1036" s="312">
        <v>1827</v>
      </c>
      <c r="I1036" s="312" t="s">
        <v>107</v>
      </c>
      <c r="J1036" s="312">
        <v>1913</v>
      </c>
      <c r="K1036" s="312" t="s">
        <v>109</v>
      </c>
    </row>
    <row r="1037" spans="1:11">
      <c r="A1037" s="312" t="s">
        <v>2322</v>
      </c>
      <c r="B1037" s="312" t="s">
        <v>2323</v>
      </c>
      <c r="C1037" s="312" t="s">
        <v>105</v>
      </c>
      <c r="D1037" s="312" t="s">
        <v>494</v>
      </c>
      <c r="E1037" s="312" t="s">
        <v>107</v>
      </c>
      <c r="F1037" s="312">
        <v>1825</v>
      </c>
      <c r="G1037" s="312" t="s">
        <v>108</v>
      </c>
      <c r="H1037" s="312">
        <v>1827</v>
      </c>
      <c r="I1037" s="312" t="s">
        <v>107</v>
      </c>
      <c r="J1037" s="312">
        <v>1913</v>
      </c>
      <c r="K1037" s="312" t="s">
        <v>109</v>
      </c>
    </row>
    <row r="1038" spans="1:11">
      <c r="A1038" s="312" t="s">
        <v>2324</v>
      </c>
      <c r="B1038" s="312" t="s">
        <v>2325</v>
      </c>
      <c r="C1038" s="312" t="s">
        <v>105</v>
      </c>
      <c r="D1038" s="312" t="s">
        <v>114</v>
      </c>
      <c r="E1038" s="312" t="s">
        <v>107</v>
      </c>
      <c r="F1038" s="312">
        <v>1825</v>
      </c>
      <c r="G1038" s="312" t="s">
        <v>108</v>
      </c>
      <c r="H1038" s="312">
        <v>1827</v>
      </c>
      <c r="I1038" s="312" t="s">
        <v>107</v>
      </c>
      <c r="J1038" s="312">
        <v>1913</v>
      </c>
      <c r="K1038" s="312" t="s">
        <v>109</v>
      </c>
    </row>
    <row r="1039" spans="1:11">
      <c r="A1039" s="312" t="s">
        <v>2326</v>
      </c>
      <c r="B1039" s="312" t="s">
        <v>2327</v>
      </c>
      <c r="C1039" s="312" t="s">
        <v>105</v>
      </c>
      <c r="D1039" s="312" t="s">
        <v>114</v>
      </c>
      <c r="E1039" s="312" t="s">
        <v>107</v>
      </c>
      <c r="F1039" s="312">
        <v>1825</v>
      </c>
      <c r="G1039" s="312" t="s">
        <v>108</v>
      </c>
      <c r="H1039" s="312">
        <v>1827</v>
      </c>
      <c r="I1039" s="312" t="s">
        <v>107</v>
      </c>
      <c r="J1039" s="312">
        <v>1913</v>
      </c>
      <c r="K1039" s="312" t="s">
        <v>109</v>
      </c>
    </row>
    <row r="1040" spans="1:11">
      <c r="A1040" s="312" t="s">
        <v>2328</v>
      </c>
      <c r="B1040" s="312" t="s">
        <v>2329</v>
      </c>
      <c r="C1040" s="312" t="s">
        <v>105</v>
      </c>
      <c r="D1040" s="312" t="s">
        <v>587</v>
      </c>
      <c r="E1040" s="312" t="s">
        <v>107</v>
      </c>
      <c r="F1040" s="312">
        <v>1825</v>
      </c>
      <c r="G1040" s="312" t="s">
        <v>108</v>
      </c>
      <c r="H1040" s="312">
        <v>1827</v>
      </c>
      <c r="I1040" s="312" t="s">
        <v>107</v>
      </c>
      <c r="J1040" s="312">
        <v>1913</v>
      </c>
      <c r="K1040" s="312" t="s">
        <v>109</v>
      </c>
    </row>
    <row r="1041" spans="1:11">
      <c r="A1041" s="312" t="s">
        <v>2330</v>
      </c>
      <c r="B1041" s="312" t="s">
        <v>2331</v>
      </c>
      <c r="C1041" s="312" t="s">
        <v>105</v>
      </c>
      <c r="D1041" s="312" t="s">
        <v>283</v>
      </c>
      <c r="E1041" s="312" t="s">
        <v>107</v>
      </c>
      <c r="F1041" s="312">
        <v>1825</v>
      </c>
      <c r="G1041" s="312" t="s">
        <v>108</v>
      </c>
      <c r="H1041" s="312">
        <v>1827</v>
      </c>
      <c r="I1041" s="312" t="s">
        <v>107</v>
      </c>
      <c r="J1041" s="312">
        <v>1913</v>
      </c>
      <c r="K1041" s="312" t="s">
        <v>109</v>
      </c>
    </row>
    <row r="1042" spans="1:11">
      <c r="A1042" s="312" t="s">
        <v>2332</v>
      </c>
      <c r="B1042" s="312" t="s">
        <v>2333</v>
      </c>
      <c r="C1042" s="312" t="s">
        <v>105</v>
      </c>
      <c r="D1042" s="312" t="s">
        <v>587</v>
      </c>
      <c r="E1042" s="312" t="s">
        <v>107</v>
      </c>
      <c r="F1042" s="312">
        <v>1825</v>
      </c>
      <c r="G1042" s="312" t="s">
        <v>108</v>
      </c>
      <c r="H1042" s="312">
        <v>1827</v>
      </c>
      <c r="I1042" s="312" t="s">
        <v>107</v>
      </c>
      <c r="J1042" s="312">
        <v>1913</v>
      </c>
      <c r="K1042" s="312" t="s">
        <v>109</v>
      </c>
    </row>
    <row r="1043" spans="1:11">
      <c r="A1043" s="312" t="s">
        <v>2334</v>
      </c>
      <c r="B1043" s="312" t="s">
        <v>2335</v>
      </c>
      <c r="C1043" s="312" t="s">
        <v>105</v>
      </c>
      <c r="D1043" s="312" t="s">
        <v>283</v>
      </c>
      <c r="E1043" s="312" t="s">
        <v>107</v>
      </c>
      <c r="F1043" s="312">
        <v>1825</v>
      </c>
      <c r="G1043" s="312" t="s">
        <v>108</v>
      </c>
      <c r="H1043" s="312">
        <v>1827</v>
      </c>
      <c r="I1043" s="312" t="s">
        <v>107</v>
      </c>
      <c r="J1043" s="312">
        <v>1913</v>
      </c>
      <c r="K1043" s="312" t="s">
        <v>109</v>
      </c>
    </row>
    <row r="1044" spans="1:11">
      <c r="A1044" s="312" t="s">
        <v>2336</v>
      </c>
      <c r="B1044" s="312" t="s">
        <v>2337</v>
      </c>
      <c r="C1044" s="312" t="s">
        <v>105</v>
      </c>
      <c r="D1044" s="312" t="s">
        <v>283</v>
      </c>
      <c r="E1044" s="312" t="s">
        <v>107</v>
      </c>
      <c r="F1044" s="312">
        <v>1825</v>
      </c>
      <c r="G1044" s="312" t="s">
        <v>108</v>
      </c>
      <c r="H1044" s="312">
        <v>1827</v>
      </c>
      <c r="I1044" s="312" t="s">
        <v>107</v>
      </c>
      <c r="J1044" s="312">
        <v>1913</v>
      </c>
      <c r="K1044" s="312" t="s">
        <v>109</v>
      </c>
    </row>
    <row r="1045" spans="1:11">
      <c r="A1045" s="312" t="s">
        <v>2338</v>
      </c>
      <c r="B1045" s="312" t="s">
        <v>2339</v>
      </c>
      <c r="C1045" s="312" t="s">
        <v>105</v>
      </c>
      <c r="D1045" s="312" t="s">
        <v>283</v>
      </c>
      <c r="E1045" s="312" t="s">
        <v>107</v>
      </c>
      <c r="F1045" s="312">
        <v>1825</v>
      </c>
      <c r="G1045" s="312" t="s">
        <v>108</v>
      </c>
      <c r="H1045" s="312">
        <v>1827</v>
      </c>
      <c r="I1045" s="312" t="s">
        <v>107</v>
      </c>
      <c r="J1045" s="312">
        <v>1913</v>
      </c>
      <c r="K1045" s="312" t="s">
        <v>109</v>
      </c>
    </row>
    <row r="1046" spans="1:11">
      <c r="A1046" s="312" t="s">
        <v>2340</v>
      </c>
      <c r="B1046" s="312" t="s">
        <v>2341</v>
      </c>
      <c r="C1046" s="312" t="s">
        <v>105</v>
      </c>
      <c r="D1046" s="312" t="s">
        <v>283</v>
      </c>
      <c r="E1046" s="312" t="s">
        <v>107</v>
      </c>
      <c r="F1046" s="312">
        <v>1825</v>
      </c>
      <c r="G1046" s="312" t="s">
        <v>108</v>
      </c>
      <c r="H1046" s="312">
        <v>1827</v>
      </c>
      <c r="I1046" s="312" t="s">
        <v>107</v>
      </c>
      <c r="J1046" s="312">
        <v>1913</v>
      </c>
      <c r="K1046" s="312" t="s">
        <v>109</v>
      </c>
    </row>
    <row r="1047" spans="1:11">
      <c r="A1047" s="312" t="s">
        <v>2342</v>
      </c>
      <c r="B1047" s="312" t="s">
        <v>2343</v>
      </c>
      <c r="C1047" s="312" t="s">
        <v>105</v>
      </c>
      <c r="D1047" s="312" t="s">
        <v>438</v>
      </c>
      <c r="E1047" s="312" t="s">
        <v>107</v>
      </c>
      <c r="F1047" s="312">
        <v>1825</v>
      </c>
      <c r="G1047" s="312" t="s">
        <v>108</v>
      </c>
      <c r="H1047" s="312">
        <v>1827</v>
      </c>
      <c r="I1047" s="312" t="s">
        <v>107</v>
      </c>
      <c r="J1047" s="312">
        <v>1913</v>
      </c>
      <c r="K1047" s="312" t="s">
        <v>109</v>
      </c>
    </row>
    <row r="1048" spans="1:11">
      <c r="A1048" s="312" t="s">
        <v>2344</v>
      </c>
      <c r="B1048" s="312" t="s">
        <v>2345</v>
      </c>
      <c r="C1048" s="312" t="s">
        <v>105</v>
      </c>
      <c r="D1048" s="312" t="s">
        <v>438</v>
      </c>
      <c r="E1048" s="312" t="s">
        <v>107</v>
      </c>
      <c r="F1048" s="312">
        <v>1825</v>
      </c>
      <c r="G1048" s="312" t="s">
        <v>108</v>
      </c>
      <c r="H1048" s="312">
        <v>1827</v>
      </c>
      <c r="I1048" s="312" t="s">
        <v>107</v>
      </c>
      <c r="J1048" s="312">
        <v>1913</v>
      </c>
      <c r="K1048" s="312" t="s">
        <v>109</v>
      </c>
    </row>
    <row r="1049" spans="1:11">
      <c r="A1049" s="312" t="s">
        <v>2346</v>
      </c>
      <c r="B1049" s="312" t="s">
        <v>2347</v>
      </c>
      <c r="C1049" s="312" t="s">
        <v>105</v>
      </c>
      <c r="D1049" s="312" t="s">
        <v>252</v>
      </c>
      <c r="E1049" s="312" t="s">
        <v>167</v>
      </c>
      <c r="F1049" s="312">
        <v>1705</v>
      </c>
      <c r="G1049" s="312" t="s">
        <v>168</v>
      </c>
      <c r="H1049" s="312">
        <v>1707</v>
      </c>
      <c r="I1049" s="312" t="s">
        <v>167</v>
      </c>
      <c r="J1049" s="312">
        <v>1899</v>
      </c>
      <c r="K1049" s="312" t="s">
        <v>169</v>
      </c>
    </row>
    <row r="1050" spans="1:11">
      <c r="A1050" s="312" t="s">
        <v>2348</v>
      </c>
      <c r="B1050" s="312" t="s">
        <v>2349</v>
      </c>
      <c r="C1050" s="312" t="s">
        <v>105</v>
      </c>
      <c r="D1050" s="312" t="s">
        <v>517</v>
      </c>
      <c r="E1050" s="312" t="s">
        <v>107</v>
      </c>
      <c r="F1050" s="312">
        <v>1825</v>
      </c>
      <c r="G1050" s="312" t="s">
        <v>108</v>
      </c>
      <c r="H1050" s="312">
        <v>1827</v>
      </c>
      <c r="I1050" s="312" t="s">
        <v>107</v>
      </c>
      <c r="J1050" s="312">
        <v>1913</v>
      </c>
      <c r="K1050" s="312" t="s">
        <v>109</v>
      </c>
    </row>
    <row r="1051" spans="1:11">
      <c r="A1051" s="312" t="s">
        <v>2350</v>
      </c>
      <c r="B1051" s="312" t="s">
        <v>2351</v>
      </c>
      <c r="C1051" s="312" t="s">
        <v>105</v>
      </c>
      <c r="D1051" s="312" t="s">
        <v>483</v>
      </c>
      <c r="E1051" s="312" t="s">
        <v>466</v>
      </c>
      <c r="F1051" s="312">
        <v>1796</v>
      </c>
      <c r="G1051" s="312" t="s">
        <v>467</v>
      </c>
      <c r="H1051" s="312">
        <v>1799</v>
      </c>
      <c r="I1051" s="312" t="s">
        <v>466</v>
      </c>
      <c r="J1051" s="312">
        <v>1918</v>
      </c>
      <c r="K1051" s="312" t="s">
        <v>468</v>
      </c>
    </row>
    <row r="1052" spans="1:11">
      <c r="A1052" s="312" t="s">
        <v>2352</v>
      </c>
      <c r="B1052" s="312" t="s">
        <v>2353</v>
      </c>
      <c r="C1052" s="312" t="s">
        <v>105</v>
      </c>
      <c r="D1052" s="312" t="s">
        <v>483</v>
      </c>
      <c r="E1052" s="312" t="s">
        <v>466</v>
      </c>
      <c r="F1052" s="312">
        <v>1796</v>
      </c>
      <c r="G1052" s="312" t="s">
        <v>467</v>
      </c>
      <c r="H1052" s="312">
        <v>1799</v>
      </c>
      <c r="I1052" s="312" t="s">
        <v>466</v>
      </c>
      <c r="J1052" s="312">
        <v>1918</v>
      </c>
      <c r="K1052" s="312" t="s">
        <v>468</v>
      </c>
    </row>
    <row r="1053" spans="1:11">
      <c r="A1053" s="312" t="s">
        <v>2354</v>
      </c>
      <c r="B1053" s="312" t="s">
        <v>2355</v>
      </c>
      <c r="C1053" s="312" t="s">
        <v>105</v>
      </c>
      <c r="D1053" s="312" t="s">
        <v>483</v>
      </c>
      <c r="E1053" s="312" t="s">
        <v>466</v>
      </c>
      <c r="F1053" s="312">
        <v>1796</v>
      </c>
      <c r="G1053" s="312" t="s">
        <v>467</v>
      </c>
      <c r="H1053" s="312">
        <v>1799</v>
      </c>
      <c r="I1053" s="312" t="s">
        <v>466</v>
      </c>
      <c r="J1053" s="312">
        <v>1918</v>
      </c>
      <c r="K1053" s="312" t="s">
        <v>468</v>
      </c>
    </row>
    <row r="1054" spans="1:11">
      <c r="A1054" s="312" t="s">
        <v>2356</v>
      </c>
      <c r="B1054" s="312" t="s">
        <v>2357</v>
      </c>
      <c r="C1054" s="312" t="s">
        <v>105</v>
      </c>
      <c r="D1054" s="312" t="s">
        <v>483</v>
      </c>
      <c r="E1054" s="312" t="s">
        <v>466</v>
      </c>
      <c r="F1054" s="312">
        <v>1796</v>
      </c>
      <c r="G1054" s="312" t="s">
        <v>467</v>
      </c>
      <c r="H1054" s="312">
        <v>1799</v>
      </c>
      <c r="I1054" s="312" t="s">
        <v>466</v>
      </c>
      <c r="J1054" s="312">
        <v>1918</v>
      </c>
      <c r="K1054" s="312" t="s">
        <v>468</v>
      </c>
    </row>
    <row r="1055" spans="1:11">
      <c r="A1055" s="312" t="s">
        <v>2358</v>
      </c>
      <c r="B1055" s="312" t="s">
        <v>2359</v>
      </c>
      <c r="C1055" s="312" t="s">
        <v>105</v>
      </c>
      <c r="D1055" s="312" t="s">
        <v>483</v>
      </c>
      <c r="E1055" s="312" t="s">
        <v>466</v>
      </c>
      <c r="F1055" s="312">
        <v>1796</v>
      </c>
      <c r="G1055" s="312" t="s">
        <v>467</v>
      </c>
      <c r="H1055" s="312">
        <v>1799</v>
      </c>
      <c r="I1055" s="312" t="s">
        <v>466</v>
      </c>
      <c r="J1055" s="312">
        <v>1918</v>
      </c>
      <c r="K1055" s="312" t="s">
        <v>468</v>
      </c>
    </row>
    <row r="1056" spans="1:11">
      <c r="A1056" s="312" t="s">
        <v>2360</v>
      </c>
      <c r="B1056" s="312" t="s">
        <v>2361</v>
      </c>
      <c r="C1056" s="312" t="s">
        <v>105</v>
      </c>
      <c r="D1056" s="312" t="s">
        <v>483</v>
      </c>
      <c r="E1056" s="312" t="s">
        <v>466</v>
      </c>
      <c r="F1056" s="312">
        <v>1796</v>
      </c>
      <c r="G1056" s="312" t="s">
        <v>467</v>
      </c>
      <c r="H1056" s="312">
        <v>1799</v>
      </c>
      <c r="I1056" s="312" t="s">
        <v>466</v>
      </c>
      <c r="J1056" s="312">
        <v>1918</v>
      </c>
      <c r="K1056" s="312" t="s">
        <v>468</v>
      </c>
    </row>
    <row r="1057" spans="1:11">
      <c r="A1057" s="312" t="s">
        <v>2362</v>
      </c>
      <c r="B1057" s="312" t="s">
        <v>2363</v>
      </c>
      <c r="C1057" s="312" t="s">
        <v>105</v>
      </c>
      <c r="D1057" s="312" t="s">
        <v>483</v>
      </c>
      <c r="E1057" s="312" t="s">
        <v>466</v>
      </c>
      <c r="F1057" s="312">
        <v>1796</v>
      </c>
      <c r="G1057" s="312" t="s">
        <v>467</v>
      </c>
      <c r="H1057" s="312">
        <v>1799</v>
      </c>
      <c r="I1057" s="312" t="s">
        <v>466</v>
      </c>
      <c r="J1057" s="312">
        <v>1918</v>
      </c>
      <c r="K1057" s="312" t="s">
        <v>468</v>
      </c>
    </row>
    <row r="1058" spans="1:11">
      <c r="A1058" s="312" t="s">
        <v>2364</v>
      </c>
      <c r="B1058" s="312" t="s">
        <v>2365</v>
      </c>
      <c r="C1058" s="312" t="s">
        <v>105</v>
      </c>
      <c r="D1058" s="312" t="s">
        <v>483</v>
      </c>
      <c r="E1058" s="312" t="s">
        <v>466</v>
      </c>
      <c r="F1058" s="312">
        <v>1796</v>
      </c>
      <c r="G1058" s="312" t="s">
        <v>467</v>
      </c>
      <c r="H1058" s="312">
        <v>1799</v>
      </c>
      <c r="I1058" s="312" t="s">
        <v>466</v>
      </c>
      <c r="J1058" s="312">
        <v>1918</v>
      </c>
      <c r="K1058" s="312" t="s">
        <v>468</v>
      </c>
    </row>
    <row r="1059" spans="1:11">
      <c r="A1059" s="312" t="s">
        <v>2366</v>
      </c>
      <c r="B1059" s="312" t="s">
        <v>2367</v>
      </c>
      <c r="C1059" s="312" t="s">
        <v>105</v>
      </c>
      <c r="D1059" s="312" t="s">
        <v>327</v>
      </c>
      <c r="E1059" s="312" t="s">
        <v>2368</v>
      </c>
      <c r="F1059" s="312">
        <v>1810</v>
      </c>
      <c r="G1059" s="312" t="s">
        <v>2369</v>
      </c>
      <c r="H1059" s="312">
        <v>1816</v>
      </c>
      <c r="I1059" s="312" t="s">
        <v>2368</v>
      </c>
      <c r="J1059" s="312">
        <v>1919</v>
      </c>
      <c r="K1059" s="312" t="s">
        <v>2370</v>
      </c>
    </row>
    <row r="1060" spans="1:11">
      <c r="A1060" s="312" t="s">
        <v>2371</v>
      </c>
      <c r="B1060" s="312" t="s">
        <v>2372</v>
      </c>
      <c r="C1060" s="312" t="s">
        <v>105</v>
      </c>
      <c r="D1060" s="312" t="s">
        <v>327</v>
      </c>
      <c r="E1060" s="312" t="s">
        <v>2368</v>
      </c>
      <c r="F1060" s="312">
        <v>1810</v>
      </c>
      <c r="G1060" s="312" t="s">
        <v>2369</v>
      </c>
      <c r="H1060" s="312">
        <v>1816</v>
      </c>
      <c r="I1060" s="312" t="s">
        <v>2368</v>
      </c>
      <c r="J1060" s="312">
        <v>1919</v>
      </c>
      <c r="K1060" s="312" t="s">
        <v>2370</v>
      </c>
    </row>
    <row r="1061" spans="1:11">
      <c r="A1061" s="312" t="s">
        <v>2373</v>
      </c>
      <c r="B1061" s="312" t="s">
        <v>2374</v>
      </c>
      <c r="C1061" s="312" t="s">
        <v>105</v>
      </c>
      <c r="D1061" s="312" t="s">
        <v>2375</v>
      </c>
      <c r="E1061" s="312" t="s">
        <v>107</v>
      </c>
      <c r="F1061" s="312">
        <v>1825</v>
      </c>
      <c r="G1061" s="312" t="s">
        <v>108</v>
      </c>
      <c r="H1061" s="312">
        <v>1827</v>
      </c>
      <c r="I1061" s="312" t="s">
        <v>107</v>
      </c>
      <c r="J1061" s="312">
        <v>1913</v>
      </c>
      <c r="K1061" s="312" t="s">
        <v>109</v>
      </c>
    </row>
    <row r="1062" spans="1:11">
      <c r="A1062" s="312" t="s">
        <v>2376</v>
      </c>
      <c r="B1062" s="312" t="s">
        <v>2377</v>
      </c>
      <c r="C1062" s="312" t="s">
        <v>105</v>
      </c>
      <c r="D1062" s="312" t="s">
        <v>221</v>
      </c>
      <c r="E1062" s="312" t="s">
        <v>107</v>
      </c>
      <c r="F1062" s="312">
        <v>1825</v>
      </c>
      <c r="G1062" s="312" t="s">
        <v>108</v>
      </c>
      <c r="H1062" s="312">
        <v>1827</v>
      </c>
      <c r="I1062" s="312" t="s">
        <v>107</v>
      </c>
      <c r="J1062" s="312">
        <v>1913</v>
      </c>
      <c r="K1062" s="312" t="s">
        <v>109</v>
      </c>
    </row>
    <row r="1063" spans="1:11">
      <c r="A1063" s="312" t="s">
        <v>2378</v>
      </c>
      <c r="B1063" s="312" t="s">
        <v>2379</v>
      </c>
      <c r="C1063" s="312" t="s">
        <v>105</v>
      </c>
      <c r="D1063" s="312" t="s">
        <v>221</v>
      </c>
      <c r="E1063" s="312" t="s">
        <v>107</v>
      </c>
      <c r="F1063" s="312">
        <v>1825</v>
      </c>
      <c r="G1063" s="312" t="s">
        <v>108</v>
      </c>
      <c r="H1063" s="312">
        <v>1827</v>
      </c>
      <c r="I1063" s="312" t="s">
        <v>107</v>
      </c>
      <c r="J1063" s="312">
        <v>1913</v>
      </c>
      <c r="K1063" s="312" t="s">
        <v>109</v>
      </c>
    </row>
    <row r="1064" spans="1:11">
      <c r="A1064" s="312" t="s">
        <v>2380</v>
      </c>
      <c r="B1064" s="312" t="s">
        <v>2381</v>
      </c>
      <c r="C1064" s="312" t="s">
        <v>105</v>
      </c>
      <c r="D1064" s="312" t="s">
        <v>438</v>
      </c>
      <c r="E1064" s="312" t="s">
        <v>107</v>
      </c>
      <c r="F1064" s="312">
        <v>1825</v>
      </c>
      <c r="G1064" s="312" t="s">
        <v>108</v>
      </c>
      <c r="H1064" s="312">
        <v>1827</v>
      </c>
      <c r="I1064" s="312" t="s">
        <v>107</v>
      </c>
      <c r="J1064" s="312">
        <v>1913</v>
      </c>
      <c r="K1064" s="312" t="s">
        <v>109</v>
      </c>
    </row>
    <row r="1065" spans="1:11">
      <c r="A1065" s="312" t="s">
        <v>2382</v>
      </c>
      <c r="B1065" s="312" t="s">
        <v>2383</v>
      </c>
      <c r="C1065" s="312" t="s">
        <v>105</v>
      </c>
      <c r="D1065" s="312" t="s">
        <v>1300</v>
      </c>
      <c r="E1065" s="312" t="s">
        <v>167</v>
      </c>
      <c r="F1065" s="312">
        <v>1705</v>
      </c>
      <c r="G1065" s="312" t="s">
        <v>168</v>
      </c>
      <c r="H1065" s="312">
        <v>1707</v>
      </c>
      <c r="I1065" s="312" t="s">
        <v>167</v>
      </c>
      <c r="J1065" s="312">
        <v>1899</v>
      </c>
      <c r="K1065" s="312" t="s">
        <v>169</v>
      </c>
    </row>
    <row r="1066" spans="1:11">
      <c r="A1066" s="312" t="s">
        <v>2384</v>
      </c>
      <c r="B1066" s="312" t="s">
        <v>2385</v>
      </c>
      <c r="C1066" s="312" t="s">
        <v>105</v>
      </c>
      <c r="D1066" s="312" t="s">
        <v>352</v>
      </c>
      <c r="E1066" s="312" t="s">
        <v>466</v>
      </c>
      <c r="F1066" s="312">
        <v>1796</v>
      </c>
      <c r="G1066" s="312" t="s">
        <v>467</v>
      </c>
      <c r="H1066" s="312">
        <v>1799</v>
      </c>
      <c r="I1066" s="312" t="s">
        <v>466</v>
      </c>
      <c r="J1066" s="312">
        <v>1918</v>
      </c>
      <c r="K1066" s="312" t="s">
        <v>468</v>
      </c>
    </row>
    <row r="1067" spans="1:11">
      <c r="A1067" s="312" t="s">
        <v>2386</v>
      </c>
      <c r="B1067" s="312" t="s">
        <v>2387</v>
      </c>
      <c r="C1067" s="312" t="s">
        <v>105</v>
      </c>
      <c r="D1067" s="312" t="s">
        <v>2388</v>
      </c>
      <c r="E1067" s="312" t="s">
        <v>107</v>
      </c>
      <c r="F1067" s="312">
        <v>1825</v>
      </c>
      <c r="G1067" s="312" t="s">
        <v>108</v>
      </c>
      <c r="H1067" s="312">
        <v>1827</v>
      </c>
      <c r="I1067" s="312" t="s">
        <v>107</v>
      </c>
      <c r="J1067" s="312">
        <v>1913</v>
      </c>
      <c r="K1067" s="312" t="s">
        <v>109</v>
      </c>
    </row>
    <row r="1068" spans="1:11">
      <c r="A1068" s="312" t="s">
        <v>2389</v>
      </c>
      <c r="B1068" s="312" t="s">
        <v>2390</v>
      </c>
      <c r="C1068" s="312" t="s">
        <v>105</v>
      </c>
      <c r="D1068" s="312" t="s">
        <v>117</v>
      </c>
      <c r="E1068" s="312" t="s">
        <v>696</v>
      </c>
      <c r="F1068" s="312">
        <v>1736</v>
      </c>
      <c r="G1068" s="312" t="s">
        <v>697</v>
      </c>
      <c r="H1068" s="312">
        <v>1741</v>
      </c>
      <c r="I1068" s="312" t="s">
        <v>696</v>
      </c>
      <c r="J1068" s="312">
        <v>1929</v>
      </c>
      <c r="K1068" s="312" t="s">
        <v>698</v>
      </c>
    </row>
    <row r="1069" spans="1:11">
      <c r="A1069" s="312" t="s">
        <v>2391</v>
      </c>
      <c r="B1069" s="312" t="s">
        <v>2392</v>
      </c>
      <c r="C1069" s="312" t="s">
        <v>105</v>
      </c>
      <c r="D1069" s="312" t="s">
        <v>252</v>
      </c>
      <c r="E1069" s="312" t="s">
        <v>167</v>
      </c>
      <c r="F1069" s="312">
        <v>1705</v>
      </c>
      <c r="G1069" s="312" t="s">
        <v>168</v>
      </c>
      <c r="H1069" s="312">
        <v>1707</v>
      </c>
      <c r="I1069" s="312" t="s">
        <v>167</v>
      </c>
      <c r="J1069" s="312">
        <v>1899</v>
      </c>
      <c r="K1069" s="312" t="s">
        <v>169</v>
      </c>
    </row>
    <row r="1070" spans="1:11">
      <c r="A1070" s="312" t="s">
        <v>2393</v>
      </c>
      <c r="B1070" s="312" t="s">
        <v>2394</v>
      </c>
      <c r="C1070" s="312" t="s">
        <v>105</v>
      </c>
      <c r="D1070" s="312" t="s">
        <v>252</v>
      </c>
      <c r="E1070" s="312" t="s">
        <v>167</v>
      </c>
      <c r="F1070" s="312">
        <v>1705</v>
      </c>
      <c r="G1070" s="312" t="s">
        <v>168</v>
      </c>
      <c r="H1070" s="312">
        <v>1707</v>
      </c>
      <c r="I1070" s="312" t="s">
        <v>167</v>
      </c>
      <c r="J1070" s="312">
        <v>1899</v>
      </c>
      <c r="K1070" s="312" t="s">
        <v>169</v>
      </c>
    </row>
    <row r="1071" spans="1:11">
      <c r="A1071" s="312" t="s">
        <v>2395</v>
      </c>
      <c r="B1071" s="312" t="s">
        <v>2396</v>
      </c>
      <c r="C1071" s="312" t="s">
        <v>105</v>
      </c>
      <c r="D1071" s="312" t="s">
        <v>1307</v>
      </c>
      <c r="E1071" s="312" t="s">
        <v>167</v>
      </c>
      <c r="F1071" s="312">
        <v>1705</v>
      </c>
      <c r="G1071" s="312" t="s">
        <v>168</v>
      </c>
      <c r="H1071" s="312">
        <v>1707</v>
      </c>
      <c r="I1071" s="312" t="s">
        <v>167</v>
      </c>
      <c r="J1071" s="312">
        <v>1899</v>
      </c>
      <c r="K1071" s="312" t="s">
        <v>169</v>
      </c>
    </row>
    <row r="1072" spans="1:11">
      <c r="A1072" s="312" t="s">
        <v>2397</v>
      </c>
      <c r="B1072" s="312" t="s">
        <v>2398</v>
      </c>
      <c r="C1072" s="312" t="s">
        <v>105</v>
      </c>
      <c r="D1072" s="312" t="s">
        <v>252</v>
      </c>
      <c r="E1072" s="312" t="s">
        <v>167</v>
      </c>
      <c r="F1072" s="312">
        <v>1705</v>
      </c>
      <c r="G1072" s="312" t="s">
        <v>168</v>
      </c>
      <c r="H1072" s="312">
        <v>1707</v>
      </c>
      <c r="I1072" s="312" t="s">
        <v>167</v>
      </c>
      <c r="J1072" s="312">
        <v>1899</v>
      </c>
      <c r="K1072" s="312" t="s">
        <v>169</v>
      </c>
    </row>
    <row r="1073" spans="1:11">
      <c r="A1073" s="312" t="s">
        <v>2399</v>
      </c>
      <c r="B1073" s="312" t="s">
        <v>2400</v>
      </c>
      <c r="C1073" s="312" t="s">
        <v>105</v>
      </c>
      <c r="D1073" s="312" t="s">
        <v>2388</v>
      </c>
      <c r="E1073" s="312" t="s">
        <v>107</v>
      </c>
      <c r="F1073" s="312">
        <v>1825</v>
      </c>
      <c r="G1073" s="312" t="s">
        <v>108</v>
      </c>
      <c r="H1073" s="312">
        <v>1827</v>
      </c>
      <c r="I1073" s="312" t="s">
        <v>107</v>
      </c>
      <c r="J1073" s="312">
        <v>1913</v>
      </c>
      <c r="K1073" s="312" t="s">
        <v>109</v>
      </c>
    </row>
    <row r="1074" spans="1:11">
      <c r="A1074" s="312" t="s">
        <v>2401</v>
      </c>
      <c r="B1074" s="312" t="s">
        <v>2402</v>
      </c>
      <c r="C1074" s="312" t="s">
        <v>105</v>
      </c>
      <c r="D1074" s="312" t="s">
        <v>512</v>
      </c>
      <c r="E1074" s="312" t="s">
        <v>167</v>
      </c>
      <c r="F1074" s="312">
        <v>1705</v>
      </c>
      <c r="G1074" s="312" t="s">
        <v>168</v>
      </c>
      <c r="H1074" s="312">
        <v>1707</v>
      </c>
      <c r="I1074" s="312" t="s">
        <v>167</v>
      </c>
      <c r="J1074" s="312">
        <v>1899</v>
      </c>
      <c r="K1074" s="312" t="s">
        <v>169</v>
      </c>
    </row>
    <row r="1075" spans="1:11">
      <c r="A1075" s="312" t="s">
        <v>2403</v>
      </c>
      <c r="B1075" s="312" t="s">
        <v>2404</v>
      </c>
      <c r="C1075" s="312" t="s">
        <v>105</v>
      </c>
      <c r="D1075" s="312" t="s">
        <v>512</v>
      </c>
      <c r="E1075" s="312" t="s">
        <v>167</v>
      </c>
      <c r="F1075" s="312">
        <v>1705</v>
      </c>
      <c r="G1075" s="312" t="s">
        <v>168</v>
      </c>
      <c r="H1075" s="312">
        <v>1707</v>
      </c>
      <c r="I1075" s="312" t="s">
        <v>167</v>
      </c>
      <c r="J1075" s="312">
        <v>1899</v>
      </c>
      <c r="K1075" s="312" t="s">
        <v>169</v>
      </c>
    </row>
    <row r="1076" spans="1:11">
      <c r="A1076" s="312" t="s">
        <v>2405</v>
      </c>
      <c r="B1076" s="312" t="s">
        <v>2406</v>
      </c>
      <c r="C1076" s="312" t="s">
        <v>105</v>
      </c>
      <c r="D1076" s="312" t="s">
        <v>228</v>
      </c>
      <c r="E1076" s="312" t="s">
        <v>107</v>
      </c>
      <c r="F1076" s="312">
        <v>1825</v>
      </c>
      <c r="G1076" s="312" t="s">
        <v>108</v>
      </c>
      <c r="H1076" s="312">
        <v>1827</v>
      </c>
      <c r="I1076" s="312" t="s">
        <v>107</v>
      </c>
      <c r="J1076" s="312">
        <v>1913</v>
      </c>
      <c r="K1076" s="312" t="s">
        <v>109</v>
      </c>
    </row>
    <row r="1077" spans="1:11">
      <c r="A1077" s="312" t="s">
        <v>2407</v>
      </c>
      <c r="B1077" s="312" t="s">
        <v>2408</v>
      </c>
      <c r="C1077" s="312" t="s">
        <v>105</v>
      </c>
      <c r="D1077" s="312" t="s">
        <v>483</v>
      </c>
      <c r="E1077" s="312" t="s">
        <v>466</v>
      </c>
      <c r="F1077" s="312">
        <v>1796</v>
      </c>
      <c r="G1077" s="312" t="s">
        <v>467</v>
      </c>
      <c r="H1077" s="312">
        <v>1799</v>
      </c>
      <c r="I1077" s="312" t="s">
        <v>466</v>
      </c>
      <c r="J1077" s="312">
        <v>1918</v>
      </c>
      <c r="K1077" s="312" t="s">
        <v>468</v>
      </c>
    </row>
    <row r="1078" spans="1:11">
      <c r="A1078" s="312" t="s">
        <v>2409</v>
      </c>
      <c r="B1078" s="312" t="s">
        <v>2410</v>
      </c>
      <c r="C1078" s="312" t="s">
        <v>105</v>
      </c>
      <c r="D1078" s="312" t="s">
        <v>483</v>
      </c>
      <c r="E1078" s="312" t="s">
        <v>466</v>
      </c>
      <c r="F1078" s="312">
        <v>1796</v>
      </c>
      <c r="G1078" s="312" t="s">
        <v>467</v>
      </c>
      <c r="H1078" s="312">
        <v>1799</v>
      </c>
      <c r="I1078" s="312" t="s">
        <v>466</v>
      </c>
      <c r="J1078" s="312">
        <v>1918</v>
      </c>
      <c r="K1078" s="312" t="s">
        <v>468</v>
      </c>
    </row>
    <row r="1079" spans="1:11">
      <c r="A1079" s="312" t="s">
        <v>2411</v>
      </c>
      <c r="B1079" s="312" t="s">
        <v>2412</v>
      </c>
      <c r="C1079" s="312" t="s">
        <v>105</v>
      </c>
      <c r="D1079" s="312" t="s">
        <v>848</v>
      </c>
      <c r="E1079" s="312" t="s">
        <v>886</v>
      </c>
      <c r="F1079" s="312">
        <v>1857</v>
      </c>
      <c r="G1079" s="312" t="s">
        <v>887</v>
      </c>
      <c r="H1079" s="312">
        <v>1858</v>
      </c>
      <c r="I1079" s="312" t="s">
        <v>886</v>
      </c>
      <c r="J1079" s="312">
        <v>1924</v>
      </c>
      <c r="K1079" s="312" t="s">
        <v>888</v>
      </c>
    </row>
    <row r="1080" spans="1:11">
      <c r="A1080" s="312" t="s">
        <v>2413</v>
      </c>
      <c r="B1080" s="312" t="s">
        <v>2414</v>
      </c>
      <c r="C1080" s="312" t="s">
        <v>105</v>
      </c>
      <c r="D1080" s="312" t="s">
        <v>483</v>
      </c>
      <c r="E1080" s="312" t="s">
        <v>466</v>
      </c>
      <c r="F1080" s="312">
        <v>1796</v>
      </c>
      <c r="G1080" s="312" t="s">
        <v>467</v>
      </c>
      <c r="H1080" s="312">
        <v>1799</v>
      </c>
      <c r="I1080" s="312" t="s">
        <v>466</v>
      </c>
      <c r="J1080" s="312">
        <v>1918</v>
      </c>
      <c r="K1080" s="312" t="s">
        <v>468</v>
      </c>
    </row>
    <row r="1081" spans="1:11">
      <c r="A1081" s="312" t="s">
        <v>2415</v>
      </c>
      <c r="B1081" s="312" t="s">
        <v>2416</v>
      </c>
      <c r="C1081" s="312" t="s">
        <v>105</v>
      </c>
      <c r="D1081" s="312" t="s">
        <v>848</v>
      </c>
      <c r="E1081" s="312" t="s">
        <v>886</v>
      </c>
      <c r="F1081" s="312">
        <v>1857</v>
      </c>
      <c r="G1081" s="312" t="s">
        <v>887</v>
      </c>
      <c r="H1081" s="312">
        <v>1858</v>
      </c>
      <c r="I1081" s="312" t="s">
        <v>886</v>
      </c>
      <c r="J1081" s="312">
        <v>1924</v>
      </c>
      <c r="K1081" s="312" t="s">
        <v>888</v>
      </c>
    </row>
    <row r="1082" spans="1:11">
      <c r="A1082" s="312" t="s">
        <v>2417</v>
      </c>
      <c r="B1082" s="312" t="s">
        <v>2418</v>
      </c>
      <c r="C1082" s="312" t="s">
        <v>105</v>
      </c>
      <c r="D1082" s="312" t="s">
        <v>283</v>
      </c>
      <c r="E1082" s="312" t="s">
        <v>107</v>
      </c>
      <c r="F1082" s="312">
        <v>1825</v>
      </c>
      <c r="G1082" s="312" t="s">
        <v>108</v>
      </c>
      <c r="H1082" s="312">
        <v>1827</v>
      </c>
      <c r="I1082" s="312" t="s">
        <v>107</v>
      </c>
      <c r="J1082" s="312">
        <v>1913</v>
      </c>
      <c r="K1082" s="312" t="s">
        <v>109</v>
      </c>
    </row>
    <row r="1083" spans="1:11">
      <c r="A1083" s="312" t="s">
        <v>2419</v>
      </c>
      <c r="B1083" s="312" t="s">
        <v>2420</v>
      </c>
      <c r="C1083" s="312" t="s">
        <v>105</v>
      </c>
      <c r="D1083" s="312" t="s">
        <v>283</v>
      </c>
      <c r="E1083" s="312" t="s">
        <v>107</v>
      </c>
      <c r="F1083" s="312">
        <v>1825</v>
      </c>
      <c r="G1083" s="312" t="s">
        <v>108</v>
      </c>
      <c r="H1083" s="312">
        <v>1827</v>
      </c>
      <c r="I1083" s="312" t="s">
        <v>107</v>
      </c>
      <c r="J1083" s="312">
        <v>1913</v>
      </c>
      <c r="K1083" s="312" t="s">
        <v>109</v>
      </c>
    </row>
    <row r="1084" spans="1:11">
      <c r="A1084" s="312" t="s">
        <v>2421</v>
      </c>
      <c r="B1084" s="312" t="s">
        <v>2422</v>
      </c>
      <c r="C1084" s="312" t="s">
        <v>105</v>
      </c>
      <c r="D1084" s="312" t="s">
        <v>283</v>
      </c>
      <c r="E1084" s="312" t="s">
        <v>107</v>
      </c>
      <c r="F1084" s="312">
        <v>1825</v>
      </c>
      <c r="G1084" s="312" t="s">
        <v>108</v>
      </c>
      <c r="H1084" s="312">
        <v>1827</v>
      </c>
      <c r="I1084" s="312" t="s">
        <v>107</v>
      </c>
      <c r="J1084" s="312">
        <v>1913</v>
      </c>
      <c r="K1084" s="312" t="s">
        <v>109</v>
      </c>
    </row>
    <row r="1085" spans="1:11">
      <c r="A1085" s="312" t="s">
        <v>2423</v>
      </c>
      <c r="B1085" s="312" t="s">
        <v>2424</v>
      </c>
      <c r="C1085" s="312" t="s">
        <v>105</v>
      </c>
      <c r="D1085" s="312" t="s">
        <v>283</v>
      </c>
      <c r="E1085" s="312" t="s">
        <v>107</v>
      </c>
      <c r="F1085" s="312">
        <v>1825</v>
      </c>
      <c r="G1085" s="312" t="s">
        <v>108</v>
      </c>
      <c r="H1085" s="312">
        <v>1827</v>
      </c>
      <c r="I1085" s="312" t="s">
        <v>107</v>
      </c>
      <c r="J1085" s="312">
        <v>1913</v>
      </c>
      <c r="K1085" s="312" t="s">
        <v>109</v>
      </c>
    </row>
    <row r="1086" spans="1:11">
      <c r="A1086" s="312" t="s">
        <v>2425</v>
      </c>
      <c r="B1086" s="312" t="s">
        <v>2426</v>
      </c>
      <c r="C1086" s="312" t="s">
        <v>105</v>
      </c>
      <c r="D1086" s="312" t="s">
        <v>483</v>
      </c>
      <c r="E1086" s="312" t="s">
        <v>466</v>
      </c>
      <c r="F1086" s="312">
        <v>1796</v>
      </c>
      <c r="G1086" s="312" t="s">
        <v>467</v>
      </c>
      <c r="H1086" s="312">
        <v>1799</v>
      </c>
      <c r="I1086" s="312" t="s">
        <v>466</v>
      </c>
      <c r="J1086" s="312">
        <v>1918</v>
      </c>
      <c r="K1086" s="312" t="s">
        <v>468</v>
      </c>
    </row>
    <row r="1087" spans="1:11">
      <c r="A1087" s="312" t="s">
        <v>2427</v>
      </c>
      <c r="B1087" s="312" t="s">
        <v>2428</v>
      </c>
      <c r="C1087" s="312" t="s">
        <v>105</v>
      </c>
      <c r="D1087" s="312" t="s">
        <v>252</v>
      </c>
      <c r="E1087" s="312" t="s">
        <v>167</v>
      </c>
      <c r="F1087" s="312">
        <v>1705</v>
      </c>
      <c r="G1087" s="312" t="s">
        <v>168</v>
      </c>
      <c r="H1087" s="312">
        <v>1707</v>
      </c>
      <c r="I1087" s="312" t="s">
        <v>167</v>
      </c>
      <c r="J1087" s="312">
        <v>1899</v>
      </c>
      <c r="K1087" s="312" t="s">
        <v>169</v>
      </c>
    </row>
    <row r="1088" spans="1:11">
      <c r="A1088" s="312" t="s">
        <v>2429</v>
      </c>
      <c r="B1088" s="312" t="s">
        <v>2430</v>
      </c>
      <c r="C1088" s="312" t="s">
        <v>105</v>
      </c>
      <c r="D1088" s="312" t="s">
        <v>1307</v>
      </c>
      <c r="E1088" s="312" t="s">
        <v>167</v>
      </c>
      <c r="F1088" s="312">
        <v>1705</v>
      </c>
      <c r="G1088" s="312" t="s">
        <v>168</v>
      </c>
      <c r="H1088" s="312">
        <v>1707</v>
      </c>
      <c r="I1088" s="312" t="s">
        <v>167</v>
      </c>
      <c r="J1088" s="312">
        <v>1899</v>
      </c>
      <c r="K1088" s="312" t="s">
        <v>169</v>
      </c>
    </row>
    <row r="1089" spans="1:11">
      <c r="A1089" s="312" t="s">
        <v>2431</v>
      </c>
      <c r="B1089" s="312" t="s">
        <v>2432</v>
      </c>
      <c r="C1089" s="312" t="s">
        <v>105</v>
      </c>
      <c r="D1089" s="312" t="s">
        <v>1307</v>
      </c>
      <c r="E1089" s="312" t="s">
        <v>167</v>
      </c>
      <c r="F1089" s="312">
        <v>1705</v>
      </c>
      <c r="G1089" s="312" t="s">
        <v>168</v>
      </c>
      <c r="H1089" s="312">
        <v>1707</v>
      </c>
      <c r="I1089" s="312" t="s">
        <v>167</v>
      </c>
      <c r="J1089" s="312">
        <v>1899</v>
      </c>
      <c r="K1089" s="312" t="s">
        <v>169</v>
      </c>
    </row>
    <row r="1090" spans="1:11">
      <c r="A1090" s="312" t="s">
        <v>2433</v>
      </c>
      <c r="B1090" s="312" t="s">
        <v>2434</v>
      </c>
      <c r="C1090" s="312" t="s">
        <v>105</v>
      </c>
      <c r="D1090" s="312" t="s">
        <v>1307</v>
      </c>
      <c r="E1090" s="312" t="s">
        <v>167</v>
      </c>
      <c r="F1090" s="312">
        <v>1705</v>
      </c>
      <c r="G1090" s="312" t="s">
        <v>168</v>
      </c>
      <c r="H1090" s="312">
        <v>1707</v>
      </c>
      <c r="I1090" s="312" t="s">
        <v>167</v>
      </c>
      <c r="J1090" s="312">
        <v>1899</v>
      </c>
      <c r="K1090" s="312" t="s">
        <v>169</v>
      </c>
    </row>
    <row r="1091" spans="1:11">
      <c r="A1091" s="312" t="s">
        <v>2435</v>
      </c>
      <c r="B1091" s="312" t="s">
        <v>2436</v>
      </c>
      <c r="C1091" s="312" t="s">
        <v>105</v>
      </c>
      <c r="D1091" s="312" t="s">
        <v>1307</v>
      </c>
      <c r="E1091" s="312" t="s">
        <v>167</v>
      </c>
      <c r="F1091" s="312">
        <v>1705</v>
      </c>
      <c r="G1091" s="312" t="s">
        <v>168</v>
      </c>
      <c r="H1091" s="312">
        <v>1707</v>
      </c>
      <c r="I1091" s="312" t="s">
        <v>167</v>
      </c>
      <c r="J1091" s="312">
        <v>1899</v>
      </c>
      <c r="K1091" s="312" t="s">
        <v>169</v>
      </c>
    </row>
    <row r="1092" spans="1:11">
      <c r="A1092" s="312" t="s">
        <v>2437</v>
      </c>
      <c r="B1092" s="312" t="s">
        <v>2438</v>
      </c>
      <c r="C1092" s="312" t="s">
        <v>105</v>
      </c>
      <c r="D1092" s="312" t="s">
        <v>1307</v>
      </c>
      <c r="E1092" s="312" t="s">
        <v>167</v>
      </c>
      <c r="F1092" s="312">
        <v>1705</v>
      </c>
      <c r="G1092" s="312" t="s">
        <v>168</v>
      </c>
      <c r="H1092" s="312">
        <v>1707</v>
      </c>
      <c r="I1092" s="312" t="s">
        <v>167</v>
      </c>
      <c r="J1092" s="312">
        <v>1899</v>
      </c>
      <c r="K1092" s="312" t="s">
        <v>169</v>
      </c>
    </row>
    <row r="1093" spans="1:11">
      <c r="A1093" s="312" t="s">
        <v>2439</v>
      </c>
      <c r="B1093" s="312" t="s">
        <v>2440</v>
      </c>
      <c r="C1093" s="312" t="s">
        <v>105</v>
      </c>
      <c r="D1093" s="312" t="s">
        <v>1307</v>
      </c>
      <c r="E1093" s="312" t="s">
        <v>167</v>
      </c>
      <c r="F1093" s="312">
        <v>1705</v>
      </c>
      <c r="G1093" s="312" t="s">
        <v>168</v>
      </c>
      <c r="H1093" s="312">
        <v>1707</v>
      </c>
      <c r="I1093" s="312" t="s">
        <v>167</v>
      </c>
      <c r="J1093" s="312">
        <v>1899</v>
      </c>
      <c r="K1093" s="312" t="s">
        <v>169</v>
      </c>
    </row>
    <row r="1094" spans="1:11">
      <c r="A1094" s="312" t="s">
        <v>2441</v>
      </c>
      <c r="B1094" s="312" t="s">
        <v>2442</v>
      </c>
      <c r="C1094" s="312" t="s">
        <v>105</v>
      </c>
      <c r="D1094" s="312" t="s">
        <v>1307</v>
      </c>
      <c r="E1094" s="312" t="s">
        <v>167</v>
      </c>
      <c r="F1094" s="312">
        <v>1705</v>
      </c>
      <c r="G1094" s="312" t="s">
        <v>168</v>
      </c>
      <c r="H1094" s="312">
        <v>1707</v>
      </c>
      <c r="I1094" s="312" t="s">
        <v>167</v>
      </c>
      <c r="J1094" s="312">
        <v>1899</v>
      </c>
      <c r="K1094" s="312" t="s">
        <v>169</v>
      </c>
    </row>
    <row r="1095" spans="1:11">
      <c r="A1095" s="312" t="s">
        <v>2443</v>
      </c>
      <c r="B1095" s="312" t="s">
        <v>2444</v>
      </c>
      <c r="C1095" s="312" t="s">
        <v>105</v>
      </c>
      <c r="D1095" s="312" t="s">
        <v>1307</v>
      </c>
      <c r="E1095" s="312" t="s">
        <v>167</v>
      </c>
      <c r="F1095" s="312">
        <v>1705</v>
      </c>
      <c r="G1095" s="312" t="s">
        <v>168</v>
      </c>
      <c r="H1095" s="312">
        <v>1707</v>
      </c>
      <c r="I1095" s="312" t="s">
        <v>167</v>
      </c>
      <c r="J1095" s="312">
        <v>1899</v>
      </c>
      <c r="K1095" s="312" t="s">
        <v>169</v>
      </c>
    </row>
    <row r="1096" spans="1:11">
      <c r="A1096" s="312" t="s">
        <v>2445</v>
      </c>
      <c r="B1096" s="312" t="s">
        <v>2446</v>
      </c>
      <c r="C1096" s="312" t="s">
        <v>105</v>
      </c>
      <c r="D1096" s="312" t="s">
        <v>1307</v>
      </c>
      <c r="E1096" s="312" t="s">
        <v>167</v>
      </c>
      <c r="F1096" s="312">
        <v>1705</v>
      </c>
      <c r="G1096" s="312" t="s">
        <v>168</v>
      </c>
      <c r="H1096" s="312">
        <v>1707</v>
      </c>
      <c r="I1096" s="312" t="s">
        <v>167</v>
      </c>
      <c r="J1096" s="312">
        <v>1899</v>
      </c>
      <c r="K1096" s="312" t="s">
        <v>169</v>
      </c>
    </row>
    <row r="1097" spans="1:11">
      <c r="A1097" s="312" t="s">
        <v>2447</v>
      </c>
      <c r="B1097" s="312" t="s">
        <v>2448</v>
      </c>
      <c r="C1097" s="312" t="s">
        <v>105</v>
      </c>
      <c r="D1097" s="312" t="s">
        <v>1307</v>
      </c>
      <c r="E1097" s="312" t="s">
        <v>167</v>
      </c>
      <c r="F1097" s="312">
        <v>1705</v>
      </c>
      <c r="G1097" s="312" t="s">
        <v>168</v>
      </c>
      <c r="H1097" s="312">
        <v>1707</v>
      </c>
      <c r="I1097" s="312" t="s">
        <v>167</v>
      </c>
      <c r="J1097" s="312">
        <v>1899</v>
      </c>
      <c r="K1097" s="312" t="s">
        <v>169</v>
      </c>
    </row>
    <row r="1098" spans="1:11">
      <c r="A1098" s="312" t="s">
        <v>2449</v>
      </c>
      <c r="B1098" s="312" t="s">
        <v>2450</v>
      </c>
      <c r="C1098" s="312" t="s">
        <v>105</v>
      </c>
      <c r="D1098" s="312" t="s">
        <v>1307</v>
      </c>
      <c r="E1098" s="312" t="s">
        <v>167</v>
      </c>
      <c r="F1098" s="312">
        <v>1705</v>
      </c>
      <c r="G1098" s="312" t="s">
        <v>168</v>
      </c>
      <c r="H1098" s="312">
        <v>1707</v>
      </c>
      <c r="I1098" s="312" t="s">
        <v>167</v>
      </c>
      <c r="J1098" s="312">
        <v>1899</v>
      </c>
      <c r="K1098" s="312" t="s">
        <v>169</v>
      </c>
    </row>
    <row r="1099" spans="1:11">
      <c r="A1099" s="312" t="s">
        <v>2451</v>
      </c>
      <c r="B1099" s="312" t="s">
        <v>2452</v>
      </c>
      <c r="C1099" s="312" t="s">
        <v>105</v>
      </c>
      <c r="D1099" s="312" t="s">
        <v>1307</v>
      </c>
      <c r="E1099" s="312" t="s">
        <v>167</v>
      </c>
      <c r="F1099" s="312">
        <v>1705</v>
      </c>
      <c r="G1099" s="312" t="s">
        <v>168</v>
      </c>
      <c r="H1099" s="312">
        <v>1707</v>
      </c>
      <c r="I1099" s="312" t="s">
        <v>167</v>
      </c>
      <c r="J1099" s="312">
        <v>1899</v>
      </c>
      <c r="K1099" s="312" t="s">
        <v>169</v>
      </c>
    </row>
    <row r="1100" spans="1:11">
      <c r="A1100" s="312" t="s">
        <v>2453</v>
      </c>
      <c r="B1100" s="312" t="s">
        <v>2454</v>
      </c>
      <c r="C1100" s="312" t="s">
        <v>105</v>
      </c>
      <c r="D1100" s="312" t="s">
        <v>1307</v>
      </c>
      <c r="E1100" s="312" t="s">
        <v>167</v>
      </c>
      <c r="F1100" s="312">
        <v>1705</v>
      </c>
      <c r="G1100" s="312" t="s">
        <v>168</v>
      </c>
      <c r="H1100" s="312">
        <v>1707</v>
      </c>
      <c r="I1100" s="312" t="s">
        <v>167</v>
      </c>
      <c r="J1100" s="312">
        <v>1899</v>
      </c>
      <c r="K1100" s="312" t="s">
        <v>169</v>
      </c>
    </row>
    <row r="1101" spans="1:11">
      <c r="A1101" s="312" t="s">
        <v>2455</v>
      </c>
      <c r="B1101" s="312" t="s">
        <v>2456</v>
      </c>
      <c r="C1101" s="312" t="s">
        <v>105</v>
      </c>
      <c r="D1101" s="312" t="s">
        <v>1307</v>
      </c>
      <c r="E1101" s="312" t="s">
        <v>167</v>
      </c>
      <c r="F1101" s="312">
        <v>1705</v>
      </c>
      <c r="G1101" s="312" t="s">
        <v>168</v>
      </c>
      <c r="H1101" s="312">
        <v>1707</v>
      </c>
      <c r="I1101" s="312" t="s">
        <v>167</v>
      </c>
      <c r="J1101" s="312">
        <v>1899</v>
      </c>
      <c r="K1101" s="312" t="s">
        <v>169</v>
      </c>
    </row>
    <row r="1102" spans="1:11">
      <c r="A1102" s="312" t="s">
        <v>2457</v>
      </c>
      <c r="B1102" s="312" t="s">
        <v>2458</v>
      </c>
      <c r="C1102" s="312" t="s">
        <v>105</v>
      </c>
      <c r="D1102" s="312" t="s">
        <v>1307</v>
      </c>
      <c r="E1102" s="312" t="s">
        <v>167</v>
      </c>
      <c r="F1102" s="312">
        <v>1705</v>
      </c>
      <c r="G1102" s="312" t="s">
        <v>168</v>
      </c>
      <c r="H1102" s="312">
        <v>1707</v>
      </c>
      <c r="I1102" s="312" t="s">
        <v>167</v>
      </c>
      <c r="J1102" s="312">
        <v>1899</v>
      </c>
      <c r="K1102" s="312" t="s">
        <v>169</v>
      </c>
    </row>
    <row r="1103" spans="1:11">
      <c r="A1103" s="312" t="s">
        <v>2459</v>
      </c>
      <c r="B1103" s="312" t="s">
        <v>2460</v>
      </c>
      <c r="C1103" s="312" t="s">
        <v>105</v>
      </c>
      <c r="D1103" s="312" t="s">
        <v>1307</v>
      </c>
      <c r="E1103" s="312" t="s">
        <v>167</v>
      </c>
      <c r="F1103" s="312">
        <v>1705</v>
      </c>
      <c r="G1103" s="312" t="s">
        <v>168</v>
      </c>
      <c r="H1103" s="312">
        <v>1707</v>
      </c>
      <c r="I1103" s="312" t="s">
        <v>167</v>
      </c>
      <c r="J1103" s="312">
        <v>1899</v>
      </c>
      <c r="K1103" s="312" t="s">
        <v>169</v>
      </c>
    </row>
    <row r="1104" spans="1:11">
      <c r="A1104" s="312" t="s">
        <v>2461</v>
      </c>
      <c r="B1104" s="312" t="s">
        <v>2462</v>
      </c>
      <c r="C1104" s="312" t="s">
        <v>105</v>
      </c>
      <c r="D1104" s="312" t="s">
        <v>1307</v>
      </c>
      <c r="E1104" s="312" t="s">
        <v>167</v>
      </c>
      <c r="F1104" s="312">
        <v>1705</v>
      </c>
      <c r="G1104" s="312" t="s">
        <v>168</v>
      </c>
      <c r="H1104" s="312">
        <v>1707</v>
      </c>
      <c r="I1104" s="312" t="s">
        <v>167</v>
      </c>
      <c r="J1104" s="312">
        <v>1899</v>
      </c>
      <c r="K1104" s="312" t="s">
        <v>169</v>
      </c>
    </row>
    <row r="1105" spans="1:11">
      <c r="A1105" s="312" t="s">
        <v>2463</v>
      </c>
      <c r="B1105" s="312" t="s">
        <v>2464</v>
      </c>
      <c r="C1105" s="312" t="s">
        <v>105</v>
      </c>
      <c r="D1105" s="312" t="s">
        <v>1307</v>
      </c>
      <c r="E1105" s="312" t="s">
        <v>167</v>
      </c>
      <c r="F1105" s="312">
        <v>1705</v>
      </c>
      <c r="G1105" s="312" t="s">
        <v>168</v>
      </c>
      <c r="H1105" s="312">
        <v>1707</v>
      </c>
      <c r="I1105" s="312" t="s">
        <v>167</v>
      </c>
      <c r="J1105" s="312">
        <v>1899</v>
      </c>
      <c r="K1105" s="312" t="s">
        <v>169</v>
      </c>
    </row>
    <row r="1106" spans="1:11">
      <c r="A1106" s="312" t="s">
        <v>2465</v>
      </c>
      <c r="B1106" s="312" t="s">
        <v>2466</v>
      </c>
      <c r="C1106" s="312" t="s">
        <v>105</v>
      </c>
      <c r="D1106" s="312" t="s">
        <v>1307</v>
      </c>
      <c r="E1106" s="312" t="s">
        <v>167</v>
      </c>
      <c r="F1106" s="312">
        <v>1705</v>
      </c>
      <c r="G1106" s="312" t="s">
        <v>168</v>
      </c>
      <c r="H1106" s="312">
        <v>1707</v>
      </c>
      <c r="I1106" s="312" t="s">
        <v>167</v>
      </c>
      <c r="J1106" s="312">
        <v>1899</v>
      </c>
      <c r="K1106" s="312" t="s">
        <v>169</v>
      </c>
    </row>
    <row r="1107" spans="1:11">
      <c r="A1107" s="312" t="s">
        <v>2467</v>
      </c>
      <c r="B1107" s="312" t="s">
        <v>2468</v>
      </c>
      <c r="C1107" s="312" t="s">
        <v>105</v>
      </c>
      <c r="D1107" s="312" t="s">
        <v>1307</v>
      </c>
      <c r="E1107" s="312" t="s">
        <v>167</v>
      </c>
      <c r="F1107" s="312">
        <v>1705</v>
      </c>
      <c r="G1107" s="312" t="s">
        <v>168</v>
      </c>
      <c r="H1107" s="312">
        <v>1707</v>
      </c>
      <c r="I1107" s="312" t="s">
        <v>167</v>
      </c>
      <c r="J1107" s="312">
        <v>1899</v>
      </c>
      <c r="K1107" s="312" t="s">
        <v>169</v>
      </c>
    </row>
    <row r="1108" spans="1:11">
      <c r="A1108" s="312" t="s">
        <v>2469</v>
      </c>
      <c r="B1108" s="312" t="s">
        <v>2470</v>
      </c>
      <c r="C1108" s="312" t="s">
        <v>105</v>
      </c>
      <c r="D1108" s="312" t="s">
        <v>1307</v>
      </c>
      <c r="E1108" s="312" t="s">
        <v>167</v>
      </c>
      <c r="F1108" s="312">
        <v>1705</v>
      </c>
      <c r="G1108" s="312" t="s">
        <v>168</v>
      </c>
      <c r="H1108" s="312">
        <v>1707</v>
      </c>
      <c r="I1108" s="312" t="s">
        <v>167</v>
      </c>
      <c r="J1108" s="312">
        <v>1899</v>
      </c>
      <c r="K1108" s="312" t="s">
        <v>169</v>
      </c>
    </row>
    <row r="1109" spans="1:11">
      <c r="A1109" s="312" t="s">
        <v>2471</v>
      </c>
      <c r="B1109" s="312" t="s">
        <v>2472</v>
      </c>
      <c r="C1109" s="312" t="s">
        <v>105</v>
      </c>
      <c r="D1109" s="312" t="s">
        <v>1307</v>
      </c>
      <c r="E1109" s="312" t="s">
        <v>167</v>
      </c>
      <c r="F1109" s="312">
        <v>1705</v>
      </c>
      <c r="G1109" s="312" t="s">
        <v>168</v>
      </c>
      <c r="H1109" s="312">
        <v>1707</v>
      </c>
      <c r="I1109" s="312" t="s">
        <v>167</v>
      </c>
      <c r="J1109" s="312">
        <v>1899</v>
      </c>
      <c r="K1109" s="312" t="s">
        <v>169</v>
      </c>
    </row>
    <row r="1110" spans="1:11">
      <c r="A1110" s="312" t="s">
        <v>2473</v>
      </c>
      <c r="B1110" s="312" t="s">
        <v>2474</v>
      </c>
      <c r="C1110" s="312" t="s">
        <v>105</v>
      </c>
      <c r="D1110" s="312" t="s">
        <v>1307</v>
      </c>
      <c r="E1110" s="312" t="s">
        <v>167</v>
      </c>
      <c r="F1110" s="312">
        <v>1705</v>
      </c>
      <c r="G1110" s="312" t="s">
        <v>168</v>
      </c>
      <c r="H1110" s="312">
        <v>1707</v>
      </c>
      <c r="I1110" s="312" t="s">
        <v>167</v>
      </c>
      <c r="J1110" s="312">
        <v>1899</v>
      </c>
      <c r="K1110" s="312" t="s">
        <v>169</v>
      </c>
    </row>
    <row r="1111" spans="1:11">
      <c r="A1111" s="312" t="s">
        <v>2475</v>
      </c>
      <c r="B1111" s="312" t="s">
        <v>2476</v>
      </c>
      <c r="C1111" s="312" t="s">
        <v>105</v>
      </c>
      <c r="D1111" s="312" t="s">
        <v>1307</v>
      </c>
      <c r="E1111" s="312" t="s">
        <v>167</v>
      </c>
      <c r="F1111" s="312">
        <v>1705</v>
      </c>
      <c r="G1111" s="312" t="s">
        <v>168</v>
      </c>
      <c r="H1111" s="312">
        <v>1707</v>
      </c>
      <c r="I1111" s="312" t="s">
        <v>167</v>
      </c>
      <c r="J1111" s="312">
        <v>1899</v>
      </c>
      <c r="K1111" s="312" t="s">
        <v>169</v>
      </c>
    </row>
    <row r="1112" spans="1:11">
      <c r="A1112" s="312" t="s">
        <v>2477</v>
      </c>
      <c r="B1112" s="312" t="s">
        <v>2478</v>
      </c>
      <c r="C1112" s="312" t="s">
        <v>105</v>
      </c>
      <c r="D1112" s="312" t="s">
        <v>1307</v>
      </c>
      <c r="E1112" s="312" t="s">
        <v>167</v>
      </c>
      <c r="F1112" s="312">
        <v>1705</v>
      </c>
      <c r="G1112" s="312" t="s">
        <v>168</v>
      </c>
      <c r="H1112" s="312">
        <v>1707</v>
      </c>
      <c r="I1112" s="312" t="s">
        <v>167</v>
      </c>
      <c r="J1112" s="312">
        <v>1899</v>
      </c>
      <c r="K1112" s="312" t="s">
        <v>169</v>
      </c>
    </row>
    <row r="1113" spans="1:11">
      <c r="A1113" s="312" t="s">
        <v>2479</v>
      </c>
      <c r="B1113" s="312" t="s">
        <v>2480</v>
      </c>
      <c r="C1113" s="312" t="s">
        <v>105</v>
      </c>
      <c r="D1113" s="312" t="s">
        <v>1307</v>
      </c>
      <c r="E1113" s="312" t="s">
        <v>167</v>
      </c>
      <c r="F1113" s="312">
        <v>1705</v>
      </c>
      <c r="G1113" s="312" t="s">
        <v>168</v>
      </c>
      <c r="H1113" s="312">
        <v>1707</v>
      </c>
      <c r="I1113" s="312" t="s">
        <v>167</v>
      </c>
      <c r="J1113" s="312">
        <v>1899</v>
      </c>
      <c r="K1113" s="312" t="s">
        <v>169</v>
      </c>
    </row>
    <row r="1114" spans="1:11">
      <c r="A1114" s="312" t="s">
        <v>2481</v>
      </c>
      <c r="B1114" s="312" t="s">
        <v>2482</v>
      </c>
      <c r="C1114" s="312" t="s">
        <v>105</v>
      </c>
      <c r="D1114" s="312" t="s">
        <v>1307</v>
      </c>
      <c r="E1114" s="312" t="s">
        <v>167</v>
      </c>
      <c r="F1114" s="312">
        <v>1705</v>
      </c>
      <c r="G1114" s="312" t="s">
        <v>168</v>
      </c>
      <c r="H1114" s="312">
        <v>1707</v>
      </c>
      <c r="I1114" s="312" t="s">
        <v>167</v>
      </c>
      <c r="J1114" s="312">
        <v>1899</v>
      </c>
      <c r="K1114" s="312" t="s">
        <v>169</v>
      </c>
    </row>
    <row r="1115" spans="1:11">
      <c r="A1115" s="312" t="s">
        <v>2483</v>
      </c>
      <c r="B1115" s="312" t="s">
        <v>2484</v>
      </c>
      <c r="C1115" s="312" t="s">
        <v>105</v>
      </c>
      <c r="D1115" s="312" t="s">
        <v>1307</v>
      </c>
      <c r="E1115" s="312" t="s">
        <v>167</v>
      </c>
      <c r="F1115" s="312">
        <v>1705</v>
      </c>
      <c r="G1115" s="312" t="s">
        <v>168</v>
      </c>
      <c r="H1115" s="312">
        <v>1707</v>
      </c>
      <c r="I1115" s="312" t="s">
        <v>167</v>
      </c>
      <c r="J1115" s="312">
        <v>1899</v>
      </c>
      <c r="K1115" s="312" t="s">
        <v>169</v>
      </c>
    </row>
    <row r="1116" spans="1:11">
      <c r="A1116" s="312" t="s">
        <v>2485</v>
      </c>
      <c r="B1116" s="312" t="s">
        <v>2486</v>
      </c>
      <c r="C1116" s="312" t="s">
        <v>105</v>
      </c>
      <c r="D1116" s="312" t="s">
        <v>1307</v>
      </c>
      <c r="E1116" s="312" t="s">
        <v>167</v>
      </c>
      <c r="F1116" s="312">
        <v>1705</v>
      </c>
      <c r="G1116" s="312" t="s">
        <v>168</v>
      </c>
      <c r="H1116" s="312">
        <v>1707</v>
      </c>
      <c r="I1116" s="312" t="s">
        <v>167</v>
      </c>
      <c r="J1116" s="312">
        <v>1899</v>
      </c>
      <c r="K1116" s="312" t="s">
        <v>169</v>
      </c>
    </row>
    <row r="1117" spans="1:11">
      <c r="A1117" s="312" t="s">
        <v>2487</v>
      </c>
      <c r="B1117" s="312" t="s">
        <v>2488</v>
      </c>
      <c r="C1117" s="312" t="s">
        <v>105</v>
      </c>
      <c r="D1117" s="312" t="s">
        <v>343</v>
      </c>
      <c r="E1117" s="312" t="s">
        <v>167</v>
      </c>
      <c r="F1117" s="312">
        <v>1705</v>
      </c>
      <c r="G1117" s="312" t="s">
        <v>168</v>
      </c>
      <c r="H1117" s="312">
        <v>1707</v>
      </c>
      <c r="I1117" s="312" t="s">
        <v>167</v>
      </c>
      <c r="J1117" s="312">
        <v>1899</v>
      </c>
      <c r="K1117" s="312" t="s">
        <v>169</v>
      </c>
    </row>
    <row r="1118" spans="1:11">
      <c r="A1118" s="312" t="s">
        <v>2489</v>
      </c>
      <c r="B1118" s="312" t="s">
        <v>2490</v>
      </c>
      <c r="C1118" s="312" t="s">
        <v>105</v>
      </c>
      <c r="D1118" s="312" t="s">
        <v>343</v>
      </c>
      <c r="E1118" s="312" t="s">
        <v>167</v>
      </c>
      <c r="F1118" s="312">
        <v>1705</v>
      </c>
      <c r="G1118" s="312" t="s">
        <v>168</v>
      </c>
      <c r="H1118" s="312">
        <v>1707</v>
      </c>
      <c r="I1118" s="312" t="s">
        <v>167</v>
      </c>
      <c r="J1118" s="312">
        <v>1899</v>
      </c>
      <c r="K1118" s="312" t="s">
        <v>169</v>
      </c>
    </row>
    <row r="1119" spans="1:11">
      <c r="A1119" s="312" t="s">
        <v>2491</v>
      </c>
      <c r="B1119" s="312" t="s">
        <v>2492</v>
      </c>
      <c r="C1119" s="312" t="s">
        <v>105</v>
      </c>
      <c r="D1119" s="312" t="s">
        <v>343</v>
      </c>
      <c r="E1119" s="312" t="s">
        <v>167</v>
      </c>
      <c r="F1119" s="312">
        <v>1705</v>
      </c>
      <c r="G1119" s="312" t="s">
        <v>168</v>
      </c>
      <c r="H1119" s="312">
        <v>1707</v>
      </c>
      <c r="I1119" s="312" t="s">
        <v>167</v>
      </c>
      <c r="J1119" s="312">
        <v>1899</v>
      </c>
      <c r="K1119" s="312" t="s">
        <v>169</v>
      </c>
    </row>
    <row r="1120" spans="1:11">
      <c r="A1120" s="312" t="s">
        <v>2493</v>
      </c>
      <c r="B1120" s="312" t="s">
        <v>2494</v>
      </c>
      <c r="C1120" s="312" t="s">
        <v>105</v>
      </c>
      <c r="D1120" s="312" t="s">
        <v>343</v>
      </c>
      <c r="E1120" s="312" t="s">
        <v>167</v>
      </c>
      <c r="F1120" s="312">
        <v>1705</v>
      </c>
      <c r="G1120" s="312" t="s">
        <v>168</v>
      </c>
      <c r="H1120" s="312">
        <v>1707</v>
      </c>
      <c r="I1120" s="312" t="s">
        <v>167</v>
      </c>
      <c r="J1120" s="312">
        <v>1899</v>
      </c>
      <c r="K1120" s="312" t="s">
        <v>169</v>
      </c>
    </row>
    <row r="1121" spans="1:11">
      <c r="A1121" s="312" t="s">
        <v>2495</v>
      </c>
      <c r="B1121" s="312" t="s">
        <v>2496</v>
      </c>
      <c r="C1121" s="312" t="s">
        <v>105</v>
      </c>
      <c r="D1121" s="312" t="s">
        <v>343</v>
      </c>
      <c r="E1121" s="312" t="s">
        <v>167</v>
      </c>
      <c r="F1121" s="312">
        <v>1705</v>
      </c>
      <c r="G1121" s="312" t="s">
        <v>168</v>
      </c>
      <c r="H1121" s="312">
        <v>1707</v>
      </c>
      <c r="I1121" s="312" t="s">
        <v>167</v>
      </c>
      <c r="J1121" s="312">
        <v>1899</v>
      </c>
      <c r="K1121" s="312" t="s">
        <v>169</v>
      </c>
    </row>
    <row r="1122" spans="1:11">
      <c r="A1122" s="312" t="s">
        <v>2497</v>
      </c>
      <c r="B1122" s="312" t="s">
        <v>2498</v>
      </c>
      <c r="C1122" s="312" t="s">
        <v>105</v>
      </c>
      <c r="D1122" s="312" t="s">
        <v>343</v>
      </c>
      <c r="E1122" s="312" t="s">
        <v>167</v>
      </c>
      <c r="F1122" s="312">
        <v>1705</v>
      </c>
      <c r="G1122" s="312" t="s">
        <v>168</v>
      </c>
      <c r="H1122" s="312">
        <v>1707</v>
      </c>
      <c r="I1122" s="312" t="s">
        <v>167</v>
      </c>
      <c r="J1122" s="312">
        <v>1899</v>
      </c>
      <c r="K1122" s="312" t="s">
        <v>169</v>
      </c>
    </row>
    <row r="1123" spans="1:11">
      <c r="A1123" s="312" t="s">
        <v>2499</v>
      </c>
      <c r="B1123" s="312" t="s">
        <v>2500</v>
      </c>
      <c r="C1123" s="312" t="s">
        <v>105</v>
      </c>
      <c r="D1123" s="312" t="s">
        <v>1910</v>
      </c>
      <c r="E1123" s="312" t="s">
        <v>167</v>
      </c>
      <c r="F1123" s="312">
        <v>1705</v>
      </c>
      <c r="G1123" s="312" t="s">
        <v>168</v>
      </c>
      <c r="H1123" s="312">
        <v>1707</v>
      </c>
      <c r="I1123" s="312" t="s">
        <v>167</v>
      </c>
      <c r="J1123" s="312">
        <v>1899</v>
      </c>
      <c r="K1123" s="312" t="s">
        <v>169</v>
      </c>
    </row>
    <row r="1124" spans="1:11">
      <c r="A1124" s="312" t="s">
        <v>2501</v>
      </c>
      <c r="B1124" s="312" t="s">
        <v>2502</v>
      </c>
      <c r="C1124" s="312" t="s">
        <v>105</v>
      </c>
      <c r="D1124" s="312" t="s">
        <v>1307</v>
      </c>
      <c r="E1124" s="312" t="s">
        <v>167</v>
      </c>
      <c r="F1124" s="312">
        <v>1705</v>
      </c>
      <c r="G1124" s="312" t="s">
        <v>168</v>
      </c>
      <c r="H1124" s="312">
        <v>1707</v>
      </c>
      <c r="I1124" s="312" t="s">
        <v>167</v>
      </c>
      <c r="J1124" s="312">
        <v>1899</v>
      </c>
      <c r="K1124" s="312" t="s">
        <v>169</v>
      </c>
    </row>
    <row r="1125" spans="1:11">
      <c r="A1125" s="312" t="s">
        <v>2503</v>
      </c>
      <c r="B1125" s="312" t="s">
        <v>2504</v>
      </c>
      <c r="C1125" s="312" t="s">
        <v>105</v>
      </c>
      <c r="D1125" s="312" t="s">
        <v>1412</v>
      </c>
      <c r="E1125" s="312" t="s">
        <v>696</v>
      </c>
      <c r="F1125" s="312">
        <v>1736</v>
      </c>
      <c r="G1125" s="312" t="s">
        <v>697</v>
      </c>
      <c r="H1125" s="312">
        <v>1741</v>
      </c>
      <c r="I1125" s="312" t="s">
        <v>696</v>
      </c>
      <c r="J1125" s="312">
        <v>1929</v>
      </c>
      <c r="K1125" s="312" t="s">
        <v>698</v>
      </c>
    </row>
    <row r="1126" spans="1:11">
      <c r="A1126" s="312" t="s">
        <v>2505</v>
      </c>
      <c r="B1126" s="312" t="s">
        <v>2506</v>
      </c>
      <c r="C1126" s="312" t="s">
        <v>105</v>
      </c>
      <c r="D1126" s="312" t="s">
        <v>1412</v>
      </c>
      <c r="E1126" s="312" t="s">
        <v>696</v>
      </c>
      <c r="F1126" s="312">
        <v>1736</v>
      </c>
      <c r="G1126" s="312" t="s">
        <v>697</v>
      </c>
      <c r="H1126" s="312">
        <v>1741</v>
      </c>
      <c r="I1126" s="312" t="s">
        <v>696</v>
      </c>
      <c r="J1126" s="312">
        <v>1929</v>
      </c>
      <c r="K1126" s="312" t="s">
        <v>698</v>
      </c>
    </row>
    <row r="1127" spans="1:11">
      <c r="A1127" s="312" t="s">
        <v>2507</v>
      </c>
      <c r="B1127" s="312" t="s">
        <v>2508</v>
      </c>
      <c r="C1127" s="312" t="s">
        <v>105</v>
      </c>
      <c r="D1127" s="312" t="s">
        <v>1412</v>
      </c>
      <c r="E1127" s="312" t="s">
        <v>696</v>
      </c>
      <c r="F1127" s="312">
        <v>1736</v>
      </c>
      <c r="G1127" s="312" t="s">
        <v>697</v>
      </c>
      <c r="H1127" s="312">
        <v>1741</v>
      </c>
      <c r="I1127" s="312" t="s">
        <v>696</v>
      </c>
      <c r="J1127" s="312">
        <v>1929</v>
      </c>
      <c r="K1127" s="312" t="s">
        <v>698</v>
      </c>
    </row>
    <row r="1128" spans="1:11">
      <c r="A1128" s="312" t="s">
        <v>2509</v>
      </c>
      <c r="B1128" s="312" t="s">
        <v>2510</v>
      </c>
      <c r="C1128" s="312" t="s">
        <v>105</v>
      </c>
      <c r="D1128" s="312" t="s">
        <v>1412</v>
      </c>
      <c r="E1128" s="312" t="s">
        <v>696</v>
      </c>
      <c r="F1128" s="312">
        <v>1736</v>
      </c>
      <c r="G1128" s="312" t="s">
        <v>697</v>
      </c>
      <c r="H1128" s="312">
        <v>1741</v>
      </c>
      <c r="I1128" s="312" t="s">
        <v>696</v>
      </c>
      <c r="J1128" s="312">
        <v>1929</v>
      </c>
      <c r="K1128" s="312" t="s">
        <v>698</v>
      </c>
    </row>
    <row r="1129" spans="1:11">
      <c r="A1129" s="312" t="s">
        <v>2511</v>
      </c>
      <c r="B1129" s="312" t="s">
        <v>2512</v>
      </c>
      <c r="C1129" s="312" t="s">
        <v>105</v>
      </c>
      <c r="D1129" s="312" t="s">
        <v>1412</v>
      </c>
      <c r="E1129" s="312" t="s">
        <v>696</v>
      </c>
      <c r="F1129" s="312">
        <v>1736</v>
      </c>
      <c r="G1129" s="312" t="s">
        <v>697</v>
      </c>
      <c r="H1129" s="312">
        <v>1741</v>
      </c>
      <c r="I1129" s="312" t="s">
        <v>696</v>
      </c>
      <c r="J1129" s="312">
        <v>1929</v>
      </c>
      <c r="K1129" s="312" t="s">
        <v>698</v>
      </c>
    </row>
    <row r="1130" spans="1:11">
      <c r="A1130" s="312" t="s">
        <v>2513</v>
      </c>
      <c r="B1130" s="312" t="s">
        <v>2514</v>
      </c>
      <c r="C1130" s="312" t="s">
        <v>105</v>
      </c>
      <c r="D1130" s="312" t="s">
        <v>1412</v>
      </c>
      <c r="E1130" s="312" t="s">
        <v>696</v>
      </c>
      <c r="F1130" s="312">
        <v>1736</v>
      </c>
      <c r="G1130" s="312" t="s">
        <v>697</v>
      </c>
      <c r="H1130" s="312">
        <v>1741</v>
      </c>
      <c r="I1130" s="312" t="s">
        <v>696</v>
      </c>
      <c r="J1130" s="312">
        <v>1929</v>
      </c>
      <c r="K1130" s="312" t="s">
        <v>698</v>
      </c>
    </row>
    <row r="1131" spans="1:11">
      <c r="A1131" s="312" t="s">
        <v>2515</v>
      </c>
      <c r="B1131" s="312" t="s">
        <v>2516</v>
      </c>
      <c r="C1131" s="312" t="s">
        <v>105</v>
      </c>
      <c r="D1131" s="312" t="s">
        <v>1412</v>
      </c>
      <c r="E1131" s="312" t="s">
        <v>696</v>
      </c>
      <c r="F1131" s="312">
        <v>1736</v>
      </c>
      <c r="G1131" s="312" t="s">
        <v>697</v>
      </c>
      <c r="H1131" s="312">
        <v>1741</v>
      </c>
      <c r="I1131" s="312" t="s">
        <v>696</v>
      </c>
      <c r="J1131" s="312">
        <v>1929</v>
      </c>
      <c r="K1131" s="312" t="s">
        <v>698</v>
      </c>
    </row>
    <row r="1132" spans="1:11">
      <c r="A1132" s="312" t="s">
        <v>2517</v>
      </c>
      <c r="B1132" s="312" t="s">
        <v>2518</v>
      </c>
      <c r="C1132" s="312" t="s">
        <v>105</v>
      </c>
      <c r="D1132" s="312" t="s">
        <v>1412</v>
      </c>
      <c r="E1132" s="312" t="s">
        <v>696</v>
      </c>
      <c r="F1132" s="312">
        <v>1736</v>
      </c>
      <c r="G1132" s="312" t="s">
        <v>697</v>
      </c>
      <c r="H1132" s="312">
        <v>1741</v>
      </c>
      <c r="I1132" s="312" t="s">
        <v>696</v>
      </c>
      <c r="J1132" s="312">
        <v>1929</v>
      </c>
      <c r="K1132" s="312" t="s">
        <v>698</v>
      </c>
    </row>
    <row r="1133" spans="1:11">
      <c r="A1133" s="312" t="s">
        <v>2519</v>
      </c>
      <c r="B1133" s="312" t="s">
        <v>2520</v>
      </c>
      <c r="C1133" s="312" t="s">
        <v>105</v>
      </c>
      <c r="D1133" s="312" t="s">
        <v>600</v>
      </c>
      <c r="E1133" s="312" t="s">
        <v>696</v>
      </c>
      <c r="F1133" s="312">
        <v>1736</v>
      </c>
      <c r="G1133" s="312" t="s">
        <v>697</v>
      </c>
      <c r="H1133" s="312">
        <v>1741</v>
      </c>
      <c r="I1133" s="312" t="s">
        <v>696</v>
      </c>
      <c r="J1133" s="312">
        <v>1929</v>
      </c>
      <c r="K1133" s="312" t="s">
        <v>698</v>
      </c>
    </row>
    <row r="1134" spans="1:11">
      <c r="A1134" s="312" t="s">
        <v>2521</v>
      </c>
      <c r="B1134" s="1" t="s">
        <v>2522</v>
      </c>
      <c r="C1134" s="312" t="s">
        <v>105</v>
      </c>
      <c r="D1134" s="312" t="s">
        <v>730</v>
      </c>
      <c r="E1134" s="312" t="s">
        <v>696</v>
      </c>
      <c r="F1134" s="312">
        <v>1736</v>
      </c>
      <c r="G1134" s="312" t="s">
        <v>697</v>
      </c>
      <c r="H1134" s="312">
        <v>1741</v>
      </c>
      <c r="I1134" s="312" t="s">
        <v>696</v>
      </c>
      <c r="J1134" s="312">
        <v>1929</v>
      </c>
      <c r="K1134" s="312" t="s">
        <v>698</v>
      </c>
    </row>
    <row r="1135" spans="1:11">
      <c r="A1135" s="312" t="s">
        <v>2523</v>
      </c>
      <c r="B1135" s="312" t="s">
        <v>2524</v>
      </c>
      <c r="C1135" s="312" t="s">
        <v>105</v>
      </c>
      <c r="D1135" s="312" t="s">
        <v>730</v>
      </c>
      <c r="E1135" s="312" t="s">
        <v>696</v>
      </c>
      <c r="F1135" s="312">
        <v>1736</v>
      </c>
      <c r="G1135" s="312" t="s">
        <v>697</v>
      </c>
      <c r="H1135" s="312">
        <v>1741</v>
      </c>
      <c r="I1135" s="312" t="s">
        <v>696</v>
      </c>
      <c r="J1135" s="312">
        <v>1929</v>
      </c>
      <c r="K1135" s="312" t="s">
        <v>698</v>
      </c>
    </row>
    <row r="1136" spans="1:11">
      <c r="A1136" s="312" t="s">
        <v>2525</v>
      </c>
      <c r="B1136" s="312" t="s">
        <v>2526</v>
      </c>
      <c r="C1136" s="312" t="s">
        <v>105</v>
      </c>
      <c r="D1136" s="312" t="s">
        <v>600</v>
      </c>
      <c r="E1136" s="312" t="s">
        <v>696</v>
      </c>
      <c r="F1136" s="312">
        <v>1736</v>
      </c>
      <c r="G1136" s="312" t="s">
        <v>697</v>
      </c>
      <c r="H1136" s="312">
        <v>1741</v>
      </c>
      <c r="I1136" s="312" t="s">
        <v>696</v>
      </c>
      <c r="J1136" s="312">
        <v>1929</v>
      </c>
      <c r="K1136" s="312" t="s">
        <v>698</v>
      </c>
    </row>
    <row r="1137" spans="1:11">
      <c r="A1137" s="312" t="s">
        <v>2527</v>
      </c>
      <c r="B1137" s="312" t="s">
        <v>2528</v>
      </c>
      <c r="C1137" s="312" t="s">
        <v>105</v>
      </c>
      <c r="D1137" s="312" t="s">
        <v>1412</v>
      </c>
      <c r="E1137" s="312" t="s">
        <v>696</v>
      </c>
      <c r="F1137" s="312">
        <v>1736</v>
      </c>
      <c r="G1137" s="312" t="s">
        <v>697</v>
      </c>
      <c r="H1137" s="312">
        <v>1741</v>
      </c>
      <c r="I1137" s="312" t="s">
        <v>696</v>
      </c>
      <c r="J1137" s="312">
        <v>1929</v>
      </c>
      <c r="K1137" s="312" t="s">
        <v>698</v>
      </c>
    </row>
    <row r="1138" spans="1:11">
      <c r="A1138" s="312" t="s">
        <v>2529</v>
      </c>
      <c r="B1138" s="1" t="s">
        <v>2530</v>
      </c>
      <c r="C1138" s="312" t="s">
        <v>105</v>
      </c>
      <c r="D1138" s="312" t="s">
        <v>2531</v>
      </c>
      <c r="E1138" s="312" t="s">
        <v>696</v>
      </c>
      <c r="F1138" s="312">
        <v>1736</v>
      </c>
      <c r="G1138" s="312" t="s">
        <v>697</v>
      </c>
      <c r="H1138" s="312">
        <v>1741</v>
      </c>
      <c r="I1138" s="312" t="s">
        <v>696</v>
      </c>
      <c r="J1138" s="312">
        <v>1929</v>
      </c>
      <c r="K1138" s="312" t="s">
        <v>698</v>
      </c>
    </row>
    <row r="1139" spans="1:11">
      <c r="A1139" s="312" t="s">
        <v>2532</v>
      </c>
      <c r="B1139" s="312" t="s">
        <v>2533</v>
      </c>
      <c r="C1139" s="312" t="s">
        <v>105</v>
      </c>
      <c r="D1139" s="312" t="s">
        <v>1412</v>
      </c>
      <c r="E1139" s="312" t="s">
        <v>696</v>
      </c>
      <c r="F1139" s="312">
        <v>1736</v>
      </c>
      <c r="G1139" s="312" t="s">
        <v>697</v>
      </c>
      <c r="H1139" s="312">
        <v>1741</v>
      </c>
      <c r="I1139" s="312" t="s">
        <v>696</v>
      </c>
      <c r="J1139" s="312">
        <v>1929</v>
      </c>
      <c r="K1139" s="312" t="s">
        <v>698</v>
      </c>
    </row>
    <row r="1140" spans="1:11">
      <c r="A1140" s="312" t="s">
        <v>2534</v>
      </c>
      <c r="B1140" s="312" t="s">
        <v>2535</v>
      </c>
      <c r="C1140" s="312" t="s">
        <v>105</v>
      </c>
      <c r="D1140" s="312" t="s">
        <v>1412</v>
      </c>
      <c r="E1140" s="312" t="s">
        <v>696</v>
      </c>
      <c r="F1140" s="312">
        <v>1736</v>
      </c>
      <c r="G1140" s="312" t="s">
        <v>697</v>
      </c>
      <c r="H1140" s="312">
        <v>1741</v>
      </c>
      <c r="I1140" s="312" t="s">
        <v>696</v>
      </c>
      <c r="J1140" s="312">
        <v>1929</v>
      </c>
      <c r="K1140" s="312" t="s">
        <v>698</v>
      </c>
    </row>
    <row r="1141" spans="1:11">
      <c r="A1141" s="312" t="s">
        <v>2536</v>
      </c>
      <c r="B1141" s="312" t="s">
        <v>2537</v>
      </c>
      <c r="C1141" s="312" t="s">
        <v>105</v>
      </c>
      <c r="D1141" s="312" t="s">
        <v>1412</v>
      </c>
      <c r="E1141" s="312" t="s">
        <v>696</v>
      </c>
      <c r="F1141" s="312">
        <v>1736</v>
      </c>
      <c r="G1141" s="312" t="s">
        <v>697</v>
      </c>
      <c r="H1141" s="312">
        <v>1741</v>
      </c>
      <c r="I1141" s="312" t="s">
        <v>696</v>
      </c>
      <c r="J1141" s="312">
        <v>1929</v>
      </c>
      <c r="K1141" s="312" t="s">
        <v>698</v>
      </c>
    </row>
    <row r="1142" spans="1:11">
      <c r="A1142" s="312" t="s">
        <v>2538</v>
      </c>
      <c r="B1142" s="312" t="s">
        <v>2539</v>
      </c>
      <c r="C1142" s="312" t="s">
        <v>105</v>
      </c>
      <c r="D1142" s="312" t="s">
        <v>1412</v>
      </c>
      <c r="E1142" s="312" t="s">
        <v>696</v>
      </c>
      <c r="F1142" s="312">
        <v>1736</v>
      </c>
      <c r="G1142" s="312" t="s">
        <v>697</v>
      </c>
      <c r="H1142" s="312">
        <v>1741</v>
      </c>
      <c r="I1142" s="312" t="s">
        <v>696</v>
      </c>
      <c r="J1142" s="312">
        <v>1929</v>
      </c>
      <c r="K1142" s="312" t="s">
        <v>698</v>
      </c>
    </row>
    <row r="1143" spans="1:11">
      <c r="A1143" s="312" t="s">
        <v>2540</v>
      </c>
      <c r="B1143" s="312" t="s">
        <v>2541</v>
      </c>
      <c r="C1143" s="312" t="s">
        <v>105</v>
      </c>
      <c r="D1143" s="312" t="s">
        <v>1412</v>
      </c>
      <c r="E1143" s="312" t="s">
        <v>696</v>
      </c>
      <c r="F1143" s="312">
        <v>1736</v>
      </c>
      <c r="G1143" s="312" t="s">
        <v>697</v>
      </c>
      <c r="H1143" s="312">
        <v>1741</v>
      </c>
      <c r="I1143" s="312" t="s">
        <v>696</v>
      </c>
      <c r="J1143" s="312">
        <v>1929</v>
      </c>
      <c r="K1143" s="312" t="s">
        <v>698</v>
      </c>
    </row>
    <row r="1144" spans="1:11">
      <c r="A1144" s="312" t="s">
        <v>2542</v>
      </c>
      <c r="B1144" s="312" t="s">
        <v>2543</v>
      </c>
      <c r="C1144" s="312" t="s">
        <v>105</v>
      </c>
      <c r="D1144" s="312" t="s">
        <v>1307</v>
      </c>
      <c r="E1144" s="312" t="s">
        <v>167</v>
      </c>
      <c r="F1144" s="312">
        <v>1705</v>
      </c>
      <c r="G1144" s="312" t="s">
        <v>168</v>
      </c>
      <c r="H1144" s="312">
        <v>1707</v>
      </c>
      <c r="I1144" s="312" t="s">
        <v>167</v>
      </c>
      <c r="J1144" s="312">
        <v>1899</v>
      </c>
      <c r="K1144" s="312" t="s">
        <v>169</v>
      </c>
    </row>
    <row r="1145" spans="1:11">
      <c r="A1145" s="312" t="s">
        <v>2544</v>
      </c>
      <c r="B1145" s="312" t="s">
        <v>2545</v>
      </c>
      <c r="C1145" s="312" t="s">
        <v>105</v>
      </c>
      <c r="D1145" s="312" t="s">
        <v>1307</v>
      </c>
      <c r="E1145" s="312" t="s">
        <v>167</v>
      </c>
      <c r="F1145" s="312">
        <v>1705</v>
      </c>
      <c r="G1145" s="312" t="s">
        <v>168</v>
      </c>
      <c r="H1145" s="312">
        <v>1707</v>
      </c>
      <c r="I1145" s="312" t="s">
        <v>167</v>
      </c>
      <c r="J1145" s="312">
        <v>1899</v>
      </c>
      <c r="K1145" s="312" t="s">
        <v>169</v>
      </c>
    </row>
    <row r="1146" spans="1:11">
      <c r="A1146" s="312" t="s">
        <v>2546</v>
      </c>
      <c r="B1146" s="312" t="s">
        <v>2547</v>
      </c>
      <c r="C1146" s="312" t="s">
        <v>105</v>
      </c>
      <c r="D1146" s="312" t="s">
        <v>117</v>
      </c>
      <c r="E1146" s="312" t="s">
        <v>107</v>
      </c>
      <c r="F1146" s="312">
        <v>1825</v>
      </c>
      <c r="G1146" s="312" t="s">
        <v>108</v>
      </c>
      <c r="H1146" s="312">
        <v>1827</v>
      </c>
      <c r="I1146" s="312" t="s">
        <v>107</v>
      </c>
      <c r="J1146" s="312">
        <v>1913</v>
      </c>
      <c r="K1146" s="312" t="s">
        <v>109</v>
      </c>
    </row>
    <row r="1147" spans="1:11">
      <c r="A1147" s="312" t="s">
        <v>2548</v>
      </c>
      <c r="B1147" s="312" t="s">
        <v>2549</v>
      </c>
      <c r="C1147" s="312" t="s">
        <v>105</v>
      </c>
      <c r="D1147" s="312" t="s">
        <v>1412</v>
      </c>
      <c r="E1147" s="312" t="s">
        <v>696</v>
      </c>
      <c r="F1147" s="312">
        <v>1736</v>
      </c>
      <c r="G1147" s="312" t="s">
        <v>697</v>
      </c>
      <c r="H1147" s="312">
        <v>1741</v>
      </c>
      <c r="I1147" s="312" t="s">
        <v>696</v>
      </c>
      <c r="J1147" s="312">
        <v>1929</v>
      </c>
      <c r="K1147" s="312" t="s">
        <v>698</v>
      </c>
    </row>
    <row r="1148" spans="1:11">
      <c r="A1148" s="312" t="s">
        <v>2550</v>
      </c>
      <c r="B1148" s="312" t="s">
        <v>2551</v>
      </c>
      <c r="C1148" s="312" t="s">
        <v>105</v>
      </c>
      <c r="D1148" s="312" t="s">
        <v>216</v>
      </c>
      <c r="E1148" s="312" t="s">
        <v>107</v>
      </c>
      <c r="F1148" s="312">
        <v>1825</v>
      </c>
      <c r="G1148" s="312" t="s">
        <v>108</v>
      </c>
      <c r="H1148" s="312">
        <v>1827</v>
      </c>
      <c r="I1148" s="312" t="s">
        <v>107</v>
      </c>
      <c r="J1148" s="312">
        <v>1913</v>
      </c>
      <c r="K1148" s="312" t="s">
        <v>109</v>
      </c>
    </row>
    <row r="1149" spans="1:11">
      <c r="A1149" s="312" t="s">
        <v>2552</v>
      </c>
      <c r="B1149" s="312" t="s">
        <v>2553</v>
      </c>
      <c r="C1149" s="312" t="s">
        <v>105</v>
      </c>
      <c r="D1149" s="312" t="s">
        <v>255</v>
      </c>
      <c r="E1149" s="312" t="s">
        <v>167</v>
      </c>
      <c r="F1149" s="312">
        <v>1705</v>
      </c>
      <c r="G1149" s="312" t="s">
        <v>168</v>
      </c>
      <c r="H1149" s="312">
        <v>1707</v>
      </c>
      <c r="I1149" s="312" t="s">
        <v>167</v>
      </c>
      <c r="J1149" s="312">
        <v>1899</v>
      </c>
      <c r="K1149" s="312" t="s">
        <v>169</v>
      </c>
    </row>
    <row r="1150" spans="1:11">
      <c r="A1150" s="312" t="s">
        <v>2554</v>
      </c>
      <c r="B1150" s="312" t="s">
        <v>2555</v>
      </c>
      <c r="C1150" s="312" t="s">
        <v>105</v>
      </c>
      <c r="D1150" s="312" t="s">
        <v>114</v>
      </c>
      <c r="E1150" s="312" t="s">
        <v>107</v>
      </c>
      <c r="F1150" s="312">
        <v>1825</v>
      </c>
      <c r="G1150" s="312" t="s">
        <v>108</v>
      </c>
      <c r="H1150" s="312">
        <v>1827</v>
      </c>
      <c r="I1150" s="312" t="s">
        <v>107</v>
      </c>
      <c r="J1150" s="312">
        <v>1913</v>
      </c>
      <c r="K1150" s="312" t="s">
        <v>109</v>
      </c>
    </row>
    <row r="1151" spans="1:11">
      <c r="A1151" s="312" t="s">
        <v>2556</v>
      </c>
      <c r="B1151" s="312" t="s">
        <v>2557</v>
      </c>
      <c r="C1151" s="312" t="s">
        <v>105</v>
      </c>
      <c r="D1151" s="312" t="s">
        <v>691</v>
      </c>
      <c r="E1151" s="312" t="s">
        <v>107</v>
      </c>
      <c r="F1151" s="312">
        <v>1825</v>
      </c>
      <c r="G1151" s="312" t="s">
        <v>108</v>
      </c>
      <c r="H1151" s="312">
        <v>1827</v>
      </c>
      <c r="I1151" s="312" t="s">
        <v>107</v>
      </c>
      <c r="J1151" s="312">
        <v>1913</v>
      </c>
      <c r="K1151" s="312" t="s">
        <v>109</v>
      </c>
    </row>
    <row r="1152" spans="1:11">
      <c r="A1152" s="312" t="s">
        <v>2558</v>
      </c>
      <c r="B1152" s="312" t="s">
        <v>2559</v>
      </c>
      <c r="C1152" s="312" t="s">
        <v>105</v>
      </c>
      <c r="D1152" s="312" t="s">
        <v>114</v>
      </c>
      <c r="E1152" s="312" t="s">
        <v>107</v>
      </c>
      <c r="F1152" s="312">
        <v>1825</v>
      </c>
      <c r="G1152" s="312" t="s">
        <v>108</v>
      </c>
      <c r="H1152" s="312">
        <v>1827</v>
      </c>
      <c r="I1152" s="312" t="s">
        <v>107</v>
      </c>
      <c r="J1152" s="312">
        <v>1913</v>
      </c>
      <c r="K1152" s="312" t="s">
        <v>109</v>
      </c>
    </row>
    <row r="1153" spans="1:11">
      <c r="A1153" s="312" t="s">
        <v>2560</v>
      </c>
      <c r="B1153" s="312" t="s">
        <v>2561</v>
      </c>
      <c r="C1153" s="312" t="s">
        <v>105</v>
      </c>
      <c r="D1153" s="312" t="s">
        <v>117</v>
      </c>
      <c r="E1153" s="312" t="s">
        <v>107</v>
      </c>
      <c r="F1153" s="312">
        <v>1825</v>
      </c>
      <c r="G1153" s="312" t="s">
        <v>108</v>
      </c>
      <c r="H1153" s="312">
        <v>1827</v>
      </c>
      <c r="I1153" s="312" t="s">
        <v>107</v>
      </c>
      <c r="J1153" s="312">
        <v>1913</v>
      </c>
      <c r="K1153" s="312" t="s">
        <v>109</v>
      </c>
    </row>
    <row r="1154" spans="1:11">
      <c r="A1154" s="312" t="s">
        <v>2562</v>
      </c>
      <c r="B1154" s="312" t="s">
        <v>2563</v>
      </c>
      <c r="C1154" s="312" t="s">
        <v>105</v>
      </c>
      <c r="D1154" s="312" t="s">
        <v>114</v>
      </c>
      <c r="E1154" s="312" t="s">
        <v>107</v>
      </c>
      <c r="F1154" s="312">
        <v>1825</v>
      </c>
      <c r="G1154" s="312" t="s">
        <v>108</v>
      </c>
      <c r="H1154" s="312">
        <v>1827</v>
      </c>
      <c r="I1154" s="312" t="s">
        <v>107</v>
      </c>
      <c r="J1154" s="312">
        <v>1913</v>
      </c>
      <c r="K1154" s="312" t="s">
        <v>109</v>
      </c>
    </row>
    <row r="1155" spans="1:11">
      <c r="A1155" s="312" t="s">
        <v>2564</v>
      </c>
      <c r="B1155" s="312" t="s">
        <v>2565</v>
      </c>
      <c r="C1155" s="312" t="s">
        <v>105</v>
      </c>
      <c r="D1155" s="312" t="s">
        <v>114</v>
      </c>
      <c r="E1155" s="312" t="s">
        <v>107</v>
      </c>
      <c r="F1155" s="312">
        <v>1825</v>
      </c>
      <c r="G1155" s="312" t="s">
        <v>108</v>
      </c>
      <c r="H1155" s="312">
        <v>1827</v>
      </c>
      <c r="I1155" s="312" t="s">
        <v>107</v>
      </c>
      <c r="J1155" s="312">
        <v>1913</v>
      </c>
      <c r="K1155" s="312" t="s">
        <v>109</v>
      </c>
    </row>
    <row r="1156" spans="1:11">
      <c r="A1156" s="312" t="s">
        <v>2566</v>
      </c>
      <c r="B1156" s="312" t="s">
        <v>2567</v>
      </c>
      <c r="C1156" s="312" t="s">
        <v>105</v>
      </c>
      <c r="D1156" s="312" t="s">
        <v>117</v>
      </c>
      <c r="E1156" s="312" t="s">
        <v>107</v>
      </c>
      <c r="F1156" s="312">
        <v>1825</v>
      </c>
      <c r="G1156" s="312" t="s">
        <v>108</v>
      </c>
      <c r="H1156" s="312">
        <v>1827</v>
      </c>
      <c r="I1156" s="312" t="s">
        <v>107</v>
      </c>
      <c r="J1156" s="312">
        <v>1913</v>
      </c>
      <c r="K1156" s="312" t="s">
        <v>109</v>
      </c>
    </row>
    <row r="1157" spans="1:11">
      <c r="A1157" s="312" t="s">
        <v>2568</v>
      </c>
      <c r="B1157" s="312" t="s">
        <v>2569</v>
      </c>
      <c r="C1157" s="312" t="s">
        <v>105</v>
      </c>
      <c r="D1157" s="312" t="s">
        <v>455</v>
      </c>
      <c r="E1157" s="312" t="s">
        <v>107</v>
      </c>
      <c r="F1157" s="312">
        <v>1825</v>
      </c>
      <c r="G1157" s="312" t="s">
        <v>108</v>
      </c>
      <c r="H1157" s="312">
        <v>1827</v>
      </c>
      <c r="I1157" s="312" t="s">
        <v>107</v>
      </c>
      <c r="J1157" s="312">
        <v>1913</v>
      </c>
      <c r="K1157" s="312" t="s">
        <v>109</v>
      </c>
    </row>
    <row r="1158" spans="1:11">
      <c r="A1158" s="312" t="s">
        <v>2570</v>
      </c>
      <c r="B1158" s="312" t="s">
        <v>2571</v>
      </c>
      <c r="C1158" s="312" t="s">
        <v>105</v>
      </c>
      <c r="D1158" s="312" t="s">
        <v>483</v>
      </c>
      <c r="E1158" s="312" t="s">
        <v>466</v>
      </c>
      <c r="F1158" s="312">
        <v>1796</v>
      </c>
      <c r="G1158" s="312" t="s">
        <v>467</v>
      </c>
      <c r="H1158" s="312">
        <v>1799</v>
      </c>
      <c r="I1158" s="312" t="s">
        <v>466</v>
      </c>
      <c r="J1158" s="312">
        <v>1918</v>
      </c>
      <c r="K1158" s="312" t="s">
        <v>468</v>
      </c>
    </row>
    <row r="1159" spans="1:11">
      <c r="A1159" s="312" t="s">
        <v>2572</v>
      </c>
      <c r="B1159" s="312" t="s">
        <v>2573</v>
      </c>
      <c r="C1159" s="312" t="s">
        <v>105</v>
      </c>
      <c r="D1159" s="312" t="s">
        <v>556</v>
      </c>
      <c r="E1159" s="312" t="s">
        <v>107</v>
      </c>
      <c r="F1159" s="312">
        <v>1825</v>
      </c>
      <c r="G1159" s="312" t="s">
        <v>108</v>
      </c>
      <c r="H1159" s="312">
        <v>1827</v>
      </c>
      <c r="I1159" s="312" t="s">
        <v>107</v>
      </c>
      <c r="J1159" s="312">
        <v>1913</v>
      </c>
      <c r="K1159" s="312" t="s">
        <v>109</v>
      </c>
    </row>
    <row r="1160" spans="1:11">
      <c r="A1160" s="312" t="s">
        <v>2574</v>
      </c>
      <c r="B1160" s="312" t="s">
        <v>2575</v>
      </c>
      <c r="C1160" s="312" t="s">
        <v>105</v>
      </c>
      <c r="D1160" s="312" t="s">
        <v>2576</v>
      </c>
      <c r="E1160" s="312" t="s">
        <v>107</v>
      </c>
      <c r="F1160" s="312">
        <v>1825</v>
      </c>
      <c r="G1160" s="312" t="s">
        <v>108</v>
      </c>
      <c r="H1160" s="312">
        <v>1827</v>
      </c>
      <c r="I1160" s="312" t="s">
        <v>107</v>
      </c>
      <c r="J1160" s="312">
        <v>1913</v>
      </c>
      <c r="K1160" s="312" t="s">
        <v>109</v>
      </c>
    </row>
    <row r="1161" spans="1:11">
      <c r="A1161" s="312" t="s">
        <v>2577</v>
      </c>
      <c r="B1161" s="312" t="s">
        <v>2578</v>
      </c>
      <c r="C1161" s="312" t="s">
        <v>105</v>
      </c>
      <c r="D1161" s="312" t="s">
        <v>746</v>
      </c>
      <c r="E1161" s="312" t="s">
        <v>466</v>
      </c>
      <c r="F1161" s="312">
        <v>1796</v>
      </c>
      <c r="G1161" s="312" t="s">
        <v>467</v>
      </c>
      <c r="H1161" s="312">
        <v>1799</v>
      </c>
      <c r="I1161" s="312" t="s">
        <v>466</v>
      </c>
      <c r="J1161" s="312">
        <v>1918</v>
      </c>
      <c r="K1161" s="312" t="s">
        <v>468</v>
      </c>
    </row>
    <row r="1162" spans="1:11">
      <c r="A1162" s="312" t="s">
        <v>2579</v>
      </c>
      <c r="B1162" s="312" t="s">
        <v>2580</v>
      </c>
      <c r="C1162" s="312" t="s">
        <v>105</v>
      </c>
      <c r="D1162" s="312" t="s">
        <v>603</v>
      </c>
      <c r="E1162" s="312" t="s">
        <v>107</v>
      </c>
      <c r="F1162" s="312">
        <v>1825</v>
      </c>
      <c r="G1162" s="312" t="s">
        <v>108</v>
      </c>
      <c r="H1162" s="312">
        <v>1827</v>
      </c>
      <c r="I1162" s="312" t="s">
        <v>107</v>
      </c>
      <c r="J1162" s="312">
        <v>1913</v>
      </c>
      <c r="K1162" s="312" t="s">
        <v>109</v>
      </c>
    </row>
    <row r="1163" spans="1:11">
      <c r="A1163" s="312" t="s">
        <v>2581</v>
      </c>
      <c r="B1163" s="312" t="s">
        <v>2582</v>
      </c>
      <c r="C1163" s="312" t="s">
        <v>105</v>
      </c>
      <c r="D1163" s="312" t="s">
        <v>327</v>
      </c>
      <c r="E1163" s="312" t="s">
        <v>167</v>
      </c>
      <c r="F1163" s="312">
        <v>1705</v>
      </c>
      <c r="G1163" s="312" t="s">
        <v>168</v>
      </c>
      <c r="H1163" s="312">
        <v>1707</v>
      </c>
      <c r="I1163" s="312" t="s">
        <v>167</v>
      </c>
      <c r="J1163" s="312">
        <v>1899</v>
      </c>
      <c r="K1163" s="312" t="s">
        <v>169</v>
      </c>
    </row>
    <row r="1164" spans="1:11">
      <c r="A1164" s="312" t="s">
        <v>2583</v>
      </c>
      <c r="B1164" s="312" t="s">
        <v>2584</v>
      </c>
      <c r="C1164" s="312" t="s">
        <v>105</v>
      </c>
      <c r="D1164" s="312" t="s">
        <v>1910</v>
      </c>
      <c r="E1164" s="312" t="s">
        <v>167</v>
      </c>
      <c r="F1164" s="312">
        <v>1705</v>
      </c>
      <c r="G1164" s="312" t="s">
        <v>168</v>
      </c>
      <c r="H1164" s="312">
        <v>1707</v>
      </c>
      <c r="I1164" s="312" t="s">
        <v>167</v>
      </c>
      <c r="J1164" s="312">
        <v>1899</v>
      </c>
      <c r="K1164" s="312" t="s">
        <v>169</v>
      </c>
    </row>
    <row r="1165" spans="1:11">
      <c r="A1165" s="312" t="s">
        <v>2585</v>
      </c>
      <c r="B1165" s="312" t="s">
        <v>2586</v>
      </c>
      <c r="C1165" s="312" t="s">
        <v>105</v>
      </c>
      <c r="D1165" s="312" t="s">
        <v>327</v>
      </c>
      <c r="E1165" s="312" t="s">
        <v>167</v>
      </c>
      <c r="F1165" s="312">
        <v>1705</v>
      </c>
      <c r="G1165" s="312" t="s">
        <v>168</v>
      </c>
      <c r="H1165" s="312">
        <v>1707</v>
      </c>
      <c r="I1165" s="312" t="s">
        <v>167</v>
      </c>
      <c r="J1165" s="312">
        <v>1899</v>
      </c>
      <c r="K1165" s="312" t="s">
        <v>169</v>
      </c>
    </row>
    <row r="1166" spans="1:11">
      <c r="A1166" s="312" t="s">
        <v>2587</v>
      </c>
      <c r="B1166" s="312" t="s">
        <v>2588</v>
      </c>
      <c r="C1166" s="312" t="s">
        <v>105</v>
      </c>
      <c r="D1166" s="312" t="s">
        <v>327</v>
      </c>
      <c r="E1166" s="312" t="s">
        <v>167</v>
      </c>
      <c r="F1166" s="312">
        <v>1705</v>
      </c>
      <c r="G1166" s="312" t="s">
        <v>168</v>
      </c>
      <c r="H1166" s="312">
        <v>1707</v>
      </c>
      <c r="I1166" s="312" t="s">
        <v>167</v>
      </c>
      <c r="J1166" s="312">
        <v>1899</v>
      </c>
      <c r="K1166" s="312" t="s">
        <v>169</v>
      </c>
    </row>
    <row r="1167" spans="1:11">
      <c r="A1167" s="312" t="s">
        <v>2589</v>
      </c>
      <c r="B1167" s="312" t="s">
        <v>2590</v>
      </c>
      <c r="C1167" s="312" t="s">
        <v>105</v>
      </c>
      <c r="D1167" s="312" t="s">
        <v>327</v>
      </c>
      <c r="E1167" s="312" t="s">
        <v>167</v>
      </c>
      <c r="F1167" s="312">
        <v>1705</v>
      </c>
      <c r="G1167" s="312" t="s">
        <v>168</v>
      </c>
      <c r="H1167" s="312">
        <v>1707</v>
      </c>
      <c r="I1167" s="312" t="s">
        <v>167</v>
      </c>
      <c r="J1167" s="312">
        <v>1899</v>
      </c>
      <c r="K1167" s="312" t="s">
        <v>169</v>
      </c>
    </row>
    <row r="1168" spans="1:11">
      <c r="A1168" s="312" t="s">
        <v>2591</v>
      </c>
      <c r="B1168" s="312" t="s">
        <v>2592</v>
      </c>
      <c r="C1168" s="312" t="s">
        <v>105</v>
      </c>
      <c r="D1168" s="312" t="s">
        <v>327</v>
      </c>
      <c r="E1168" s="312" t="s">
        <v>167</v>
      </c>
      <c r="F1168" s="312">
        <v>1705</v>
      </c>
      <c r="G1168" s="312" t="s">
        <v>168</v>
      </c>
      <c r="H1168" s="312">
        <v>1707</v>
      </c>
      <c r="I1168" s="312" t="s">
        <v>167</v>
      </c>
      <c r="J1168" s="312">
        <v>1899</v>
      </c>
      <c r="K1168" s="312" t="s">
        <v>169</v>
      </c>
    </row>
    <row r="1169" spans="1:11">
      <c r="A1169" s="312" t="s">
        <v>2593</v>
      </c>
      <c r="B1169" s="312" t="s">
        <v>2594</v>
      </c>
      <c r="C1169" s="312" t="s">
        <v>105</v>
      </c>
      <c r="D1169" s="312" t="s">
        <v>813</v>
      </c>
      <c r="E1169" s="312" t="s">
        <v>167</v>
      </c>
      <c r="F1169" s="312">
        <v>1705</v>
      </c>
      <c r="G1169" s="312" t="s">
        <v>168</v>
      </c>
      <c r="H1169" s="312">
        <v>1707</v>
      </c>
      <c r="I1169" s="312" t="s">
        <v>167</v>
      </c>
      <c r="J1169" s="312">
        <v>1899</v>
      </c>
      <c r="K1169" s="312" t="s">
        <v>169</v>
      </c>
    </row>
    <row r="1170" spans="1:11">
      <c r="A1170" s="312" t="s">
        <v>2595</v>
      </c>
      <c r="B1170" s="312" t="s">
        <v>2596</v>
      </c>
      <c r="C1170" s="312" t="s">
        <v>105</v>
      </c>
      <c r="D1170" s="312" t="s">
        <v>216</v>
      </c>
      <c r="E1170" s="312" t="s">
        <v>684</v>
      </c>
      <c r="F1170" s="312">
        <v>1750</v>
      </c>
      <c r="G1170" s="312" t="s">
        <v>685</v>
      </c>
      <c r="H1170" s="312">
        <v>1754</v>
      </c>
      <c r="I1170" s="312" t="s">
        <v>684</v>
      </c>
      <c r="J1170" s="312">
        <v>1920</v>
      </c>
      <c r="K1170" s="312" t="s">
        <v>686</v>
      </c>
    </row>
    <row r="1171" spans="1:11">
      <c r="A1171" s="312" t="s">
        <v>2597</v>
      </c>
      <c r="B1171" s="312" t="s">
        <v>2598</v>
      </c>
      <c r="C1171" s="312" t="s">
        <v>105</v>
      </c>
      <c r="D1171" s="312" t="s">
        <v>114</v>
      </c>
      <c r="E1171" s="312" t="s">
        <v>107</v>
      </c>
      <c r="F1171" s="312">
        <v>1825</v>
      </c>
      <c r="G1171" s="312" t="s">
        <v>108</v>
      </c>
      <c r="H1171" s="312">
        <v>1827</v>
      </c>
      <c r="I1171" s="312" t="s">
        <v>107</v>
      </c>
      <c r="J1171" s="312">
        <v>1913</v>
      </c>
      <c r="K1171" s="312" t="s">
        <v>109</v>
      </c>
    </row>
    <row r="1172" spans="1:11">
      <c r="A1172" s="312" t="s">
        <v>2599</v>
      </c>
      <c r="B1172" s="312" t="s">
        <v>2600</v>
      </c>
      <c r="C1172" s="312" t="s">
        <v>105</v>
      </c>
      <c r="D1172" s="312" t="s">
        <v>114</v>
      </c>
      <c r="E1172" s="312" t="s">
        <v>107</v>
      </c>
      <c r="F1172" s="312">
        <v>1825</v>
      </c>
      <c r="G1172" s="312" t="s">
        <v>108</v>
      </c>
      <c r="H1172" s="312">
        <v>1827</v>
      </c>
      <c r="I1172" s="312" t="s">
        <v>107</v>
      </c>
      <c r="J1172" s="312">
        <v>1913</v>
      </c>
      <c r="K1172" s="312" t="s">
        <v>109</v>
      </c>
    </row>
    <row r="1173" spans="1:11">
      <c r="A1173" s="312" t="s">
        <v>2601</v>
      </c>
      <c r="B1173" s="312" t="s">
        <v>2602</v>
      </c>
      <c r="C1173" s="312" t="s">
        <v>105</v>
      </c>
      <c r="D1173" s="312" t="s">
        <v>114</v>
      </c>
      <c r="E1173" s="312" t="s">
        <v>107</v>
      </c>
      <c r="F1173" s="312">
        <v>1825</v>
      </c>
      <c r="G1173" s="312" t="s">
        <v>108</v>
      </c>
      <c r="H1173" s="312">
        <v>1827</v>
      </c>
      <c r="I1173" s="312" t="s">
        <v>107</v>
      </c>
      <c r="J1173" s="312">
        <v>1913</v>
      </c>
      <c r="K1173" s="312" t="s">
        <v>109</v>
      </c>
    </row>
    <row r="1174" spans="1:11">
      <c r="A1174" s="312" t="s">
        <v>2603</v>
      </c>
      <c r="B1174" s="312" t="s">
        <v>2604</v>
      </c>
      <c r="C1174" s="312" t="s">
        <v>105</v>
      </c>
      <c r="D1174" s="312" t="s">
        <v>114</v>
      </c>
      <c r="E1174" s="312" t="s">
        <v>107</v>
      </c>
      <c r="F1174" s="312">
        <v>1825</v>
      </c>
      <c r="G1174" s="312" t="s">
        <v>108</v>
      </c>
      <c r="H1174" s="312">
        <v>1827</v>
      </c>
      <c r="I1174" s="312" t="s">
        <v>107</v>
      </c>
      <c r="J1174" s="312">
        <v>1913</v>
      </c>
      <c r="K1174" s="312" t="s">
        <v>109</v>
      </c>
    </row>
    <row r="1175" spans="1:11">
      <c r="A1175" s="312" t="s">
        <v>2605</v>
      </c>
      <c r="B1175" s="312" t="s">
        <v>2606</v>
      </c>
      <c r="C1175" s="312" t="s">
        <v>105</v>
      </c>
      <c r="D1175" s="312" t="s">
        <v>114</v>
      </c>
      <c r="E1175" s="312" t="s">
        <v>107</v>
      </c>
      <c r="F1175" s="312">
        <v>1825</v>
      </c>
      <c r="G1175" s="312" t="s">
        <v>108</v>
      </c>
      <c r="H1175" s="312">
        <v>1827</v>
      </c>
      <c r="I1175" s="312" t="s">
        <v>107</v>
      </c>
      <c r="J1175" s="312">
        <v>1913</v>
      </c>
      <c r="K1175" s="312" t="s">
        <v>109</v>
      </c>
    </row>
    <row r="1176" spans="1:11">
      <c r="A1176" s="312" t="s">
        <v>2607</v>
      </c>
      <c r="B1176" s="312" t="s">
        <v>2608</v>
      </c>
      <c r="C1176" s="312" t="s">
        <v>105</v>
      </c>
      <c r="D1176" s="312" t="s">
        <v>114</v>
      </c>
      <c r="E1176" s="312" t="s">
        <v>107</v>
      </c>
      <c r="F1176" s="312">
        <v>1825</v>
      </c>
      <c r="G1176" s="312" t="s">
        <v>108</v>
      </c>
      <c r="H1176" s="312">
        <v>1827</v>
      </c>
      <c r="I1176" s="312" t="s">
        <v>107</v>
      </c>
      <c r="J1176" s="312">
        <v>1913</v>
      </c>
      <c r="K1176" s="312" t="s">
        <v>109</v>
      </c>
    </row>
    <row r="1177" spans="1:11">
      <c r="A1177" s="312" t="s">
        <v>2609</v>
      </c>
      <c r="B1177" s="312" t="s">
        <v>2610</v>
      </c>
      <c r="C1177" s="312" t="s">
        <v>105</v>
      </c>
      <c r="D1177" s="312" t="s">
        <v>114</v>
      </c>
      <c r="E1177" s="312" t="s">
        <v>107</v>
      </c>
      <c r="F1177" s="312">
        <v>1825</v>
      </c>
      <c r="G1177" s="312" t="s">
        <v>108</v>
      </c>
      <c r="H1177" s="312">
        <v>1827</v>
      </c>
      <c r="I1177" s="312" t="s">
        <v>107</v>
      </c>
      <c r="J1177" s="312">
        <v>1913</v>
      </c>
      <c r="K1177" s="312" t="s">
        <v>109</v>
      </c>
    </row>
    <row r="1178" spans="1:11">
      <c r="A1178" s="312" t="s">
        <v>2611</v>
      </c>
      <c r="B1178" s="312" t="s">
        <v>2612</v>
      </c>
      <c r="C1178" s="312" t="s">
        <v>105</v>
      </c>
      <c r="D1178" s="312" t="s">
        <v>117</v>
      </c>
      <c r="E1178" s="312" t="s">
        <v>107</v>
      </c>
      <c r="F1178" s="312">
        <v>1825</v>
      </c>
      <c r="G1178" s="312" t="s">
        <v>108</v>
      </c>
      <c r="H1178" s="312">
        <v>1827</v>
      </c>
      <c r="I1178" s="312" t="s">
        <v>107</v>
      </c>
      <c r="J1178" s="312">
        <v>1913</v>
      </c>
      <c r="K1178" s="312" t="s">
        <v>109</v>
      </c>
    </row>
    <row r="1179" spans="1:11">
      <c r="A1179" s="312" t="s">
        <v>2613</v>
      </c>
      <c r="B1179" s="312" t="s">
        <v>2614</v>
      </c>
      <c r="C1179" s="312" t="s">
        <v>105</v>
      </c>
      <c r="D1179" s="312" t="s">
        <v>114</v>
      </c>
      <c r="E1179" s="312" t="s">
        <v>107</v>
      </c>
      <c r="F1179" s="312">
        <v>1825</v>
      </c>
      <c r="G1179" s="312" t="s">
        <v>108</v>
      </c>
      <c r="H1179" s="312">
        <v>1827</v>
      </c>
      <c r="I1179" s="312" t="s">
        <v>107</v>
      </c>
      <c r="J1179" s="312">
        <v>1913</v>
      </c>
      <c r="K1179" s="312" t="s">
        <v>109</v>
      </c>
    </row>
    <row r="1180" spans="1:11">
      <c r="A1180" s="312" t="s">
        <v>2615</v>
      </c>
      <c r="B1180" s="312" t="s">
        <v>2616</v>
      </c>
      <c r="C1180" s="312" t="s">
        <v>105</v>
      </c>
      <c r="D1180" s="312" t="s">
        <v>1307</v>
      </c>
      <c r="E1180" s="312" t="s">
        <v>167</v>
      </c>
      <c r="F1180" s="312">
        <v>1705</v>
      </c>
      <c r="G1180" s="312" t="s">
        <v>168</v>
      </c>
      <c r="H1180" s="312">
        <v>1707</v>
      </c>
      <c r="I1180" s="312" t="s">
        <v>167</v>
      </c>
      <c r="J1180" s="312">
        <v>1899</v>
      </c>
      <c r="K1180" s="312" t="s">
        <v>169</v>
      </c>
    </row>
    <row r="1181" spans="1:11">
      <c r="A1181" s="312" t="s">
        <v>2617</v>
      </c>
      <c r="B1181" s="312" t="s">
        <v>2618</v>
      </c>
      <c r="C1181" s="312" t="s">
        <v>105</v>
      </c>
      <c r="D1181" s="312" t="s">
        <v>1307</v>
      </c>
      <c r="E1181" s="312" t="s">
        <v>167</v>
      </c>
      <c r="F1181" s="312">
        <v>1705</v>
      </c>
      <c r="G1181" s="312" t="s">
        <v>168</v>
      </c>
      <c r="H1181" s="312">
        <v>1707</v>
      </c>
      <c r="I1181" s="312" t="s">
        <v>167</v>
      </c>
      <c r="J1181" s="312">
        <v>1899</v>
      </c>
      <c r="K1181" s="312" t="s">
        <v>169</v>
      </c>
    </row>
    <row r="1182" spans="1:11">
      <c r="A1182" s="312" t="s">
        <v>2619</v>
      </c>
      <c r="B1182" s="312" t="s">
        <v>2620</v>
      </c>
      <c r="C1182" s="312" t="s">
        <v>105</v>
      </c>
      <c r="D1182" s="312" t="s">
        <v>1307</v>
      </c>
      <c r="E1182" s="312" t="s">
        <v>167</v>
      </c>
      <c r="F1182" s="312">
        <v>1705</v>
      </c>
      <c r="G1182" s="312" t="s">
        <v>168</v>
      </c>
      <c r="H1182" s="312">
        <v>1707</v>
      </c>
      <c r="I1182" s="312" t="s">
        <v>167</v>
      </c>
      <c r="J1182" s="312">
        <v>1899</v>
      </c>
      <c r="K1182" s="312" t="s">
        <v>169</v>
      </c>
    </row>
    <row r="1183" spans="1:11">
      <c r="A1183" s="312" t="s">
        <v>2621</v>
      </c>
      <c r="B1183" s="312" t="s">
        <v>2622</v>
      </c>
      <c r="C1183" s="312" t="s">
        <v>105</v>
      </c>
      <c r="D1183" s="312" t="s">
        <v>1307</v>
      </c>
      <c r="E1183" s="312" t="s">
        <v>167</v>
      </c>
      <c r="F1183" s="312">
        <v>1705</v>
      </c>
      <c r="G1183" s="312" t="s">
        <v>168</v>
      </c>
      <c r="H1183" s="312">
        <v>1707</v>
      </c>
      <c r="I1183" s="312" t="s">
        <v>167</v>
      </c>
      <c r="J1183" s="312">
        <v>1899</v>
      </c>
      <c r="K1183" s="312" t="s">
        <v>169</v>
      </c>
    </row>
    <row r="1184" spans="1:11">
      <c r="A1184" s="312" t="s">
        <v>2623</v>
      </c>
      <c r="B1184" s="312" t="s">
        <v>2624</v>
      </c>
      <c r="C1184" s="312" t="s">
        <v>105</v>
      </c>
      <c r="D1184" s="312" t="s">
        <v>114</v>
      </c>
      <c r="E1184" s="312" t="s">
        <v>107</v>
      </c>
      <c r="F1184" s="312">
        <v>1825</v>
      </c>
      <c r="G1184" s="312" t="s">
        <v>108</v>
      </c>
      <c r="H1184" s="312">
        <v>1827</v>
      </c>
      <c r="I1184" s="312" t="s">
        <v>107</v>
      </c>
      <c r="J1184" s="312">
        <v>1913</v>
      </c>
      <c r="K1184" s="312" t="s">
        <v>109</v>
      </c>
    </row>
    <row r="1185" spans="1:11">
      <c r="A1185" s="312" t="s">
        <v>2625</v>
      </c>
      <c r="B1185" s="312" t="s">
        <v>2626</v>
      </c>
      <c r="C1185" s="312" t="s">
        <v>105</v>
      </c>
      <c r="D1185" s="312" t="s">
        <v>114</v>
      </c>
      <c r="E1185" s="312" t="s">
        <v>107</v>
      </c>
      <c r="F1185" s="312">
        <v>1825</v>
      </c>
      <c r="G1185" s="312" t="s">
        <v>108</v>
      </c>
      <c r="H1185" s="312">
        <v>1827</v>
      </c>
      <c r="I1185" s="312" t="s">
        <v>107</v>
      </c>
      <c r="J1185" s="312">
        <v>1913</v>
      </c>
      <c r="K1185" s="312" t="s">
        <v>109</v>
      </c>
    </row>
    <row r="1186" spans="1:11">
      <c r="A1186" s="312" t="s">
        <v>2627</v>
      </c>
      <c r="B1186" s="312" t="s">
        <v>2628</v>
      </c>
      <c r="C1186" s="312" t="s">
        <v>105</v>
      </c>
      <c r="D1186" s="312" t="s">
        <v>517</v>
      </c>
      <c r="E1186" s="312" t="s">
        <v>107</v>
      </c>
      <c r="F1186" s="312">
        <v>1825</v>
      </c>
      <c r="G1186" s="312" t="s">
        <v>108</v>
      </c>
      <c r="H1186" s="312">
        <v>1827</v>
      </c>
      <c r="I1186" s="312" t="s">
        <v>107</v>
      </c>
      <c r="J1186" s="312">
        <v>1913</v>
      </c>
      <c r="K1186" s="312" t="s">
        <v>109</v>
      </c>
    </row>
    <row r="1187" spans="1:11">
      <c r="A1187" s="312" t="s">
        <v>2629</v>
      </c>
      <c r="B1187" s="312" t="s">
        <v>2630</v>
      </c>
      <c r="C1187" s="312" t="s">
        <v>105</v>
      </c>
      <c r="D1187" s="312" t="s">
        <v>556</v>
      </c>
      <c r="E1187" s="312" t="s">
        <v>107</v>
      </c>
      <c r="F1187" s="312">
        <v>1825</v>
      </c>
      <c r="G1187" s="312" t="s">
        <v>108</v>
      </c>
      <c r="H1187" s="312">
        <v>1827</v>
      </c>
      <c r="I1187" s="312" t="s">
        <v>107</v>
      </c>
      <c r="J1187" s="312">
        <v>1913</v>
      </c>
      <c r="K1187" s="312" t="s">
        <v>109</v>
      </c>
    </row>
    <row r="1188" spans="1:11">
      <c r="A1188" s="312" t="s">
        <v>2631</v>
      </c>
      <c r="B1188" s="1" t="s">
        <v>2632</v>
      </c>
      <c r="C1188" s="312" t="s">
        <v>105</v>
      </c>
      <c r="D1188" s="312" t="s">
        <v>114</v>
      </c>
      <c r="E1188" s="312" t="s">
        <v>107</v>
      </c>
      <c r="F1188" s="312">
        <v>1825</v>
      </c>
      <c r="G1188" s="312" t="s">
        <v>108</v>
      </c>
      <c r="H1188" s="312">
        <v>1827</v>
      </c>
      <c r="I1188" s="312" t="s">
        <v>107</v>
      </c>
      <c r="J1188" s="312">
        <v>1913</v>
      </c>
      <c r="K1188" s="312" t="s">
        <v>109</v>
      </c>
    </row>
    <row r="1189" spans="1:11">
      <c r="A1189" s="312" t="s">
        <v>2633</v>
      </c>
      <c r="B1189" s="1" t="s">
        <v>2634</v>
      </c>
      <c r="C1189" s="312" t="s">
        <v>105</v>
      </c>
      <c r="D1189" s="312" t="s">
        <v>1499</v>
      </c>
      <c r="E1189" s="312" t="s">
        <v>107</v>
      </c>
      <c r="F1189" s="312">
        <v>1825</v>
      </c>
      <c r="G1189" s="312" t="s">
        <v>108</v>
      </c>
      <c r="H1189" s="312">
        <v>1827</v>
      </c>
      <c r="I1189" s="312" t="s">
        <v>107</v>
      </c>
      <c r="J1189" s="312">
        <v>1913</v>
      </c>
      <c r="K1189" s="312" t="s">
        <v>109</v>
      </c>
    </row>
    <row r="1190" spans="1:11">
      <c r="A1190" s="312" t="s">
        <v>2635</v>
      </c>
      <c r="B1190" s="312" t="s">
        <v>2636</v>
      </c>
      <c r="C1190" s="312" t="s">
        <v>105</v>
      </c>
      <c r="D1190" s="312" t="s">
        <v>1499</v>
      </c>
      <c r="E1190" s="312" t="s">
        <v>107</v>
      </c>
      <c r="F1190" s="312">
        <v>1825</v>
      </c>
      <c r="G1190" s="312" t="s">
        <v>108</v>
      </c>
      <c r="H1190" s="312">
        <v>1827</v>
      </c>
      <c r="I1190" s="312" t="s">
        <v>107</v>
      </c>
      <c r="J1190" s="312">
        <v>1913</v>
      </c>
      <c r="K1190" s="312" t="s">
        <v>109</v>
      </c>
    </row>
    <row r="1191" spans="1:11">
      <c r="A1191" s="312" t="s">
        <v>2637</v>
      </c>
      <c r="B1191" s="312" t="s">
        <v>2638</v>
      </c>
      <c r="C1191" s="312" t="s">
        <v>105</v>
      </c>
      <c r="D1191" s="312" t="s">
        <v>1499</v>
      </c>
      <c r="E1191" s="312" t="s">
        <v>107</v>
      </c>
      <c r="F1191" s="312">
        <v>1825</v>
      </c>
      <c r="G1191" s="312" t="s">
        <v>108</v>
      </c>
      <c r="H1191" s="312">
        <v>1827</v>
      </c>
      <c r="I1191" s="312" t="s">
        <v>107</v>
      </c>
      <c r="J1191" s="312">
        <v>1913</v>
      </c>
      <c r="K1191" s="312" t="s">
        <v>109</v>
      </c>
    </row>
    <row r="1192" spans="1:11">
      <c r="A1192" s="312" t="s">
        <v>2639</v>
      </c>
      <c r="B1192" s="312" t="s">
        <v>2640</v>
      </c>
      <c r="C1192" s="312" t="s">
        <v>105</v>
      </c>
      <c r="D1192" s="312" t="s">
        <v>1499</v>
      </c>
      <c r="E1192" s="312" t="s">
        <v>107</v>
      </c>
      <c r="F1192" s="312">
        <v>1825</v>
      </c>
      <c r="G1192" s="312" t="s">
        <v>108</v>
      </c>
      <c r="H1192" s="312">
        <v>1827</v>
      </c>
      <c r="I1192" s="312" t="s">
        <v>107</v>
      </c>
      <c r="J1192" s="312">
        <v>1913</v>
      </c>
      <c r="K1192" s="312" t="s">
        <v>109</v>
      </c>
    </row>
    <row r="1193" spans="1:11">
      <c r="A1193" s="312" t="s">
        <v>2641</v>
      </c>
      <c r="B1193" s="312" t="s">
        <v>2642</v>
      </c>
      <c r="C1193" s="312" t="s">
        <v>105</v>
      </c>
      <c r="D1193" s="312" t="s">
        <v>1499</v>
      </c>
      <c r="E1193" s="312" t="s">
        <v>107</v>
      </c>
      <c r="F1193" s="312">
        <v>1825</v>
      </c>
      <c r="G1193" s="312" t="s">
        <v>108</v>
      </c>
      <c r="H1193" s="312">
        <v>1827</v>
      </c>
      <c r="I1193" s="312" t="s">
        <v>107</v>
      </c>
      <c r="J1193" s="312">
        <v>1913</v>
      </c>
      <c r="K1193" s="312" t="s">
        <v>109</v>
      </c>
    </row>
    <row r="1194" spans="1:11">
      <c r="A1194" s="312" t="s">
        <v>2643</v>
      </c>
      <c r="B1194" s="312" t="s">
        <v>2644</v>
      </c>
      <c r="C1194" s="312" t="s">
        <v>105</v>
      </c>
      <c r="D1194" s="312" t="s">
        <v>1499</v>
      </c>
      <c r="E1194" s="312" t="s">
        <v>107</v>
      </c>
      <c r="F1194" s="312">
        <v>1825</v>
      </c>
      <c r="G1194" s="312" t="s">
        <v>108</v>
      </c>
      <c r="H1194" s="312">
        <v>1827</v>
      </c>
      <c r="I1194" s="312" t="s">
        <v>107</v>
      </c>
      <c r="J1194" s="312">
        <v>1913</v>
      </c>
      <c r="K1194" s="312" t="s">
        <v>109</v>
      </c>
    </row>
    <row r="1195" spans="1:11">
      <c r="A1195" s="312" t="s">
        <v>2645</v>
      </c>
      <c r="B1195" s="312" t="s">
        <v>2646</v>
      </c>
      <c r="C1195" s="312" t="s">
        <v>105</v>
      </c>
      <c r="D1195" s="312" t="s">
        <v>1499</v>
      </c>
      <c r="E1195" s="312" t="s">
        <v>107</v>
      </c>
      <c r="F1195" s="312">
        <v>1825</v>
      </c>
      <c r="G1195" s="312" t="s">
        <v>108</v>
      </c>
      <c r="H1195" s="312">
        <v>1827</v>
      </c>
      <c r="I1195" s="312" t="s">
        <v>107</v>
      </c>
      <c r="J1195" s="312">
        <v>1913</v>
      </c>
      <c r="K1195" s="312" t="s">
        <v>109</v>
      </c>
    </row>
    <row r="1196" spans="1:11">
      <c r="A1196" s="312" t="s">
        <v>2647</v>
      </c>
      <c r="B1196" s="312" t="s">
        <v>2648</v>
      </c>
      <c r="C1196" s="312" t="s">
        <v>105</v>
      </c>
      <c r="D1196" s="312" t="s">
        <v>1499</v>
      </c>
      <c r="E1196" s="312" t="s">
        <v>107</v>
      </c>
      <c r="F1196" s="312">
        <v>1825</v>
      </c>
      <c r="G1196" s="312" t="s">
        <v>108</v>
      </c>
      <c r="H1196" s="312">
        <v>1827</v>
      </c>
      <c r="I1196" s="312" t="s">
        <v>107</v>
      </c>
      <c r="J1196" s="312">
        <v>1913</v>
      </c>
      <c r="K1196" s="312" t="s">
        <v>109</v>
      </c>
    </row>
    <row r="1197" spans="1:11">
      <c r="A1197" s="312" t="s">
        <v>2649</v>
      </c>
      <c r="B1197" s="312" t="s">
        <v>2650</v>
      </c>
      <c r="C1197" s="312" t="s">
        <v>105</v>
      </c>
      <c r="D1197" s="312" t="s">
        <v>1499</v>
      </c>
      <c r="E1197" s="312" t="s">
        <v>107</v>
      </c>
      <c r="F1197" s="312">
        <v>1825</v>
      </c>
      <c r="G1197" s="312" t="s">
        <v>108</v>
      </c>
      <c r="H1197" s="312">
        <v>1827</v>
      </c>
      <c r="I1197" s="312" t="s">
        <v>107</v>
      </c>
      <c r="J1197" s="312">
        <v>1913</v>
      </c>
      <c r="K1197" s="312" t="s">
        <v>109</v>
      </c>
    </row>
    <row r="1198" spans="1:11">
      <c r="A1198" s="312" t="s">
        <v>2651</v>
      </c>
      <c r="B1198" s="312" t="s">
        <v>2652</v>
      </c>
      <c r="C1198" s="312" t="s">
        <v>105</v>
      </c>
      <c r="D1198" s="312" t="s">
        <v>1499</v>
      </c>
      <c r="E1198" s="312" t="s">
        <v>107</v>
      </c>
      <c r="F1198" s="312">
        <v>1825</v>
      </c>
      <c r="G1198" s="312" t="s">
        <v>108</v>
      </c>
      <c r="H1198" s="312">
        <v>1827</v>
      </c>
      <c r="I1198" s="312" t="s">
        <v>107</v>
      </c>
      <c r="J1198" s="312">
        <v>1913</v>
      </c>
      <c r="K1198" s="312" t="s">
        <v>109</v>
      </c>
    </row>
    <row r="1199" spans="1:11">
      <c r="A1199" s="312" t="s">
        <v>2653</v>
      </c>
      <c r="B1199" s="312" t="s">
        <v>2654</v>
      </c>
      <c r="C1199" s="312" t="s">
        <v>105</v>
      </c>
      <c r="D1199" s="312" t="s">
        <v>1499</v>
      </c>
      <c r="E1199" s="312" t="s">
        <v>107</v>
      </c>
      <c r="F1199" s="312">
        <v>1825</v>
      </c>
      <c r="G1199" s="312" t="s">
        <v>108</v>
      </c>
      <c r="H1199" s="312">
        <v>1827</v>
      </c>
      <c r="I1199" s="312" t="s">
        <v>107</v>
      </c>
      <c r="J1199" s="312">
        <v>1913</v>
      </c>
      <c r="K1199" s="312" t="s">
        <v>109</v>
      </c>
    </row>
    <row r="1200" spans="1:11">
      <c r="A1200" s="312" t="s">
        <v>2655</v>
      </c>
      <c r="B1200" s="312" t="s">
        <v>2656</v>
      </c>
      <c r="C1200" s="312" t="s">
        <v>105</v>
      </c>
      <c r="D1200" s="312" t="s">
        <v>1499</v>
      </c>
      <c r="E1200" s="312" t="s">
        <v>107</v>
      </c>
      <c r="F1200" s="312">
        <v>1825</v>
      </c>
      <c r="G1200" s="312" t="s">
        <v>108</v>
      </c>
      <c r="H1200" s="312">
        <v>1827</v>
      </c>
      <c r="I1200" s="312" t="s">
        <v>107</v>
      </c>
      <c r="J1200" s="312">
        <v>1913</v>
      </c>
      <c r="K1200" s="312" t="s">
        <v>109</v>
      </c>
    </row>
    <row r="1201" spans="1:11">
      <c r="A1201" s="312" t="s">
        <v>2657</v>
      </c>
      <c r="B1201" s="312" t="s">
        <v>2658</v>
      </c>
      <c r="C1201" s="312" t="s">
        <v>105</v>
      </c>
      <c r="D1201" s="312" t="s">
        <v>1499</v>
      </c>
      <c r="E1201" s="312" t="s">
        <v>107</v>
      </c>
      <c r="F1201" s="312">
        <v>1825</v>
      </c>
      <c r="G1201" s="312" t="s">
        <v>108</v>
      </c>
      <c r="H1201" s="312">
        <v>1827</v>
      </c>
      <c r="I1201" s="312" t="s">
        <v>107</v>
      </c>
      <c r="J1201" s="312">
        <v>1913</v>
      </c>
      <c r="K1201" s="312" t="s">
        <v>109</v>
      </c>
    </row>
    <row r="1202" spans="1:11">
      <c r="A1202" s="312" t="s">
        <v>2659</v>
      </c>
      <c r="B1202" s="312" t="s">
        <v>2660</v>
      </c>
      <c r="C1202" s="312" t="s">
        <v>105</v>
      </c>
      <c r="D1202" s="312" t="s">
        <v>1499</v>
      </c>
      <c r="E1202" s="312" t="s">
        <v>107</v>
      </c>
      <c r="F1202" s="312">
        <v>1825</v>
      </c>
      <c r="G1202" s="312" t="s">
        <v>108</v>
      </c>
      <c r="H1202" s="312">
        <v>1827</v>
      </c>
      <c r="I1202" s="312" t="s">
        <v>107</v>
      </c>
      <c r="J1202" s="312">
        <v>1913</v>
      </c>
      <c r="K1202" s="312" t="s">
        <v>109</v>
      </c>
    </row>
    <row r="1203" spans="1:11">
      <c r="A1203" s="312" t="s">
        <v>2661</v>
      </c>
      <c r="B1203" s="312" t="s">
        <v>2662</v>
      </c>
      <c r="C1203" s="312" t="s">
        <v>105</v>
      </c>
      <c r="D1203" s="312" t="s">
        <v>1499</v>
      </c>
      <c r="E1203" s="312" t="s">
        <v>107</v>
      </c>
      <c r="F1203" s="312">
        <v>1825</v>
      </c>
      <c r="G1203" s="312" t="s">
        <v>108</v>
      </c>
      <c r="H1203" s="312">
        <v>1827</v>
      </c>
      <c r="I1203" s="312" t="s">
        <v>107</v>
      </c>
      <c r="J1203" s="312">
        <v>1913</v>
      </c>
      <c r="K1203" s="312" t="s">
        <v>109</v>
      </c>
    </row>
    <row r="1204" spans="1:11">
      <c r="A1204" s="312" t="s">
        <v>2663</v>
      </c>
      <c r="B1204" s="312" t="s">
        <v>2664</v>
      </c>
      <c r="C1204" s="312" t="s">
        <v>105</v>
      </c>
      <c r="D1204" s="312" t="s">
        <v>1499</v>
      </c>
      <c r="E1204" s="312" t="s">
        <v>107</v>
      </c>
      <c r="F1204" s="312">
        <v>1825</v>
      </c>
      <c r="G1204" s="312" t="s">
        <v>108</v>
      </c>
      <c r="H1204" s="312">
        <v>1827</v>
      </c>
      <c r="I1204" s="312" t="s">
        <v>107</v>
      </c>
      <c r="J1204" s="312">
        <v>1913</v>
      </c>
      <c r="K1204" s="312" t="s">
        <v>109</v>
      </c>
    </row>
    <row r="1205" spans="1:11">
      <c r="A1205" s="312" t="s">
        <v>2665</v>
      </c>
      <c r="B1205" s="312" t="s">
        <v>2666</v>
      </c>
      <c r="C1205" s="312" t="s">
        <v>105</v>
      </c>
      <c r="D1205" s="312" t="s">
        <v>1499</v>
      </c>
      <c r="E1205" s="312" t="s">
        <v>107</v>
      </c>
      <c r="F1205" s="312">
        <v>1825</v>
      </c>
      <c r="G1205" s="312" t="s">
        <v>108</v>
      </c>
      <c r="H1205" s="312">
        <v>1827</v>
      </c>
      <c r="I1205" s="312" t="s">
        <v>107</v>
      </c>
      <c r="J1205" s="312">
        <v>1913</v>
      </c>
      <c r="K1205" s="312" t="s">
        <v>109</v>
      </c>
    </row>
    <row r="1206" spans="1:11">
      <c r="A1206" s="312" t="s">
        <v>2667</v>
      </c>
      <c r="B1206" s="312" t="s">
        <v>2668</v>
      </c>
      <c r="C1206" s="312" t="s">
        <v>105</v>
      </c>
      <c r="D1206" s="312" t="s">
        <v>1499</v>
      </c>
      <c r="E1206" s="312" t="s">
        <v>107</v>
      </c>
      <c r="F1206" s="312">
        <v>1825</v>
      </c>
      <c r="G1206" s="312" t="s">
        <v>108</v>
      </c>
      <c r="H1206" s="312">
        <v>1827</v>
      </c>
      <c r="I1206" s="312" t="s">
        <v>107</v>
      </c>
      <c r="J1206" s="312">
        <v>1913</v>
      </c>
      <c r="K1206" s="312" t="s">
        <v>109</v>
      </c>
    </row>
    <row r="1207" spans="1:11">
      <c r="A1207" s="312" t="s">
        <v>2669</v>
      </c>
      <c r="B1207" s="312" t="s">
        <v>2670</v>
      </c>
      <c r="C1207" s="312" t="s">
        <v>105</v>
      </c>
      <c r="D1207" s="312" t="s">
        <v>1499</v>
      </c>
      <c r="E1207" s="312" t="s">
        <v>107</v>
      </c>
      <c r="F1207" s="312">
        <v>1825</v>
      </c>
      <c r="G1207" s="312" t="s">
        <v>108</v>
      </c>
      <c r="H1207" s="312">
        <v>1827</v>
      </c>
      <c r="I1207" s="312" t="s">
        <v>107</v>
      </c>
      <c r="J1207" s="312">
        <v>1913</v>
      </c>
      <c r="K1207" s="312" t="s">
        <v>109</v>
      </c>
    </row>
    <row r="1208" spans="1:11">
      <c r="A1208" s="312" t="s">
        <v>2671</v>
      </c>
      <c r="B1208" s="312" t="s">
        <v>2672</v>
      </c>
      <c r="C1208" s="312" t="s">
        <v>105</v>
      </c>
      <c r="D1208" s="312" t="s">
        <v>1499</v>
      </c>
      <c r="E1208" s="312" t="s">
        <v>107</v>
      </c>
      <c r="F1208" s="312">
        <v>1825</v>
      </c>
      <c r="G1208" s="312" t="s">
        <v>108</v>
      </c>
      <c r="H1208" s="312">
        <v>1827</v>
      </c>
      <c r="I1208" s="312" t="s">
        <v>107</v>
      </c>
      <c r="J1208" s="312">
        <v>1913</v>
      </c>
      <c r="K1208" s="312" t="s">
        <v>109</v>
      </c>
    </row>
    <row r="1209" spans="1:11">
      <c r="A1209" s="312" t="s">
        <v>2673</v>
      </c>
      <c r="B1209" s="312" t="s">
        <v>2674</v>
      </c>
      <c r="C1209" s="312" t="s">
        <v>105</v>
      </c>
      <c r="D1209" s="312" t="s">
        <v>1499</v>
      </c>
      <c r="E1209" s="312" t="s">
        <v>107</v>
      </c>
      <c r="F1209" s="312">
        <v>1825</v>
      </c>
      <c r="G1209" s="312" t="s">
        <v>108</v>
      </c>
      <c r="H1209" s="312">
        <v>1827</v>
      </c>
      <c r="I1209" s="312" t="s">
        <v>107</v>
      </c>
      <c r="J1209" s="312">
        <v>1913</v>
      </c>
      <c r="K1209" s="312" t="s">
        <v>109</v>
      </c>
    </row>
    <row r="1210" spans="1:11">
      <c r="A1210" s="312" t="s">
        <v>2675</v>
      </c>
      <c r="B1210" s="312" t="s">
        <v>2676</v>
      </c>
      <c r="C1210" s="312" t="s">
        <v>105</v>
      </c>
      <c r="D1210" s="312" t="s">
        <v>1499</v>
      </c>
      <c r="E1210" s="312" t="s">
        <v>107</v>
      </c>
      <c r="F1210" s="312">
        <v>1825</v>
      </c>
      <c r="G1210" s="312" t="s">
        <v>108</v>
      </c>
      <c r="H1210" s="312">
        <v>1827</v>
      </c>
      <c r="I1210" s="312" t="s">
        <v>107</v>
      </c>
      <c r="J1210" s="312">
        <v>1913</v>
      </c>
      <c r="K1210" s="312" t="s">
        <v>109</v>
      </c>
    </row>
    <row r="1211" spans="1:11">
      <c r="A1211" s="312" t="s">
        <v>2677</v>
      </c>
      <c r="B1211" s="312" t="s">
        <v>2678</v>
      </c>
      <c r="C1211" s="312" t="s">
        <v>105</v>
      </c>
      <c r="D1211" s="312" t="s">
        <v>1499</v>
      </c>
      <c r="E1211" s="312" t="s">
        <v>107</v>
      </c>
      <c r="F1211" s="312">
        <v>1825</v>
      </c>
      <c r="G1211" s="312" t="s">
        <v>108</v>
      </c>
      <c r="H1211" s="312">
        <v>1827</v>
      </c>
      <c r="I1211" s="312" t="s">
        <v>107</v>
      </c>
      <c r="J1211" s="312">
        <v>1913</v>
      </c>
      <c r="K1211" s="312" t="s">
        <v>109</v>
      </c>
    </row>
    <row r="1212" spans="1:11">
      <c r="A1212" s="312" t="s">
        <v>2679</v>
      </c>
      <c r="B1212" s="312" t="s">
        <v>2680</v>
      </c>
      <c r="C1212" s="312" t="s">
        <v>105</v>
      </c>
      <c r="D1212" s="312" t="s">
        <v>1499</v>
      </c>
      <c r="E1212" s="312" t="s">
        <v>107</v>
      </c>
      <c r="F1212" s="312">
        <v>1825</v>
      </c>
      <c r="G1212" s="312" t="s">
        <v>108</v>
      </c>
      <c r="H1212" s="312">
        <v>1827</v>
      </c>
      <c r="I1212" s="312" t="s">
        <v>107</v>
      </c>
      <c r="J1212" s="312">
        <v>1913</v>
      </c>
      <c r="K1212" s="312" t="s">
        <v>109</v>
      </c>
    </row>
    <row r="1213" spans="1:11">
      <c r="A1213" s="312" t="s">
        <v>2681</v>
      </c>
      <c r="B1213" s="312" t="s">
        <v>2682</v>
      </c>
      <c r="C1213" s="312" t="s">
        <v>105</v>
      </c>
      <c r="D1213" s="312" t="s">
        <v>1499</v>
      </c>
      <c r="E1213" s="312" t="s">
        <v>107</v>
      </c>
      <c r="F1213" s="312">
        <v>1825</v>
      </c>
      <c r="G1213" s="312" t="s">
        <v>108</v>
      </c>
      <c r="H1213" s="312">
        <v>1827</v>
      </c>
      <c r="I1213" s="312" t="s">
        <v>107</v>
      </c>
      <c r="J1213" s="312">
        <v>1913</v>
      </c>
      <c r="K1213" s="312" t="s">
        <v>109</v>
      </c>
    </row>
    <row r="1214" spans="1:11">
      <c r="A1214" s="312" t="s">
        <v>2683</v>
      </c>
      <c r="B1214" s="312" t="s">
        <v>2684</v>
      </c>
      <c r="C1214" s="312" t="s">
        <v>105</v>
      </c>
      <c r="D1214" s="312" t="s">
        <v>1499</v>
      </c>
      <c r="E1214" s="312" t="s">
        <v>107</v>
      </c>
      <c r="F1214" s="312">
        <v>1825</v>
      </c>
      <c r="G1214" s="312" t="s">
        <v>108</v>
      </c>
      <c r="H1214" s="312">
        <v>1827</v>
      </c>
      <c r="I1214" s="312" t="s">
        <v>107</v>
      </c>
      <c r="J1214" s="312">
        <v>1913</v>
      </c>
      <c r="K1214" s="312" t="s">
        <v>109</v>
      </c>
    </row>
    <row r="1215" spans="1:11">
      <c r="A1215" s="312" t="s">
        <v>2685</v>
      </c>
      <c r="B1215" s="312" t="s">
        <v>2686</v>
      </c>
      <c r="C1215" s="312" t="s">
        <v>105</v>
      </c>
      <c r="D1215" s="312" t="s">
        <v>1499</v>
      </c>
      <c r="E1215" s="312" t="s">
        <v>107</v>
      </c>
      <c r="F1215" s="312">
        <v>1825</v>
      </c>
      <c r="G1215" s="312" t="s">
        <v>108</v>
      </c>
      <c r="H1215" s="312">
        <v>1827</v>
      </c>
      <c r="I1215" s="312" t="s">
        <v>107</v>
      </c>
      <c r="J1215" s="312">
        <v>1913</v>
      </c>
      <c r="K1215" s="312" t="s">
        <v>109</v>
      </c>
    </row>
    <row r="1216" spans="1:11">
      <c r="A1216" s="312" t="s">
        <v>2687</v>
      </c>
      <c r="B1216" s="312" t="s">
        <v>2688</v>
      </c>
      <c r="C1216" s="312" t="s">
        <v>105</v>
      </c>
      <c r="D1216" s="312" t="s">
        <v>1499</v>
      </c>
      <c r="E1216" s="312" t="s">
        <v>107</v>
      </c>
      <c r="F1216" s="312">
        <v>1825</v>
      </c>
      <c r="G1216" s="312" t="s">
        <v>108</v>
      </c>
      <c r="H1216" s="312">
        <v>1827</v>
      </c>
      <c r="I1216" s="312" t="s">
        <v>107</v>
      </c>
      <c r="J1216" s="312">
        <v>1913</v>
      </c>
      <c r="K1216" s="312" t="s">
        <v>109</v>
      </c>
    </row>
    <row r="1217" spans="1:11">
      <c r="A1217" s="312" t="s">
        <v>2689</v>
      </c>
      <c r="B1217" s="312" t="s">
        <v>2690</v>
      </c>
      <c r="C1217" s="312" t="s">
        <v>105</v>
      </c>
      <c r="D1217" s="312" t="s">
        <v>1499</v>
      </c>
      <c r="E1217" s="312" t="s">
        <v>107</v>
      </c>
      <c r="F1217" s="312">
        <v>1825</v>
      </c>
      <c r="G1217" s="312" t="s">
        <v>108</v>
      </c>
      <c r="H1217" s="312">
        <v>1827</v>
      </c>
      <c r="I1217" s="312" t="s">
        <v>107</v>
      </c>
      <c r="J1217" s="312">
        <v>1913</v>
      </c>
      <c r="K1217" s="312" t="s">
        <v>109</v>
      </c>
    </row>
    <row r="1218" spans="1:11">
      <c r="A1218" s="312" t="s">
        <v>2691</v>
      </c>
      <c r="B1218" s="312" t="s">
        <v>2692</v>
      </c>
      <c r="C1218" s="312" t="s">
        <v>105</v>
      </c>
      <c r="D1218" s="312" t="s">
        <v>1499</v>
      </c>
      <c r="E1218" s="312" t="s">
        <v>107</v>
      </c>
      <c r="F1218" s="312">
        <v>1825</v>
      </c>
      <c r="G1218" s="312" t="s">
        <v>108</v>
      </c>
      <c r="H1218" s="312">
        <v>1827</v>
      </c>
      <c r="I1218" s="312" t="s">
        <v>107</v>
      </c>
      <c r="J1218" s="312">
        <v>1913</v>
      </c>
      <c r="K1218" s="312" t="s">
        <v>109</v>
      </c>
    </row>
    <row r="1219" spans="1:11">
      <c r="A1219" s="312" t="s">
        <v>2693</v>
      </c>
      <c r="B1219" s="312" t="s">
        <v>2694</v>
      </c>
      <c r="C1219" s="312" t="s">
        <v>105</v>
      </c>
      <c r="D1219" s="312" t="s">
        <v>1499</v>
      </c>
      <c r="E1219" s="312" t="s">
        <v>107</v>
      </c>
      <c r="F1219" s="312">
        <v>1825</v>
      </c>
      <c r="G1219" s="312" t="s">
        <v>108</v>
      </c>
      <c r="H1219" s="312">
        <v>1827</v>
      </c>
      <c r="I1219" s="312" t="s">
        <v>107</v>
      </c>
      <c r="J1219" s="312">
        <v>1913</v>
      </c>
      <c r="K1219" s="312" t="s">
        <v>109</v>
      </c>
    </row>
    <row r="1220" spans="1:11">
      <c r="A1220" s="312" t="s">
        <v>2695</v>
      </c>
      <c r="B1220" s="312" t="s">
        <v>2696</v>
      </c>
      <c r="C1220" s="312" t="s">
        <v>105</v>
      </c>
      <c r="D1220" s="312" t="s">
        <v>114</v>
      </c>
      <c r="E1220" s="312" t="s">
        <v>107</v>
      </c>
      <c r="F1220" s="312">
        <v>1825</v>
      </c>
      <c r="G1220" s="312" t="s">
        <v>108</v>
      </c>
      <c r="H1220" s="312">
        <v>1827</v>
      </c>
      <c r="I1220" s="312" t="s">
        <v>107</v>
      </c>
      <c r="J1220" s="312">
        <v>1913</v>
      </c>
      <c r="K1220" s="312" t="s">
        <v>109</v>
      </c>
    </row>
    <row r="1221" spans="1:11">
      <c r="A1221" s="312" t="s">
        <v>2697</v>
      </c>
      <c r="B1221" s="312" t="s">
        <v>2698</v>
      </c>
      <c r="C1221" s="312" t="s">
        <v>105</v>
      </c>
      <c r="D1221" s="312" t="s">
        <v>312</v>
      </c>
      <c r="E1221" s="312" t="s">
        <v>107</v>
      </c>
      <c r="F1221" s="312">
        <v>1825</v>
      </c>
      <c r="G1221" s="312" t="s">
        <v>108</v>
      </c>
      <c r="H1221" s="312">
        <v>1827</v>
      </c>
      <c r="I1221" s="312" t="s">
        <v>107</v>
      </c>
      <c r="J1221" s="312">
        <v>1913</v>
      </c>
      <c r="K1221" s="312" t="s">
        <v>109</v>
      </c>
    </row>
    <row r="1222" spans="1:11">
      <c r="A1222" s="312" t="s">
        <v>2699</v>
      </c>
      <c r="B1222" s="312" t="s">
        <v>2700</v>
      </c>
      <c r="C1222" s="312" t="s">
        <v>105</v>
      </c>
      <c r="D1222" s="312" t="s">
        <v>312</v>
      </c>
      <c r="E1222" s="312" t="s">
        <v>107</v>
      </c>
      <c r="F1222" s="312">
        <v>1825</v>
      </c>
      <c r="G1222" s="312" t="s">
        <v>108</v>
      </c>
      <c r="H1222" s="312">
        <v>1827</v>
      </c>
      <c r="I1222" s="312" t="s">
        <v>107</v>
      </c>
      <c r="J1222" s="312">
        <v>1913</v>
      </c>
      <c r="K1222" s="312" t="s">
        <v>109</v>
      </c>
    </row>
    <row r="1223" spans="1:11">
      <c r="A1223" s="312" t="s">
        <v>2701</v>
      </c>
      <c r="B1223" s="312" t="s">
        <v>2702</v>
      </c>
      <c r="C1223" s="312" t="s">
        <v>105</v>
      </c>
      <c r="D1223" s="312" t="s">
        <v>216</v>
      </c>
      <c r="E1223" s="312" t="s">
        <v>107</v>
      </c>
      <c r="F1223" s="312">
        <v>1825</v>
      </c>
      <c r="G1223" s="312" t="s">
        <v>108</v>
      </c>
      <c r="H1223" s="312">
        <v>1827</v>
      </c>
      <c r="I1223" s="312" t="s">
        <v>107</v>
      </c>
      <c r="J1223" s="312">
        <v>1913</v>
      </c>
      <c r="K1223" s="312" t="s">
        <v>109</v>
      </c>
    </row>
    <row r="1224" spans="1:11">
      <c r="A1224" s="312" t="s">
        <v>2703</v>
      </c>
      <c r="B1224" s="312" t="s">
        <v>2704</v>
      </c>
      <c r="C1224" s="312" t="s">
        <v>105</v>
      </c>
      <c r="D1224" s="312" t="s">
        <v>891</v>
      </c>
      <c r="E1224" s="312" t="s">
        <v>107</v>
      </c>
      <c r="F1224" s="312">
        <v>1825</v>
      </c>
      <c r="G1224" s="312" t="s">
        <v>108</v>
      </c>
      <c r="H1224" s="312">
        <v>1827</v>
      </c>
      <c r="I1224" s="312" t="s">
        <v>107</v>
      </c>
      <c r="J1224" s="312">
        <v>1913</v>
      </c>
      <c r="K1224" s="312" t="s">
        <v>109</v>
      </c>
    </row>
    <row r="1225" spans="1:11">
      <c r="A1225" s="312" t="s">
        <v>2705</v>
      </c>
      <c r="B1225" s="312" t="s">
        <v>2706</v>
      </c>
      <c r="C1225" s="312" t="s">
        <v>105</v>
      </c>
      <c r="D1225" s="312" t="s">
        <v>891</v>
      </c>
      <c r="E1225" s="312" t="s">
        <v>107</v>
      </c>
      <c r="F1225" s="312">
        <v>1825</v>
      </c>
      <c r="G1225" s="312" t="s">
        <v>108</v>
      </c>
      <c r="H1225" s="312">
        <v>1827</v>
      </c>
      <c r="I1225" s="312" t="s">
        <v>107</v>
      </c>
      <c r="J1225" s="312">
        <v>1913</v>
      </c>
      <c r="K1225" s="312" t="s">
        <v>109</v>
      </c>
    </row>
    <row r="1226" spans="1:11">
      <c r="A1226" s="312" t="s">
        <v>2707</v>
      </c>
      <c r="B1226" s="312" t="s">
        <v>2708</v>
      </c>
      <c r="C1226" s="312" t="s">
        <v>105</v>
      </c>
      <c r="D1226" s="312" t="s">
        <v>891</v>
      </c>
      <c r="E1226" s="312" t="s">
        <v>107</v>
      </c>
      <c r="F1226" s="312">
        <v>1825</v>
      </c>
      <c r="G1226" s="312" t="s">
        <v>108</v>
      </c>
      <c r="H1226" s="312">
        <v>1827</v>
      </c>
      <c r="I1226" s="312" t="s">
        <v>107</v>
      </c>
      <c r="J1226" s="312">
        <v>1913</v>
      </c>
      <c r="K1226" s="312" t="s">
        <v>109</v>
      </c>
    </row>
    <row r="1227" spans="1:11">
      <c r="A1227" s="312" t="s">
        <v>2709</v>
      </c>
      <c r="B1227" s="312" t="s">
        <v>2710</v>
      </c>
      <c r="C1227" s="312" t="s">
        <v>105</v>
      </c>
      <c r="D1227" s="312" t="s">
        <v>891</v>
      </c>
      <c r="E1227" s="312" t="s">
        <v>107</v>
      </c>
      <c r="F1227" s="312">
        <v>1825</v>
      </c>
      <c r="G1227" s="312" t="s">
        <v>108</v>
      </c>
      <c r="H1227" s="312">
        <v>1827</v>
      </c>
      <c r="I1227" s="312" t="s">
        <v>107</v>
      </c>
      <c r="J1227" s="312">
        <v>1913</v>
      </c>
      <c r="K1227" s="312" t="s">
        <v>109</v>
      </c>
    </row>
    <row r="1228" spans="1:11">
      <c r="A1228" s="312" t="s">
        <v>2711</v>
      </c>
      <c r="B1228" s="312" t="s">
        <v>2712</v>
      </c>
      <c r="C1228" s="312" t="s">
        <v>105</v>
      </c>
      <c r="D1228" s="312" t="s">
        <v>343</v>
      </c>
      <c r="E1228" s="312" t="s">
        <v>167</v>
      </c>
      <c r="F1228" s="312">
        <v>1705</v>
      </c>
      <c r="G1228" s="312" t="s">
        <v>168</v>
      </c>
      <c r="H1228" s="312">
        <v>1707</v>
      </c>
      <c r="I1228" s="312" t="s">
        <v>167</v>
      </c>
      <c r="J1228" s="312">
        <v>1899</v>
      </c>
      <c r="K1228" s="312" t="s">
        <v>169</v>
      </c>
    </row>
    <row r="1229" spans="1:11">
      <c r="A1229" s="312" t="s">
        <v>2713</v>
      </c>
      <c r="B1229" s="312" t="s">
        <v>2714</v>
      </c>
      <c r="C1229" s="312" t="s">
        <v>105</v>
      </c>
      <c r="D1229" s="312" t="s">
        <v>343</v>
      </c>
      <c r="E1229" s="312" t="s">
        <v>167</v>
      </c>
      <c r="F1229" s="312">
        <v>1705</v>
      </c>
      <c r="G1229" s="312" t="s">
        <v>168</v>
      </c>
      <c r="H1229" s="312">
        <v>1707</v>
      </c>
      <c r="I1229" s="312" t="s">
        <v>167</v>
      </c>
      <c r="J1229" s="312">
        <v>1899</v>
      </c>
      <c r="K1229" s="312" t="s">
        <v>169</v>
      </c>
    </row>
    <row r="1230" spans="1:11">
      <c r="A1230" s="312" t="s">
        <v>2715</v>
      </c>
      <c r="B1230" s="312" t="s">
        <v>2716</v>
      </c>
      <c r="C1230" s="312" t="s">
        <v>105</v>
      </c>
      <c r="D1230" s="312" t="s">
        <v>343</v>
      </c>
      <c r="E1230" s="312" t="s">
        <v>167</v>
      </c>
      <c r="F1230" s="312">
        <v>1705</v>
      </c>
      <c r="G1230" s="312" t="s">
        <v>168</v>
      </c>
      <c r="H1230" s="312">
        <v>1707</v>
      </c>
      <c r="I1230" s="312" t="s">
        <v>167</v>
      </c>
      <c r="J1230" s="312">
        <v>1899</v>
      </c>
      <c r="K1230" s="312" t="s">
        <v>169</v>
      </c>
    </row>
    <row r="1231" spans="1:11">
      <c r="A1231" s="312" t="s">
        <v>2717</v>
      </c>
      <c r="B1231" s="312" t="s">
        <v>2718</v>
      </c>
      <c r="C1231" s="312" t="s">
        <v>105</v>
      </c>
      <c r="D1231" s="312" t="s">
        <v>813</v>
      </c>
      <c r="E1231" s="312" t="s">
        <v>107</v>
      </c>
      <c r="F1231" s="312">
        <v>1825</v>
      </c>
      <c r="G1231" s="312" t="s">
        <v>108</v>
      </c>
      <c r="H1231" s="312">
        <v>1827</v>
      </c>
      <c r="I1231" s="312" t="s">
        <v>107</v>
      </c>
      <c r="J1231" s="312">
        <v>1913</v>
      </c>
      <c r="K1231" s="312" t="s">
        <v>109</v>
      </c>
    </row>
    <row r="1232" spans="1:11">
      <c r="A1232" s="312" t="s">
        <v>2719</v>
      </c>
      <c r="B1232" s="312" t="s">
        <v>2720</v>
      </c>
      <c r="C1232" s="312" t="s">
        <v>105</v>
      </c>
      <c r="D1232" s="312" t="s">
        <v>221</v>
      </c>
      <c r="E1232" s="312" t="s">
        <v>107</v>
      </c>
      <c r="F1232" s="312">
        <v>1825</v>
      </c>
      <c r="G1232" s="312" t="s">
        <v>108</v>
      </c>
      <c r="H1232" s="312">
        <v>1827</v>
      </c>
      <c r="I1232" s="312" t="s">
        <v>107</v>
      </c>
      <c r="J1232" s="312">
        <v>1913</v>
      </c>
      <c r="K1232" s="312" t="s">
        <v>109</v>
      </c>
    </row>
    <row r="1233" spans="1:11">
      <c r="A1233" s="312" t="s">
        <v>2721</v>
      </c>
      <c r="B1233" s="312" t="s">
        <v>2722</v>
      </c>
      <c r="C1233" s="312" t="s">
        <v>105</v>
      </c>
      <c r="D1233" s="312" t="s">
        <v>114</v>
      </c>
      <c r="E1233" s="312" t="s">
        <v>107</v>
      </c>
      <c r="F1233" s="312">
        <v>1825</v>
      </c>
      <c r="G1233" s="312" t="s">
        <v>108</v>
      </c>
      <c r="H1233" s="312">
        <v>1827</v>
      </c>
      <c r="I1233" s="312" t="s">
        <v>107</v>
      </c>
      <c r="J1233" s="312">
        <v>1913</v>
      </c>
      <c r="K1233" s="312" t="s">
        <v>109</v>
      </c>
    </row>
    <row r="1234" spans="1:11">
      <c r="A1234" s="312" t="s">
        <v>2723</v>
      </c>
      <c r="B1234" s="312" t="s">
        <v>2724</v>
      </c>
      <c r="C1234" s="312" t="s">
        <v>105</v>
      </c>
      <c r="D1234" s="312" t="s">
        <v>252</v>
      </c>
      <c r="E1234" s="312" t="s">
        <v>167</v>
      </c>
      <c r="F1234" s="312">
        <v>1705</v>
      </c>
      <c r="G1234" s="312" t="s">
        <v>168</v>
      </c>
      <c r="H1234" s="312">
        <v>1707</v>
      </c>
      <c r="I1234" s="312" t="s">
        <v>167</v>
      </c>
      <c r="J1234" s="312">
        <v>1899</v>
      </c>
      <c r="K1234" s="312" t="s">
        <v>169</v>
      </c>
    </row>
    <row r="1235" spans="1:11">
      <c r="A1235" s="312" t="s">
        <v>2725</v>
      </c>
      <c r="B1235" s="312" t="s">
        <v>2726</v>
      </c>
      <c r="C1235" s="312" t="s">
        <v>105</v>
      </c>
      <c r="D1235" s="312" t="s">
        <v>252</v>
      </c>
      <c r="E1235" s="312" t="s">
        <v>167</v>
      </c>
      <c r="F1235" s="312">
        <v>1705</v>
      </c>
      <c r="G1235" s="312" t="s">
        <v>168</v>
      </c>
      <c r="H1235" s="312">
        <v>1707</v>
      </c>
      <c r="I1235" s="312" t="s">
        <v>167</v>
      </c>
      <c r="J1235" s="312">
        <v>1899</v>
      </c>
      <c r="K1235" s="312" t="s">
        <v>169</v>
      </c>
    </row>
    <row r="1236" spans="1:11">
      <c r="A1236" s="312" t="s">
        <v>2727</v>
      </c>
      <c r="B1236" s="312" t="s">
        <v>2728</v>
      </c>
      <c r="C1236" s="312" t="s">
        <v>105</v>
      </c>
      <c r="D1236" s="312" t="s">
        <v>746</v>
      </c>
      <c r="E1236" s="312" t="s">
        <v>107</v>
      </c>
      <c r="F1236" s="312">
        <v>1825</v>
      </c>
      <c r="G1236" s="312" t="s">
        <v>108</v>
      </c>
      <c r="H1236" s="312">
        <v>1827</v>
      </c>
      <c r="I1236" s="312" t="s">
        <v>107</v>
      </c>
      <c r="J1236" s="312">
        <v>1913</v>
      </c>
      <c r="K1236" s="312" t="s">
        <v>109</v>
      </c>
    </row>
    <row r="1237" spans="1:11">
      <c r="A1237" s="312" t="s">
        <v>2729</v>
      </c>
      <c r="B1237" s="312" t="s">
        <v>2730</v>
      </c>
      <c r="C1237" s="312" t="s">
        <v>105</v>
      </c>
      <c r="D1237" s="312" t="s">
        <v>483</v>
      </c>
      <c r="E1237" s="312" t="s">
        <v>107</v>
      </c>
      <c r="F1237" s="312">
        <v>1825</v>
      </c>
      <c r="G1237" s="312" t="s">
        <v>108</v>
      </c>
      <c r="H1237" s="312">
        <v>1827</v>
      </c>
      <c r="I1237" s="312" t="s">
        <v>107</v>
      </c>
      <c r="J1237" s="312">
        <v>1913</v>
      </c>
      <c r="K1237" s="312" t="s">
        <v>109</v>
      </c>
    </row>
    <row r="1238" spans="1:11">
      <c r="A1238" s="312" t="s">
        <v>2731</v>
      </c>
      <c r="B1238" s="312" t="s">
        <v>2732</v>
      </c>
      <c r="C1238" s="312" t="s">
        <v>105</v>
      </c>
      <c r="D1238" s="312" t="s">
        <v>483</v>
      </c>
      <c r="E1238" s="312" t="s">
        <v>107</v>
      </c>
      <c r="F1238" s="312">
        <v>1825</v>
      </c>
      <c r="G1238" s="312" t="s">
        <v>108</v>
      </c>
      <c r="H1238" s="312">
        <v>1827</v>
      </c>
      <c r="I1238" s="312" t="s">
        <v>107</v>
      </c>
      <c r="J1238" s="312">
        <v>1913</v>
      </c>
      <c r="K1238" s="312" t="s">
        <v>109</v>
      </c>
    </row>
    <row r="1239" spans="1:11">
      <c r="A1239" s="312" t="s">
        <v>2733</v>
      </c>
      <c r="B1239" s="312" t="s">
        <v>2734</v>
      </c>
      <c r="C1239" s="312" t="s">
        <v>105</v>
      </c>
      <c r="D1239" s="312" t="s">
        <v>483</v>
      </c>
      <c r="E1239" s="312" t="s">
        <v>107</v>
      </c>
      <c r="F1239" s="312">
        <v>1825</v>
      </c>
      <c r="G1239" s="312" t="s">
        <v>108</v>
      </c>
      <c r="H1239" s="312">
        <v>1827</v>
      </c>
      <c r="I1239" s="312" t="s">
        <v>107</v>
      </c>
      <c r="J1239" s="312">
        <v>1913</v>
      </c>
      <c r="K1239" s="312" t="s">
        <v>109</v>
      </c>
    </row>
    <row r="1240" spans="1:11">
      <c r="A1240" s="312" t="s">
        <v>2735</v>
      </c>
      <c r="B1240" s="312" t="s">
        <v>2736</v>
      </c>
      <c r="C1240" s="312" t="s">
        <v>105</v>
      </c>
      <c r="D1240" s="312" t="s">
        <v>891</v>
      </c>
      <c r="E1240" s="312" t="s">
        <v>107</v>
      </c>
      <c r="F1240" s="312">
        <v>1825</v>
      </c>
      <c r="G1240" s="312" t="s">
        <v>108</v>
      </c>
      <c r="H1240" s="312">
        <v>1827</v>
      </c>
      <c r="I1240" s="312" t="s">
        <v>107</v>
      </c>
      <c r="J1240" s="312">
        <v>1913</v>
      </c>
      <c r="K1240" s="312" t="s">
        <v>109</v>
      </c>
    </row>
    <row r="1241" spans="1:11">
      <c r="A1241" s="312" t="s">
        <v>2737</v>
      </c>
      <c r="B1241" s="312" t="s">
        <v>2738</v>
      </c>
      <c r="C1241" s="312" t="s">
        <v>105</v>
      </c>
      <c r="D1241" s="312" t="s">
        <v>166</v>
      </c>
      <c r="E1241" s="312" t="s">
        <v>320</v>
      </c>
      <c r="F1241" s="312">
        <v>1716</v>
      </c>
      <c r="G1241" s="312" t="s">
        <v>321</v>
      </c>
      <c r="H1241" s="312">
        <v>1725</v>
      </c>
      <c r="I1241" s="312" t="s">
        <v>320</v>
      </c>
      <c r="J1241" s="312">
        <v>1910</v>
      </c>
      <c r="K1241" s="312" t="s">
        <v>322</v>
      </c>
    </row>
    <row r="1242" spans="1:11">
      <c r="A1242" s="312" t="s">
        <v>2739</v>
      </c>
      <c r="B1242" s="312" t="s">
        <v>2740</v>
      </c>
      <c r="C1242" s="312" t="s">
        <v>105</v>
      </c>
      <c r="D1242" s="312" t="s">
        <v>455</v>
      </c>
      <c r="E1242" s="312" t="s">
        <v>107</v>
      </c>
      <c r="F1242" s="312">
        <v>1825</v>
      </c>
      <c r="G1242" s="312" t="s">
        <v>108</v>
      </c>
      <c r="H1242" s="312">
        <v>1827</v>
      </c>
      <c r="I1242" s="312" t="s">
        <v>107</v>
      </c>
      <c r="J1242" s="312">
        <v>1913</v>
      </c>
      <c r="K1242" s="312" t="s">
        <v>109</v>
      </c>
    </row>
    <row r="1243" spans="1:11">
      <c r="A1243" s="312" t="s">
        <v>2741</v>
      </c>
      <c r="B1243" s="312" t="s">
        <v>2742</v>
      </c>
      <c r="C1243" s="312" t="s">
        <v>105</v>
      </c>
      <c r="D1243" s="312" t="s">
        <v>891</v>
      </c>
      <c r="E1243" s="312" t="s">
        <v>107</v>
      </c>
      <c r="F1243" s="312">
        <v>1825</v>
      </c>
      <c r="G1243" s="312" t="s">
        <v>108</v>
      </c>
      <c r="H1243" s="312">
        <v>1827</v>
      </c>
      <c r="I1243" s="312" t="s">
        <v>107</v>
      </c>
      <c r="J1243" s="312">
        <v>1913</v>
      </c>
      <c r="K1243" s="312" t="s">
        <v>109</v>
      </c>
    </row>
    <row r="1244" spans="1:11">
      <c r="A1244" s="312" t="s">
        <v>2743</v>
      </c>
      <c r="B1244" s="312" t="s">
        <v>2744</v>
      </c>
      <c r="C1244" s="312" t="s">
        <v>105</v>
      </c>
      <c r="D1244" s="312" t="s">
        <v>891</v>
      </c>
      <c r="E1244" s="312" t="s">
        <v>107</v>
      </c>
      <c r="F1244" s="312">
        <v>1825</v>
      </c>
      <c r="G1244" s="312" t="s">
        <v>108</v>
      </c>
      <c r="H1244" s="312">
        <v>1827</v>
      </c>
      <c r="I1244" s="312" t="s">
        <v>107</v>
      </c>
      <c r="J1244" s="312">
        <v>1913</v>
      </c>
      <c r="K1244" s="312" t="s">
        <v>109</v>
      </c>
    </row>
    <row r="1245" spans="1:11">
      <c r="A1245" s="312" t="s">
        <v>2745</v>
      </c>
      <c r="B1245" s="1" t="s">
        <v>2746</v>
      </c>
      <c r="C1245" s="312" t="s">
        <v>105</v>
      </c>
      <c r="D1245" s="312" t="s">
        <v>2747</v>
      </c>
      <c r="E1245" s="312" t="s">
        <v>167</v>
      </c>
      <c r="F1245" s="312">
        <v>1705</v>
      </c>
      <c r="G1245" s="312" t="s">
        <v>168</v>
      </c>
      <c r="H1245" s="312">
        <v>1707</v>
      </c>
      <c r="I1245" s="312" t="s">
        <v>167</v>
      </c>
      <c r="J1245" s="312">
        <v>1899</v>
      </c>
      <c r="K1245" s="312" t="s">
        <v>169</v>
      </c>
    </row>
    <row r="1246" spans="1:11">
      <c r="A1246" s="312" t="s">
        <v>2748</v>
      </c>
      <c r="B1246" s="312" t="s">
        <v>2749</v>
      </c>
      <c r="C1246" s="312" t="s">
        <v>105</v>
      </c>
      <c r="D1246" s="312" t="s">
        <v>2747</v>
      </c>
      <c r="E1246" s="312" t="s">
        <v>167</v>
      </c>
      <c r="F1246" s="312">
        <v>1705</v>
      </c>
      <c r="G1246" s="312" t="s">
        <v>168</v>
      </c>
      <c r="H1246" s="312">
        <v>1707</v>
      </c>
      <c r="I1246" s="312" t="s">
        <v>167</v>
      </c>
      <c r="J1246" s="312">
        <v>1899</v>
      </c>
      <c r="K1246" s="312" t="s">
        <v>169</v>
      </c>
    </row>
    <row r="1247" spans="1:11">
      <c r="A1247" s="312" t="s">
        <v>2750</v>
      </c>
      <c r="B1247" s="312" t="s">
        <v>2751</v>
      </c>
      <c r="C1247" s="312" t="s">
        <v>105</v>
      </c>
      <c r="D1247" s="312" t="s">
        <v>2747</v>
      </c>
      <c r="E1247" s="312" t="s">
        <v>167</v>
      </c>
      <c r="F1247" s="312">
        <v>1705</v>
      </c>
      <c r="G1247" s="312" t="s">
        <v>168</v>
      </c>
      <c r="H1247" s="312">
        <v>1707</v>
      </c>
      <c r="I1247" s="312" t="s">
        <v>167</v>
      </c>
      <c r="J1247" s="312">
        <v>1899</v>
      </c>
      <c r="K1247" s="312" t="s">
        <v>169</v>
      </c>
    </row>
    <row r="1248" spans="1:11">
      <c r="A1248" s="312" t="s">
        <v>2752</v>
      </c>
      <c r="B1248" s="312" t="s">
        <v>2753</v>
      </c>
      <c r="C1248" s="312" t="s">
        <v>105</v>
      </c>
      <c r="D1248" s="312" t="s">
        <v>2747</v>
      </c>
      <c r="E1248" s="312" t="s">
        <v>167</v>
      </c>
      <c r="F1248" s="312">
        <v>1705</v>
      </c>
      <c r="G1248" s="312" t="s">
        <v>168</v>
      </c>
      <c r="H1248" s="312">
        <v>1707</v>
      </c>
      <c r="I1248" s="312" t="s">
        <v>167</v>
      </c>
      <c r="J1248" s="312">
        <v>1899</v>
      </c>
      <c r="K1248" s="312" t="s">
        <v>169</v>
      </c>
    </row>
    <row r="1249" spans="1:11">
      <c r="A1249" s="312" t="s">
        <v>2754</v>
      </c>
      <c r="B1249" s="312" t="s">
        <v>2755</v>
      </c>
      <c r="C1249" s="312" t="s">
        <v>105</v>
      </c>
      <c r="D1249" s="312" t="s">
        <v>853</v>
      </c>
      <c r="E1249" s="312" t="s">
        <v>107</v>
      </c>
      <c r="F1249" s="312">
        <v>1825</v>
      </c>
      <c r="G1249" s="312" t="s">
        <v>108</v>
      </c>
      <c r="H1249" s="312">
        <v>1827</v>
      </c>
      <c r="I1249" s="312" t="s">
        <v>107</v>
      </c>
      <c r="J1249" s="312">
        <v>1913</v>
      </c>
      <c r="K1249" s="312" t="s">
        <v>109</v>
      </c>
    </row>
    <row r="1250" spans="1:11">
      <c r="A1250" s="312" t="s">
        <v>2756</v>
      </c>
      <c r="B1250" s="312" t="s">
        <v>2757</v>
      </c>
      <c r="C1250" s="312" t="s">
        <v>105</v>
      </c>
      <c r="D1250" s="312" t="s">
        <v>1142</v>
      </c>
      <c r="E1250" s="312" t="s">
        <v>167</v>
      </c>
      <c r="F1250" s="312">
        <v>1705</v>
      </c>
      <c r="G1250" s="312" t="s">
        <v>168</v>
      </c>
      <c r="H1250" s="312">
        <v>1707</v>
      </c>
      <c r="I1250" s="312" t="s">
        <v>167</v>
      </c>
      <c r="J1250" s="312">
        <v>1899</v>
      </c>
      <c r="K1250" s="312" t="s">
        <v>169</v>
      </c>
    </row>
    <row r="1251" spans="1:11">
      <c r="A1251" s="312" t="s">
        <v>2758</v>
      </c>
      <c r="B1251" s="312" t="s">
        <v>2759</v>
      </c>
      <c r="C1251" s="312" t="s">
        <v>105</v>
      </c>
      <c r="D1251" s="312" t="s">
        <v>2760</v>
      </c>
      <c r="E1251" s="312" t="s">
        <v>886</v>
      </c>
      <c r="F1251" s="312">
        <v>1857</v>
      </c>
      <c r="G1251" s="312" t="s">
        <v>887</v>
      </c>
      <c r="H1251" s="312">
        <v>1858</v>
      </c>
      <c r="I1251" s="312" t="s">
        <v>886</v>
      </c>
      <c r="J1251" s="312">
        <v>1924</v>
      </c>
      <c r="K1251" s="312" t="s">
        <v>888</v>
      </c>
    </row>
    <row r="1252" spans="1:11">
      <c r="A1252" s="312" t="s">
        <v>2761</v>
      </c>
      <c r="B1252" s="312" t="s">
        <v>2762</v>
      </c>
      <c r="C1252" s="312" t="s">
        <v>105</v>
      </c>
      <c r="D1252" s="312" t="s">
        <v>2760</v>
      </c>
      <c r="E1252" s="312" t="s">
        <v>886</v>
      </c>
      <c r="F1252" s="312">
        <v>1857</v>
      </c>
      <c r="G1252" s="312" t="s">
        <v>887</v>
      </c>
      <c r="H1252" s="312">
        <v>1858</v>
      </c>
      <c r="I1252" s="312" t="s">
        <v>886</v>
      </c>
      <c r="J1252" s="312">
        <v>1924</v>
      </c>
      <c r="K1252" s="312" t="s">
        <v>888</v>
      </c>
    </row>
    <row r="1253" spans="1:11">
      <c r="A1253" s="312" t="s">
        <v>2763</v>
      </c>
      <c r="B1253" s="312" t="s">
        <v>2764</v>
      </c>
      <c r="C1253" s="312" t="s">
        <v>105</v>
      </c>
      <c r="D1253" s="312" t="s">
        <v>769</v>
      </c>
      <c r="E1253" s="312" t="s">
        <v>107</v>
      </c>
      <c r="F1253" s="312">
        <v>1825</v>
      </c>
      <c r="G1253" s="312" t="s">
        <v>108</v>
      </c>
      <c r="H1253" s="312">
        <v>1827</v>
      </c>
      <c r="I1253" s="312" t="s">
        <v>107</v>
      </c>
      <c r="J1253" s="312">
        <v>1913</v>
      </c>
      <c r="K1253" s="312" t="s">
        <v>109</v>
      </c>
    </row>
    <row r="1254" spans="1:11">
      <c r="A1254" s="312" t="s">
        <v>2765</v>
      </c>
      <c r="B1254" s="312" t="s">
        <v>2766</v>
      </c>
      <c r="C1254" s="312" t="s">
        <v>105</v>
      </c>
      <c r="D1254" s="312" t="s">
        <v>332</v>
      </c>
      <c r="E1254" s="312" t="s">
        <v>167</v>
      </c>
      <c r="F1254" s="312">
        <v>1705</v>
      </c>
      <c r="G1254" s="312" t="s">
        <v>168</v>
      </c>
      <c r="H1254" s="312">
        <v>1707</v>
      </c>
      <c r="I1254" s="312" t="s">
        <v>167</v>
      </c>
      <c r="J1254" s="312">
        <v>1899</v>
      </c>
      <c r="K1254" s="312" t="s">
        <v>169</v>
      </c>
    </row>
    <row r="1255" spans="1:11">
      <c r="A1255" s="312" t="s">
        <v>2767</v>
      </c>
      <c r="B1255" s="312" t="s">
        <v>2768</v>
      </c>
      <c r="C1255" s="312" t="s">
        <v>105</v>
      </c>
      <c r="D1255" s="312" t="s">
        <v>332</v>
      </c>
      <c r="E1255" s="312" t="s">
        <v>167</v>
      </c>
      <c r="F1255" s="312">
        <v>1705</v>
      </c>
      <c r="G1255" s="312" t="s">
        <v>168</v>
      </c>
      <c r="H1255" s="312">
        <v>1707</v>
      </c>
      <c r="I1255" s="312" t="s">
        <v>167</v>
      </c>
      <c r="J1255" s="312">
        <v>1899</v>
      </c>
      <c r="K1255" s="312" t="s">
        <v>169</v>
      </c>
    </row>
    <row r="1256" spans="1:11">
      <c r="A1256" s="312" t="s">
        <v>2769</v>
      </c>
      <c r="B1256" s="312" t="s">
        <v>2770</v>
      </c>
      <c r="C1256" s="312" t="s">
        <v>105</v>
      </c>
      <c r="D1256" s="312" t="s">
        <v>332</v>
      </c>
      <c r="E1256" s="312" t="s">
        <v>167</v>
      </c>
      <c r="F1256" s="312">
        <v>1705</v>
      </c>
      <c r="G1256" s="312" t="s">
        <v>168</v>
      </c>
      <c r="H1256" s="312">
        <v>1707</v>
      </c>
      <c r="I1256" s="312" t="s">
        <v>167</v>
      </c>
      <c r="J1256" s="312">
        <v>1899</v>
      </c>
      <c r="K1256" s="312" t="s">
        <v>169</v>
      </c>
    </row>
    <row r="1257" spans="1:11">
      <c r="A1257" s="312" t="s">
        <v>2771</v>
      </c>
      <c r="B1257" s="312" t="s">
        <v>2772</v>
      </c>
      <c r="C1257" s="312" t="s">
        <v>105</v>
      </c>
      <c r="D1257" s="312" t="s">
        <v>332</v>
      </c>
      <c r="E1257" s="312" t="s">
        <v>107</v>
      </c>
      <c r="F1257" s="312">
        <v>1825</v>
      </c>
      <c r="G1257" s="312" t="s">
        <v>108</v>
      </c>
      <c r="H1257" s="312">
        <v>1827</v>
      </c>
      <c r="I1257" s="312" t="s">
        <v>107</v>
      </c>
      <c r="J1257" s="312">
        <v>1913</v>
      </c>
      <c r="K1257" s="312" t="s">
        <v>109</v>
      </c>
    </row>
    <row r="1258" spans="1:11">
      <c r="A1258" s="312" t="s">
        <v>2773</v>
      </c>
      <c r="B1258" s="312" t="s">
        <v>2774</v>
      </c>
      <c r="C1258" s="312" t="s">
        <v>105</v>
      </c>
      <c r="D1258" s="312" t="s">
        <v>114</v>
      </c>
      <c r="E1258" s="312" t="s">
        <v>107</v>
      </c>
      <c r="F1258" s="312">
        <v>1825</v>
      </c>
      <c r="G1258" s="312" t="s">
        <v>108</v>
      </c>
      <c r="H1258" s="312">
        <v>1827</v>
      </c>
      <c r="I1258" s="312" t="s">
        <v>107</v>
      </c>
      <c r="J1258" s="312">
        <v>1913</v>
      </c>
      <c r="K1258" s="312" t="s">
        <v>109</v>
      </c>
    </row>
    <row r="1259" spans="1:11">
      <c r="A1259" s="312" t="s">
        <v>2775</v>
      </c>
      <c r="B1259" s="312" t="s">
        <v>2776</v>
      </c>
      <c r="C1259" s="312" t="s">
        <v>105</v>
      </c>
      <c r="D1259" s="312" t="s">
        <v>1307</v>
      </c>
      <c r="E1259" s="312" t="s">
        <v>167</v>
      </c>
      <c r="F1259" s="312">
        <v>1705</v>
      </c>
      <c r="G1259" s="312" t="s">
        <v>168</v>
      </c>
      <c r="H1259" s="312">
        <v>1707</v>
      </c>
      <c r="I1259" s="312" t="s">
        <v>167</v>
      </c>
      <c r="J1259" s="312">
        <v>1899</v>
      </c>
      <c r="K1259" s="312" t="s">
        <v>169</v>
      </c>
    </row>
    <row r="1260" spans="1:11">
      <c r="A1260" s="312" t="s">
        <v>2777</v>
      </c>
      <c r="B1260" s="312" t="s">
        <v>2778</v>
      </c>
      <c r="C1260" s="312" t="s">
        <v>105</v>
      </c>
      <c r="D1260" s="312" t="s">
        <v>114</v>
      </c>
      <c r="E1260" s="312" t="s">
        <v>107</v>
      </c>
      <c r="F1260" s="312">
        <v>1825</v>
      </c>
      <c r="G1260" s="312" t="s">
        <v>108</v>
      </c>
      <c r="H1260" s="312">
        <v>1827</v>
      </c>
      <c r="I1260" s="312" t="s">
        <v>107</v>
      </c>
      <c r="J1260" s="312">
        <v>1913</v>
      </c>
      <c r="K1260" s="312" t="s">
        <v>109</v>
      </c>
    </row>
    <row r="1261" spans="1:11">
      <c r="A1261" s="312" t="s">
        <v>2779</v>
      </c>
      <c r="B1261" s="312" t="s">
        <v>2780</v>
      </c>
      <c r="C1261" s="312" t="s">
        <v>105</v>
      </c>
      <c r="D1261" s="312" t="s">
        <v>556</v>
      </c>
      <c r="E1261" s="312" t="s">
        <v>107</v>
      </c>
      <c r="F1261" s="312">
        <v>1825</v>
      </c>
      <c r="G1261" s="312" t="s">
        <v>108</v>
      </c>
      <c r="H1261" s="312">
        <v>1827</v>
      </c>
      <c r="I1261" s="312" t="s">
        <v>107</v>
      </c>
      <c r="J1261" s="312">
        <v>1913</v>
      </c>
      <c r="K1261" s="312" t="s">
        <v>109</v>
      </c>
    </row>
    <row r="1262" spans="1:11">
      <c r="A1262" s="312" t="s">
        <v>2781</v>
      </c>
      <c r="B1262" s="312" t="s">
        <v>2782</v>
      </c>
      <c r="C1262" s="312" t="s">
        <v>105</v>
      </c>
      <c r="D1262" s="312" t="s">
        <v>2783</v>
      </c>
      <c r="E1262" s="312" t="s">
        <v>107</v>
      </c>
      <c r="F1262" s="312">
        <v>1825</v>
      </c>
      <c r="G1262" s="312" t="s">
        <v>108</v>
      </c>
      <c r="H1262" s="312">
        <v>1827</v>
      </c>
      <c r="I1262" s="312" t="s">
        <v>107</v>
      </c>
      <c r="J1262" s="312">
        <v>1913</v>
      </c>
      <c r="K1262" s="312" t="s">
        <v>109</v>
      </c>
    </row>
    <row r="1263" spans="1:11">
      <c r="A1263" s="312" t="s">
        <v>2784</v>
      </c>
      <c r="B1263" s="312" t="s">
        <v>2785</v>
      </c>
      <c r="C1263" s="312" t="s">
        <v>105</v>
      </c>
      <c r="D1263" s="312" t="s">
        <v>2783</v>
      </c>
      <c r="E1263" s="312" t="s">
        <v>107</v>
      </c>
      <c r="F1263" s="312">
        <v>1825</v>
      </c>
      <c r="G1263" s="312" t="s">
        <v>108</v>
      </c>
      <c r="H1263" s="312">
        <v>1827</v>
      </c>
      <c r="I1263" s="312" t="s">
        <v>107</v>
      </c>
      <c r="J1263" s="312">
        <v>1913</v>
      </c>
      <c r="K1263" s="312" t="s">
        <v>109</v>
      </c>
    </row>
    <row r="1264" spans="1:11">
      <c r="A1264" s="312" t="s">
        <v>2786</v>
      </c>
      <c r="B1264" s="312" t="s">
        <v>2787</v>
      </c>
      <c r="C1264" s="312" t="s">
        <v>105</v>
      </c>
      <c r="D1264" s="312" t="s">
        <v>603</v>
      </c>
      <c r="E1264" s="312" t="s">
        <v>107</v>
      </c>
      <c r="F1264" s="312">
        <v>1825</v>
      </c>
      <c r="G1264" s="312" t="s">
        <v>108</v>
      </c>
      <c r="H1264" s="312">
        <v>1827</v>
      </c>
      <c r="I1264" s="312" t="s">
        <v>107</v>
      </c>
      <c r="J1264" s="312">
        <v>1913</v>
      </c>
      <c r="K1264" s="312" t="s">
        <v>109</v>
      </c>
    </row>
    <row r="1265" spans="1:11">
      <c r="A1265" s="312" t="s">
        <v>2788</v>
      </c>
      <c r="B1265" s="312" t="s">
        <v>2789</v>
      </c>
      <c r="C1265" s="312" t="s">
        <v>105</v>
      </c>
      <c r="D1265" s="312" t="s">
        <v>379</v>
      </c>
      <c r="E1265" s="312" t="s">
        <v>107</v>
      </c>
      <c r="F1265" s="312">
        <v>1825</v>
      </c>
      <c r="G1265" s="312" t="s">
        <v>108</v>
      </c>
      <c r="H1265" s="312">
        <v>1827</v>
      </c>
      <c r="I1265" s="312" t="s">
        <v>107</v>
      </c>
      <c r="J1265" s="312">
        <v>1913</v>
      </c>
      <c r="K1265" s="312" t="s">
        <v>109</v>
      </c>
    </row>
    <row r="1266" spans="1:11">
      <c r="A1266" s="312" t="s">
        <v>2790</v>
      </c>
      <c r="B1266" s="312" t="s">
        <v>2791</v>
      </c>
      <c r="C1266" s="312" t="s">
        <v>105</v>
      </c>
      <c r="D1266" s="312" t="s">
        <v>379</v>
      </c>
      <c r="E1266" s="312" t="s">
        <v>107</v>
      </c>
      <c r="F1266" s="312">
        <v>1825</v>
      </c>
      <c r="G1266" s="312" t="s">
        <v>108</v>
      </c>
      <c r="H1266" s="312">
        <v>1827</v>
      </c>
      <c r="I1266" s="312" t="s">
        <v>107</v>
      </c>
      <c r="J1266" s="312">
        <v>1913</v>
      </c>
      <c r="K1266" s="312" t="s">
        <v>109</v>
      </c>
    </row>
    <row r="1267" spans="1:11">
      <c r="A1267" s="312" t="s">
        <v>2792</v>
      </c>
      <c r="B1267" s="312" t="s">
        <v>2793</v>
      </c>
      <c r="C1267" s="312" t="s">
        <v>105</v>
      </c>
      <c r="D1267" s="312" t="s">
        <v>603</v>
      </c>
      <c r="E1267" s="312" t="s">
        <v>107</v>
      </c>
      <c r="F1267" s="312">
        <v>1825</v>
      </c>
      <c r="G1267" s="312" t="s">
        <v>108</v>
      </c>
      <c r="H1267" s="312">
        <v>1827</v>
      </c>
      <c r="I1267" s="312" t="s">
        <v>107</v>
      </c>
      <c r="J1267" s="312">
        <v>1913</v>
      </c>
      <c r="K1267" s="312" t="s">
        <v>109</v>
      </c>
    </row>
    <row r="1268" spans="1:11">
      <c r="A1268" s="312" t="s">
        <v>2794</v>
      </c>
      <c r="B1268" s="312" t="s">
        <v>2795</v>
      </c>
      <c r="C1268" s="312" t="s">
        <v>105</v>
      </c>
      <c r="D1268" s="312" t="s">
        <v>114</v>
      </c>
      <c r="E1268" s="312" t="s">
        <v>107</v>
      </c>
      <c r="F1268" s="312">
        <v>1825</v>
      </c>
      <c r="G1268" s="312" t="s">
        <v>108</v>
      </c>
      <c r="H1268" s="312">
        <v>1827</v>
      </c>
      <c r="I1268" s="312" t="s">
        <v>107</v>
      </c>
      <c r="J1268" s="312">
        <v>1913</v>
      </c>
      <c r="K1268" s="312" t="s">
        <v>109</v>
      </c>
    </row>
    <row r="1269" spans="1:11">
      <c r="A1269" s="312" t="s">
        <v>2796</v>
      </c>
      <c r="B1269" s="312" t="s">
        <v>2797</v>
      </c>
      <c r="C1269" s="312" t="s">
        <v>105</v>
      </c>
      <c r="D1269" s="312" t="s">
        <v>114</v>
      </c>
      <c r="E1269" s="312" t="s">
        <v>107</v>
      </c>
      <c r="F1269" s="312">
        <v>1825</v>
      </c>
      <c r="G1269" s="312" t="s">
        <v>108</v>
      </c>
      <c r="H1269" s="312">
        <v>1827</v>
      </c>
      <c r="I1269" s="312" t="s">
        <v>107</v>
      </c>
      <c r="J1269" s="312">
        <v>1913</v>
      </c>
      <c r="K1269" s="312" t="s">
        <v>109</v>
      </c>
    </row>
    <row r="1270" spans="1:11">
      <c r="A1270" s="312" t="s">
        <v>2798</v>
      </c>
      <c r="B1270" s="312" t="s">
        <v>2799</v>
      </c>
      <c r="C1270" s="312" t="s">
        <v>105</v>
      </c>
      <c r="D1270" s="312" t="s">
        <v>114</v>
      </c>
      <c r="E1270" s="312" t="s">
        <v>107</v>
      </c>
      <c r="F1270" s="312">
        <v>1825</v>
      </c>
      <c r="G1270" s="312" t="s">
        <v>108</v>
      </c>
      <c r="H1270" s="312">
        <v>1827</v>
      </c>
      <c r="I1270" s="312" t="s">
        <v>107</v>
      </c>
      <c r="J1270" s="312">
        <v>1913</v>
      </c>
      <c r="K1270" s="312" t="s">
        <v>109</v>
      </c>
    </row>
    <row r="1271" spans="1:11">
      <c r="A1271" s="312" t="s">
        <v>2800</v>
      </c>
      <c r="B1271" s="312" t="s">
        <v>2801</v>
      </c>
      <c r="C1271" s="312" t="s">
        <v>105</v>
      </c>
      <c r="D1271" s="312" t="s">
        <v>114</v>
      </c>
      <c r="E1271" s="312" t="s">
        <v>107</v>
      </c>
      <c r="F1271" s="312">
        <v>1825</v>
      </c>
      <c r="G1271" s="312" t="s">
        <v>108</v>
      </c>
      <c r="H1271" s="312">
        <v>1827</v>
      </c>
      <c r="I1271" s="312" t="s">
        <v>107</v>
      </c>
      <c r="J1271" s="312">
        <v>1913</v>
      </c>
      <c r="K1271" s="312" t="s">
        <v>109</v>
      </c>
    </row>
    <row r="1272" spans="1:11">
      <c r="A1272" s="312" t="s">
        <v>2802</v>
      </c>
      <c r="B1272" s="312" t="s">
        <v>2803</v>
      </c>
      <c r="C1272" s="312" t="s">
        <v>105</v>
      </c>
      <c r="D1272" s="312" t="s">
        <v>114</v>
      </c>
      <c r="E1272" s="312" t="s">
        <v>107</v>
      </c>
      <c r="F1272" s="312">
        <v>1825</v>
      </c>
      <c r="G1272" s="312" t="s">
        <v>108</v>
      </c>
      <c r="H1272" s="312">
        <v>1827</v>
      </c>
      <c r="I1272" s="312" t="s">
        <v>107</v>
      </c>
      <c r="J1272" s="312">
        <v>1913</v>
      </c>
      <c r="K1272" s="312" t="s">
        <v>109</v>
      </c>
    </row>
    <row r="1273" spans="1:11">
      <c r="A1273" s="312" t="s">
        <v>2804</v>
      </c>
      <c r="B1273" s="312" t="s">
        <v>2805</v>
      </c>
      <c r="C1273" s="312" t="s">
        <v>105</v>
      </c>
      <c r="D1273" s="312" t="s">
        <v>603</v>
      </c>
      <c r="E1273" s="312" t="s">
        <v>107</v>
      </c>
      <c r="F1273" s="312">
        <v>1825</v>
      </c>
      <c r="G1273" s="312" t="s">
        <v>108</v>
      </c>
      <c r="H1273" s="312">
        <v>1827</v>
      </c>
      <c r="I1273" s="312" t="s">
        <v>107</v>
      </c>
      <c r="J1273" s="312">
        <v>1913</v>
      </c>
      <c r="K1273" s="312" t="s">
        <v>109</v>
      </c>
    </row>
    <row r="1274" spans="1:11">
      <c r="A1274" s="312" t="s">
        <v>2806</v>
      </c>
      <c r="B1274" s="312" t="s">
        <v>2807</v>
      </c>
      <c r="C1274" s="312" t="s">
        <v>105</v>
      </c>
      <c r="D1274" s="312" t="s">
        <v>483</v>
      </c>
      <c r="E1274" s="312" t="s">
        <v>684</v>
      </c>
      <c r="F1274" s="312">
        <v>1750</v>
      </c>
      <c r="G1274" s="312" t="s">
        <v>685</v>
      </c>
      <c r="H1274" s="312">
        <v>1754</v>
      </c>
      <c r="I1274" s="312" t="s">
        <v>684</v>
      </c>
      <c r="J1274" s="312">
        <v>1920</v>
      </c>
      <c r="K1274" s="312" t="s">
        <v>686</v>
      </c>
    </row>
    <row r="1275" spans="1:11">
      <c r="A1275" s="312" t="s">
        <v>2808</v>
      </c>
      <c r="B1275" s="312" t="s">
        <v>2809</v>
      </c>
      <c r="C1275" s="312" t="s">
        <v>105</v>
      </c>
      <c r="D1275" s="312" t="s">
        <v>858</v>
      </c>
      <c r="E1275" s="312" t="s">
        <v>107</v>
      </c>
      <c r="F1275" s="312">
        <v>1825</v>
      </c>
      <c r="G1275" s="312" t="s">
        <v>108</v>
      </c>
      <c r="H1275" s="312">
        <v>1827</v>
      </c>
      <c r="I1275" s="312" t="s">
        <v>107</v>
      </c>
      <c r="J1275" s="312">
        <v>1913</v>
      </c>
      <c r="K1275" s="312" t="s">
        <v>109</v>
      </c>
    </row>
    <row r="1276" spans="1:11">
      <c r="A1276" s="312" t="s">
        <v>2810</v>
      </c>
      <c r="B1276" s="312" t="s">
        <v>2811</v>
      </c>
      <c r="C1276" s="312" t="s">
        <v>105</v>
      </c>
      <c r="D1276" s="312" t="s">
        <v>117</v>
      </c>
      <c r="E1276" s="312" t="s">
        <v>107</v>
      </c>
      <c r="F1276" s="312">
        <v>1825</v>
      </c>
      <c r="G1276" s="312" t="s">
        <v>108</v>
      </c>
      <c r="H1276" s="312">
        <v>1827</v>
      </c>
      <c r="I1276" s="312" t="s">
        <v>107</v>
      </c>
      <c r="J1276" s="312">
        <v>1913</v>
      </c>
      <c r="K1276" s="312" t="s">
        <v>109</v>
      </c>
    </row>
    <row r="1277" spans="1:11">
      <c r="A1277" s="312" t="s">
        <v>2812</v>
      </c>
      <c r="B1277" s="312" t="s">
        <v>2813</v>
      </c>
      <c r="C1277" s="312" t="s">
        <v>105</v>
      </c>
      <c r="D1277" s="312" t="s">
        <v>114</v>
      </c>
      <c r="E1277" s="312" t="s">
        <v>107</v>
      </c>
      <c r="F1277" s="312">
        <v>1825</v>
      </c>
      <c r="G1277" s="312" t="s">
        <v>108</v>
      </c>
      <c r="H1277" s="312">
        <v>1827</v>
      </c>
      <c r="I1277" s="312" t="s">
        <v>107</v>
      </c>
      <c r="J1277" s="312">
        <v>1913</v>
      </c>
      <c r="K1277" s="312" t="s">
        <v>109</v>
      </c>
    </row>
    <row r="1278" spans="1:11">
      <c r="A1278" s="312" t="s">
        <v>2814</v>
      </c>
      <c r="B1278" s="312" t="s">
        <v>2815</v>
      </c>
      <c r="C1278" s="312" t="s">
        <v>105</v>
      </c>
      <c r="D1278" s="312" t="s">
        <v>114</v>
      </c>
      <c r="E1278" s="312" t="s">
        <v>107</v>
      </c>
      <c r="F1278" s="312">
        <v>1825</v>
      </c>
      <c r="G1278" s="312" t="s">
        <v>108</v>
      </c>
      <c r="H1278" s="312">
        <v>1827</v>
      </c>
      <c r="I1278" s="312" t="s">
        <v>107</v>
      </c>
      <c r="J1278" s="312">
        <v>1913</v>
      </c>
      <c r="K1278" s="312" t="s">
        <v>109</v>
      </c>
    </row>
    <row r="1279" spans="1:11">
      <c r="A1279" s="312" t="s">
        <v>2816</v>
      </c>
      <c r="B1279" s="312" t="s">
        <v>2817</v>
      </c>
      <c r="C1279" s="312" t="s">
        <v>105</v>
      </c>
      <c r="D1279" s="312" t="s">
        <v>184</v>
      </c>
      <c r="E1279" s="312" t="s">
        <v>107</v>
      </c>
      <c r="F1279" s="312">
        <v>1825</v>
      </c>
      <c r="G1279" s="312" t="s">
        <v>108</v>
      </c>
      <c r="H1279" s="312">
        <v>1827</v>
      </c>
      <c r="I1279" s="312" t="s">
        <v>107</v>
      </c>
      <c r="J1279" s="312">
        <v>1913</v>
      </c>
      <c r="K1279" s="312" t="s">
        <v>109</v>
      </c>
    </row>
    <row r="1280" spans="1:11">
      <c r="A1280" s="312" t="s">
        <v>2818</v>
      </c>
      <c r="B1280" s="312" t="s">
        <v>2819</v>
      </c>
      <c r="C1280" s="312" t="s">
        <v>105</v>
      </c>
      <c r="D1280" s="312" t="s">
        <v>114</v>
      </c>
      <c r="E1280" s="312" t="s">
        <v>107</v>
      </c>
      <c r="F1280" s="312">
        <v>1825</v>
      </c>
      <c r="G1280" s="312" t="s">
        <v>108</v>
      </c>
      <c r="H1280" s="312">
        <v>1827</v>
      </c>
      <c r="I1280" s="312" t="s">
        <v>107</v>
      </c>
      <c r="J1280" s="312">
        <v>1913</v>
      </c>
      <c r="K1280" s="312" t="s">
        <v>109</v>
      </c>
    </row>
    <row r="1281" spans="1:11">
      <c r="A1281" s="312" t="s">
        <v>2820</v>
      </c>
      <c r="B1281" s="312" t="s">
        <v>2821</v>
      </c>
      <c r="C1281" s="312" t="s">
        <v>105</v>
      </c>
      <c r="D1281" s="312" t="s">
        <v>114</v>
      </c>
      <c r="E1281" s="312" t="s">
        <v>107</v>
      </c>
      <c r="F1281" s="312">
        <v>1825</v>
      </c>
      <c r="G1281" s="312" t="s">
        <v>108</v>
      </c>
      <c r="H1281" s="312">
        <v>1827</v>
      </c>
      <c r="I1281" s="312" t="s">
        <v>107</v>
      </c>
      <c r="J1281" s="312">
        <v>1913</v>
      </c>
      <c r="K1281" s="312" t="s">
        <v>109</v>
      </c>
    </row>
    <row r="1282" spans="1:11">
      <c r="A1282" s="312" t="s">
        <v>2822</v>
      </c>
      <c r="B1282" s="312" t="s">
        <v>2823</v>
      </c>
      <c r="C1282" s="312" t="s">
        <v>105</v>
      </c>
      <c r="D1282" s="312" t="s">
        <v>114</v>
      </c>
      <c r="E1282" s="312" t="s">
        <v>107</v>
      </c>
      <c r="F1282" s="312">
        <v>1825</v>
      </c>
      <c r="G1282" s="312" t="s">
        <v>108</v>
      </c>
      <c r="H1282" s="312">
        <v>1827</v>
      </c>
      <c r="I1282" s="312" t="s">
        <v>107</v>
      </c>
      <c r="J1282" s="312">
        <v>1913</v>
      </c>
      <c r="K1282" s="312" t="s">
        <v>109</v>
      </c>
    </row>
    <row r="1283" spans="1:11">
      <c r="A1283" s="312" t="s">
        <v>2824</v>
      </c>
      <c r="B1283" s="312" t="s">
        <v>2825</v>
      </c>
      <c r="C1283" s="312" t="s">
        <v>105</v>
      </c>
      <c r="D1283" s="312" t="s">
        <v>106</v>
      </c>
      <c r="E1283" s="312" t="s">
        <v>107</v>
      </c>
      <c r="F1283" s="312">
        <v>1825</v>
      </c>
      <c r="G1283" s="312" t="s">
        <v>108</v>
      </c>
      <c r="H1283" s="312">
        <v>1827</v>
      </c>
      <c r="I1283" s="312" t="s">
        <v>107</v>
      </c>
      <c r="J1283" s="312">
        <v>1913</v>
      </c>
      <c r="K1283" s="312" t="s">
        <v>109</v>
      </c>
    </row>
    <row r="1284" spans="1:11">
      <c r="A1284" s="312" t="s">
        <v>2826</v>
      </c>
      <c r="B1284" s="312" t="s">
        <v>2827</v>
      </c>
      <c r="C1284" s="312" t="s">
        <v>105</v>
      </c>
      <c r="D1284" s="312" t="s">
        <v>573</v>
      </c>
      <c r="E1284" s="312" t="s">
        <v>107</v>
      </c>
      <c r="F1284" s="312">
        <v>1825</v>
      </c>
      <c r="G1284" s="312" t="s">
        <v>108</v>
      </c>
      <c r="H1284" s="312">
        <v>1827</v>
      </c>
      <c r="I1284" s="312" t="s">
        <v>107</v>
      </c>
      <c r="J1284" s="312">
        <v>1913</v>
      </c>
      <c r="K1284" s="312" t="s">
        <v>109</v>
      </c>
    </row>
    <row r="1285" spans="1:11">
      <c r="A1285" s="312" t="s">
        <v>2828</v>
      </c>
      <c r="B1285" s="312" t="s">
        <v>2829</v>
      </c>
      <c r="C1285" s="312" t="s">
        <v>105</v>
      </c>
      <c r="D1285" s="312" t="s">
        <v>1646</v>
      </c>
      <c r="E1285" s="312" t="s">
        <v>320</v>
      </c>
      <c r="F1285" s="312">
        <v>1716</v>
      </c>
      <c r="G1285" s="312" t="s">
        <v>321</v>
      </c>
      <c r="H1285" s="312">
        <v>1725</v>
      </c>
      <c r="I1285" s="312" t="s">
        <v>320</v>
      </c>
      <c r="J1285" s="312">
        <v>1910</v>
      </c>
      <c r="K1285" s="312" t="s">
        <v>322</v>
      </c>
    </row>
    <row r="1286" spans="1:11">
      <c r="A1286" s="312" t="s">
        <v>2830</v>
      </c>
      <c r="B1286" s="1" t="s">
        <v>2831</v>
      </c>
      <c r="C1286" s="312" t="s">
        <v>105</v>
      </c>
      <c r="D1286" s="312" t="s">
        <v>2065</v>
      </c>
      <c r="E1286" s="312" t="s">
        <v>107</v>
      </c>
      <c r="F1286" s="312">
        <v>1825</v>
      </c>
      <c r="G1286" s="312" t="s">
        <v>108</v>
      </c>
      <c r="H1286" s="312">
        <v>1827</v>
      </c>
      <c r="I1286" s="312" t="s">
        <v>107</v>
      </c>
      <c r="J1286" s="312">
        <v>1913</v>
      </c>
      <c r="K1286" s="312" t="s">
        <v>109</v>
      </c>
    </row>
    <row r="1287" spans="1:11">
      <c r="A1287" s="312" t="s">
        <v>2832</v>
      </c>
      <c r="B1287" s="312" t="s">
        <v>2833</v>
      </c>
      <c r="C1287" s="312" t="s">
        <v>105</v>
      </c>
      <c r="D1287" s="312" t="s">
        <v>438</v>
      </c>
      <c r="E1287" s="312" t="s">
        <v>107</v>
      </c>
      <c r="F1287" s="312">
        <v>1825</v>
      </c>
      <c r="G1287" s="312" t="s">
        <v>108</v>
      </c>
      <c r="H1287" s="312">
        <v>1827</v>
      </c>
      <c r="I1287" s="312" t="s">
        <v>107</v>
      </c>
      <c r="J1287" s="312">
        <v>1913</v>
      </c>
      <c r="K1287" s="312" t="s">
        <v>109</v>
      </c>
    </row>
    <row r="1288" spans="1:11">
      <c r="A1288" s="312" t="s">
        <v>2834</v>
      </c>
      <c r="B1288" s="312" t="s">
        <v>2835</v>
      </c>
      <c r="C1288" s="312" t="s">
        <v>105</v>
      </c>
      <c r="D1288" s="312" t="s">
        <v>2065</v>
      </c>
      <c r="E1288" s="312" t="s">
        <v>107</v>
      </c>
      <c r="F1288" s="312">
        <v>1825</v>
      </c>
      <c r="G1288" s="312" t="s">
        <v>108</v>
      </c>
      <c r="H1288" s="312">
        <v>1827</v>
      </c>
      <c r="I1288" s="312" t="s">
        <v>107</v>
      </c>
      <c r="J1288" s="312">
        <v>1913</v>
      </c>
      <c r="K1288" s="312" t="s">
        <v>109</v>
      </c>
    </row>
    <row r="1289" spans="1:11">
      <c r="A1289" s="312" t="s">
        <v>2836</v>
      </c>
      <c r="B1289" s="312" t="s">
        <v>2837</v>
      </c>
      <c r="C1289" s="312" t="s">
        <v>105</v>
      </c>
      <c r="D1289" s="312" t="s">
        <v>117</v>
      </c>
      <c r="E1289" s="312" t="s">
        <v>107</v>
      </c>
      <c r="F1289" s="312">
        <v>1825</v>
      </c>
      <c r="G1289" s="312" t="s">
        <v>108</v>
      </c>
      <c r="H1289" s="312">
        <v>1827</v>
      </c>
      <c r="I1289" s="312" t="s">
        <v>107</v>
      </c>
      <c r="J1289" s="312">
        <v>1913</v>
      </c>
      <c r="K1289" s="312" t="s">
        <v>109</v>
      </c>
    </row>
    <row r="1290" spans="1:11">
      <c r="A1290" s="312" t="s">
        <v>2838</v>
      </c>
      <c r="B1290" s="312" t="s">
        <v>2839</v>
      </c>
      <c r="C1290" s="312" t="s">
        <v>105</v>
      </c>
      <c r="D1290" s="312" t="s">
        <v>512</v>
      </c>
      <c r="E1290" s="312" t="s">
        <v>167</v>
      </c>
      <c r="F1290" s="312">
        <v>1705</v>
      </c>
      <c r="G1290" s="312" t="s">
        <v>168</v>
      </c>
      <c r="H1290" s="312">
        <v>1707</v>
      </c>
      <c r="I1290" s="312" t="s">
        <v>167</v>
      </c>
      <c r="J1290" s="312">
        <v>1899</v>
      </c>
      <c r="K1290" s="312" t="s">
        <v>169</v>
      </c>
    </row>
    <row r="1291" spans="1:11">
      <c r="A1291" s="312" t="s">
        <v>2840</v>
      </c>
      <c r="B1291" s="312" t="s">
        <v>2841</v>
      </c>
      <c r="C1291" s="312" t="s">
        <v>105</v>
      </c>
      <c r="D1291" s="312" t="s">
        <v>305</v>
      </c>
      <c r="E1291" s="312" t="s">
        <v>107</v>
      </c>
      <c r="F1291" s="312">
        <v>1825</v>
      </c>
      <c r="G1291" s="312" t="s">
        <v>108</v>
      </c>
      <c r="H1291" s="312">
        <v>1827</v>
      </c>
      <c r="I1291" s="312" t="s">
        <v>107</v>
      </c>
      <c r="J1291" s="312">
        <v>1913</v>
      </c>
      <c r="K1291" s="312" t="s">
        <v>109</v>
      </c>
    </row>
    <row r="1292" spans="1:11">
      <c r="A1292" s="312" t="s">
        <v>2842</v>
      </c>
      <c r="B1292" s="312" t="s">
        <v>2843</v>
      </c>
      <c r="C1292" s="312" t="s">
        <v>105</v>
      </c>
      <c r="D1292" s="312" t="s">
        <v>1156</v>
      </c>
      <c r="E1292" s="312" t="s">
        <v>107</v>
      </c>
      <c r="F1292" s="312">
        <v>1825</v>
      </c>
      <c r="G1292" s="312" t="s">
        <v>108</v>
      </c>
      <c r="H1292" s="312">
        <v>1827</v>
      </c>
      <c r="I1292" s="312" t="s">
        <v>107</v>
      </c>
      <c r="J1292" s="312">
        <v>1913</v>
      </c>
      <c r="K1292" s="312" t="s">
        <v>109</v>
      </c>
    </row>
    <row r="1293" spans="1:11">
      <c r="A1293" s="312" t="s">
        <v>2844</v>
      </c>
      <c r="B1293" s="312" t="s">
        <v>2845</v>
      </c>
      <c r="C1293" s="312" t="s">
        <v>105</v>
      </c>
      <c r="D1293" s="312" t="s">
        <v>114</v>
      </c>
      <c r="E1293" s="312" t="s">
        <v>107</v>
      </c>
      <c r="F1293" s="312">
        <v>1825</v>
      </c>
      <c r="G1293" s="312" t="s">
        <v>108</v>
      </c>
      <c r="H1293" s="312">
        <v>1827</v>
      </c>
      <c r="I1293" s="312" t="s">
        <v>107</v>
      </c>
      <c r="J1293" s="312">
        <v>1913</v>
      </c>
      <c r="K1293" s="312" t="s">
        <v>109</v>
      </c>
    </row>
    <row r="1294" spans="1:11">
      <c r="A1294" s="312" t="s">
        <v>2846</v>
      </c>
      <c r="B1294" s="312" t="s">
        <v>2847</v>
      </c>
      <c r="C1294" s="312" t="s">
        <v>105</v>
      </c>
      <c r="D1294" s="312" t="s">
        <v>114</v>
      </c>
      <c r="E1294" s="312" t="s">
        <v>107</v>
      </c>
      <c r="F1294" s="312">
        <v>1825</v>
      </c>
      <c r="G1294" s="312" t="s">
        <v>108</v>
      </c>
      <c r="H1294" s="312">
        <v>1827</v>
      </c>
      <c r="I1294" s="312" t="s">
        <v>107</v>
      </c>
      <c r="J1294" s="312">
        <v>1913</v>
      </c>
      <c r="K1294" s="312" t="s">
        <v>109</v>
      </c>
    </row>
    <row r="1295" spans="1:11">
      <c r="A1295" s="312" t="s">
        <v>2848</v>
      </c>
      <c r="B1295" s="312" t="s">
        <v>2849</v>
      </c>
      <c r="C1295" s="312" t="s">
        <v>105</v>
      </c>
      <c r="D1295" s="312" t="s">
        <v>570</v>
      </c>
      <c r="E1295" s="312" t="s">
        <v>684</v>
      </c>
      <c r="F1295" s="312">
        <v>1750</v>
      </c>
      <c r="G1295" s="312" t="s">
        <v>685</v>
      </c>
      <c r="H1295" s="312">
        <v>1754</v>
      </c>
      <c r="I1295" s="312" t="s">
        <v>684</v>
      </c>
      <c r="J1295" s="312">
        <v>1920</v>
      </c>
      <c r="K1295" s="312" t="s">
        <v>686</v>
      </c>
    </row>
    <row r="1296" spans="1:11">
      <c r="A1296" s="312" t="s">
        <v>2850</v>
      </c>
      <c r="B1296" s="312" t="s">
        <v>2851</v>
      </c>
      <c r="C1296" s="312" t="s">
        <v>105</v>
      </c>
      <c r="D1296" s="312" t="s">
        <v>2852</v>
      </c>
      <c r="E1296" s="312" t="s">
        <v>466</v>
      </c>
      <c r="F1296" s="312">
        <v>1796</v>
      </c>
      <c r="G1296" s="312" t="s">
        <v>467</v>
      </c>
      <c r="H1296" s="312">
        <v>1799</v>
      </c>
      <c r="I1296" s="312" t="s">
        <v>466</v>
      </c>
      <c r="J1296" s="312">
        <v>1918</v>
      </c>
      <c r="K1296" s="312" t="s">
        <v>468</v>
      </c>
    </row>
    <row r="1297" spans="1:11">
      <c r="A1297" s="312" t="s">
        <v>2853</v>
      </c>
      <c r="B1297" s="312" t="s">
        <v>2854</v>
      </c>
      <c r="C1297" s="312" t="s">
        <v>105</v>
      </c>
      <c r="D1297" s="312" t="s">
        <v>483</v>
      </c>
      <c r="E1297" s="312" t="s">
        <v>107</v>
      </c>
      <c r="F1297" s="312">
        <v>1825</v>
      </c>
      <c r="G1297" s="312" t="s">
        <v>108</v>
      </c>
      <c r="H1297" s="312">
        <v>1827</v>
      </c>
      <c r="I1297" s="312" t="s">
        <v>107</v>
      </c>
      <c r="J1297" s="312">
        <v>1913</v>
      </c>
      <c r="K1297" s="312" t="s">
        <v>109</v>
      </c>
    </row>
    <row r="1298" spans="1:11">
      <c r="A1298" s="312" t="s">
        <v>2855</v>
      </c>
      <c r="B1298" s="312" t="s">
        <v>2856</v>
      </c>
      <c r="C1298" s="312" t="s">
        <v>105</v>
      </c>
      <c r="D1298" s="312" t="s">
        <v>1248</v>
      </c>
      <c r="E1298" s="312" t="s">
        <v>107</v>
      </c>
      <c r="F1298" s="312">
        <v>1825</v>
      </c>
      <c r="G1298" s="312" t="s">
        <v>108</v>
      </c>
      <c r="H1298" s="312">
        <v>1827</v>
      </c>
      <c r="I1298" s="312" t="s">
        <v>107</v>
      </c>
      <c r="J1298" s="312">
        <v>1913</v>
      </c>
      <c r="K1298" s="312" t="s">
        <v>109</v>
      </c>
    </row>
    <row r="1299" spans="1:11">
      <c r="A1299" s="312" t="s">
        <v>2857</v>
      </c>
      <c r="B1299" s="312" t="s">
        <v>2858</v>
      </c>
      <c r="C1299" s="312" t="s">
        <v>105</v>
      </c>
      <c r="D1299" s="312" t="s">
        <v>2859</v>
      </c>
      <c r="E1299" s="312" t="s">
        <v>107</v>
      </c>
      <c r="F1299" s="312">
        <v>1825</v>
      </c>
      <c r="G1299" s="312" t="s">
        <v>108</v>
      </c>
      <c r="H1299" s="312">
        <v>1827</v>
      </c>
      <c r="I1299" s="312" t="s">
        <v>107</v>
      </c>
      <c r="J1299" s="312">
        <v>1913</v>
      </c>
      <c r="K1299" s="312" t="s">
        <v>109</v>
      </c>
    </row>
    <row r="1300" spans="1:11">
      <c r="A1300" s="312" t="s">
        <v>2860</v>
      </c>
      <c r="B1300" s="312" t="s">
        <v>2861</v>
      </c>
      <c r="C1300" s="312" t="s">
        <v>105</v>
      </c>
      <c r="D1300" s="312" t="s">
        <v>483</v>
      </c>
      <c r="E1300" s="312" t="s">
        <v>107</v>
      </c>
      <c r="F1300" s="312">
        <v>1825</v>
      </c>
      <c r="G1300" s="312" t="s">
        <v>108</v>
      </c>
      <c r="H1300" s="312">
        <v>1827</v>
      </c>
      <c r="I1300" s="312" t="s">
        <v>107</v>
      </c>
      <c r="J1300" s="312">
        <v>1913</v>
      </c>
      <c r="K1300" s="312" t="s">
        <v>109</v>
      </c>
    </row>
    <row r="1301" spans="1:11">
      <c r="A1301" s="312" t="s">
        <v>2862</v>
      </c>
      <c r="B1301" s="312" t="s">
        <v>2863</v>
      </c>
      <c r="C1301" s="312" t="s">
        <v>105</v>
      </c>
      <c r="D1301" s="312" t="s">
        <v>483</v>
      </c>
      <c r="E1301" s="312" t="s">
        <v>466</v>
      </c>
      <c r="F1301" s="312">
        <v>1796</v>
      </c>
      <c r="G1301" s="312" t="s">
        <v>467</v>
      </c>
      <c r="H1301" s="312">
        <v>1799</v>
      </c>
      <c r="I1301" s="312" t="s">
        <v>466</v>
      </c>
      <c r="J1301" s="312">
        <v>1918</v>
      </c>
      <c r="K1301" s="312" t="s">
        <v>468</v>
      </c>
    </row>
    <row r="1302" spans="1:11">
      <c r="A1302" s="312" t="s">
        <v>2864</v>
      </c>
      <c r="B1302" s="312" t="s">
        <v>2865</v>
      </c>
      <c r="C1302" s="312" t="s">
        <v>105</v>
      </c>
      <c r="D1302" s="312" t="s">
        <v>1248</v>
      </c>
      <c r="E1302" s="312" t="s">
        <v>466</v>
      </c>
      <c r="F1302" s="312">
        <v>1796</v>
      </c>
      <c r="G1302" s="312" t="s">
        <v>467</v>
      </c>
      <c r="H1302" s="312">
        <v>1799</v>
      </c>
      <c r="I1302" s="312" t="s">
        <v>466</v>
      </c>
      <c r="J1302" s="312">
        <v>1918</v>
      </c>
      <c r="K1302" s="312" t="s">
        <v>468</v>
      </c>
    </row>
    <row r="1303" spans="1:11">
      <c r="A1303" s="312" t="s">
        <v>2866</v>
      </c>
      <c r="B1303" s="312" t="s">
        <v>2867</v>
      </c>
      <c r="C1303" s="312" t="s">
        <v>105</v>
      </c>
      <c r="D1303" s="312" t="s">
        <v>483</v>
      </c>
      <c r="E1303" s="312" t="s">
        <v>466</v>
      </c>
      <c r="F1303" s="312">
        <v>1796</v>
      </c>
      <c r="G1303" s="312" t="s">
        <v>467</v>
      </c>
      <c r="H1303" s="312">
        <v>1799</v>
      </c>
      <c r="I1303" s="312" t="s">
        <v>466</v>
      </c>
      <c r="J1303" s="312">
        <v>1918</v>
      </c>
      <c r="K1303" s="312" t="s">
        <v>468</v>
      </c>
    </row>
    <row r="1304" spans="1:11">
      <c r="A1304" s="312" t="s">
        <v>2868</v>
      </c>
      <c r="B1304" s="312" t="s">
        <v>2869</v>
      </c>
      <c r="C1304" s="312" t="s">
        <v>105</v>
      </c>
      <c r="D1304" s="312" t="s">
        <v>2859</v>
      </c>
      <c r="E1304" s="312" t="s">
        <v>466</v>
      </c>
      <c r="F1304" s="312">
        <v>1796</v>
      </c>
      <c r="G1304" s="312" t="s">
        <v>467</v>
      </c>
      <c r="H1304" s="312">
        <v>1799</v>
      </c>
      <c r="I1304" s="312" t="s">
        <v>466</v>
      </c>
      <c r="J1304" s="312">
        <v>1918</v>
      </c>
      <c r="K1304" s="312" t="s">
        <v>468</v>
      </c>
    </row>
    <row r="1305" spans="1:11">
      <c r="A1305" s="312" t="s">
        <v>2870</v>
      </c>
      <c r="B1305" s="312" t="s">
        <v>2871</v>
      </c>
      <c r="C1305" s="312" t="s">
        <v>105</v>
      </c>
      <c r="D1305" s="312" t="s">
        <v>483</v>
      </c>
      <c r="E1305" s="312" t="s">
        <v>466</v>
      </c>
      <c r="F1305" s="312">
        <v>1796</v>
      </c>
      <c r="G1305" s="312" t="s">
        <v>467</v>
      </c>
      <c r="H1305" s="312">
        <v>1799</v>
      </c>
      <c r="I1305" s="312" t="s">
        <v>466</v>
      </c>
      <c r="J1305" s="312">
        <v>1918</v>
      </c>
      <c r="K1305" s="312" t="s">
        <v>468</v>
      </c>
    </row>
    <row r="1306" spans="1:11">
      <c r="A1306" s="312" t="s">
        <v>2872</v>
      </c>
      <c r="B1306" s="312" t="s">
        <v>2873</v>
      </c>
      <c r="C1306" s="312" t="s">
        <v>105</v>
      </c>
      <c r="D1306" s="312" t="s">
        <v>1533</v>
      </c>
      <c r="E1306" s="312" t="s">
        <v>107</v>
      </c>
      <c r="F1306" s="312">
        <v>1825</v>
      </c>
      <c r="G1306" s="312" t="s">
        <v>108</v>
      </c>
      <c r="H1306" s="312">
        <v>1827</v>
      </c>
      <c r="I1306" s="312" t="s">
        <v>107</v>
      </c>
      <c r="J1306" s="312">
        <v>1913</v>
      </c>
      <c r="K1306" s="312" t="s">
        <v>109</v>
      </c>
    </row>
    <row r="1307" spans="1:11">
      <c r="A1307" s="312" t="s">
        <v>2874</v>
      </c>
      <c r="B1307" s="312" t="s">
        <v>2875</v>
      </c>
      <c r="C1307" s="312" t="s">
        <v>105</v>
      </c>
      <c r="D1307" s="312" t="s">
        <v>1533</v>
      </c>
      <c r="E1307" s="312" t="s">
        <v>107</v>
      </c>
      <c r="F1307" s="312">
        <v>1825</v>
      </c>
      <c r="G1307" s="312" t="s">
        <v>108</v>
      </c>
      <c r="H1307" s="312">
        <v>1827</v>
      </c>
      <c r="I1307" s="312" t="s">
        <v>107</v>
      </c>
      <c r="J1307" s="312">
        <v>1913</v>
      </c>
      <c r="K1307" s="312" t="s">
        <v>109</v>
      </c>
    </row>
    <row r="1308" spans="1:11">
      <c r="A1308" s="312" t="s">
        <v>2876</v>
      </c>
      <c r="B1308" s="312" t="s">
        <v>2877</v>
      </c>
      <c r="C1308" s="312" t="s">
        <v>105</v>
      </c>
      <c r="D1308" s="312" t="s">
        <v>1533</v>
      </c>
      <c r="E1308" s="312" t="s">
        <v>107</v>
      </c>
      <c r="F1308" s="312">
        <v>1825</v>
      </c>
      <c r="G1308" s="312" t="s">
        <v>108</v>
      </c>
      <c r="H1308" s="312">
        <v>1827</v>
      </c>
      <c r="I1308" s="312" t="s">
        <v>107</v>
      </c>
      <c r="J1308" s="312">
        <v>1913</v>
      </c>
      <c r="K1308" s="312" t="s">
        <v>109</v>
      </c>
    </row>
    <row r="1309" spans="1:11">
      <c r="A1309" s="312" t="s">
        <v>2878</v>
      </c>
      <c r="B1309" s="312" t="s">
        <v>2879</v>
      </c>
      <c r="C1309" s="312" t="s">
        <v>105</v>
      </c>
      <c r="D1309" s="312" t="s">
        <v>1533</v>
      </c>
      <c r="E1309" s="312" t="s">
        <v>107</v>
      </c>
      <c r="F1309" s="312">
        <v>1825</v>
      </c>
      <c r="G1309" s="312" t="s">
        <v>108</v>
      </c>
      <c r="H1309" s="312">
        <v>1827</v>
      </c>
      <c r="I1309" s="312" t="s">
        <v>107</v>
      </c>
      <c r="J1309" s="312">
        <v>1913</v>
      </c>
      <c r="K1309" s="312" t="s">
        <v>109</v>
      </c>
    </row>
    <row r="1310" spans="1:11">
      <c r="A1310" s="312" t="s">
        <v>2880</v>
      </c>
      <c r="B1310" s="312" t="s">
        <v>2881</v>
      </c>
      <c r="C1310" s="312" t="s">
        <v>105</v>
      </c>
      <c r="D1310" s="312" t="s">
        <v>556</v>
      </c>
      <c r="E1310" s="312" t="s">
        <v>107</v>
      </c>
      <c r="F1310" s="312">
        <v>1825</v>
      </c>
      <c r="G1310" s="312" t="s">
        <v>108</v>
      </c>
      <c r="H1310" s="312">
        <v>1827</v>
      </c>
      <c r="I1310" s="312" t="s">
        <v>107</v>
      </c>
      <c r="J1310" s="312">
        <v>1913</v>
      </c>
      <c r="K1310" s="312" t="s">
        <v>109</v>
      </c>
    </row>
    <row r="1311" spans="1:11">
      <c r="A1311" s="312" t="s">
        <v>2882</v>
      </c>
      <c r="B1311" s="312" t="s">
        <v>2883</v>
      </c>
      <c r="C1311" s="312" t="s">
        <v>105</v>
      </c>
      <c r="D1311" s="312" t="s">
        <v>556</v>
      </c>
      <c r="E1311" s="312" t="s">
        <v>107</v>
      </c>
      <c r="F1311" s="312">
        <v>1825</v>
      </c>
      <c r="G1311" s="312" t="s">
        <v>108</v>
      </c>
      <c r="H1311" s="312">
        <v>1827</v>
      </c>
      <c r="I1311" s="312" t="s">
        <v>107</v>
      </c>
      <c r="J1311" s="312">
        <v>1913</v>
      </c>
      <c r="K1311" s="312" t="s">
        <v>109</v>
      </c>
    </row>
    <row r="1312" spans="1:11">
      <c r="A1312" s="312" t="s">
        <v>2884</v>
      </c>
      <c r="B1312" s="312" t="s">
        <v>2885</v>
      </c>
      <c r="C1312" s="312" t="s">
        <v>105</v>
      </c>
      <c r="D1312" s="312" t="s">
        <v>352</v>
      </c>
      <c r="E1312" s="312" t="s">
        <v>886</v>
      </c>
      <c r="F1312" s="312">
        <v>1857</v>
      </c>
      <c r="G1312" s="312" t="s">
        <v>887</v>
      </c>
      <c r="H1312" s="312">
        <v>1858</v>
      </c>
      <c r="I1312" s="312" t="s">
        <v>886</v>
      </c>
      <c r="J1312" s="312">
        <v>1924</v>
      </c>
      <c r="K1312" s="312" t="s">
        <v>888</v>
      </c>
    </row>
    <row r="1313" spans="1:11">
      <c r="A1313" s="312" t="s">
        <v>2886</v>
      </c>
      <c r="B1313" s="312" t="s">
        <v>2887</v>
      </c>
      <c r="C1313" s="312" t="s">
        <v>105</v>
      </c>
      <c r="D1313" s="312" t="s">
        <v>352</v>
      </c>
      <c r="E1313" s="312" t="s">
        <v>886</v>
      </c>
      <c r="F1313" s="312">
        <v>1857</v>
      </c>
      <c r="G1313" s="312" t="s">
        <v>887</v>
      </c>
      <c r="H1313" s="312">
        <v>1858</v>
      </c>
      <c r="I1313" s="312" t="s">
        <v>886</v>
      </c>
      <c r="J1313" s="312">
        <v>1924</v>
      </c>
      <c r="K1313" s="312" t="s">
        <v>888</v>
      </c>
    </row>
    <row r="1314" spans="1:11">
      <c r="A1314" s="312" t="s">
        <v>2888</v>
      </c>
      <c r="B1314" s="312" t="s">
        <v>2889</v>
      </c>
      <c r="C1314" s="312" t="s">
        <v>105</v>
      </c>
      <c r="D1314" s="312" t="s">
        <v>352</v>
      </c>
      <c r="E1314" s="312" t="s">
        <v>886</v>
      </c>
      <c r="F1314" s="312">
        <v>1857</v>
      </c>
      <c r="G1314" s="312" t="s">
        <v>887</v>
      </c>
      <c r="H1314" s="312">
        <v>1858</v>
      </c>
      <c r="I1314" s="312" t="s">
        <v>886</v>
      </c>
      <c r="J1314" s="312">
        <v>1924</v>
      </c>
      <c r="K1314" s="312" t="s">
        <v>888</v>
      </c>
    </row>
    <row r="1315" spans="1:11">
      <c r="A1315" s="312" t="s">
        <v>2890</v>
      </c>
      <c r="B1315" s="312" t="s">
        <v>2891</v>
      </c>
      <c r="C1315" s="312" t="s">
        <v>105</v>
      </c>
      <c r="D1315" s="312" t="s">
        <v>352</v>
      </c>
      <c r="E1315" s="312" t="s">
        <v>886</v>
      </c>
      <c r="F1315" s="312">
        <v>1857</v>
      </c>
      <c r="G1315" s="312" t="s">
        <v>887</v>
      </c>
      <c r="H1315" s="312">
        <v>1858</v>
      </c>
      <c r="I1315" s="312" t="s">
        <v>886</v>
      </c>
      <c r="J1315" s="312">
        <v>1924</v>
      </c>
      <c r="K1315" s="312" t="s">
        <v>888</v>
      </c>
    </row>
    <row r="1316" spans="1:11">
      <c r="A1316" s="312" t="s">
        <v>2892</v>
      </c>
      <c r="B1316" s="312" t="s">
        <v>2893</v>
      </c>
      <c r="C1316" s="312" t="s">
        <v>105</v>
      </c>
      <c r="D1316" s="312" t="s">
        <v>352</v>
      </c>
      <c r="E1316" s="312" t="s">
        <v>886</v>
      </c>
      <c r="F1316" s="312">
        <v>1857</v>
      </c>
      <c r="G1316" s="312" t="s">
        <v>887</v>
      </c>
      <c r="H1316" s="312">
        <v>1858</v>
      </c>
      <c r="I1316" s="312" t="s">
        <v>886</v>
      </c>
      <c r="J1316" s="312">
        <v>1924</v>
      </c>
      <c r="K1316" s="312" t="s">
        <v>888</v>
      </c>
    </row>
    <row r="1317" spans="1:11">
      <c r="A1317" s="312" t="s">
        <v>2894</v>
      </c>
      <c r="B1317" s="312" t="s">
        <v>2895</v>
      </c>
      <c r="C1317" s="312" t="s">
        <v>105</v>
      </c>
      <c r="D1317" s="312" t="s">
        <v>352</v>
      </c>
      <c r="E1317" s="312" t="s">
        <v>886</v>
      </c>
      <c r="F1317" s="312">
        <v>1857</v>
      </c>
      <c r="G1317" s="312" t="s">
        <v>887</v>
      </c>
      <c r="H1317" s="312">
        <v>1858</v>
      </c>
      <c r="I1317" s="312" t="s">
        <v>886</v>
      </c>
      <c r="J1317" s="312">
        <v>1924</v>
      </c>
      <c r="K1317" s="312" t="s">
        <v>888</v>
      </c>
    </row>
    <row r="1318" spans="1:11">
      <c r="A1318" s="312" t="s">
        <v>2896</v>
      </c>
      <c r="B1318" s="312" t="s">
        <v>2897</v>
      </c>
      <c r="C1318" s="312" t="s">
        <v>105</v>
      </c>
      <c r="D1318" s="312" t="s">
        <v>352</v>
      </c>
      <c r="E1318" s="312" t="s">
        <v>886</v>
      </c>
      <c r="F1318" s="312">
        <v>1857</v>
      </c>
      <c r="G1318" s="312" t="s">
        <v>887</v>
      </c>
      <c r="H1318" s="312">
        <v>1858</v>
      </c>
      <c r="I1318" s="312" t="s">
        <v>886</v>
      </c>
      <c r="J1318" s="312">
        <v>1924</v>
      </c>
      <c r="K1318" s="312" t="s">
        <v>888</v>
      </c>
    </row>
    <row r="1319" spans="1:11">
      <c r="A1319" s="312" t="s">
        <v>2898</v>
      </c>
      <c r="B1319" s="312" t="s">
        <v>2899</v>
      </c>
      <c r="C1319" s="312" t="s">
        <v>105</v>
      </c>
      <c r="D1319" s="312" t="s">
        <v>352</v>
      </c>
      <c r="E1319" s="312" t="s">
        <v>886</v>
      </c>
      <c r="F1319" s="312">
        <v>1857</v>
      </c>
      <c r="G1319" s="312" t="s">
        <v>887</v>
      </c>
      <c r="H1319" s="312">
        <v>1858</v>
      </c>
      <c r="I1319" s="312" t="s">
        <v>886</v>
      </c>
      <c r="J1319" s="312">
        <v>1924</v>
      </c>
      <c r="K1319" s="312" t="s">
        <v>888</v>
      </c>
    </row>
    <row r="1320" spans="1:11">
      <c r="A1320" s="312" t="s">
        <v>2900</v>
      </c>
      <c r="B1320" s="312" t="s">
        <v>2901</v>
      </c>
      <c r="C1320" s="312" t="s">
        <v>105</v>
      </c>
      <c r="D1320" s="312" t="s">
        <v>352</v>
      </c>
      <c r="E1320" s="312" t="s">
        <v>886</v>
      </c>
      <c r="F1320" s="312">
        <v>1857</v>
      </c>
      <c r="G1320" s="312" t="s">
        <v>887</v>
      </c>
      <c r="H1320" s="312">
        <v>1858</v>
      </c>
      <c r="I1320" s="312" t="s">
        <v>886</v>
      </c>
      <c r="J1320" s="312">
        <v>1924</v>
      </c>
      <c r="K1320" s="312" t="s">
        <v>888</v>
      </c>
    </row>
    <row r="1321" spans="1:11">
      <c r="A1321" s="312" t="s">
        <v>2902</v>
      </c>
      <c r="B1321" s="312" t="s">
        <v>2903</v>
      </c>
      <c r="C1321" s="312" t="s">
        <v>105</v>
      </c>
      <c r="D1321" s="312" t="s">
        <v>352</v>
      </c>
      <c r="E1321" s="312" t="s">
        <v>886</v>
      </c>
      <c r="F1321" s="312">
        <v>1857</v>
      </c>
      <c r="G1321" s="312" t="s">
        <v>887</v>
      </c>
      <c r="H1321" s="312">
        <v>1858</v>
      </c>
      <c r="I1321" s="312" t="s">
        <v>886</v>
      </c>
      <c r="J1321" s="312">
        <v>1924</v>
      </c>
      <c r="K1321" s="312" t="s">
        <v>888</v>
      </c>
    </row>
    <row r="1322" spans="1:11">
      <c r="A1322" s="312" t="s">
        <v>2904</v>
      </c>
      <c r="B1322" s="312" t="s">
        <v>2905</v>
      </c>
      <c r="C1322" s="312" t="s">
        <v>105</v>
      </c>
      <c r="D1322" s="312" t="s">
        <v>352</v>
      </c>
      <c r="E1322" s="312" t="s">
        <v>886</v>
      </c>
      <c r="F1322" s="312">
        <v>1857</v>
      </c>
      <c r="G1322" s="312" t="s">
        <v>887</v>
      </c>
      <c r="H1322" s="312">
        <v>1858</v>
      </c>
      <c r="I1322" s="312" t="s">
        <v>886</v>
      </c>
      <c r="J1322" s="312">
        <v>1924</v>
      </c>
      <c r="K1322" s="312" t="s">
        <v>888</v>
      </c>
    </row>
    <row r="1323" spans="1:11">
      <c r="A1323" s="312" t="s">
        <v>2906</v>
      </c>
      <c r="B1323" s="312" t="s">
        <v>2907</v>
      </c>
      <c r="C1323" s="312" t="s">
        <v>105</v>
      </c>
      <c r="D1323" s="312" t="s">
        <v>352</v>
      </c>
      <c r="E1323" s="312" t="s">
        <v>886</v>
      </c>
      <c r="F1323" s="312">
        <v>1857</v>
      </c>
      <c r="G1323" s="312" t="s">
        <v>887</v>
      </c>
      <c r="H1323" s="312">
        <v>1858</v>
      </c>
      <c r="I1323" s="312" t="s">
        <v>886</v>
      </c>
      <c r="J1323" s="312">
        <v>1924</v>
      </c>
      <c r="K1323" s="312" t="s">
        <v>888</v>
      </c>
    </row>
    <row r="1324" spans="1:11">
      <c r="A1324" s="312" t="s">
        <v>2908</v>
      </c>
      <c r="B1324" s="312" t="s">
        <v>2909</v>
      </c>
      <c r="C1324" s="312" t="s">
        <v>105</v>
      </c>
      <c r="D1324" s="312" t="s">
        <v>352</v>
      </c>
      <c r="E1324" s="312" t="s">
        <v>886</v>
      </c>
      <c r="F1324" s="312">
        <v>1857</v>
      </c>
      <c r="G1324" s="312" t="s">
        <v>887</v>
      </c>
      <c r="H1324" s="312">
        <v>1858</v>
      </c>
      <c r="I1324" s="312" t="s">
        <v>886</v>
      </c>
      <c r="J1324" s="312">
        <v>1924</v>
      </c>
      <c r="K1324" s="312" t="s">
        <v>888</v>
      </c>
    </row>
    <row r="1325" spans="1:11">
      <c r="A1325" s="312" t="s">
        <v>2910</v>
      </c>
      <c r="B1325" s="312" t="s">
        <v>2911</v>
      </c>
      <c r="C1325" s="312" t="s">
        <v>105</v>
      </c>
      <c r="D1325" s="312" t="s">
        <v>352</v>
      </c>
      <c r="E1325" s="312" t="s">
        <v>886</v>
      </c>
      <c r="F1325" s="312">
        <v>1857</v>
      </c>
      <c r="G1325" s="312" t="s">
        <v>887</v>
      </c>
      <c r="H1325" s="312">
        <v>1858</v>
      </c>
      <c r="I1325" s="312" t="s">
        <v>886</v>
      </c>
      <c r="J1325" s="312">
        <v>1924</v>
      </c>
      <c r="K1325" s="312" t="s">
        <v>888</v>
      </c>
    </row>
    <row r="1326" spans="1:11">
      <c r="A1326" s="312" t="s">
        <v>2912</v>
      </c>
      <c r="B1326" s="312" t="s">
        <v>2913</v>
      </c>
      <c r="C1326" s="312" t="s">
        <v>105</v>
      </c>
      <c r="D1326" s="312" t="s">
        <v>438</v>
      </c>
      <c r="E1326" s="312" t="s">
        <v>107</v>
      </c>
      <c r="F1326" s="312">
        <v>1825</v>
      </c>
      <c r="G1326" s="312" t="s">
        <v>108</v>
      </c>
      <c r="H1326" s="312">
        <v>1827</v>
      </c>
      <c r="I1326" s="312" t="s">
        <v>107</v>
      </c>
      <c r="J1326" s="312">
        <v>1913</v>
      </c>
      <c r="K1326" s="312" t="s">
        <v>109</v>
      </c>
    </row>
    <row r="1327" spans="1:11">
      <c r="A1327" s="312" t="s">
        <v>2914</v>
      </c>
      <c r="B1327" s="312" t="s">
        <v>2915</v>
      </c>
      <c r="C1327" s="312" t="s">
        <v>105</v>
      </c>
      <c r="D1327" s="312" t="s">
        <v>184</v>
      </c>
      <c r="E1327" s="312" t="s">
        <v>107</v>
      </c>
      <c r="F1327" s="312">
        <v>1825</v>
      </c>
      <c r="G1327" s="312" t="s">
        <v>108</v>
      </c>
      <c r="H1327" s="312">
        <v>1827</v>
      </c>
      <c r="I1327" s="312" t="s">
        <v>107</v>
      </c>
      <c r="J1327" s="312">
        <v>1913</v>
      </c>
      <c r="K1327" s="312" t="s">
        <v>109</v>
      </c>
    </row>
    <row r="1328" spans="1:11">
      <c r="A1328" s="312" t="s">
        <v>2916</v>
      </c>
      <c r="B1328" s="312" t="s">
        <v>2917</v>
      </c>
      <c r="C1328" s="312" t="s">
        <v>105</v>
      </c>
      <c r="D1328" s="312" t="s">
        <v>294</v>
      </c>
      <c r="E1328" s="312" t="s">
        <v>107</v>
      </c>
      <c r="F1328" s="312">
        <v>1825</v>
      </c>
      <c r="G1328" s="312" t="s">
        <v>108</v>
      </c>
      <c r="H1328" s="312">
        <v>1827</v>
      </c>
      <c r="I1328" s="312" t="s">
        <v>107</v>
      </c>
      <c r="J1328" s="312">
        <v>1913</v>
      </c>
      <c r="K1328" s="312" t="s">
        <v>109</v>
      </c>
    </row>
    <row r="1329" spans="1:11">
      <c r="A1329" s="312" t="s">
        <v>2918</v>
      </c>
      <c r="B1329" s="312" t="s">
        <v>2919</v>
      </c>
      <c r="C1329" s="312" t="s">
        <v>105</v>
      </c>
      <c r="D1329" s="312" t="s">
        <v>312</v>
      </c>
      <c r="E1329" s="312" t="s">
        <v>107</v>
      </c>
      <c r="F1329" s="312">
        <v>1825</v>
      </c>
      <c r="G1329" s="312" t="s">
        <v>108</v>
      </c>
      <c r="H1329" s="312">
        <v>1827</v>
      </c>
      <c r="I1329" s="312" t="s">
        <v>107</v>
      </c>
      <c r="J1329" s="312">
        <v>1913</v>
      </c>
      <c r="K1329" s="312" t="s">
        <v>109</v>
      </c>
    </row>
    <row r="1330" spans="1:11">
      <c r="A1330" s="312" t="s">
        <v>2920</v>
      </c>
      <c r="B1330" s="312" t="s">
        <v>2921</v>
      </c>
      <c r="C1330" s="312" t="s">
        <v>105</v>
      </c>
      <c r="D1330" s="312" t="s">
        <v>556</v>
      </c>
      <c r="E1330" s="312" t="s">
        <v>107</v>
      </c>
      <c r="F1330" s="312">
        <v>1825</v>
      </c>
      <c r="G1330" s="312" t="s">
        <v>108</v>
      </c>
      <c r="H1330" s="312">
        <v>1827</v>
      </c>
      <c r="I1330" s="312" t="s">
        <v>107</v>
      </c>
      <c r="J1330" s="312">
        <v>1913</v>
      </c>
      <c r="K1330" s="312" t="s">
        <v>109</v>
      </c>
    </row>
    <row r="1331" spans="1:11">
      <c r="A1331" s="312" t="s">
        <v>2922</v>
      </c>
      <c r="B1331" s="312" t="s">
        <v>2923</v>
      </c>
      <c r="C1331" s="312" t="s">
        <v>105</v>
      </c>
      <c r="D1331" s="312" t="s">
        <v>312</v>
      </c>
      <c r="E1331" s="312" t="s">
        <v>107</v>
      </c>
      <c r="F1331" s="312">
        <v>1825</v>
      </c>
      <c r="G1331" s="312" t="s">
        <v>108</v>
      </c>
      <c r="H1331" s="312">
        <v>1827</v>
      </c>
      <c r="I1331" s="312" t="s">
        <v>107</v>
      </c>
      <c r="J1331" s="312">
        <v>1913</v>
      </c>
      <c r="K1331" s="312" t="s">
        <v>109</v>
      </c>
    </row>
    <row r="1332" spans="1:11">
      <c r="A1332" s="312" t="s">
        <v>2924</v>
      </c>
      <c r="B1332" s="312" t="s">
        <v>2925</v>
      </c>
      <c r="C1332" s="312" t="s">
        <v>105</v>
      </c>
      <c r="D1332" s="312" t="s">
        <v>435</v>
      </c>
      <c r="E1332" s="312" t="s">
        <v>684</v>
      </c>
      <c r="F1332" s="312">
        <v>1750</v>
      </c>
      <c r="G1332" s="312" t="s">
        <v>685</v>
      </c>
      <c r="H1332" s="312">
        <v>1754</v>
      </c>
      <c r="I1332" s="312" t="s">
        <v>684</v>
      </c>
      <c r="J1332" s="312">
        <v>1920</v>
      </c>
      <c r="K1332" s="312" t="s">
        <v>686</v>
      </c>
    </row>
    <row r="1333" spans="1:11">
      <c r="A1333" s="312" t="s">
        <v>2926</v>
      </c>
      <c r="B1333" s="312" t="s">
        <v>2927</v>
      </c>
      <c r="C1333" s="312" t="s">
        <v>105</v>
      </c>
      <c r="D1333" s="312" t="s">
        <v>2928</v>
      </c>
      <c r="E1333" s="312" t="s">
        <v>107</v>
      </c>
      <c r="F1333" s="312">
        <v>1825</v>
      </c>
      <c r="G1333" s="312" t="s">
        <v>108</v>
      </c>
      <c r="H1333" s="312">
        <v>1827</v>
      </c>
      <c r="I1333" s="312" t="s">
        <v>107</v>
      </c>
      <c r="J1333" s="312">
        <v>1913</v>
      </c>
      <c r="K1333" s="312" t="s">
        <v>109</v>
      </c>
    </row>
    <row r="1334" spans="1:11">
      <c r="A1334" s="312" t="s">
        <v>2929</v>
      </c>
      <c r="B1334" s="312" t="s">
        <v>2930</v>
      </c>
      <c r="C1334" s="312" t="s">
        <v>105</v>
      </c>
      <c r="D1334" s="312" t="s">
        <v>573</v>
      </c>
      <c r="E1334" s="312" t="s">
        <v>107</v>
      </c>
      <c r="F1334" s="312">
        <v>1825</v>
      </c>
      <c r="G1334" s="312" t="s">
        <v>108</v>
      </c>
      <c r="H1334" s="312">
        <v>1827</v>
      </c>
      <c r="I1334" s="312" t="s">
        <v>107</v>
      </c>
      <c r="J1334" s="312">
        <v>1913</v>
      </c>
      <c r="K1334" s="312" t="s">
        <v>109</v>
      </c>
    </row>
    <row r="1335" spans="1:11">
      <c r="A1335" s="312" t="s">
        <v>2931</v>
      </c>
      <c r="B1335" s="312" t="s">
        <v>2932</v>
      </c>
      <c r="C1335" s="312" t="s">
        <v>105</v>
      </c>
      <c r="D1335" s="312" t="s">
        <v>587</v>
      </c>
      <c r="E1335" s="312" t="s">
        <v>107</v>
      </c>
      <c r="F1335" s="312">
        <v>1825</v>
      </c>
      <c r="G1335" s="312" t="s">
        <v>108</v>
      </c>
      <c r="H1335" s="312">
        <v>1827</v>
      </c>
      <c r="I1335" s="312" t="s">
        <v>107</v>
      </c>
      <c r="J1335" s="312">
        <v>1913</v>
      </c>
      <c r="K1335" s="312" t="s">
        <v>109</v>
      </c>
    </row>
    <row r="1336" spans="1:11">
      <c r="A1336" s="312" t="s">
        <v>2933</v>
      </c>
      <c r="B1336" s="312" t="s">
        <v>2934</v>
      </c>
      <c r="C1336" s="312" t="s">
        <v>105</v>
      </c>
      <c r="D1336" s="312" t="s">
        <v>517</v>
      </c>
      <c r="E1336" s="312" t="s">
        <v>107</v>
      </c>
      <c r="F1336" s="312">
        <v>1825</v>
      </c>
      <c r="G1336" s="312" t="s">
        <v>108</v>
      </c>
      <c r="H1336" s="312">
        <v>1827</v>
      </c>
      <c r="I1336" s="312" t="s">
        <v>107</v>
      </c>
      <c r="J1336" s="312">
        <v>1913</v>
      </c>
      <c r="K1336" s="312" t="s">
        <v>109</v>
      </c>
    </row>
    <row r="1337" spans="1:11">
      <c r="A1337" s="312" t="s">
        <v>2935</v>
      </c>
      <c r="B1337" s="312" t="s">
        <v>2936</v>
      </c>
      <c r="C1337" s="312" t="s">
        <v>105</v>
      </c>
      <c r="D1337" s="312" t="s">
        <v>1131</v>
      </c>
      <c r="E1337" s="312" t="s">
        <v>107</v>
      </c>
      <c r="F1337" s="312">
        <v>1825</v>
      </c>
      <c r="G1337" s="312" t="s">
        <v>108</v>
      </c>
      <c r="H1337" s="312">
        <v>1827</v>
      </c>
      <c r="I1337" s="312" t="s">
        <v>107</v>
      </c>
      <c r="J1337" s="312">
        <v>1913</v>
      </c>
      <c r="K1337" s="312" t="s">
        <v>109</v>
      </c>
    </row>
    <row r="1338" spans="1:11">
      <c r="A1338" s="312" t="s">
        <v>2937</v>
      </c>
      <c r="B1338" s="312" t="s">
        <v>2938</v>
      </c>
      <c r="C1338" s="312" t="s">
        <v>105</v>
      </c>
      <c r="D1338" s="312" t="s">
        <v>853</v>
      </c>
      <c r="E1338" s="312" t="s">
        <v>167</v>
      </c>
      <c r="F1338" s="312">
        <v>1705</v>
      </c>
      <c r="G1338" s="312" t="s">
        <v>168</v>
      </c>
      <c r="H1338" s="312">
        <v>1707</v>
      </c>
      <c r="I1338" s="312" t="s">
        <v>167</v>
      </c>
      <c r="J1338" s="312">
        <v>1899</v>
      </c>
      <c r="K1338" s="312" t="s">
        <v>169</v>
      </c>
    </row>
    <row r="1339" spans="1:11">
      <c r="A1339" s="312" t="s">
        <v>2939</v>
      </c>
      <c r="B1339" s="312" t="s">
        <v>2940</v>
      </c>
      <c r="C1339" s="312" t="s">
        <v>105</v>
      </c>
      <c r="D1339" s="312" t="s">
        <v>891</v>
      </c>
      <c r="E1339" s="312" t="s">
        <v>107</v>
      </c>
      <c r="F1339" s="312">
        <v>1825</v>
      </c>
      <c r="G1339" s="312" t="s">
        <v>108</v>
      </c>
      <c r="H1339" s="312">
        <v>1827</v>
      </c>
      <c r="I1339" s="312" t="s">
        <v>107</v>
      </c>
      <c r="J1339" s="312">
        <v>1913</v>
      </c>
      <c r="K1339" s="312" t="s">
        <v>109</v>
      </c>
    </row>
    <row r="1340" spans="1:11">
      <c r="A1340" s="312" t="s">
        <v>2941</v>
      </c>
      <c r="B1340" s="312" t="s">
        <v>2942</v>
      </c>
      <c r="C1340" s="312" t="s">
        <v>105</v>
      </c>
      <c r="D1340" s="312" t="s">
        <v>117</v>
      </c>
      <c r="E1340" s="312" t="s">
        <v>107</v>
      </c>
      <c r="F1340" s="312">
        <v>1825</v>
      </c>
      <c r="G1340" s="312" t="s">
        <v>108</v>
      </c>
      <c r="H1340" s="312">
        <v>1827</v>
      </c>
      <c r="I1340" s="312" t="s">
        <v>107</v>
      </c>
      <c r="J1340" s="312">
        <v>1913</v>
      </c>
      <c r="K1340" s="312" t="s">
        <v>109</v>
      </c>
    </row>
    <row r="1341" spans="1:11">
      <c r="A1341" s="312" t="s">
        <v>2943</v>
      </c>
      <c r="B1341" s="1" t="s">
        <v>2944</v>
      </c>
      <c r="C1341" s="312" t="s">
        <v>105</v>
      </c>
      <c r="D1341" s="312" t="s">
        <v>221</v>
      </c>
      <c r="E1341" s="312" t="s">
        <v>107</v>
      </c>
      <c r="F1341" s="312">
        <v>1825</v>
      </c>
      <c r="G1341" s="312" t="s">
        <v>108</v>
      </c>
      <c r="H1341" s="312">
        <v>1827</v>
      </c>
      <c r="I1341" s="312" t="s">
        <v>107</v>
      </c>
      <c r="J1341" s="312">
        <v>1913</v>
      </c>
      <c r="K1341" s="312" t="s">
        <v>109</v>
      </c>
    </row>
    <row r="1342" spans="1:11">
      <c r="A1342" s="312" t="s">
        <v>2945</v>
      </c>
      <c r="B1342" s="312" t="s">
        <v>2946</v>
      </c>
      <c r="C1342" s="312" t="s">
        <v>105</v>
      </c>
      <c r="D1342" s="312" t="s">
        <v>711</v>
      </c>
      <c r="E1342" s="312" t="s">
        <v>107</v>
      </c>
      <c r="F1342" s="312">
        <v>1825</v>
      </c>
      <c r="G1342" s="312" t="s">
        <v>108</v>
      </c>
      <c r="H1342" s="312">
        <v>1827</v>
      </c>
      <c r="I1342" s="312" t="s">
        <v>107</v>
      </c>
      <c r="J1342" s="312">
        <v>1913</v>
      </c>
      <c r="K1342" s="312" t="s">
        <v>109</v>
      </c>
    </row>
    <row r="1343" spans="1:11">
      <c r="A1343" s="312" t="s">
        <v>2947</v>
      </c>
      <c r="B1343" s="312" t="s">
        <v>2948</v>
      </c>
      <c r="C1343" s="312" t="s">
        <v>105</v>
      </c>
      <c r="D1343" s="312" t="s">
        <v>711</v>
      </c>
      <c r="E1343" s="312" t="s">
        <v>107</v>
      </c>
      <c r="F1343" s="312">
        <v>1825</v>
      </c>
      <c r="G1343" s="312" t="s">
        <v>108</v>
      </c>
      <c r="H1343" s="312">
        <v>1827</v>
      </c>
      <c r="I1343" s="312" t="s">
        <v>107</v>
      </c>
      <c r="J1343" s="312">
        <v>1913</v>
      </c>
      <c r="K1343" s="312" t="s">
        <v>109</v>
      </c>
    </row>
    <row r="1344" spans="1:11">
      <c r="A1344" s="312" t="s">
        <v>2949</v>
      </c>
      <c r="B1344" s="312" t="s">
        <v>2950</v>
      </c>
      <c r="C1344" s="312" t="s">
        <v>105</v>
      </c>
      <c r="D1344" s="312" t="s">
        <v>711</v>
      </c>
      <c r="E1344" s="312" t="s">
        <v>107</v>
      </c>
      <c r="F1344" s="312">
        <v>1825</v>
      </c>
      <c r="G1344" s="312" t="s">
        <v>108</v>
      </c>
      <c r="H1344" s="312">
        <v>1827</v>
      </c>
      <c r="I1344" s="312" t="s">
        <v>107</v>
      </c>
      <c r="J1344" s="312">
        <v>1913</v>
      </c>
      <c r="K1344" s="312" t="s">
        <v>109</v>
      </c>
    </row>
    <row r="1345" spans="1:11">
      <c r="A1345" s="312" t="s">
        <v>2951</v>
      </c>
      <c r="B1345" s="312" t="s">
        <v>2952</v>
      </c>
      <c r="C1345" s="312" t="s">
        <v>105</v>
      </c>
      <c r="D1345" s="312" t="s">
        <v>711</v>
      </c>
      <c r="E1345" s="312" t="s">
        <v>107</v>
      </c>
      <c r="F1345" s="312">
        <v>1825</v>
      </c>
      <c r="G1345" s="312" t="s">
        <v>108</v>
      </c>
      <c r="H1345" s="312">
        <v>1827</v>
      </c>
      <c r="I1345" s="312" t="s">
        <v>107</v>
      </c>
      <c r="J1345" s="312">
        <v>1913</v>
      </c>
      <c r="K1345" s="312" t="s">
        <v>109</v>
      </c>
    </row>
    <row r="1346" spans="1:11">
      <c r="A1346" s="312" t="s">
        <v>2953</v>
      </c>
      <c r="B1346" s="312" t="s">
        <v>2954</v>
      </c>
      <c r="C1346" s="312" t="s">
        <v>105</v>
      </c>
      <c r="D1346" s="312" t="s">
        <v>711</v>
      </c>
      <c r="E1346" s="312" t="s">
        <v>107</v>
      </c>
      <c r="F1346" s="312">
        <v>1825</v>
      </c>
      <c r="G1346" s="312" t="s">
        <v>108</v>
      </c>
      <c r="H1346" s="312">
        <v>1827</v>
      </c>
      <c r="I1346" s="312" t="s">
        <v>107</v>
      </c>
      <c r="J1346" s="312">
        <v>1913</v>
      </c>
      <c r="K1346" s="312" t="s">
        <v>109</v>
      </c>
    </row>
    <row r="1347" spans="1:11">
      <c r="A1347" s="312" t="s">
        <v>2955</v>
      </c>
      <c r="B1347" s="312" t="s">
        <v>2956</v>
      </c>
      <c r="C1347" s="312" t="s">
        <v>105</v>
      </c>
      <c r="D1347" s="312" t="s">
        <v>2957</v>
      </c>
      <c r="E1347" s="312" t="s">
        <v>107</v>
      </c>
      <c r="F1347" s="312">
        <v>1825</v>
      </c>
      <c r="G1347" s="312" t="s">
        <v>108</v>
      </c>
      <c r="H1347" s="312">
        <v>1827</v>
      </c>
      <c r="I1347" s="312" t="s">
        <v>107</v>
      </c>
      <c r="J1347" s="312">
        <v>1913</v>
      </c>
      <c r="K1347" s="312" t="s">
        <v>109</v>
      </c>
    </row>
    <row r="1348" spans="1:11">
      <c r="A1348" s="312" t="s">
        <v>2958</v>
      </c>
      <c r="B1348" s="312" t="s">
        <v>2959</v>
      </c>
      <c r="C1348" s="312" t="s">
        <v>105</v>
      </c>
      <c r="D1348" s="312" t="s">
        <v>117</v>
      </c>
      <c r="E1348" s="312" t="s">
        <v>696</v>
      </c>
      <c r="F1348" s="312">
        <v>1736</v>
      </c>
      <c r="G1348" s="312" t="s">
        <v>697</v>
      </c>
      <c r="H1348" s="312">
        <v>1741</v>
      </c>
      <c r="I1348" s="312" t="s">
        <v>696</v>
      </c>
      <c r="J1348" s="312">
        <v>1929</v>
      </c>
      <c r="K1348" s="312" t="s">
        <v>698</v>
      </c>
    </row>
    <row r="1349" spans="1:11">
      <c r="A1349" s="312" t="s">
        <v>2960</v>
      </c>
      <c r="B1349" s="312" t="s">
        <v>2961</v>
      </c>
      <c r="C1349" s="312" t="s">
        <v>105</v>
      </c>
      <c r="D1349" s="312" t="s">
        <v>252</v>
      </c>
      <c r="E1349" s="312" t="s">
        <v>167</v>
      </c>
      <c r="F1349" s="312">
        <v>1705</v>
      </c>
      <c r="G1349" s="312" t="s">
        <v>168</v>
      </c>
      <c r="H1349" s="312">
        <v>1707</v>
      </c>
      <c r="I1349" s="312" t="s">
        <v>167</v>
      </c>
      <c r="J1349" s="312">
        <v>1899</v>
      </c>
      <c r="K1349" s="312" t="s">
        <v>169</v>
      </c>
    </row>
    <row r="1350" spans="1:11">
      <c r="A1350" s="312" t="s">
        <v>2962</v>
      </c>
      <c r="B1350" s="312" t="s">
        <v>2963</v>
      </c>
      <c r="C1350" s="312" t="s">
        <v>105</v>
      </c>
      <c r="D1350" s="312" t="s">
        <v>252</v>
      </c>
      <c r="E1350" s="312" t="s">
        <v>167</v>
      </c>
      <c r="F1350" s="312">
        <v>1705</v>
      </c>
      <c r="G1350" s="312" t="s">
        <v>168</v>
      </c>
      <c r="H1350" s="312">
        <v>1707</v>
      </c>
      <c r="I1350" s="312" t="s">
        <v>167</v>
      </c>
      <c r="J1350" s="312">
        <v>1899</v>
      </c>
      <c r="K1350" s="312" t="s">
        <v>169</v>
      </c>
    </row>
    <row r="1351" spans="1:11">
      <c r="A1351" s="312" t="s">
        <v>2964</v>
      </c>
      <c r="B1351" s="312" t="s">
        <v>2965</v>
      </c>
      <c r="C1351" s="312" t="s">
        <v>105</v>
      </c>
      <c r="D1351" s="312" t="s">
        <v>1307</v>
      </c>
      <c r="E1351" s="312" t="s">
        <v>167</v>
      </c>
      <c r="F1351" s="312">
        <v>1705</v>
      </c>
      <c r="G1351" s="312" t="s">
        <v>168</v>
      </c>
      <c r="H1351" s="312">
        <v>1707</v>
      </c>
      <c r="I1351" s="312" t="s">
        <v>167</v>
      </c>
      <c r="J1351" s="312">
        <v>1899</v>
      </c>
      <c r="K1351" s="312" t="s">
        <v>169</v>
      </c>
    </row>
    <row r="1352" spans="1:11">
      <c r="A1352" s="312" t="s">
        <v>2966</v>
      </c>
      <c r="B1352" s="312" t="s">
        <v>2967</v>
      </c>
      <c r="C1352" s="312" t="s">
        <v>105</v>
      </c>
      <c r="D1352" s="312" t="s">
        <v>438</v>
      </c>
      <c r="E1352" s="312" t="s">
        <v>107</v>
      </c>
      <c r="F1352" s="312">
        <v>1825</v>
      </c>
      <c r="G1352" s="312" t="s">
        <v>108</v>
      </c>
      <c r="H1352" s="312">
        <v>1827</v>
      </c>
      <c r="I1352" s="312" t="s">
        <v>107</v>
      </c>
      <c r="J1352" s="312">
        <v>1913</v>
      </c>
      <c r="K1352" s="312" t="s">
        <v>109</v>
      </c>
    </row>
    <row r="1353" spans="1:11">
      <c r="A1353" s="312" t="s">
        <v>2968</v>
      </c>
      <c r="B1353" s="312" t="s">
        <v>2969</v>
      </c>
      <c r="C1353" s="312" t="s">
        <v>105</v>
      </c>
      <c r="D1353" s="312" t="s">
        <v>221</v>
      </c>
      <c r="E1353" s="312" t="s">
        <v>107</v>
      </c>
      <c r="F1353" s="312">
        <v>1825</v>
      </c>
      <c r="G1353" s="312" t="s">
        <v>108</v>
      </c>
      <c r="H1353" s="312">
        <v>1827</v>
      </c>
      <c r="I1353" s="312" t="s">
        <v>107</v>
      </c>
      <c r="J1353" s="312">
        <v>1913</v>
      </c>
      <c r="K1353" s="312" t="s">
        <v>109</v>
      </c>
    </row>
    <row r="1354" spans="1:11">
      <c r="A1354" s="312" t="s">
        <v>2970</v>
      </c>
      <c r="B1354" s="312" t="s">
        <v>2971</v>
      </c>
      <c r="C1354" s="312" t="s">
        <v>105</v>
      </c>
      <c r="D1354" s="312" t="s">
        <v>221</v>
      </c>
      <c r="E1354" s="312" t="s">
        <v>107</v>
      </c>
      <c r="F1354" s="312">
        <v>1825</v>
      </c>
      <c r="G1354" s="312" t="s">
        <v>108</v>
      </c>
      <c r="H1354" s="312">
        <v>1827</v>
      </c>
      <c r="I1354" s="312" t="s">
        <v>107</v>
      </c>
      <c r="J1354" s="312">
        <v>1913</v>
      </c>
      <c r="K1354" s="312" t="s">
        <v>109</v>
      </c>
    </row>
    <row r="1355" spans="1:11">
      <c r="A1355" s="312" t="s">
        <v>2972</v>
      </c>
      <c r="B1355" s="312" t="s">
        <v>2973</v>
      </c>
      <c r="C1355" s="312" t="s">
        <v>105</v>
      </c>
      <c r="D1355" s="312" t="s">
        <v>221</v>
      </c>
      <c r="E1355" s="312" t="s">
        <v>107</v>
      </c>
      <c r="F1355" s="312">
        <v>1825</v>
      </c>
      <c r="G1355" s="312" t="s">
        <v>108</v>
      </c>
      <c r="H1355" s="312">
        <v>1827</v>
      </c>
      <c r="I1355" s="312" t="s">
        <v>107</v>
      </c>
      <c r="J1355" s="312">
        <v>1913</v>
      </c>
      <c r="K1355" s="312" t="s">
        <v>109</v>
      </c>
    </row>
    <row r="1356" spans="1:11">
      <c r="A1356" s="312" t="s">
        <v>2974</v>
      </c>
      <c r="B1356" s="312" t="s">
        <v>2975</v>
      </c>
      <c r="C1356" s="312" t="s">
        <v>105</v>
      </c>
      <c r="D1356" s="312" t="s">
        <v>221</v>
      </c>
      <c r="E1356" s="312" t="s">
        <v>107</v>
      </c>
      <c r="F1356" s="312">
        <v>1825</v>
      </c>
      <c r="G1356" s="312" t="s">
        <v>108</v>
      </c>
      <c r="H1356" s="312">
        <v>1827</v>
      </c>
      <c r="I1356" s="312" t="s">
        <v>107</v>
      </c>
      <c r="J1356" s="312">
        <v>1913</v>
      </c>
      <c r="K1356" s="312" t="s">
        <v>109</v>
      </c>
    </row>
    <row r="1357" spans="1:11">
      <c r="A1357" s="312" t="s">
        <v>2976</v>
      </c>
      <c r="B1357" s="312" t="s">
        <v>2977</v>
      </c>
      <c r="C1357" s="312" t="s">
        <v>105</v>
      </c>
      <c r="D1357" s="312" t="s">
        <v>438</v>
      </c>
      <c r="E1357" s="312" t="s">
        <v>107</v>
      </c>
      <c r="F1357" s="312">
        <v>1825</v>
      </c>
      <c r="G1357" s="312" t="s">
        <v>108</v>
      </c>
      <c r="H1357" s="312">
        <v>1827</v>
      </c>
      <c r="I1357" s="312" t="s">
        <v>107</v>
      </c>
      <c r="J1357" s="312">
        <v>1913</v>
      </c>
      <c r="K1357" s="312" t="s">
        <v>109</v>
      </c>
    </row>
    <row r="1358" spans="1:11">
      <c r="A1358" s="312" t="s">
        <v>2978</v>
      </c>
      <c r="B1358" s="312" t="s">
        <v>2979</v>
      </c>
      <c r="C1358" s="312" t="s">
        <v>105</v>
      </c>
      <c r="D1358" s="312" t="s">
        <v>483</v>
      </c>
      <c r="E1358" s="312" t="s">
        <v>466</v>
      </c>
      <c r="F1358" s="312">
        <v>1796</v>
      </c>
      <c r="G1358" s="312" t="s">
        <v>467</v>
      </c>
      <c r="H1358" s="312">
        <v>1799</v>
      </c>
      <c r="I1358" s="312" t="s">
        <v>466</v>
      </c>
      <c r="J1358" s="312">
        <v>1918</v>
      </c>
      <c r="K1358" s="312" t="s">
        <v>468</v>
      </c>
    </row>
    <row r="1359" spans="1:11">
      <c r="A1359" s="312" t="s">
        <v>2980</v>
      </c>
      <c r="B1359" s="1" t="s">
        <v>2981</v>
      </c>
      <c r="C1359" s="312" t="s">
        <v>105</v>
      </c>
      <c r="D1359" s="312" t="s">
        <v>252</v>
      </c>
      <c r="E1359" s="312" t="s">
        <v>167</v>
      </c>
      <c r="F1359" s="312">
        <v>1705</v>
      </c>
      <c r="G1359" s="312" t="s">
        <v>168</v>
      </c>
      <c r="H1359" s="312">
        <v>1707</v>
      </c>
      <c r="I1359" s="312" t="s">
        <v>167</v>
      </c>
      <c r="J1359" s="312">
        <v>1899</v>
      </c>
      <c r="K1359" s="312" t="s">
        <v>169</v>
      </c>
    </row>
    <row r="1360" spans="1:11">
      <c r="A1360" s="312" t="s">
        <v>2982</v>
      </c>
      <c r="B1360" s="312" t="s">
        <v>2983</v>
      </c>
      <c r="C1360" s="312" t="s">
        <v>105</v>
      </c>
      <c r="D1360" s="312" t="s">
        <v>438</v>
      </c>
      <c r="E1360" s="312" t="s">
        <v>107</v>
      </c>
      <c r="F1360" s="312">
        <v>1825</v>
      </c>
      <c r="G1360" s="312" t="s">
        <v>108</v>
      </c>
      <c r="H1360" s="312">
        <v>1827</v>
      </c>
      <c r="I1360" s="312" t="s">
        <v>107</v>
      </c>
      <c r="J1360" s="312">
        <v>1913</v>
      </c>
      <c r="K1360" s="312" t="s">
        <v>109</v>
      </c>
    </row>
    <row r="1361" spans="1:11">
      <c r="A1361" s="312" t="s">
        <v>2984</v>
      </c>
      <c r="B1361" s="312" t="s">
        <v>2985</v>
      </c>
      <c r="C1361" s="312" t="s">
        <v>105</v>
      </c>
      <c r="D1361" s="312" t="s">
        <v>438</v>
      </c>
      <c r="E1361" s="312" t="s">
        <v>107</v>
      </c>
      <c r="F1361" s="312">
        <v>1825</v>
      </c>
      <c r="G1361" s="312" t="s">
        <v>108</v>
      </c>
      <c r="H1361" s="312">
        <v>1827</v>
      </c>
      <c r="I1361" s="312" t="s">
        <v>107</v>
      </c>
      <c r="J1361" s="312">
        <v>1913</v>
      </c>
      <c r="K1361" s="312" t="s">
        <v>109</v>
      </c>
    </row>
    <row r="1362" spans="1:11">
      <c r="A1362" s="312" t="s">
        <v>2986</v>
      </c>
      <c r="B1362" s="312" t="s">
        <v>2987</v>
      </c>
      <c r="C1362" s="312" t="s">
        <v>105</v>
      </c>
      <c r="D1362" s="312" t="s">
        <v>438</v>
      </c>
      <c r="E1362" s="312" t="s">
        <v>107</v>
      </c>
      <c r="F1362" s="312">
        <v>1825</v>
      </c>
      <c r="G1362" s="312" t="s">
        <v>108</v>
      </c>
      <c r="H1362" s="312">
        <v>1827</v>
      </c>
      <c r="I1362" s="312" t="s">
        <v>107</v>
      </c>
      <c r="J1362" s="312">
        <v>1913</v>
      </c>
      <c r="K1362" s="312" t="s">
        <v>109</v>
      </c>
    </row>
    <row r="1363" spans="1:11">
      <c r="A1363" s="312" t="s">
        <v>2988</v>
      </c>
      <c r="B1363" s="312" t="s">
        <v>2989</v>
      </c>
      <c r="C1363" s="312" t="s">
        <v>105</v>
      </c>
      <c r="D1363" s="312" t="s">
        <v>573</v>
      </c>
      <c r="E1363" s="312" t="s">
        <v>107</v>
      </c>
      <c r="F1363" s="312">
        <v>1825</v>
      </c>
      <c r="G1363" s="312" t="s">
        <v>108</v>
      </c>
      <c r="H1363" s="312">
        <v>1827</v>
      </c>
      <c r="I1363" s="312" t="s">
        <v>107</v>
      </c>
      <c r="J1363" s="312">
        <v>1913</v>
      </c>
      <c r="K1363" s="312" t="s">
        <v>109</v>
      </c>
    </row>
    <row r="1364" spans="1:11">
      <c r="A1364" s="312" t="s">
        <v>2990</v>
      </c>
      <c r="B1364" s="312" t="s">
        <v>2991</v>
      </c>
      <c r="C1364" s="312" t="s">
        <v>105</v>
      </c>
      <c r="D1364" s="312" t="s">
        <v>573</v>
      </c>
      <c r="E1364" s="312" t="s">
        <v>107</v>
      </c>
      <c r="F1364" s="312">
        <v>1825</v>
      </c>
      <c r="G1364" s="312" t="s">
        <v>108</v>
      </c>
      <c r="H1364" s="312">
        <v>1827</v>
      </c>
      <c r="I1364" s="312" t="s">
        <v>107</v>
      </c>
      <c r="J1364" s="312">
        <v>1913</v>
      </c>
      <c r="K1364" s="312" t="s">
        <v>109</v>
      </c>
    </row>
    <row r="1365" spans="1:11">
      <c r="A1365" s="312" t="s">
        <v>2992</v>
      </c>
      <c r="B1365" s="312" t="s">
        <v>2993</v>
      </c>
      <c r="C1365" s="312" t="s">
        <v>105</v>
      </c>
      <c r="D1365" s="312" t="s">
        <v>587</v>
      </c>
      <c r="E1365" s="312" t="s">
        <v>107</v>
      </c>
      <c r="F1365" s="312">
        <v>1825</v>
      </c>
      <c r="G1365" s="312" t="s">
        <v>108</v>
      </c>
      <c r="H1365" s="312">
        <v>1827</v>
      </c>
      <c r="I1365" s="312" t="s">
        <v>107</v>
      </c>
      <c r="J1365" s="312">
        <v>1913</v>
      </c>
      <c r="K1365" s="312" t="s">
        <v>109</v>
      </c>
    </row>
    <row r="1366" spans="1:11">
      <c r="A1366" s="312" t="s">
        <v>2994</v>
      </c>
      <c r="B1366" s="312" t="s">
        <v>2995</v>
      </c>
      <c r="C1366" s="312" t="s">
        <v>105</v>
      </c>
      <c r="D1366" s="312" t="s">
        <v>117</v>
      </c>
      <c r="E1366" s="312" t="s">
        <v>107</v>
      </c>
      <c r="F1366" s="312">
        <v>1825</v>
      </c>
      <c r="G1366" s="312" t="s">
        <v>108</v>
      </c>
      <c r="H1366" s="312">
        <v>1827</v>
      </c>
      <c r="I1366" s="312" t="s">
        <v>107</v>
      </c>
      <c r="J1366" s="312">
        <v>1913</v>
      </c>
      <c r="K1366" s="312" t="s">
        <v>109</v>
      </c>
    </row>
    <row r="1367" spans="1:11">
      <c r="A1367" s="312" t="s">
        <v>2996</v>
      </c>
      <c r="B1367" s="312" t="s">
        <v>2997</v>
      </c>
      <c r="C1367" s="312" t="s">
        <v>105</v>
      </c>
      <c r="D1367" s="312" t="s">
        <v>512</v>
      </c>
      <c r="E1367" s="312" t="s">
        <v>107</v>
      </c>
      <c r="F1367" s="312">
        <v>1825</v>
      </c>
      <c r="G1367" s="312" t="s">
        <v>108</v>
      </c>
      <c r="H1367" s="312">
        <v>1827</v>
      </c>
      <c r="I1367" s="312" t="s">
        <v>107</v>
      </c>
      <c r="J1367" s="312">
        <v>1913</v>
      </c>
      <c r="K1367" s="312" t="s">
        <v>109</v>
      </c>
    </row>
    <row r="1368" spans="1:11">
      <c r="A1368" s="312" t="s">
        <v>2998</v>
      </c>
      <c r="B1368" s="312" t="s">
        <v>2999</v>
      </c>
      <c r="C1368" s="312" t="s">
        <v>105</v>
      </c>
      <c r="D1368" s="312" t="s">
        <v>891</v>
      </c>
      <c r="E1368" s="312" t="s">
        <v>107</v>
      </c>
      <c r="F1368" s="312">
        <v>1825</v>
      </c>
      <c r="G1368" s="312" t="s">
        <v>108</v>
      </c>
      <c r="H1368" s="312">
        <v>1827</v>
      </c>
      <c r="I1368" s="312" t="s">
        <v>107</v>
      </c>
      <c r="J1368" s="312">
        <v>1913</v>
      </c>
      <c r="K1368" s="312" t="s">
        <v>109</v>
      </c>
    </row>
    <row r="1369" spans="1:11">
      <c r="A1369" s="312" t="s">
        <v>3000</v>
      </c>
      <c r="B1369" s="312" t="s">
        <v>3001</v>
      </c>
      <c r="C1369" s="312" t="s">
        <v>105</v>
      </c>
      <c r="D1369" s="312" t="s">
        <v>891</v>
      </c>
      <c r="E1369" s="312" t="s">
        <v>107</v>
      </c>
      <c r="F1369" s="312">
        <v>1825</v>
      </c>
      <c r="G1369" s="312" t="s">
        <v>108</v>
      </c>
      <c r="H1369" s="312">
        <v>1827</v>
      </c>
      <c r="I1369" s="312" t="s">
        <v>107</v>
      </c>
      <c r="J1369" s="312">
        <v>1913</v>
      </c>
      <c r="K1369" s="312" t="s">
        <v>109</v>
      </c>
    </row>
    <row r="1370" spans="1:11">
      <c r="A1370" s="312" t="s">
        <v>3002</v>
      </c>
      <c r="B1370" s="312" t="s">
        <v>3003</v>
      </c>
      <c r="C1370" s="312" t="s">
        <v>105</v>
      </c>
      <c r="D1370" s="312" t="s">
        <v>483</v>
      </c>
      <c r="E1370" s="312" t="s">
        <v>684</v>
      </c>
      <c r="F1370" s="312">
        <v>1750</v>
      </c>
      <c r="G1370" s="312" t="s">
        <v>685</v>
      </c>
      <c r="H1370" s="312">
        <v>1754</v>
      </c>
      <c r="I1370" s="312" t="s">
        <v>684</v>
      </c>
      <c r="J1370" s="312">
        <v>1920</v>
      </c>
      <c r="K1370" s="312" t="s">
        <v>686</v>
      </c>
    </row>
    <row r="1371" spans="1:11">
      <c r="A1371" s="312" t="s">
        <v>3004</v>
      </c>
      <c r="B1371" s="312" t="s">
        <v>3005</v>
      </c>
      <c r="C1371" s="312" t="s">
        <v>105</v>
      </c>
      <c r="D1371" s="312" t="s">
        <v>252</v>
      </c>
      <c r="E1371" s="312" t="s">
        <v>684</v>
      </c>
      <c r="F1371" s="312">
        <v>1750</v>
      </c>
      <c r="G1371" s="312" t="s">
        <v>685</v>
      </c>
      <c r="H1371" s="312">
        <v>1754</v>
      </c>
      <c r="I1371" s="312" t="s">
        <v>684</v>
      </c>
      <c r="J1371" s="312">
        <v>1920</v>
      </c>
      <c r="K1371" s="312" t="s">
        <v>686</v>
      </c>
    </row>
    <row r="1372" spans="1:11">
      <c r="A1372" s="312" t="s">
        <v>3006</v>
      </c>
      <c r="B1372" s="312" t="s">
        <v>3007</v>
      </c>
      <c r="C1372" s="312" t="s">
        <v>105</v>
      </c>
      <c r="D1372" s="312" t="s">
        <v>228</v>
      </c>
      <c r="E1372" s="312" t="s">
        <v>107</v>
      </c>
      <c r="F1372" s="312">
        <v>1825</v>
      </c>
      <c r="G1372" s="312" t="s">
        <v>108</v>
      </c>
      <c r="H1372" s="312">
        <v>1827</v>
      </c>
      <c r="I1372" s="312" t="s">
        <v>107</v>
      </c>
      <c r="J1372" s="312">
        <v>1913</v>
      </c>
      <c r="K1372" s="312" t="s">
        <v>109</v>
      </c>
    </row>
    <row r="1373" spans="1:11">
      <c r="A1373" s="312" t="s">
        <v>3008</v>
      </c>
      <c r="B1373" s="312" t="s">
        <v>3009</v>
      </c>
      <c r="C1373" s="312" t="s">
        <v>105</v>
      </c>
      <c r="D1373" s="312" t="s">
        <v>678</v>
      </c>
      <c r="E1373" s="312" t="s">
        <v>107</v>
      </c>
      <c r="F1373" s="312">
        <v>1825</v>
      </c>
      <c r="G1373" s="312" t="s">
        <v>108</v>
      </c>
      <c r="H1373" s="312">
        <v>1827</v>
      </c>
      <c r="I1373" s="312" t="s">
        <v>107</v>
      </c>
      <c r="J1373" s="312">
        <v>1913</v>
      </c>
      <c r="K1373" s="312" t="s">
        <v>109</v>
      </c>
    </row>
    <row r="1374" spans="1:11">
      <c r="A1374" s="312" t="s">
        <v>3010</v>
      </c>
      <c r="B1374" s="312" t="s">
        <v>3011</v>
      </c>
      <c r="C1374" s="312" t="s">
        <v>105</v>
      </c>
      <c r="D1374" s="312" t="s">
        <v>678</v>
      </c>
      <c r="E1374" s="312" t="s">
        <v>107</v>
      </c>
      <c r="F1374" s="312">
        <v>1825</v>
      </c>
      <c r="G1374" s="312" t="s">
        <v>108</v>
      </c>
      <c r="H1374" s="312">
        <v>1827</v>
      </c>
      <c r="I1374" s="312" t="s">
        <v>107</v>
      </c>
      <c r="J1374" s="312">
        <v>1913</v>
      </c>
      <c r="K1374" s="312" t="s">
        <v>109</v>
      </c>
    </row>
    <row r="1375" spans="1:11">
      <c r="A1375" s="312" t="s">
        <v>3012</v>
      </c>
      <c r="B1375" s="312" t="s">
        <v>3013</v>
      </c>
      <c r="C1375" s="312" t="s">
        <v>105</v>
      </c>
      <c r="D1375" s="312" t="s">
        <v>1910</v>
      </c>
      <c r="E1375" s="312" t="s">
        <v>167</v>
      </c>
      <c r="F1375" s="312">
        <v>1705</v>
      </c>
      <c r="G1375" s="312" t="s">
        <v>168</v>
      </c>
      <c r="H1375" s="312">
        <v>1707</v>
      </c>
      <c r="I1375" s="312" t="s">
        <v>167</v>
      </c>
      <c r="J1375" s="312">
        <v>1899</v>
      </c>
      <c r="K1375" s="312" t="s">
        <v>169</v>
      </c>
    </row>
    <row r="1376" spans="1:11">
      <c r="A1376" s="312" t="s">
        <v>3014</v>
      </c>
      <c r="B1376" s="312" t="s">
        <v>3015</v>
      </c>
      <c r="C1376" s="312" t="s">
        <v>105</v>
      </c>
      <c r="D1376" s="312" t="s">
        <v>114</v>
      </c>
      <c r="E1376" s="312" t="s">
        <v>107</v>
      </c>
      <c r="F1376" s="312">
        <v>1825</v>
      </c>
      <c r="G1376" s="312" t="s">
        <v>108</v>
      </c>
      <c r="H1376" s="312">
        <v>1827</v>
      </c>
      <c r="I1376" s="312" t="s">
        <v>107</v>
      </c>
      <c r="J1376" s="312">
        <v>1913</v>
      </c>
      <c r="K1376" s="312" t="s">
        <v>109</v>
      </c>
    </row>
    <row r="1377" spans="1:11">
      <c r="A1377" s="312" t="s">
        <v>3016</v>
      </c>
      <c r="B1377" s="312" t="s">
        <v>3017</v>
      </c>
      <c r="C1377" s="312" t="s">
        <v>105</v>
      </c>
      <c r="D1377" s="312" t="s">
        <v>114</v>
      </c>
      <c r="E1377" s="312" t="s">
        <v>107</v>
      </c>
      <c r="F1377" s="312">
        <v>1825</v>
      </c>
      <c r="G1377" s="312" t="s">
        <v>108</v>
      </c>
      <c r="H1377" s="312">
        <v>1827</v>
      </c>
      <c r="I1377" s="312" t="s">
        <v>107</v>
      </c>
      <c r="J1377" s="312">
        <v>1913</v>
      </c>
      <c r="K1377" s="312" t="s">
        <v>109</v>
      </c>
    </row>
    <row r="1378" spans="1:11">
      <c r="A1378" s="312" t="s">
        <v>3018</v>
      </c>
      <c r="B1378" s="312" t="s">
        <v>3019</v>
      </c>
      <c r="C1378" s="312" t="s">
        <v>105</v>
      </c>
      <c r="D1378" s="312" t="s">
        <v>114</v>
      </c>
      <c r="E1378" s="312" t="s">
        <v>107</v>
      </c>
      <c r="F1378" s="312">
        <v>1825</v>
      </c>
      <c r="G1378" s="312" t="s">
        <v>108</v>
      </c>
      <c r="H1378" s="312">
        <v>1827</v>
      </c>
      <c r="I1378" s="312" t="s">
        <v>107</v>
      </c>
      <c r="J1378" s="312">
        <v>1913</v>
      </c>
      <c r="K1378" s="312" t="s">
        <v>109</v>
      </c>
    </row>
    <row r="1379" spans="1:11">
      <c r="A1379" s="312" t="s">
        <v>3020</v>
      </c>
      <c r="B1379" s="312" t="s">
        <v>3021</v>
      </c>
      <c r="C1379" s="312" t="s">
        <v>105</v>
      </c>
      <c r="D1379" s="312" t="s">
        <v>114</v>
      </c>
      <c r="E1379" s="312" t="s">
        <v>107</v>
      </c>
      <c r="F1379" s="312">
        <v>1825</v>
      </c>
      <c r="G1379" s="312" t="s">
        <v>108</v>
      </c>
      <c r="H1379" s="312">
        <v>1827</v>
      </c>
      <c r="I1379" s="312" t="s">
        <v>107</v>
      </c>
      <c r="J1379" s="312">
        <v>1913</v>
      </c>
      <c r="K1379" s="312" t="s">
        <v>109</v>
      </c>
    </row>
    <row r="1380" spans="1:11">
      <c r="A1380" s="312" t="s">
        <v>3022</v>
      </c>
      <c r="B1380" s="312" t="s">
        <v>3023</v>
      </c>
      <c r="C1380" s="312" t="s">
        <v>105</v>
      </c>
      <c r="D1380" s="312" t="s">
        <v>114</v>
      </c>
      <c r="E1380" s="312" t="s">
        <v>107</v>
      </c>
      <c r="F1380" s="312">
        <v>1825</v>
      </c>
      <c r="G1380" s="312" t="s">
        <v>108</v>
      </c>
      <c r="H1380" s="312">
        <v>1827</v>
      </c>
      <c r="I1380" s="312" t="s">
        <v>107</v>
      </c>
      <c r="J1380" s="312">
        <v>1913</v>
      </c>
      <c r="K1380" s="312" t="s">
        <v>109</v>
      </c>
    </row>
    <row r="1381" spans="1:11">
      <c r="A1381" s="312" t="s">
        <v>3024</v>
      </c>
      <c r="B1381" s="312" t="s">
        <v>3025</v>
      </c>
      <c r="C1381" s="312" t="s">
        <v>105</v>
      </c>
      <c r="D1381" s="312" t="s">
        <v>114</v>
      </c>
      <c r="E1381" s="312" t="s">
        <v>107</v>
      </c>
      <c r="F1381" s="312">
        <v>1825</v>
      </c>
      <c r="G1381" s="312" t="s">
        <v>108</v>
      </c>
      <c r="H1381" s="312">
        <v>1827</v>
      </c>
      <c r="I1381" s="312" t="s">
        <v>107</v>
      </c>
      <c r="J1381" s="312">
        <v>1913</v>
      </c>
      <c r="K1381" s="312" t="s">
        <v>109</v>
      </c>
    </row>
    <row r="1382" spans="1:11">
      <c r="A1382" s="312" t="s">
        <v>3026</v>
      </c>
      <c r="B1382" s="312" t="s">
        <v>3027</v>
      </c>
      <c r="C1382" s="312" t="s">
        <v>105</v>
      </c>
      <c r="D1382" s="312" t="s">
        <v>114</v>
      </c>
      <c r="E1382" s="312" t="s">
        <v>107</v>
      </c>
      <c r="F1382" s="312">
        <v>1825</v>
      </c>
      <c r="G1382" s="312" t="s">
        <v>108</v>
      </c>
      <c r="H1382" s="312">
        <v>1827</v>
      </c>
      <c r="I1382" s="312" t="s">
        <v>107</v>
      </c>
      <c r="J1382" s="312">
        <v>1913</v>
      </c>
      <c r="K1382" s="312" t="s">
        <v>109</v>
      </c>
    </row>
    <row r="1383" spans="1:11">
      <c r="A1383" s="312" t="s">
        <v>3028</v>
      </c>
      <c r="B1383" s="312" t="s">
        <v>3029</v>
      </c>
      <c r="C1383" s="312" t="s">
        <v>105</v>
      </c>
      <c r="D1383" s="312" t="s">
        <v>114</v>
      </c>
      <c r="E1383" s="312" t="s">
        <v>107</v>
      </c>
      <c r="F1383" s="312">
        <v>1825</v>
      </c>
      <c r="G1383" s="312" t="s">
        <v>108</v>
      </c>
      <c r="H1383" s="312">
        <v>1827</v>
      </c>
      <c r="I1383" s="312" t="s">
        <v>107</v>
      </c>
      <c r="J1383" s="312">
        <v>1913</v>
      </c>
      <c r="K1383" s="312" t="s">
        <v>109</v>
      </c>
    </row>
    <row r="1384" spans="1:11">
      <c r="A1384" s="312" t="s">
        <v>3030</v>
      </c>
      <c r="B1384" s="312" t="s">
        <v>3031</v>
      </c>
      <c r="C1384" s="312" t="s">
        <v>105</v>
      </c>
      <c r="D1384" s="312" t="s">
        <v>2314</v>
      </c>
      <c r="E1384" s="312" t="s">
        <v>167</v>
      </c>
      <c r="F1384" s="312">
        <v>1705</v>
      </c>
      <c r="G1384" s="312" t="s">
        <v>168</v>
      </c>
      <c r="H1384" s="312">
        <v>1707</v>
      </c>
      <c r="I1384" s="312" t="s">
        <v>167</v>
      </c>
      <c r="J1384" s="312">
        <v>1899</v>
      </c>
      <c r="K1384" s="312" t="s">
        <v>169</v>
      </c>
    </row>
    <row r="1385" spans="1:11">
      <c r="A1385" s="312" t="s">
        <v>3032</v>
      </c>
      <c r="B1385" s="312" t="s">
        <v>3033</v>
      </c>
      <c r="C1385" s="312" t="s">
        <v>105</v>
      </c>
      <c r="D1385" s="312" t="s">
        <v>1533</v>
      </c>
      <c r="E1385" s="312" t="s">
        <v>107</v>
      </c>
      <c r="F1385" s="312">
        <v>1825</v>
      </c>
      <c r="G1385" s="312" t="s">
        <v>108</v>
      </c>
      <c r="H1385" s="312">
        <v>1827</v>
      </c>
      <c r="I1385" s="312" t="s">
        <v>107</v>
      </c>
      <c r="J1385" s="312">
        <v>1913</v>
      </c>
      <c r="K1385" s="312" t="s">
        <v>109</v>
      </c>
    </row>
    <row r="1386" spans="1:11">
      <c r="A1386" s="312" t="s">
        <v>3034</v>
      </c>
      <c r="B1386" s="312" t="s">
        <v>3035</v>
      </c>
      <c r="C1386" s="312" t="s">
        <v>105</v>
      </c>
      <c r="D1386" s="312" t="s">
        <v>1533</v>
      </c>
      <c r="E1386" s="312" t="s">
        <v>107</v>
      </c>
      <c r="F1386" s="312">
        <v>1825</v>
      </c>
      <c r="G1386" s="312" t="s">
        <v>108</v>
      </c>
      <c r="H1386" s="312">
        <v>1827</v>
      </c>
      <c r="I1386" s="312" t="s">
        <v>107</v>
      </c>
      <c r="J1386" s="312">
        <v>1913</v>
      </c>
      <c r="K1386" s="312" t="s">
        <v>109</v>
      </c>
    </row>
    <row r="1387" spans="1:11">
      <c r="A1387" s="312" t="s">
        <v>3036</v>
      </c>
      <c r="B1387" s="312" t="s">
        <v>3037</v>
      </c>
      <c r="C1387" s="312" t="s">
        <v>105</v>
      </c>
      <c r="D1387" s="312" t="s">
        <v>853</v>
      </c>
      <c r="E1387" s="312" t="s">
        <v>167</v>
      </c>
      <c r="F1387" s="312">
        <v>1705</v>
      </c>
      <c r="G1387" s="312" t="s">
        <v>168</v>
      </c>
      <c r="H1387" s="312">
        <v>1707</v>
      </c>
      <c r="I1387" s="312" t="s">
        <v>167</v>
      </c>
      <c r="J1387" s="312">
        <v>1899</v>
      </c>
      <c r="K1387" s="312" t="s">
        <v>169</v>
      </c>
    </row>
    <row r="1388" spans="1:11">
      <c r="A1388" s="312" t="s">
        <v>3038</v>
      </c>
      <c r="B1388" s="312" t="s">
        <v>3039</v>
      </c>
      <c r="C1388" s="312" t="s">
        <v>105</v>
      </c>
      <c r="D1388" s="312" t="s">
        <v>853</v>
      </c>
      <c r="E1388" s="312" t="s">
        <v>167</v>
      </c>
      <c r="F1388" s="312">
        <v>1705</v>
      </c>
      <c r="G1388" s="312" t="s">
        <v>168</v>
      </c>
      <c r="H1388" s="312">
        <v>1707</v>
      </c>
      <c r="I1388" s="312" t="s">
        <v>167</v>
      </c>
      <c r="J1388" s="312">
        <v>1899</v>
      </c>
      <c r="K1388" s="312" t="s">
        <v>169</v>
      </c>
    </row>
    <row r="1389" spans="1:11">
      <c r="A1389" s="312" t="s">
        <v>3040</v>
      </c>
      <c r="B1389" s="312" t="s">
        <v>3041</v>
      </c>
      <c r="C1389" s="312" t="s">
        <v>105</v>
      </c>
      <c r="D1389" s="312" t="s">
        <v>853</v>
      </c>
      <c r="E1389" s="312" t="s">
        <v>167</v>
      </c>
      <c r="F1389" s="312">
        <v>1705</v>
      </c>
      <c r="G1389" s="312" t="s">
        <v>168</v>
      </c>
      <c r="H1389" s="312">
        <v>1707</v>
      </c>
      <c r="I1389" s="312" t="s">
        <v>167</v>
      </c>
      <c r="J1389" s="312">
        <v>1899</v>
      </c>
      <c r="K1389" s="312" t="s">
        <v>169</v>
      </c>
    </row>
    <row r="1390" spans="1:11">
      <c r="A1390" s="312" t="s">
        <v>3042</v>
      </c>
      <c r="B1390" s="312" t="s">
        <v>3043</v>
      </c>
      <c r="C1390" s="312" t="s">
        <v>105</v>
      </c>
      <c r="D1390" s="312" t="s">
        <v>853</v>
      </c>
      <c r="E1390" s="312" t="s">
        <v>167</v>
      </c>
      <c r="F1390" s="312">
        <v>1705</v>
      </c>
      <c r="G1390" s="312" t="s">
        <v>168</v>
      </c>
      <c r="H1390" s="312">
        <v>1707</v>
      </c>
      <c r="I1390" s="312" t="s">
        <v>167</v>
      </c>
      <c r="J1390" s="312">
        <v>1899</v>
      </c>
      <c r="K1390" s="312" t="s">
        <v>169</v>
      </c>
    </row>
    <row r="1391" spans="1:11">
      <c r="A1391" s="312" t="s">
        <v>3044</v>
      </c>
      <c r="B1391" s="312" t="s">
        <v>3045</v>
      </c>
      <c r="C1391" s="312" t="s">
        <v>105</v>
      </c>
      <c r="D1391" s="312" t="s">
        <v>853</v>
      </c>
      <c r="E1391" s="312" t="s">
        <v>167</v>
      </c>
      <c r="F1391" s="312">
        <v>1705</v>
      </c>
      <c r="G1391" s="312" t="s">
        <v>168</v>
      </c>
      <c r="H1391" s="312">
        <v>1707</v>
      </c>
      <c r="I1391" s="312" t="s">
        <v>167</v>
      </c>
      <c r="J1391" s="312">
        <v>1899</v>
      </c>
      <c r="K1391" s="312" t="s">
        <v>169</v>
      </c>
    </row>
    <row r="1392" spans="1:11">
      <c r="A1392" s="312" t="s">
        <v>3046</v>
      </c>
      <c r="B1392" s="312" t="s">
        <v>3047</v>
      </c>
      <c r="C1392" s="312" t="s">
        <v>105</v>
      </c>
      <c r="D1392" s="312" t="s">
        <v>455</v>
      </c>
      <c r="E1392" s="312" t="s">
        <v>107</v>
      </c>
      <c r="F1392" s="312">
        <v>1825</v>
      </c>
      <c r="G1392" s="312" t="s">
        <v>108</v>
      </c>
      <c r="H1392" s="312">
        <v>1827</v>
      </c>
      <c r="I1392" s="312" t="s">
        <v>107</v>
      </c>
      <c r="J1392" s="312">
        <v>1913</v>
      </c>
      <c r="K1392" s="312" t="s">
        <v>109</v>
      </c>
    </row>
    <row r="1393" spans="1:11">
      <c r="A1393" s="312" t="s">
        <v>3048</v>
      </c>
      <c r="B1393" s="312" t="s">
        <v>3049</v>
      </c>
      <c r="C1393" s="312" t="s">
        <v>105</v>
      </c>
      <c r="D1393" s="312" t="s">
        <v>117</v>
      </c>
      <c r="E1393" s="312" t="s">
        <v>107</v>
      </c>
      <c r="F1393" s="312">
        <v>1825</v>
      </c>
      <c r="G1393" s="312" t="s">
        <v>108</v>
      </c>
      <c r="H1393" s="312">
        <v>1827</v>
      </c>
      <c r="I1393" s="312" t="s">
        <v>107</v>
      </c>
      <c r="J1393" s="312">
        <v>1913</v>
      </c>
      <c r="K1393" s="312" t="s">
        <v>109</v>
      </c>
    </row>
    <row r="1394" spans="1:11">
      <c r="A1394" s="312" t="s">
        <v>3050</v>
      </c>
      <c r="B1394" s="312" t="s">
        <v>3051</v>
      </c>
      <c r="C1394" s="312" t="s">
        <v>105</v>
      </c>
      <c r="D1394" s="312" t="s">
        <v>556</v>
      </c>
      <c r="E1394" s="312" t="s">
        <v>107</v>
      </c>
      <c r="F1394" s="312">
        <v>1825</v>
      </c>
      <c r="G1394" s="312" t="s">
        <v>108</v>
      </c>
      <c r="H1394" s="312">
        <v>1827</v>
      </c>
      <c r="I1394" s="312" t="s">
        <v>107</v>
      </c>
      <c r="J1394" s="312">
        <v>1913</v>
      </c>
      <c r="K1394" s="312" t="s">
        <v>109</v>
      </c>
    </row>
    <row r="1395" spans="1:11">
      <c r="A1395" s="312" t="s">
        <v>3052</v>
      </c>
      <c r="B1395" s="312" t="s">
        <v>3053</v>
      </c>
      <c r="C1395" s="312" t="s">
        <v>105</v>
      </c>
      <c r="D1395" s="312" t="s">
        <v>730</v>
      </c>
      <c r="E1395" s="312" t="s">
        <v>886</v>
      </c>
      <c r="F1395" s="312">
        <v>1857</v>
      </c>
      <c r="G1395" s="312" t="s">
        <v>887</v>
      </c>
      <c r="H1395" s="312">
        <v>1858</v>
      </c>
      <c r="I1395" s="312" t="s">
        <v>886</v>
      </c>
      <c r="J1395" s="312">
        <v>1924</v>
      </c>
      <c r="K1395" s="312" t="s">
        <v>888</v>
      </c>
    </row>
    <row r="1396" spans="1:11">
      <c r="A1396" s="312" t="s">
        <v>3054</v>
      </c>
      <c r="B1396" s="312" t="s">
        <v>3055</v>
      </c>
      <c r="C1396" s="312" t="s">
        <v>105</v>
      </c>
      <c r="D1396" s="312" t="s">
        <v>739</v>
      </c>
      <c r="E1396" s="312" t="s">
        <v>886</v>
      </c>
      <c r="F1396" s="312">
        <v>1857</v>
      </c>
      <c r="G1396" s="312" t="s">
        <v>887</v>
      </c>
      <c r="H1396" s="312">
        <v>1858</v>
      </c>
      <c r="I1396" s="312" t="s">
        <v>886</v>
      </c>
      <c r="J1396" s="312">
        <v>1924</v>
      </c>
      <c r="K1396" s="312" t="s">
        <v>888</v>
      </c>
    </row>
    <row r="1397" spans="1:11">
      <c r="A1397" s="312" t="s">
        <v>3056</v>
      </c>
      <c r="B1397" s="312" t="s">
        <v>3057</v>
      </c>
      <c r="C1397" s="312" t="s">
        <v>105</v>
      </c>
      <c r="D1397" s="312" t="s">
        <v>739</v>
      </c>
      <c r="E1397" s="312" t="s">
        <v>886</v>
      </c>
      <c r="F1397" s="312">
        <v>1857</v>
      </c>
      <c r="G1397" s="312" t="s">
        <v>887</v>
      </c>
      <c r="H1397" s="312">
        <v>1858</v>
      </c>
      <c r="I1397" s="312" t="s">
        <v>886</v>
      </c>
      <c r="J1397" s="312">
        <v>1924</v>
      </c>
      <c r="K1397" s="312" t="s">
        <v>888</v>
      </c>
    </row>
    <row r="1398" spans="1:11">
      <c r="A1398" s="312" t="s">
        <v>3058</v>
      </c>
      <c r="B1398" s="312" t="s">
        <v>3059</v>
      </c>
      <c r="C1398" s="312" t="s">
        <v>105</v>
      </c>
      <c r="D1398" s="312" t="s">
        <v>739</v>
      </c>
      <c r="E1398" s="312" t="s">
        <v>886</v>
      </c>
      <c r="F1398" s="312">
        <v>1857</v>
      </c>
      <c r="G1398" s="312" t="s">
        <v>887</v>
      </c>
      <c r="H1398" s="312">
        <v>1858</v>
      </c>
      <c r="I1398" s="312" t="s">
        <v>886</v>
      </c>
      <c r="J1398" s="312">
        <v>1924</v>
      </c>
      <c r="K1398" s="312" t="s">
        <v>888</v>
      </c>
    </row>
    <row r="1399" spans="1:11">
      <c r="A1399" s="312" t="s">
        <v>3060</v>
      </c>
      <c r="B1399" s="312" t="s">
        <v>3061</v>
      </c>
      <c r="C1399" s="312" t="s">
        <v>105</v>
      </c>
      <c r="D1399" s="312" t="s">
        <v>739</v>
      </c>
      <c r="E1399" s="312" t="s">
        <v>886</v>
      </c>
      <c r="F1399" s="312">
        <v>1857</v>
      </c>
      <c r="G1399" s="312" t="s">
        <v>887</v>
      </c>
      <c r="H1399" s="312">
        <v>1858</v>
      </c>
      <c r="I1399" s="312" t="s">
        <v>886</v>
      </c>
      <c r="J1399" s="312">
        <v>1924</v>
      </c>
      <c r="K1399" s="312" t="s">
        <v>888</v>
      </c>
    </row>
    <row r="1400" spans="1:11">
      <c r="A1400" s="312" t="s">
        <v>3062</v>
      </c>
      <c r="B1400" s="312" t="s">
        <v>3063</v>
      </c>
      <c r="C1400" s="312" t="s">
        <v>105</v>
      </c>
      <c r="D1400" s="312" t="s">
        <v>730</v>
      </c>
      <c r="E1400" s="312" t="s">
        <v>886</v>
      </c>
      <c r="F1400" s="312">
        <v>1857</v>
      </c>
      <c r="G1400" s="312" t="s">
        <v>887</v>
      </c>
      <c r="H1400" s="312">
        <v>1858</v>
      </c>
      <c r="I1400" s="312" t="s">
        <v>886</v>
      </c>
      <c r="J1400" s="312">
        <v>1924</v>
      </c>
      <c r="K1400" s="312" t="s">
        <v>888</v>
      </c>
    </row>
    <row r="1401" spans="1:11">
      <c r="A1401" s="312" t="s">
        <v>3064</v>
      </c>
      <c r="B1401" s="312" t="s">
        <v>3065</v>
      </c>
      <c r="C1401" s="312" t="s">
        <v>105</v>
      </c>
      <c r="D1401" s="312" t="s">
        <v>739</v>
      </c>
      <c r="E1401" s="312" t="s">
        <v>886</v>
      </c>
      <c r="F1401" s="312">
        <v>1857</v>
      </c>
      <c r="G1401" s="312" t="s">
        <v>887</v>
      </c>
      <c r="H1401" s="312">
        <v>1858</v>
      </c>
      <c r="I1401" s="312" t="s">
        <v>886</v>
      </c>
      <c r="J1401" s="312">
        <v>1924</v>
      </c>
      <c r="K1401" s="312" t="s">
        <v>888</v>
      </c>
    </row>
    <row r="1402" spans="1:11">
      <c r="A1402" s="312" t="s">
        <v>3066</v>
      </c>
      <c r="B1402" s="312" t="s">
        <v>3067</v>
      </c>
      <c r="C1402" s="312" t="s">
        <v>105</v>
      </c>
      <c r="D1402" s="312" t="s">
        <v>739</v>
      </c>
      <c r="E1402" s="312" t="s">
        <v>886</v>
      </c>
      <c r="F1402" s="312">
        <v>1857</v>
      </c>
      <c r="G1402" s="312" t="s">
        <v>887</v>
      </c>
      <c r="H1402" s="312">
        <v>1858</v>
      </c>
      <c r="I1402" s="312" t="s">
        <v>886</v>
      </c>
      <c r="J1402" s="312">
        <v>1924</v>
      </c>
      <c r="K1402" s="312" t="s">
        <v>888</v>
      </c>
    </row>
    <row r="1403" spans="1:11">
      <c r="A1403" s="312" t="s">
        <v>3068</v>
      </c>
      <c r="B1403" s="312" t="s">
        <v>3069</v>
      </c>
      <c r="C1403" s="312" t="s">
        <v>105</v>
      </c>
      <c r="D1403" s="312" t="s">
        <v>739</v>
      </c>
      <c r="E1403" s="312" t="s">
        <v>886</v>
      </c>
      <c r="F1403" s="312">
        <v>1857</v>
      </c>
      <c r="G1403" s="312" t="s">
        <v>887</v>
      </c>
      <c r="H1403" s="312">
        <v>1858</v>
      </c>
      <c r="I1403" s="312" t="s">
        <v>886</v>
      </c>
      <c r="J1403" s="312">
        <v>1924</v>
      </c>
      <c r="K1403" s="312" t="s">
        <v>888</v>
      </c>
    </row>
    <row r="1404" spans="1:11">
      <c r="A1404" s="312" t="s">
        <v>3070</v>
      </c>
      <c r="B1404" s="312" t="s">
        <v>3071</v>
      </c>
      <c r="C1404" s="312" t="s">
        <v>105</v>
      </c>
      <c r="D1404" s="312" t="s">
        <v>739</v>
      </c>
      <c r="E1404" s="312" t="s">
        <v>886</v>
      </c>
      <c r="F1404" s="312">
        <v>1857</v>
      </c>
      <c r="G1404" s="312" t="s">
        <v>887</v>
      </c>
      <c r="H1404" s="312">
        <v>1858</v>
      </c>
      <c r="I1404" s="312" t="s">
        <v>886</v>
      </c>
      <c r="J1404" s="312">
        <v>1924</v>
      </c>
      <c r="K1404" s="312" t="s">
        <v>888</v>
      </c>
    </row>
    <row r="1405" spans="1:11">
      <c r="A1405" s="312" t="s">
        <v>3072</v>
      </c>
      <c r="B1405" s="312" t="s">
        <v>3073</v>
      </c>
      <c r="C1405" s="312" t="s">
        <v>105</v>
      </c>
      <c r="D1405" s="312" t="s">
        <v>730</v>
      </c>
      <c r="E1405" s="312" t="s">
        <v>886</v>
      </c>
      <c r="F1405" s="312">
        <v>1857</v>
      </c>
      <c r="G1405" s="312" t="s">
        <v>887</v>
      </c>
      <c r="H1405" s="312">
        <v>1858</v>
      </c>
      <c r="I1405" s="312" t="s">
        <v>886</v>
      </c>
      <c r="J1405" s="312">
        <v>1924</v>
      </c>
      <c r="K1405" s="312" t="s">
        <v>888</v>
      </c>
    </row>
    <row r="1406" spans="1:11">
      <c r="A1406" s="312" t="s">
        <v>3074</v>
      </c>
      <c r="B1406" s="312" t="s">
        <v>3075</v>
      </c>
      <c r="C1406" s="312" t="s">
        <v>105</v>
      </c>
      <c r="D1406" s="312" t="s">
        <v>739</v>
      </c>
      <c r="E1406" s="312" t="s">
        <v>886</v>
      </c>
      <c r="F1406" s="312">
        <v>1857</v>
      </c>
      <c r="G1406" s="312" t="s">
        <v>887</v>
      </c>
      <c r="H1406" s="312">
        <v>1858</v>
      </c>
      <c r="I1406" s="312" t="s">
        <v>886</v>
      </c>
      <c r="J1406" s="312">
        <v>1924</v>
      </c>
      <c r="K1406" s="312" t="s">
        <v>888</v>
      </c>
    </row>
    <row r="1407" spans="1:11">
      <c r="A1407" s="312" t="s">
        <v>3076</v>
      </c>
      <c r="B1407" s="312" t="s">
        <v>3077</v>
      </c>
      <c r="C1407" s="312" t="s">
        <v>105</v>
      </c>
      <c r="D1407" s="312" t="s">
        <v>739</v>
      </c>
      <c r="E1407" s="312" t="s">
        <v>886</v>
      </c>
      <c r="F1407" s="312">
        <v>1857</v>
      </c>
      <c r="G1407" s="312" t="s">
        <v>887</v>
      </c>
      <c r="H1407" s="312">
        <v>1858</v>
      </c>
      <c r="I1407" s="312" t="s">
        <v>886</v>
      </c>
      <c r="J1407" s="312">
        <v>1924</v>
      </c>
      <c r="K1407" s="312" t="s">
        <v>888</v>
      </c>
    </row>
    <row r="1408" spans="1:11">
      <c r="A1408" s="312" t="s">
        <v>3078</v>
      </c>
      <c r="B1408" s="312" t="s">
        <v>3079</v>
      </c>
      <c r="C1408" s="312" t="s">
        <v>105</v>
      </c>
      <c r="D1408" s="312" t="s">
        <v>739</v>
      </c>
      <c r="E1408" s="312" t="s">
        <v>886</v>
      </c>
      <c r="F1408" s="312">
        <v>1857</v>
      </c>
      <c r="G1408" s="312" t="s">
        <v>887</v>
      </c>
      <c r="H1408" s="312">
        <v>1858</v>
      </c>
      <c r="I1408" s="312" t="s">
        <v>886</v>
      </c>
      <c r="J1408" s="312">
        <v>1924</v>
      </c>
      <c r="K1408" s="312" t="s">
        <v>888</v>
      </c>
    </row>
    <row r="1409" spans="1:11">
      <c r="A1409" s="312" t="s">
        <v>3080</v>
      </c>
      <c r="B1409" s="1" t="s">
        <v>3081</v>
      </c>
      <c r="C1409" s="312" t="s">
        <v>105</v>
      </c>
      <c r="D1409" s="312" t="s">
        <v>730</v>
      </c>
      <c r="E1409" s="312" t="s">
        <v>886</v>
      </c>
      <c r="F1409" s="312">
        <v>1857</v>
      </c>
      <c r="G1409" s="312" t="s">
        <v>887</v>
      </c>
      <c r="H1409" s="312">
        <v>1858</v>
      </c>
      <c r="I1409" s="312" t="s">
        <v>886</v>
      </c>
      <c r="J1409" s="312">
        <v>1924</v>
      </c>
      <c r="K1409" s="312" t="s">
        <v>888</v>
      </c>
    </row>
    <row r="1410" spans="1:11">
      <c r="A1410" s="312" t="s">
        <v>3082</v>
      </c>
      <c r="B1410" s="312" t="s">
        <v>3083</v>
      </c>
      <c r="C1410" s="312" t="s">
        <v>105</v>
      </c>
      <c r="D1410" s="312" t="s">
        <v>252</v>
      </c>
      <c r="E1410" s="312" t="s">
        <v>167</v>
      </c>
      <c r="F1410" s="312">
        <v>1705</v>
      </c>
      <c r="G1410" s="312" t="s">
        <v>168</v>
      </c>
      <c r="H1410" s="312">
        <v>1707</v>
      </c>
      <c r="I1410" s="312" t="s">
        <v>167</v>
      </c>
      <c r="J1410" s="312">
        <v>1899</v>
      </c>
      <c r="K1410" s="312" t="s">
        <v>169</v>
      </c>
    </row>
    <row r="1411" spans="1:11">
      <c r="A1411" s="312" t="s">
        <v>3084</v>
      </c>
      <c r="B1411" s="312" t="s">
        <v>3085</v>
      </c>
      <c r="C1411" s="312" t="s">
        <v>105</v>
      </c>
      <c r="D1411" s="312" t="s">
        <v>312</v>
      </c>
      <c r="E1411" s="312" t="s">
        <v>107</v>
      </c>
      <c r="F1411" s="312">
        <v>1825</v>
      </c>
      <c r="G1411" s="312" t="s">
        <v>108</v>
      </c>
      <c r="H1411" s="312">
        <v>1827</v>
      </c>
      <c r="I1411" s="312" t="s">
        <v>107</v>
      </c>
      <c r="J1411" s="312">
        <v>1913</v>
      </c>
      <c r="K1411" s="312" t="s">
        <v>109</v>
      </c>
    </row>
    <row r="1412" spans="1:11">
      <c r="A1412" s="312" t="s">
        <v>3086</v>
      </c>
      <c r="B1412" s="312" t="s">
        <v>3087</v>
      </c>
      <c r="C1412" s="312" t="s">
        <v>105</v>
      </c>
      <c r="D1412" s="312" t="s">
        <v>379</v>
      </c>
      <c r="E1412" s="312" t="s">
        <v>107</v>
      </c>
      <c r="F1412" s="312">
        <v>1825</v>
      </c>
      <c r="G1412" s="312" t="s">
        <v>108</v>
      </c>
      <c r="H1412" s="312">
        <v>1827</v>
      </c>
      <c r="I1412" s="312" t="s">
        <v>107</v>
      </c>
      <c r="J1412" s="312">
        <v>1913</v>
      </c>
      <c r="K1412" s="312" t="s">
        <v>109</v>
      </c>
    </row>
    <row r="1413" spans="1:11">
      <c r="A1413" s="312" t="s">
        <v>3088</v>
      </c>
      <c r="B1413" s="312" t="s">
        <v>3089</v>
      </c>
      <c r="C1413" s="312" t="s">
        <v>105</v>
      </c>
      <c r="D1413" s="312" t="s">
        <v>327</v>
      </c>
      <c r="E1413" s="312" t="s">
        <v>167</v>
      </c>
      <c r="F1413" s="312">
        <v>1705</v>
      </c>
      <c r="G1413" s="312" t="s">
        <v>168</v>
      </c>
      <c r="H1413" s="312">
        <v>1707</v>
      </c>
      <c r="I1413" s="312" t="s">
        <v>167</v>
      </c>
      <c r="J1413" s="312">
        <v>1899</v>
      </c>
      <c r="K1413" s="312" t="s">
        <v>169</v>
      </c>
    </row>
    <row r="1414" spans="1:11">
      <c r="A1414" s="312" t="s">
        <v>3090</v>
      </c>
      <c r="B1414" s="312" t="s">
        <v>3091</v>
      </c>
      <c r="C1414" s="312" t="s">
        <v>105</v>
      </c>
      <c r="D1414" s="312" t="s">
        <v>556</v>
      </c>
      <c r="E1414" s="312" t="s">
        <v>107</v>
      </c>
      <c r="F1414" s="312">
        <v>1825</v>
      </c>
      <c r="G1414" s="312" t="s">
        <v>108</v>
      </c>
      <c r="H1414" s="312">
        <v>1827</v>
      </c>
      <c r="I1414" s="312" t="s">
        <v>107</v>
      </c>
      <c r="J1414" s="312">
        <v>1913</v>
      </c>
      <c r="K1414" s="312" t="s">
        <v>109</v>
      </c>
    </row>
    <row r="1415" spans="1:11">
      <c r="A1415" s="312" t="s">
        <v>3092</v>
      </c>
      <c r="B1415" s="312" t="s">
        <v>3093</v>
      </c>
      <c r="C1415" s="312" t="s">
        <v>105</v>
      </c>
      <c r="D1415" s="312" t="s">
        <v>556</v>
      </c>
      <c r="E1415" s="312" t="s">
        <v>107</v>
      </c>
      <c r="F1415" s="312">
        <v>1825</v>
      </c>
      <c r="G1415" s="312" t="s">
        <v>108</v>
      </c>
      <c r="H1415" s="312">
        <v>1827</v>
      </c>
      <c r="I1415" s="312" t="s">
        <v>107</v>
      </c>
      <c r="J1415" s="312">
        <v>1913</v>
      </c>
      <c r="K1415" s="312" t="s">
        <v>109</v>
      </c>
    </row>
    <row r="1416" spans="1:11">
      <c r="A1416" s="312" t="s">
        <v>3094</v>
      </c>
      <c r="B1416" s="312" t="s">
        <v>3095</v>
      </c>
      <c r="C1416" s="312" t="s">
        <v>105</v>
      </c>
      <c r="D1416" s="312" t="s">
        <v>312</v>
      </c>
      <c r="E1416" s="312" t="s">
        <v>107</v>
      </c>
      <c r="F1416" s="312">
        <v>1825</v>
      </c>
      <c r="G1416" s="312" t="s">
        <v>108</v>
      </c>
      <c r="H1416" s="312">
        <v>1827</v>
      </c>
      <c r="I1416" s="312" t="s">
        <v>107</v>
      </c>
      <c r="J1416" s="312">
        <v>1913</v>
      </c>
      <c r="K1416" s="312" t="s">
        <v>109</v>
      </c>
    </row>
    <row r="1417" spans="1:11">
      <c r="A1417" s="312" t="s">
        <v>3096</v>
      </c>
      <c r="B1417" s="312" t="s">
        <v>3097</v>
      </c>
      <c r="C1417" s="312" t="s">
        <v>105</v>
      </c>
      <c r="D1417" s="312" t="s">
        <v>312</v>
      </c>
      <c r="E1417" s="312" t="s">
        <v>107</v>
      </c>
      <c r="F1417" s="312">
        <v>1825</v>
      </c>
      <c r="G1417" s="312" t="s">
        <v>108</v>
      </c>
      <c r="H1417" s="312">
        <v>1827</v>
      </c>
      <c r="I1417" s="312" t="s">
        <v>107</v>
      </c>
      <c r="J1417" s="312">
        <v>1913</v>
      </c>
      <c r="K1417" s="312" t="s">
        <v>109</v>
      </c>
    </row>
    <row r="1418" spans="1:11">
      <c r="A1418" s="312" t="s">
        <v>3098</v>
      </c>
      <c r="B1418" s="312" t="s">
        <v>3099</v>
      </c>
      <c r="C1418" s="312" t="s">
        <v>105</v>
      </c>
      <c r="D1418" s="312" t="s">
        <v>312</v>
      </c>
      <c r="E1418" s="312" t="s">
        <v>107</v>
      </c>
      <c r="F1418" s="312">
        <v>1825</v>
      </c>
      <c r="G1418" s="312" t="s">
        <v>108</v>
      </c>
      <c r="H1418" s="312">
        <v>1827</v>
      </c>
      <c r="I1418" s="312" t="s">
        <v>107</v>
      </c>
      <c r="J1418" s="312">
        <v>1913</v>
      </c>
      <c r="K1418" s="312" t="s">
        <v>109</v>
      </c>
    </row>
    <row r="1419" spans="1:11">
      <c r="A1419" s="312" t="s">
        <v>3100</v>
      </c>
      <c r="B1419" s="312" t="s">
        <v>3101</v>
      </c>
      <c r="C1419" s="312" t="s">
        <v>105</v>
      </c>
      <c r="D1419" s="312" t="s">
        <v>556</v>
      </c>
      <c r="E1419" s="312" t="s">
        <v>107</v>
      </c>
      <c r="F1419" s="312">
        <v>1825</v>
      </c>
      <c r="G1419" s="312" t="s">
        <v>108</v>
      </c>
      <c r="H1419" s="312">
        <v>1827</v>
      </c>
      <c r="I1419" s="312" t="s">
        <v>107</v>
      </c>
      <c r="J1419" s="312">
        <v>1913</v>
      </c>
      <c r="K1419" s="312" t="s">
        <v>109</v>
      </c>
    </row>
    <row r="1420" spans="1:11">
      <c r="A1420" s="312" t="s">
        <v>3102</v>
      </c>
      <c r="B1420" s="312" t="s">
        <v>3103</v>
      </c>
      <c r="C1420" s="312" t="s">
        <v>105</v>
      </c>
      <c r="D1420" s="312" t="s">
        <v>3104</v>
      </c>
      <c r="E1420" s="312" t="s">
        <v>167</v>
      </c>
      <c r="F1420" s="312">
        <v>1705</v>
      </c>
      <c r="G1420" s="312" t="s">
        <v>168</v>
      </c>
      <c r="H1420" s="312">
        <v>1707</v>
      </c>
      <c r="I1420" s="312" t="s">
        <v>167</v>
      </c>
      <c r="J1420" s="312">
        <v>1899</v>
      </c>
      <c r="K1420" s="312" t="s">
        <v>169</v>
      </c>
    </row>
    <row r="1421" spans="1:11">
      <c r="A1421" s="312" t="s">
        <v>3105</v>
      </c>
      <c r="B1421" s="312" t="s">
        <v>3106</v>
      </c>
      <c r="C1421" s="312" t="s">
        <v>105</v>
      </c>
      <c r="D1421" s="312" t="s">
        <v>3107</v>
      </c>
      <c r="E1421" s="312" t="s">
        <v>167</v>
      </c>
      <c r="F1421" s="312">
        <v>1705</v>
      </c>
      <c r="G1421" s="312" t="s">
        <v>168</v>
      </c>
      <c r="H1421" s="312">
        <v>1707</v>
      </c>
      <c r="I1421" s="312" t="s">
        <v>167</v>
      </c>
      <c r="J1421" s="312">
        <v>1899</v>
      </c>
      <c r="K1421" s="312" t="s">
        <v>169</v>
      </c>
    </row>
    <row r="1422" spans="1:11">
      <c r="A1422" s="312" t="s">
        <v>3108</v>
      </c>
      <c r="B1422" s="312" t="s">
        <v>3109</v>
      </c>
      <c r="C1422" s="312" t="s">
        <v>105</v>
      </c>
      <c r="D1422" s="312" t="s">
        <v>3104</v>
      </c>
      <c r="E1422" s="312" t="s">
        <v>167</v>
      </c>
      <c r="F1422" s="312">
        <v>1705</v>
      </c>
      <c r="G1422" s="312" t="s">
        <v>168</v>
      </c>
      <c r="H1422" s="312">
        <v>1707</v>
      </c>
      <c r="I1422" s="312" t="s">
        <v>167</v>
      </c>
      <c r="J1422" s="312">
        <v>1899</v>
      </c>
      <c r="K1422" s="312" t="s">
        <v>169</v>
      </c>
    </row>
    <row r="1423" spans="1:11">
      <c r="A1423" s="312" t="s">
        <v>3110</v>
      </c>
      <c r="B1423" s="312" t="s">
        <v>3111</v>
      </c>
      <c r="C1423" s="312" t="s">
        <v>105</v>
      </c>
      <c r="D1423" s="312" t="s">
        <v>3112</v>
      </c>
      <c r="E1423" s="312" t="s">
        <v>167</v>
      </c>
      <c r="F1423" s="312">
        <v>1705</v>
      </c>
      <c r="G1423" s="312" t="s">
        <v>168</v>
      </c>
      <c r="H1423" s="312">
        <v>1707</v>
      </c>
      <c r="I1423" s="312" t="s">
        <v>167</v>
      </c>
      <c r="J1423" s="312">
        <v>1899</v>
      </c>
      <c r="K1423" s="312" t="s">
        <v>169</v>
      </c>
    </row>
    <row r="1424" spans="1:11">
      <c r="A1424" s="312" t="s">
        <v>3113</v>
      </c>
      <c r="B1424" s="312" t="s">
        <v>3114</v>
      </c>
      <c r="C1424" s="312" t="s">
        <v>105</v>
      </c>
      <c r="D1424" s="312" t="s">
        <v>3104</v>
      </c>
      <c r="E1424" s="312" t="s">
        <v>167</v>
      </c>
      <c r="F1424" s="312">
        <v>1705</v>
      </c>
      <c r="G1424" s="312" t="s">
        <v>168</v>
      </c>
      <c r="H1424" s="312">
        <v>1707</v>
      </c>
      <c r="I1424" s="312" t="s">
        <v>167</v>
      </c>
      <c r="J1424" s="312">
        <v>1899</v>
      </c>
      <c r="K1424" s="312" t="s">
        <v>169</v>
      </c>
    </row>
    <row r="1425" spans="1:11">
      <c r="A1425" s="312" t="s">
        <v>3115</v>
      </c>
      <c r="B1425" s="312" t="s">
        <v>3116</v>
      </c>
      <c r="C1425" s="312" t="s">
        <v>105</v>
      </c>
      <c r="D1425" s="312" t="s">
        <v>3117</v>
      </c>
      <c r="E1425" s="312" t="s">
        <v>167</v>
      </c>
      <c r="F1425" s="312">
        <v>1705</v>
      </c>
      <c r="G1425" s="312" t="s">
        <v>168</v>
      </c>
      <c r="H1425" s="312">
        <v>1707</v>
      </c>
      <c r="I1425" s="312" t="s">
        <v>167</v>
      </c>
      <c r="J1425" s="312">
        <v>1899</v>
      </c>
      <c r="K1425" s="312" t="s">
        <v>169</v>
      </c>
    </row>
    <row r="1426" spans="1:11">
      <c r="A1426" s="312" t="s">
        <v>3118</v>
      </c>
      <c r="B1426" s="312" t="s">
        <v>3119</v>
      </c>
      <c r="C1426" s="312" t="s">
        <v>105</v>
      </c>
      <c r="D1426" s="312" t="s">
        <v>3117</v>
      </c>
      <c r="E1426" s="312" t="s">
        <v>167</v>
      </c>
      <c r="F1426" s="312">
        <v>1705</v>
      </c>
      <c r="G1426" s="312" t="s">
        <v>168</v>
      </c>
      <c r="H1426" s="312">
        <v>1707</v>
      </c>
      <c r="I1426" s="312" t="s">
        <v>167</v>
      </c>
      <c r="J1426" s="312">
        <v>1899</v>
      </c>
      <c r="K1426" s="312" t="s">
        <v>169</v>
      </c>
    </row>
    <row r="1427" spans="1:11">
      <c r="A1427" s="312" t="s">
        <v>3120</v>
      </c>
      <c r="B1427" s="312" t="s">
        <v>3121</v>
      </c>
      <c r="C1427" s="312" t="s">
        <v>105</v>
      </c>
      <c r="D1427" s="312" t="s">
        <v>3104</v>
      </c>
      <c r="E1427" s="312" t="s">
        <v>167</v>
      </c>
      <c r="F1427" s="312">
        <v>1705</v>
      </c>
      <c r="G1427" s="312" t="s">
        <v>168</v>
      </c>
      <c r="H1427" s="312">
        <v>1707</v>
      </c>
      <c r="I1427" s="312" t="s">
        <v>167</v>
      </c>
      <c r="J1427" s="312">
        <v>1899</v>
      </c>
      <c r="K1427" s="312" t="s">
        <v>169</v>
      </c>
    </row>
    <row r="1428" spans="1:11">
      <c r="A1428" s="312" t="s">
        <v>3122</v>
      </c>
      <c r="B1428" s="312" t="s">
        <v>3123</v>
      </c>
      <c r="C1428" s="312" t="s">
        <v>105</v>
      </c>
      <c r="D1428" s="312" t="s">
        <v>3104</v>
      </c>
      <c r="E1428" s="312" t="s">
        <v>167</v>
      </c>
      <c r="F1428" s="312">
        <v>1705</v>
      </c>
      <c r="G1428" s="312" t="s">
        <v>168</v>
      </c>
      <c r="H1428" s="312">
        <v>1707</v>
      </c>
      <c r="I1428" s="312" t="s">
        <v>167</v>
      </c>
      <c r="J1428" s="312">
        <v>1899</v>
      </c>
      <c r="K1428" s="312" t="s">
        <v>169</v>
      </c>
    </row>
    <row r="1429" spans="1:11">
      <c r="A1429" s="312" t="s">
        <v>3124</v>
      </c>
      <c r="B1429" s="312" t="s">
        <v>3125</v>
      </c>
      <c r="C1429" s="312" t="s">
        <v>105</v>
      </c>
      <c r="D1429" s="312" t="s">
        <v>3126</v>
      </c>
      <c r="E1429" s="312" t="s">
        <v>167</v>
      </c>
      <c r="F1429" s="312">
        <v>1705</v>
      </c>
      <c r="G1429" s="312" t="s">
        <v>168</v>
      </c>
      <c r="H1429" s="312">
        <v>1707</v>
      </c>
      <c r="I1429" s="312" t="s">
        <v>167</v>
      </c>
      <c r="J1429" s="312">
        <v>1899</v>
      </c>
      <c r="K1429" s="312" t="s">
        <v>169</v>
      </c>
    </row>
    <row r="1430" spans="1:11">
      <c r="A1430" s="312" t="s">
        <v>3127</v>
      </c>
      <c r="B1430" s="312" t="s">
        <v>3128</v>
      </c>
      <c r="C1430" s="312" t="s">
        <v>105</v>
      </c>
      <c r="D1430" s="312" t="s">
        <v>3104</v>
      </c>
      <c r="E1430" s="312" t="s">
        <v>167</v>
      </c>
      <c r="F1430" s="312">
        <v>1705</v>
      </c>
      <c r="G1430" s="312" t="s">
        <v>168</v>
      </c>
      <c r="H1430" s="312">
        <v>1707</v>
      </c>
      <c r="I1430" s="312" t="s">
        <v>167</v>
      </c>
      <c r="J1430" s="312">
        <v>1899</v>
      </c>
      <c r="K1430" s="312" t="s">
        <v>169</v>
      </c>
    </row>
    <row r="1431" spans="1:11">
      <c r="A1431" s="312" t="s">
        <v>3129</v>
      </c>
      <c r="B1431" s="312" t="s">
        <v>3130</v>
      </c>
      <c r="C1431" s="312" t="s">
        <v>105</v>
      </c>
      <c r="D1431" s="312" t="s">
        <v>3104</v>
      </c>
      <c r="E1431" s="312" t="s">
        <v>167</v>
      </c>
      <c r="F1431" s="312">
        <v>1705</v>
      </c>
      <c r="G1431" s="312" t="s">
        <v>168</v>
      </c>
      <c r="H1431" s="312">
        <v>1707</v>
      </c>
      <c r="I1431" s="312" t="s">
        <v>167</v>
      </c>
      <c r="J1431" s="312">
        <v>1899</v>
      </c>
      <c r="K1431" s="312" t="s">
        <v>169</v>
      </c>
    </row>
    <row r="1432" spans="1:11">
      <c r="A1432" s="312" t="s">
        <v>3131</v>
      </c>
      <c r="B1432" s="312" t="s">
        <v>3132</v>
      </c>
      <c r="C1432" s="312" t="s">
        <v>105</v>
      </c>
      <c r="D1432" s="312" t="s">
        <v>3104</v>
      </c>
      <c r="E1432" s="312" t="s">
        <v>167</v>
      </c>
      <c r="F1432" s="312">
        <v>1705</v>
      </c>
      <c r="G1432" s="312" t="s">
        <v>168</v>
      </c>
      <c r="H1432" s="312">
        <v>1707</v>
      </c>
      <c r="I1432" s="312" t="s">
        <v>167</v>
      </c>
      <c r="J1432" s="312">
        <v>1899</v>
      </c>
      <c r="K1432" s="312" t="s">
        <v>169</v>
      </c>
    </row>
    <row r="1433" spans="1:11">
      <c r="A1433" s="312" t="s">
        <v>3133</v>
      </c>
      <c r="B1433" s="312" t="s">
        <v>3134</v>
      </c>
      <c r="C1433" s="312" t="s">
        <v>105</v>
      </c>
      <c r="D1433" s="312" t="s">
        <v>3104</v>
      </c>
      <c r="E1433" s="312" t="s">
        <v>167</v>
      </c>
      <c r="F1433" s="312">
        <v>1705</v>
      </c>
      <c r="G1433" s="312" t="s">
        <v>168</v>
      </c>
      <c r="H1433" s="312">
        <v>1707</v>
      </c>
      <c r="I1433" s="312" t="s">
        <v>167</v>
      </c>
      <c r="J1433" s="312">
        <v>1899</v>
      </c>
      <c r="K1433" s="312" t="s">
        <v>169</v>
      </c>
    </row>
    <row r="1434" spans="1:11">
      <c r="A1434" s="312" t="s">
        <v>3135</v>
      </c>
      <c r="B1434" s="312" t="s">
        <v>3136</v>
      </c>
      <c r="C1434" s="312" t="s">
        <v>105</v>
      </c>
      <c r="D1434" s="312" t="s">
        <v>3112</v>
      </c>
      <c r="E1434" s="312" t="s">
        <v>167</v>
      </c>
      <c r="F1434" s="312">
        <v>1705</v>
      </c>
      <c r="G1434" s="312" t="s">
        <v>168</v>
      </c>
      <c r="H1434" s="312">
        <v>1707</v>
      </c>
      <c r="I1434" s="312" t="s">
        <v>167</v>
      </c>
      <c r="J1434" s="312">
        <v>1899</v>
      </c>
      <c r="K1434" s="312" t="s">
        <v>169</v>
      </c>
    </row>
    <row r="1435" spans="1:11">
      <c r="A1435" s="312" t="s">
        <v>3137</v>
      </c>
      <c r="B1435" s="312" t="s">
        <v>3138</v>
      </c>
      <c r="C1435" s="312" t="s">
        <v>105</v>
      </c>
      <c r="D1435" s="312" t="s">
        <v>3104</v>
      </c>
      <c r="E1435" s="312" t="s">
        <v>167</v>
      </c>
      <c r="F1435" s="312">
        <v>1705</v>
      </c>
      <c r="G1435" s="312" t="s">
        <v>168</v>
      </c>
      <c r="H1435" s="312">
        <v>1707</v>
      </c>
      <c r="I1435" s="312" t="s">
        <v>167</v>
      </c>
      <c r="J1435" s="312">
        <v>1899</v>
      </c>
      <c r="K1435" s="312" t="s">
        <v>169</v>
      </c>
    </row>
    <row r="1436" spans="1:11">
      <c r="A1436" s="312" t="s">
        <v>3139</v>
      </c>
      <c r="B1436" s="312" t="s">
        <v>3140</v>
      </c>
      <c r="C1436" s="312" t="s">
        <v>105</v>
      </c>
      <c r="D1436" s="312" t="s">
        <v>3112</v>
      </c>
      <c r="E1436" s="312" t="s">
        <v>167</v>
      </c>
      <c r="F1436" s="312">
        <v>1705</v>
      </c>
      <c r="G1436" s="312" t="s">
        <v>168</v>
      </c>
      <c r="H1436" s="312">
        <v>1707</v>
      </c>
      <c r="I1436" s="312" t="s">
        <v>167</v>
      </c>
      <c r="J1436" s="312">
        <v>1899</v>
      </c>
      <c r="K1436" s="312" t="s">
        <v>169</v>
      </c>
    </row>
    <row r="1437" spans="1:11">
      <c r="A1437" s="312" t="s">
        <v>3141</v>
      </c>
      <c r="B1437" s="312" t="s">
        <v>3142</v>
      </c>
      <c r="C1437" s="312" t="s">
        <v>105</v>
      </c>
      <c r="D1437" s="312" t="s">
        <v>3112</v>
      </c>
      <c r="E1437" s="312" t="s">
        <v>167</v>
      </c>
      <c r="F1437" s="312">
        <v>1705</v>
      </c>
      <c r="G1437" s="312" t="s">
        <v>168</v>
      </c>
      <c r="H1437" s="312">
        <v>1707</v>
      </c>
      <c r="I1437" s="312" t="s">
        <v>167</v>
      </c>
      <c r="J1437" s="312">
        <v>1899</v>
      </c>
      <c r="K1437" s="312" t="s">
        <v>169</v>
      </c>
    </row>
    <row r="1438" spans="1:11">
      <c r="A1438" s="312" t="s">
        <v>3143</v>
      </c>
      <c r="B1438" s="312" t="s">
        <v>3144</v>
      </c>
      <c r="C1438" s="312" t="s">
        <v>105</v>
      </c>
      <c r="D1438" s="312" t="s">
        <v>3112</v>
      </c>
      <c r="E1438" s="312" t="s">
        <v>167</v>
      </c>
      <c r="F1438" s="312">
        <v>1705</v>
      </c>
      <c r="G1438" s="312" t="s">
        <v>168</v>
      </c>
      <c r="H1438" s="312">
        <v>1707</v>
      </c>
      <c r="I1438" s="312" t="s">
        <v>167</v>
      </c>
      <c r="J1438" s="312">
        <v>1899</v>
      </c>
      <c r="K1438" s="312" t="s">
        <v>169</v>
      </c>
    </row>
    <row r="1439" spans="1:11">
      <c r="A1439" s="312" t="s">
        <v>3145</v>
      </c>
      <c r="B1439" s="312" t="s">
        <v>3146</v>
      </c>
      <c r="C1439" s="312" t="s">
        <v>105</v>
      </c>
      <c r="D1439" s="312" t="s">
        <v>3126</v>
      </c>
      <c r="E1439" s="312" t="s">
        <v>167</v>
      </c>
      <c r="F1439" s="312">
        <v>1705</v>
      </c>
      <c r="G1439" s="312" t="s">
        <v>168</v>
      </c>
      <c r="H1439" s="312">
        <v>1707</v>
      </c>
      <c r="I1439" s="312" t="s">
        <v>167</v>
      </c>
      <c r="J1439" s="312">
        <v>1899</v>
      </c>
      <c r="K1439" s="312" t="s">
        <v>169</v>
      </c>
    </row>
    <row r="1440" spans="1:11">
      <c r="A1440" s="312" t="s">
        <v>3147</v>
      </c>
      <c r="B1440" s="312" t="s">
        <v>3148</v>
      </c>
      <c r="C1440" s="312" t="s">
        <v>105</v>
      </c>
      <c r="D1440" s="312" t="s">
        <v>3126</v>
      </c>
      <c r="E1440" s="312" t="s">
        <v>167</v>
      </c>
      <c r="F1440" s="312">
        <v>1705</v>
      </c>
      <c r="G1440" s="312" t="s">
        <v>168</v>
      </c>
      <c r="H1440" s="312">
        <v>1707</v>
      </c>
      <c r="I1440" s="312" t="s">
        <v>167</v>
      </c>
      <c r="J1440" s="312">
        <v>1899</v>
      </c>
      <c r="K1440" s="312" t="s">
        <v>169</v>
      </c>
    </row>
    <row r="1441" spans="1:11">
      <c r="A1441" s="312" t="s">
        <v>3149</v>
      </c>
      <c r="B1441" s="312" t="s">
        <v>3150</v>
      </c>
      <c r="C1441" s="312" t="s">
        <v>105</v>
      </c>
      <c r="D1441" s="312" t="s">
        <v>3117</v>
      </c>
      <c r="E1441" s="312" t="s">
        <v>167</v>
      </c>
      <c r="F1441" s="312">
        <v>1705</v>
      </c>
      <c r="G1441" s="312" t="s">
        <v>168</v>
      </c>
      <c r="H1441" s="312">
        <v>1707</v>
      </c>
      <c r="I1441" s="312" t="s">
        <v>167</v>
      </c>
      <c r="J1441" s="312">
        <v>1899</v>
      </c>
      <c r="K1441" s="312" t="s">
        <v>169</v>
      </c>
    </row>
    <row r="1442" spans="1:11">
      <c r="A1442" s="312" t="s">
        <v>3151</v>
      </c>
      <c r="B1442" s="312" t="s">
        <v>3152</v>
      </c>
      <c r="C1442" s="312" t="s">
        <v>105</v>
      </c>
      <c r="D1442" s="312" t="s">
        <v>3112</v>
      </c>
      <c r="E1442" s="312" t="s">
        <v>167</v>
      </c>
      <c r="F1442" s="312">
        <v>1705</v>
      </c>
      <c r="G1442" s="312" t="s">
        <v>168</v>
      </c>
      <c r="H1442" s="312">
        <v>1707</v>
      </c>
      <c r="I1442" s="312" t="s">
        <v>167</v>
      </c>
      <c r="J1442" s="312">
        <v>1899</v>
      </c>
      <c r="K1442" s="312" t="s">
        <v>169</v>
      </c>
    </row>
    <row r="1443" spans="1:11">
      <c r="A1443" s="312" t="s">
        <v>3153</v>
      </c>
      <c r="B1443" s="312" t="s">
        <v>3154</v>
      </c>
      <c r="C1443" s="312" t="s">
        <v>105</v>
      </c>
      <c r="D1443" s="312" t="s">
        <v>3126</v>
      </c>
      <c r="E1443" s="312" t="s">
        <v>167</v>
      </c>
      <c r="F1443" s="312">
        <v>1705</v>
      </c>
      <c r="G1443" s="312" t="s">
        <v>168</v>
      </c>
      <c r="H1443" s="312">
        <v>1707</v>
      </c>
      <c r="I1443" s="312" t="s">
        <v>167</v>
      </c>
      <c r="J1443" s="312">
        <v>1899</v>
      </c>
      <c r="K1443" s="312" t="s">
        <v>169</v>
      </c>
    </row>
    <row r="1444" spans="1:11">
      <c r="A1444" s="312" t="s">
        <v>3155</v>
      </c>
      <c r="B1444" s="312" t="s">
        <v>3156</v>
      </c>
      <c r="C1444" s="312" t="s">
        <v>105</v>
      </c>
      <c r="D1444" s="312" t="s">
        <v>3104</v>
      </c>
      <c r="E1444" s="312" t="s">
        <v>167</v>
      </c>
      <c r="F1444" s="312">
        <v>1705</v>
      </c>
      <c r="G1444" s="312" t="s">
        <v>168</v>
      </c>
      <c r="H1444" s="312">
        <v>1707</v>
      </c>
      <c r="I1444" s="312" t="s">
        <v>167</v>
      </c>
      <c r="J1444" s="312">
        <v>1899</v>
      </c>
      <c r="K1444" s="312" t="s">
        <v>169</v>
      </c>
    </row>
    <row r="1445" spans="1:11">
      <c r="A1445" s="312" t="s">
        <v>3157</v>
      </c>
      <c r="B1445" s="312" t="s">
        <v>3158</v>
      </c>
      <c r="C1445" s="312" t="s">
        <v>105</v>
      </c>
      <c r="D1445" s="312" t="s">
        <v>3104</v>
      </c>
      <c r="E1445" s="312" t="s">
        <v>167</v>
      </c>
      <c r="F1445" s="312">
        <v>1705</v>
      </c>
      <c r="G1445" s="312" t="s">
        <v>168</v>
      </c>
      <c r="H1445" s="312">
        <v>1707</v>
      </c>
      <c r="I1445" s="312" t="s">
        <v>167</v>
      </c>
      <c r="J1445" s="312">
        <v>1899</v>
      </c>
      <c r="K1445" s="312" t="s">
        <v>169</v>
      </c>
    </row>
    <row r="1446" spans="1:11">
      <c r="A1446" s="312" t="s">
        <v>3159</v>
      </c>
      <c r="B1446" s="312" t="s">
        <v>3160</v>
      </c>
      <c r="C1446" s="312" t="s">
        <v>105</v>
      </c>
      <c r="D1446" s="312" t="s">
        <v>3126</v>
      </c>
      <c r="E1446" s="312" t="s">
        <v>167</v>
      </c>
      <c r="F1446" s="312">
        <v>1705</v>
      </c>
      <c r="G1446" s="312" t="s">
        <v>168</v>
      </c>
      <c r="H1446" s="312">
        <v>1707</v>
      </c>
      <c r="I1446" s="312" t="s">
        <v>167</v>
      </c>
      <c r="J1446" s="312">
        <v>1899</v>
      </c>
      <c r="K1446" s="312" t="s">
        <v>169</v>
      </c>
    </row>
    <row r="1447" spans="1:11">
      <c r="A1447" s="312" t="s">
        <v>3161</v>
      </c>
      <c r="B1447" s="312" t="s">
        <v>3162</v>
      </c>
      <c r="C1447" s="312" t="s">
        <v>105</v>
      </c>
      <c r="D1447" s="312" t="s">
        <v>3126</v>
      </c>
      <c r="E1447" s="312" t="s">
        <v>167</v>
      </c>
      <c r="F1447" s="312">
        <v>1705</v>
      </c>
      <c r="G1447" s="312" t="s">
        <v>168</v>
      </c>
      <c r="H1447" s="312">
        <v>1707</v>
      </c>
      <c r="I1447" s="312" t="s">
        <v>167</v>
      </c>
      <c r="J1447" s="312">
        <v>1899</v>
      </c>
      <c r="K1447" s="312" t="s">
        <v>169</v>
      </c>
    </row>
    <row r="1448" spans="1:11">
      <c r="A1448" s="312" t="s">
        <v>3163</v>
      </c>
      <c r="B1448" s="312" t="s">
        <v>3164</v>
      </c>
      <c r="C1448" s="312" t="s">
        <v>105</v>
      </c>
      <c r="D1448" s="312" t="s">
        <v>3126</v>
      </c>
      <c r="E1448" s="312" t="s">
        <v>167</v>
      </c>
      <c r="F1448" s="312">
        <v>1705</v>
      </c>
      <c r="G1448" s="312" t="s">
        <v>168</v>
      </c>
      <c r="H1448" s="312">
        <v>1707</v>
      </c>
      <c r="I1448" s="312" t="s">
        <v>167</v>
      </c>
      <c r="J1448" s="312">
        <v>1899</v>
      </c>
      <c r="K1448" s="312" t="s">
        <v>169</v>
      </c>
    </row>
    <row r="1449" spans="1:11">
      <c r="A1449" s="312" t="s">
        <v>3165</v>
      </c>
      <c r="B1449" s="312" t="s">
        <v>3166</v>
      </c>
      <c r="C1449" s="312" t="s">
        <v>105</v>
      </c>
      <c r="D1449" s="312" t="s">
        <v>3104</v>
      </c>
      <c r="E1449" s="312" t="s">
        <v>167</v>
      </c>
      <c r="F1449" s="312">
        <v>1705</v>
      </c>
      <c r="G1449" s="312" t="s">
        <v>168</v>
      </c>
      <c r="H1449" s="312">
        <v>1707</v>
      </c>
      <c r="I1449" s="312" t="s">
        <v>167</v>
      </c>
      <c r="J1449" s="312">
        <v>1899</v>
      </c>
      <c r="K1449" s="312" t="s">
        <v>169</v>
      </c>
    </row>
    <row r="1450" spans="1:11">
      <c r="A1450" s="312" t="s">
        <v>3167</v>
      </c>
      <c r="B1450" s="312" t="s">
        <v>3168</v>
      </c>
      <c r="C1450" s="312" t="s">
        <v>105</v>
      </c>
      <c r="D1450" s="312" t="s">
        <v>3104</v>
      </c>
      <c r="E1450" s="312" t="s">
        <v>167</v>
      </c>
      <c r="F1450" s="312">
        <v>1705</v>
      </c>
      <c r="G1450" s="312" t="s">
        <v>168</v>
      </c>
      <c r="H1450" s="312">
        <v>1707</v>
      </c>
      <c r="I1450" s="312" t="s">
        <v>167</v>
      </c>
      <c r="J1450" s="312">
        <v>1899</v>
      </c>
      <c r="K1450" s="312" t="s">
        <v>169</v>
      </c>
    </row>
    <row r="1451" spans="1:11">
      <c r="A1451" s="312" t="s">
        <v>3169</v>
      </c>
      <c r="B1451" s="312" t="s">
        <v>3170</v>
      </c>
      <c r="C1451" s="312" t="s">
        <v>105</v>
      </c>
      <c r="D1451" s="312" t="s">
        <v>3104</v>
      </c>
      <c r="E1451" s="312" t="s">
        <v>167</v>
      </c>
      <c r="F1451" s="312">
        <v>1705</v>
      </c>
      <c r="G1451" s="312" t="s">
        <v>168</v>
      </c>
      <c r="H1451" s="312">
        <v>1707</v>
      </c>
      <c r="I1451" s="312" t="s">
        <v>167</v>
      </c>
      <c r="J1451" s="312">
        <v>1899</v>
      </c>
      <c r="K1451" s="312" t="s">
        <v>169</v>
      </c>
    </row>
    <row r="1452" spans="1:11">
      <c r="A1452" s="312" t="s">
        <v>3171</v>
      </c>
      <c r="B1452" s="312" t="s">
        <v>3172</v>
      </c>
      <c r="C1452" s="312" t="s">
        <v>105</v>
      </c>
      <c r="D1452" s="312" t="s">
        <v>3104</v>
      </c>
      <c r="E1452" s="312" t="s">
        <v>167</v>
      </c>
      <c r="F1452" s="312">
        <v>1705</v>
      </c>
      <c r="G1452" s="312" t="s">
        <v>168</v>
      </c>
      <c r="H1452" s="312">
        <v>1707</v>
      </c>
      <c r="I1452" s="312" t="s">
        <v>167</v>
      </c>
      <c r="J1452" s="312">
        <v>1899</v>
      </c>
      <c r="K1452" s="312" t="s">
        <v>169</v>
      </c>
    </row>
    <row r="1453" spans="1:11">
      <c r="A1453" s="312" t="s">
        <v>3173</v>
      </c>
      <c r="B1453" s="312" t="s">
        <v>3174</v>
      </c>
      <c r="C1453" s="312" t="s">
        <v>105</v>
      </c>
      <c r="D1453" s="312" t="s">
        <v>3104</v>
      </c>
      <c r="E1453" s="312" t="s">
        <v>167</v>
      </c>
      <c r="F1453" s="312">
        <v>1705</v>
      </c>
      <c r="G1453" s="312" t="s">
        <v>168</v>
      </c>
      <c r="H1453" s="312">
        <v>1707</v>
      </c>
      <c r="I1453" s="312" t="s">
        <v>167</v>
      </c>
      <c r="J1453" s="312">
        <v>1899</v>
      </c>
      <c r="K1453" s="312" t="s">
        <v>169</v>
      </c>
    </row>
    <row r="1454" spans="1:11">
      <c r="A1454" s="312" t="s">
        <v>3175</v>
      </c>
      <c r="B1454" s="312" t="s">
        <v>3176</v>
      </c>
      <c r="C1454" s="312" t="s">
        <v>105</v>
      </c>
      <c r="D1454" s="312" t="s">
        <v>3104</v>
      </c>
      <c r="E1454" s="312" t="s">
        <v>167</v>
      </c>
      <c r="F1454" s="312">
        <v>1705</v>
      </c>
      <c r="G1454" s="312" t="s">
        <v>168</v>
      </c>
      <c r="H1454" s="312">
        <v>1707</v>
      </c>
      <c r="I1454" s="312" t="s">
        <v>167</v>
      </c>
      <c r="J1454" s="312">
        <v>1899</v>
      </c>
      <c r="K1454" s="312" t="s">
        <v>169</v>
      </c>
    </row>
    <row r="1455" spans="1:11">
      <c r="A1455" s="312" t="s">
        <v>3177</v>
      </c>
      <c r="B1455" s="312" t="s">
        <v>3178</v>
      </c>
      <c r="C1455" s="312" t="s">
        <v>105</v>
      </c>
      <c r="D1455" s="312" t="s">
        <v>3104</v>
      </c>
      <c r="E1455" s="312" t="s">
        <v>167</v>
      </c>
      <c r="F1455" s="312">
        <v>1705</v>
      </c>
      <c r="G1455" s="312" t="s">
        <v>168</v>
      </c>
      <c r="H1455" s="312">
        <v>1707</v>
      </c>
      <c r="I1455" s="312" t="s">
        <v>167</v>
      </c>
      <c r="J1455" s="312">
        <v>1899</v>
      </c>
      <c r="K1455" s="312" t="s">
        <v>169</v>
      </c>
    </row>
    <row r="1456" spans="1:11">
      <c r="A1456" s="312" t="s">
        <v>3179</v>
      </c>
      <c r="B1456" s="312" t="s">
        <v>3180</v>
      </c>
      <c r="C1456" s="312" t="s">
        <v>105</v>
      </c>
      <c r="D1456" s="312" t="s">
        <v>798</v>
      </c>
      <c r="E1456" s="312" t="s">
        <v>107</v>
      </c>
      <c r="F1456" s="312">
        <v>1825</v>
      </c>
      <c r="G1456" s="312" t="s">
        <v>108</v>
      </c>
      <c r="H1456" s="312">
        <v>1827</v>
      </c>
      <c r="I1456" s="312" t="s">
        <v>107</v>
      </c>
      <c r="J1456" s="312">
        <v>1913</v>
      </c>
      <c r="K1456" s="312" t="s">
        <v>109</v>
      </c>
    </row>
    <row r="1457" spans="1:11">
      <c r="A1457" s="312" t="s">
        <v>3181</v>
      </c>
      <c r="B1457" s="312" t="s">
        <v>3182</v>
      </c>
      <c r="C1457" s="312" t="s">
        <v>105</v>
      </c>
      <c r="D1457" s="312" t="s">
        <v>798</v>
      </c>
      <c r="E1457" s="312" t="s">
        <v>107</v>
      </c>
      <c r="F1457" s="312">
        <v>1825</v>
      </c>
      <c r="G1457" s="312" t="s">
        <v>108</v>
      </c>
      <c r="H1457" s="312">
        <v>1827</v>
      </c>
      <c r="I1457" s="312" t="s">
        <v>107</v>
      </c>
      <c r="J1457" s="312">
        <v>1913</v>
      </c>
      <c r="K1457" s="312" t="s">
        <v>109</v>
      </c>
    </row>
    <row r="1458" spans="1:11">
      <c r="A1458" s="312" t="s">
        <v>3183</v>
      </c>
      <c r="B1458" s="312" t="s">
        <v>3184</v>
      </c>
      <c r="C1458" s="312" t="s">
        <v>105</v>
      </c>
      <c r="D1458" s="312" t="s">
        <v>573</v>
      </c>
      <c r="E1458" s="312" t="s">
        <v>107</v>
      </c>
      <c r="F1458" s="312">
        <v>1825</v>
      </c>
      <c r="G1458" s="312" t="s">
        <v>108</v>
      </c>
      <c r="H1458" s="312">
        <v>1827</v>
      </c>
      <c r="I1458" s="312" t="s">
        <v>107</v>
      </c>
      <c r="J1458" s="312">
        <v>1913</v>
      </c>
      <c r="K1458" s="312" t="s">
        <v>109</v>
      </c>
    </row>
    <row r="1459" spans="1:11">
      <c r="A1459" s="312" t="s">
        <v>3185</v>
      </c>
      <c r="B1459" s="312" t="s">
        <v>3186</v>
      </c>
      <c r="C1459" s="312" t="s">
        <v>105</v>
      </c>
      <c r="D1459" s="312" t="s">
        <v>576</v>
      </c>
      <c r="E1459" s="312" t="s">
        <v>107</v>
      </c>
      <c r="F1459" s="312">
        <v>1825</v>
      </c>
      <c r="G1459" s="312" t="s">
        <v>108</v>
      </c>
      <c r="H1459" s="312">
        <v>1827</v>
      </c>
      <c r="I1459" s="312" t="s">
        <v>107</v>
      </c>
      <c r="J1459" s="312">
        <v>1913</v>
      </c>
      <c r="K1459" s="312" t="s">
        <v>109</v>
      </c>
    </row>
    <row r="1460" spans="1:11">
      <c r="A1460" s="312" t="s">
        <v>3187</v>
      </c>
      <c r="B1460" s="312" t="s">
        <v>3188</v>
      </c>
      <c r="C1460" s="312" t="s">
        <v>105</v>
      </c>
      <c r="D1460" s="312" t="s">
        <v>576</v>
      </c>
      <c r="E1460" s="312" t="s">
        <v>107</v>
      </c>
      <c r="F1460" s="312">
        <v>1825</v>
      </c>
      <c r="G1460" s="312" t="s">
        <v>108</v>
      </c>
      <c r="H1460" s="312">
        <v>1827</v>
      </c>
      <c r="I1460" s="312" t="s">
        <v>107</v>
      </c>
      <c r="J1460" s="312">
        <v>1913</v>
      </c>
      <c r="K1460" s="312" t="s">
        <v>109</v>
      </c>
    </row>
    <row r="1461" spans="1:11">
      <c r="A1461" s="312" t="s">
        <v>3189</v>
      </c>
      <c r="B1461" s="312" t="s">
        <v>3190</v>
      </c>
      <c r="C1461" s="312" t="s">
        <v>105</v>
      </c>
      <c r="D1461" s="312" t="s">
        <v>576</v>
      </c>
      <c r="E1461" s="312" t="s">
        <v>107</v>
      </c>
      <c r="F1461" s="312">
        <v>1825</v>
      </c>
      <c r="G1461" s="312" t="s">
        <v>108</v>
      </c>
      <c r="H1461" s="312">
        <v>1827</v>
      </c>
      <c r="I1461" s="312" t="s">
        <v>107</v>
      </c>
      <c r="J1461" s="312">
        <v>1913</v>
      </c>
      <c r="K1461" s="312" t="s">
        <v>109</v>
      </c>
    </row>
    <row r="1462" spans="1:11">
      <c r="A1462" s="312" t="s">
        <v>3191</v>
      </c>
      <c r="B1462" s="312" t="s">
        <v>3192</v>
      </c>
      <c r="C1462" s="312" t="s">
        <v>105</v>
      </c>
      <c r="D1462" s="312" t="s">
        <v>573</v>
      </c>
      <c r="E1462" s="312" t="s">
        <v>107</v>
      </c>
      <c r="F1462" s="312">
        <v>1825</v>
      </c>
      <c r="G1462" s="312" t="s">
        <v>108</v>
      </c>
      <c r="H1462" s="312">
        <v>1827</v>
      </c>
      <c r="I1462" s="312" t="s">
        <v>107</v>
      </c>
      <c r="J1462" s="312">
        <v>1913</v>
      </c>
      <c r="K1462" s="312" t="s">
        <v>109</v>
      </c>
    </row>
    <row r="1463" spans="1:11">
      <c r="A1463" s="312" t="s">
        <v>3193</v>
      </c>
      <c r="B1463" s="312" t="s">
        <v>3194</v>
      </c>
      <c r="C1463" s="312" t="s">
        <v>105</v>
      </c>
      <c r="D1463" s="312" t="s">
        <v>573</v>
      </c>
      <c r="E1463" s="312" t="s">
        <v>107</v>
      </c>
      <c r="F1463" s="312">
        <v>1825</v>
      </c>
      <c r="G1463" s="312" t="s">
        <v>108</v>
      </c>
      <c r="H1463" s="312">
        <v>1827</v>
      </c>
      <c r="I1463" s="312" t="s">
        <v>107</v>
      </c>
      <c r="J1463" s="312">
        <v>1913</v>
      </c>
      <c r="K1463" s="312" t="s">
        <v>109</v>
      </c>
    </row>
    <row r="1464" spans="1:11">
      <c r="A1464" s="312" t="s">
        <v>3195</v>
      </c>
      <c r="B1464" s="312" t="s">
        <v>3196</v>
      </c>
      <c r="C1464" s="312" t="s">
        <v>105</v>
      </c>
      <c r="D1464" s="312" t="s">
        <v>573</v>
      </c>
      <c r="E1464" s="312" t="s">
        <v>107</v>
      </c>
      <c r="F1464" s="312">
        <v>1825</v>
      </c>
      <c r="G1464" s="312" t="s">
        <v>108</v>
      </c>
      <c r="H1464" s="312">
        <v>1827</v>
      </c>
      <c r="I1464" s="312" t="s">
        <v>107</v>
      </c>
      <c r="J1464" s="312">
        <v>1913</v>
      </c>
      <c r="K1464" s="312" t="s">
        <v>109</v>
      </c>
    </row>
    <row r="1465" spans="1:11">
      <c r="A1465" s="312" t="s">
        <v>3197</v>
      </c>
      <c r="B1465" s="312" t="s">
        <v>3198</v>
      </c>
      <c r="C1465" s="312" t="s">
        <v>105</v>
      </c>
      <c r="D1465" s="312" t="s">
        <v>587</v>
      </c>
      <c r="E1465" s="312" t="s">
        <v>107</v>
      </c>
      <c r="F1465" s="312">
        <v>1825</v>
      </c>
      <c r="G1465" s="312" t="s">
        <v>108</v>
      </c>
      <c r="H1465" s="312">
        <v>1827</v>
      </c>
      <c r="I1465" s="312" t="s">
        <v>107</v>
      </c>
      <c r="J1465" s="312">
        <v>1913</v>
      </c>
      <c r="K1465" s="312" t="s">
        <v>109</v>
      </c>
    </row>
    <row r="1466" spans="1:11">
      <c r="A1466" s="312" t="s">
        <v>3199</v>
      </c>
      <c r="B1466" s="312" t="s">
        <v>3200</v>
      </c>
      <c r="C1466" s="312" t="s">
        <v>105</v>
      </c>
      <c r="D1466" s="312" t="s">
        <v>573</v>
      </c>
      <c r="E1466" s="312" t="s">
        <v>107</v>
      </c>
      <c r="F1466" s="312">
        <v>1825</v>
      </c>
      <c r="G1466" s="312" t="s">
        <v>108</v>
      </c>
      <c r="H1466" s="312">
        <v>1827</v>
      </c>
      <c r="I1466" s="312" t="s">
        <v>107</v>
      </c>
      <c r="J1466" s="312">
        <v>1913</v>
      </c>
      <c r="K1466" s="312" t="s">
        <v>109</v>
      </c>
    </row>
    <row r="1467" spans="1:11">
      <c r="A1467" s="312" t="s">
        <v>3201</v>
      </c>
      <c r="B1467" s="312" t="s">
        <v>3202</v>
      </c>
      <c r="C1467" s="312" t="s">
        <v>105</v>
      </c>
      <c r="D1467" s="312" t="s">
        <v>587</v>
      </c>
      <c r="E1467" s="312" t="s">
        <v>107</v>
      </c>
      <c r="F1467" s="312">
        <v>1825</v>
      </c>
      <c r="G1467" s="312" t="s">
        <v>108</v>
      </c>
      <c r="H1467" s="312">
        <v>1827</v>
      </c>
      <c r="I1467" s="312" t="s">
        <v>107</v>
      </c>
      <c r="J1467" s="312">
        <v>1913</v>
      </c>
      <c r="K1467" s="312" t="s">
        <v>109</v>
      </c>
    </row>
    <row r="1468" spans="1:11">
      <c r="A1468" s="312" t="s">
        <v>3203</v>
      </c>
      <c r="B1468" s="312" t="s">
        <v>3204</v>
      </c>
      <c r="C1468" s="312" t="s">
        <v>105</v>
      </c>
      <c r="D1468" s="312" t="s">
        <v>573</v>
      </c>
      <c r="E1468" s="312" t="s">
        <v>107</v>
      </c>
      <c r="F1468" s="312">
        <v>1825</v>
      </c>
      <c r="G1468" s="312" t="s">
        <v>108</v>
      </c>
      <c r="H1468" s="312">
        <v>1827</v>
      </c>
      <c r="I1468" s="312" t="s">
        <v>107</v>
      </c>
      <c r="J1468" s="312">
        <v>1913</v>
      </c>
      <c r="K1468" s="312" t="s">
        <v>109</v>
      </c>
    </row>
    <row r="1469" spans="1:11">
      <c r="A1469" s="312" t="s">
        <v>3205</v>
      </c>
      <c r="B1469" s="312" t="s">
        <v>3206</v>
      </c>
      <c r="C1469" s="312" t="s">
        <v>105</v>
      </c>
      <c r="D1469" s="312" t="s">
        <v>587</v>
      </c>
      <c r="E1469" s="312" t="s">
        <v>107</v>
      </c>
      <c r="F1469" s="312">
        <v>1825</v>
      </c>
      <c r="G1469" s="312" t="s">
        <v>108</v>
      </c>
      <c r="H1469" s="312">
        <v>1827</v>
      </c>
      <c r="I1469" s="312" t="s">
        <v>107</v>
      </c>
      <c r="J1469" s="312">
        <v>1913</v>
      </c>
      <c r="K1469" s="312" t="s">
        <v>109</v>
      </c>
    </row>
    <row r="1470" spans="1:11">
      <c r="A1470" s="312" t="s">
        <v>3207</v>
      </c>
      <c r="B1470" s="312" t="s">
        <v>3208</v>
      </c>
      <c r="C1470" s="312" t="s">
        <v>105</v>
      </c>
      <c r="D1470" s="312" t="s">
        <v>283</v>
      </c>
      <c r="E1470" s="312" t="s">
        <v>107</v>
      </c>
      <c r="F1470" s="312">
        <v>1825</v>
      </c>
      <c r="G1470" s="312" t="s">
        <v>108</v>
      </c>
      <c r="H1470" s="312">
        <v>1827</v>
      </c>
      <c r="I1470" s="312" t="s">
        <v>107</v>
      </c>
      <c r="J1470" s="312">
        <v>1913</v>
      </c>
      <c r="K1470" s="312" t="s">
        <v>109</v>
      </c>
    </row>
    <row r="1471" spans="1:11">
      <c r="A1471" s="312" t="s">
        <v>3209</v>
      </c>
      <c r="B1471" s="312" t="s">
        <v>3210</v>
      </c>
      <c r="C1471" s="312" t="s">
        <v>105</v>
      </c>
      <c r="D1471" s="312" t="s">
        <v>283</v>
      </c>
      <c r="E1471" s="312" t="s">
        <v>107</v>
      </c>
      <c r="F1471" s="312">
        <v>1825</v>
      </c>
      <c r="G1471" s="312" t="s">
        <v>108</v>
      </c>
      <c r="H1471" s="312">
        <v>1827</v>
      </c>
      <c r="I1471" s="312" t="s">
        <v>107</v>
      </c>
      <c r="J1471" s="312">
        <v>1913</v>
      </c>
      <c r="K1471" s="312" t="s">
        <v>109</v>
      </c>
    </row>
    <row r="1472" spans="1:11">
      <c r="A1472" s="312" t="s">
        <v>3211</v>
      </c>
      <c r="B1472" s="312" t="s">
        <v>3212</v>
      </c>
      <c r="C1472" s="312" t="s">
        <v>105</v>
      </c>
      <c r="D1472" s="312" t="s">
        <v>283</v>
      </c>
      <c r="E1472" s="312" t="s">
        <v>107</v>
      </c>
      <c r="F1472" s="312">
        <v>1825</v>
      </c>
      <c r="G1472" s="312" t="s">
        <v>108</v>
      </c>
      <c r="H1472" s="312">
        <v>1827</v>
      </c>
      <c r="I1472" s="312" t="s">
        <v>107</v>
      </c>
      <c r="J1472" s="312">
        <v>1913</v>
      </c>
      <c r="K1472" s="312" t="s">
        <v>109</v>
      </c>
    </row>
    <row r="1473" spans="1:11">
      <c r="A1473" s="312" t="s">
        <v>3213</v>
      </c>
      <c r="B1473" s="312" t="s">
        <v>3214</v>
      </c>
      <c r="C1473" s="312" t="s">
        <v>105</v>
      </c>
      <c r="D1473" s="312" t="s">
        <v>2285</v>
      </c>
      <c r="E1473" s="312" t="s">
        <v>107</v>
      </c>
      <c r="F1473" s="312">
        <v>1825</v>
      </c>
      <c r="G1473" s="312" t="s">
        <v>108</v>
      </c>
      <c r="H1473" s="312">
        <v>1827</v>
      </c>
      <c r="I1473" s="312" t="s">
        <v>107</v>
      </c>
      <c r="J1473" s="312">
        <v>1913</v>
      </c>
      <c r="K1473" s="312" t="s">
        <v>109</v>
      </c>
    </row>
    <row r="1474" spans="1:11">
      <c r="A1474" s="312" t="s">
        <v>3215</v>
      </c>
      <c r="B1474" s="312" t="s">
        <v>3216</v>
      </c>
      <c r="C1474" s="312" t="s">
        <v>105</v>
      </c>
      <c r="D1474" s="312" t="s">
        <v>114</v>
      </c>
      <c r="E1474" s="312" t="s">
        <v>107</v>
      </c>
      <c r="F1474" s="312">
        <v>1825</v>
      </c>
      <c r="G1474" s="312" t="s">
        <v>108</v>
      </c>
      <c r="H1474" s="312">
        <v>1827</v>
      </c>
      <c r="I1474" s="312" t="s">
        <v>107</v>
      </c>
      <c r="J1474" s="312">
        <v>1913</v>
      </c>
      <c r="K1474" s="312" t="s">
        <v>109</v>
      </c>
    </row>
    <row r="1475" spans="1:11">
      <c r="A1475" s="312" t="s">
        <v>3217</v>
      </c>
      <c r="B1475" s="312" t="s">
        <v>3218</v>
      </c>
      <c r="C1475" s="312" t="s">
        <v>105</v>
      </c>
      <c r="D1475" s="312" t="s">
        <v>184</v>
      </c>
      <c r="E1475" s="312" t="s">
        <v>107</v>
      </c>
      <c r="F1475" s="312">
        <v>1825</v>
      </c>
      <c r="G1475" s="312" t="s">
        <v>108</v>
      </c>
      <c r="H1475" s="312">
        <v>1827</v>
      </c>
      <c r="I1475" s="312" t="s">
        <v>107</v>
      </c>
      <c r="J1475" s="312">
        <v>1913</v>
      </c>
      <c r="K1475" s="312" t="s">
        <v>109</v>
      </c>
    </row>
    <row r="1476" spans="1:11">
      <c r="A1476" s="312" t="s">
        <v>3219</v>
      </c>
      <c r="B1476" s="312" t="s">
        <v>3220</v>
      </c>
      <c r="C1476" s="312" t="s">
        <v>105</v>
      </c>
      <c r="D1476" s="312" t="s">
        <v>438</v>
      </c>
      <c r="E1476" s="312" t="s">
        <v>107</v>
      </c>
      <c r="F1476" s="312">
        <v>1825</v>
      </c>
      <c r="G1476" s="312" t="s">
        <v>108</v>
      </c>
      <c r="H1476" s="312">
        <v>1827</v>
      </c>
      <c r="I1476" s="312" t="s">
        <v>107</v>
      </c>
      <c r="J1476" s="312">
        <v>1913</v>
      </c>
      <c r="K1476" s="312" t="s">
        <v>109</v>
      </c>
    </row>
    <row r="1477" spans="1:11">
      <c r="A1477" s="312" t="s">
        <v>3221</v>
      </c>
      <c r="B1477" s="312" t="s">
        <v>3222</v>
      </c>
      <c r="C1477" s="312" t="s">
        <v>105</v>
      </c>
      <c r="D1477" s="312" t="s">
        <v>106</v>
      </c>
      <c r="E1477" s="312" t="s">
        <v>107</v>
      </c>
      <c r="F1477" s="312">
        <v>1825</v>
      </c>
      <c r="G1477" s="312" t="s">
        <v>108</v>
      </c>
      <c r="H1477" s="312">
        <v>1827</v>
      </c>
      <c r="I1477" s="312" t="s">
        <v>107</v>
      </c>
      <c r="J1477" s="312">
        <v>1913</v>
      </c>
      <c r="K1477" s="312" t="s">
        <v>109</v>
      </c>
    </row>
    <row r="1478" spans="1:11">
      <c r="A1478" s="312" t="s">
        <v>3223</v>
      </c>
      <c r="B1478" s="312" t="s">
        <v>3224</v>
      </c>
      <c r="C1478" s="312" t="s">
        <v>105</v>
      </c>
      <c r="D1478" s="312" t="s">
        <v>2928</v>
      </c>
      <c r="E1478" s="312" t="s">
        <v>107</v>
      </c>
      <c r="F1478" s="312">
        <v>1825</v>
      </c>
      <c r="G1478" s="312" t="s">
        <v>108</v>
      </c>
      <c r="H1478" s="312">
        <v>1827</v>
      </c>
      <c r="I1478" s="312" t="s">
        <v>107</v>
      </c>
      <c r="J1478" s="312">
        <v>1913</v>
      </c>
      <c r="K1478" s="312" t="s">
        <v>109</v>
      </c>
    </row>
    <row r="1479" spans="1:11">
      <c r="A1479" s="312" t="s">
        <v>3225</v>
      </c>
      <c r="B1479" s="312" t="s">
        <v>3226</v>
      </c>
      <c r="C1479" s="312" t="s">
        <v>105</v>
      </c>
      <c r="D1479" s="312" t="s">
        <v>2928</v>
      </c>
      <c r="E1479" s="312" t="s">
        <v>107</v>
      </c>
      <c r="F1479" s="312">
        <v>1825</v>
      </c>
      <c r="G1479" s="312" t="s">
        <v>108</v>
      </c>
      <c r="H1479" s="312">
        <v>1827</v>
      </c>
      <c r="I1479" s="312" t="s">
        <v>107</v>
      </c>
      <c r="J1479" s="312">
        <v>1913</v>
      </c>
      <c r="K1479" s="312" t="s">
        <v>109</v>
      </c>
    </row>
    <row r="1480" spans="1:11">
      <c r="A1480" s="312" t="s">
        <v>3227</v>
      </c>
      <c r="B1480" s="312" t="s">
        <v>3228</v>
      </c>
      <c r="C1480" s="312" t="s">
        <v>105</v>
      </c>
      <c r="D1480" s="312" t="s">
        <v>2928</v>
      </c>
      <c r="E1480" s="312" t="s">
        <v>107</v>
      </c>
      <c r="F1480" s="312">
        <v>1825</v>
      </c>
      <c r="G1480" s="312" t="s">
        <v>108</v>
      </c>
      <c r="H1480" s="312">
        <v>1827</v>
      </c>
      <c r="I1480" s="312" t="s">
        <v>107</v>
      </c>
      <c r="J1480" s="312">
        <v>1913</v>
      </c>
      <c r="K1480" s="312" t="s">
        <v>109</v>
      </c>
    </row>
    <row r="1481" spans="1:11">
      <c r="A1481" s="312" t="s">
        <v>3229</v>
      </c>
      <c r="B1481" s="312" t="s">
        <v>3230</v>
      </c>
      <c r="C1481" s="312" t="s">
        <v>105</v>
      </c>
      <c r="D1481" s="312" t="s">
        <v>312</v>
      </c>
      <c r="E1481" s="312" t="s">
        <v>107</v>
      </c>
      <c r="F1481" s="312">
        <v>1825</v>
      </c>
      <c r="G1481" s="312" t="s">
        <v>108</v>
      </c>
      <c r="H1481" s="312">
        <v>1827</v>
      </c>
      <c r="I1481" s="312" t="s">
        <v>107</v>
      </c>
      <c r="J1481" s="312">
        <v>1913</v>
      </c>
      <c r="K1481" s="312" t="s">
        <v>109</v>
      </c>
    </row>
    <row r="1482" spans="1:11">
      <c r="A1482" s="312" t="s">
        <v>3231</v>
      </c>
      <c r="B1482" s="312" t="s">
        <v>3232</v>
      </c>
      <c r="C1482" s="312" t="s">
        <v>105</v>
      </c>
      <c r="D1482" s="312" t="s">
        <v>556</v>
      </c>
      <c r="E1482" s="312" t="s">
        <v>107</v>
      </c>
      <c r="F1482" s="312">
        <v>1825</v>
      </c>
      <c r="G1482" s="312" t="s">
        <v>108</v>
      </c>
      <c r="H1482" s="312">
        <v>1827</v>
      </c>
      <c r="I1482" s="312" t="s">
        <v>107</v>
      </c>
      <c r="J1482" s="312">
        <v>1913</v>
      </c>
      <c r="K1482" s="312" t="s">
        <v>109</v>
      </c>
    </row>
    <row r="1483" spans="1:11">
      <c r="A1483" s="312" t="s">
        <v>3233</v>
      </c>
      <c r="B1483" s="312" t="s">
        <v>3234</v>
      </c>
      <c r="C1483" s="312" t="s">
        <v>105</v>
      </c>
      <c r="D1483" s="312" t="s">
        <v>114</v>
      </c>
      <c r="E1483" s="312" t="s">
        <v>107</v>
      </c>
      <c r="F1483" s="312">
        <v>1825</v>
      </c>
      <c r="G1483" s="312" t="s">
        <v>108</v>
      </c>
      <c r="H1483" s="312">
        <v>1827</v>
      </c>
      <c r="I1483" s="312" t="s">
        <v>107</v>
      </c>
      <c r="J1483" s="312">
        <v>1913</v>
      </c>
      <c r="K1483" s="312" t="s">
        <v>109</v>
      </c>
    </row>
    <row r="1484" spans="1:11">
      <c r="A1484" s="312" t="s">
        <v>3235</v>
      </c>
      <c r="B1484" s="312" t="s">
        <v>3236</v>
      </c>
      <c r="C1484" s="312" t="s">
        <v>105</v>
      </c>
      <c r="D1484" s="312" t="s">
        <v>114</v>
      </c>
      <c r="E1484" s="312" t="s">
        <v>107</v>
      </c>
      <c r="F1484" s="312">
        <v>1825</v>
      </c>
      <c r="G1484" s="312" t="s">
        <v>108</v>
      </c>
      <c r="H1484" s="312">
        <v>1827</v>
      </c>
      <c r="I1484" s="312" t="s">
        <v>107</v>
      </c>
      <c r="J1484" s="312">
        <v>1913</v>
      </c>
      <c r="K1484" s="312" t="s">
        <v>109</v>
      </c>
    </row>
    <row r="1485" spans="1:11">
      <c r="A1485" s="312" t="s">
        <v>3237</v>
      </c>
      <c r="B1485" s="312" t="s">
        <v>3238</v>
      </c>
      <c r="C1485" s="312" t="s">
        <v>105</v>
      </c>
      <c r="D1485" s="312" t="s">
        <v>114</v>
      </c>
      <c r="E1485" s="312" t="s">
        <v>107</v>
      </c>
      <c r="F1485" s="312">
        <v>1825</v>
      </c>
      <c r="G1485" s="312" t="s">
        <v>108</v>
      </c>
      <c r="H1485" s="312">
        <v>1827</v>
      </c>
      <c r="I1485" s="312" t="s">
        <v>107</v>
      </c>
      <c r="J1485" s="312">
        <v>1913</v>
      </c>
      <c r="K1485" s="312" t="s">
        <v>109</v>
      </c>
    </row>
    <row r="1486" spans="1:11">
      <c r="A1486" s="312" t="s">
        <v>3239</v>
      </c>
      <c r="B1486" s="312" t="s">
        <v>3240</v>
      </c>
      <c r="C1486" s="312" t="s">
        <v>105</v>
      </c>
      <c r="D1486" s="312" t="s">
        <v>524</v>
      </c>
      <c r="E1486" s="312" t="s">
        <v>107</v>
      </c>
      <c r="F1486" s="312">
        <v>1825</v>
      </c>
      <c r="G1486" s="312" t="s">
        <v>108</v>
      </c>
      <c r="H1486" s="312">
        <v>1827</v>
      </c>
      <c r="I1486" s="312" t="s">
        <v>107</v>
      </c>
      <c r="J1486" s="312">
        <v>1913</v>
      </c>
      <c r="K1486" s="312" t="s">
        <v>109</v>
      </c>
    </row>
    <row r="1487" spans="1:11">
      <c r="A1487" s="312" t="s">
        <v>3241</v>
      </c>
      <c r="B1487" s="312" t="s">
        <v>3242</v>
      </c>
      <c r="C1487" s="312" t="s">
        <v>105</v>
      </c>
      <c r="D1487" s="312" t="s">
        <v>504</v>
      </c>
      <c r="E1487" s="312" t="s">
        <v>167</v>
      </c>
      <c r="F1487" s="312">
        <v>1705</v>
      </c>
      <c r="G1487" s="312" t="s">
        <v>168</v>
      </c>
      <c r="H1487" s="312">
        <v>1707</v>
      </c>
      <c r="I1487" s="312" t="s">
        <v>167</v>
      </c>
      <c r="J1487" s="312">
        <v>1899</v>
      </c>
      <c r="K1487" s="312" t="s">
        <v>169</v>
      </c>
    </row>
    <row r="1488" spans="1:11">
      <c r="A1488" s="312" t="s">
        <v>3243</v>
      </c>
      <c r="B1488" s="312" t="s">
        <v>3244</v>
      </c>
      <c r="C1488" s="312" t="s">
        <v>105</v>
      </c>
      <c r="D1488" s="312" t="s">
        <v>536</v>
      </c>
      <c r="E1488" s="312" t="s">
        <v>107</v>
      </c>
      <c r="F1488" s="312">
        <v>1825</v>
      </c>
      <c r="G1488" s="312" t="s">
        <v>108</v>
      </c>
      <c r="H1488" s="312">
        <v>1827</v>
      </c>
      <c r="I1488" s="312" t="s">
        <v>107</v>
      </c>
      <c r="J1488" s="312">
        <v>1913</v>
      </c>
      <c r="K1488" s="312" t="s">
        <v>109</v>
      </c>
    </row>
    <row r="1489" spans="1:11">
      <c r="A1489" s="312" t="s">
        <v>3245</v>
      </c>
      <c r="B1489" s="312" t="s">
        <v>3246</v>
      </c>
      <c r="C1489" s="312" t="s">
        <v>105</v>
      </c>
      <c r="D1489" s="312" t="s">
        <v>379</v>
      </c>
      <c r="E1489" s="312" t="s">
        <v>167</v>
      </c>
      <c r="F1489" s="312">
        <v>1705</v>
      </c>
      <c r="G1489" s="312" t="s">
        <v>168</v>
      </c>
      <c r="H1489" s="312">
        <v>1707</v>
      </c>
      <c r="I1489" s="312" t="s">
        <v>167</v>
      </c>
      <c r="J1489" s="312">
        <v>1899</v>
      </c>
      <c r="K1489" s="312" t="s">
        <v>169</v>
      </c>
    </row>
    <row r="1490" spans="1:11">
      <c r="A1490" s="312" t="s">
        <v>3247</v>
      </c>
      <c r="B1490" s="312" t="s">
        <v>3248</v>
      </c>
      <c r="C1490" s="312" t="s">
        <v>105</v>
      </c>
      <c r="D1490" s="312" t="s">
        <v>379</v>
      </c>
      <c r="E1490" s="312" t="s">
        <v>167</v>
      </c>
      <c r="F1490" s="312">
        <v>1705</v>
      </c>
      <c r="G1490" s="312" t="s">
        <v>168</v>
      </c>
      <c r="H1490" s="312">
        <v>1707</v>
      </c>
      <c r="I1490" s="312" t="s">
        <v>167</v>
      </c>
      <c r="J1490" s="312">
        <v>1899</v>
      </c>
      <c r="K1490" s="312" t="s">
        <v>169</v>
      </c>
    </row>
    <row r="1491" spans="1:11">
      <c r="A1491" s="312" t="s">
        <v>3249</v>
      </c>
      <c r="B1491" s="312" t="s">
        <v>3250</v>
      </c>
      <c r="C1491" s="312" t="s">
        <v>105</v>
      </c>
      <c r="D1491" s="312" t="s">
        <v>379</v>
      </c>
      <c r="E1491" s="312" t="s">
        <v>167</v>
      </c>
      <c r="F1491" s="312">
        <v>1705</v>
      </c>
      <c r="G1491" s="312" t="s">
        <v>168</v>
      </c>
      <c r="H1491" s="312">
        <v>1707</v>
      </c>
      <c r="I1491" s="312" t="s">
        <v>167</v>
      </c>
      <c r="J1491" s="312">
        <v>1899</v>
      </c>
      <c r="K1491" s="312" t="s">
        <v>169</v>
      </c>
    </row>
    <row r="1492" spans="1:11">
      <c r="A1492" s="312" t="s">
        <v>3251</v>
      </c>
      <c r="B1492" s="312" t="s">
        <v>3252</v>
      </c>
      <c r="C1492" s="312" t="s">
        <v>105</v>
      </c>
      <c r="D1492" s="312" t="s">
        <v>252</v>
      </c>
      <c r="E1492" s="312" t="s">
        <v>167</v>
      </c>
      <c r="F1492" s="312">
        <v>1705</v>
      </c>
      <c r="G1492" s="312" t="s">
        <v>168</v>
      </c>
      <c r="H1492" s="312">
        <v>1707</v>
      </c>
      <c r="I1492" s="312" t="s">
        <v>167</v>
      </c>
      <c r="J1492" s="312">
        <v>1899</v>
      </c>
      <c r="K1492" s="312" t="s">
        <v>169</v>
      </c>
    </row>
    <row r="1493" spans="1:11">
      <c r="A1493" s="312" t="s">
        <v>3253</v>
      </c>
      <c r="B1493" s="312" t="s">
        <v>3254</v>
      </c>
      <c r="C1493" s="312" t="s">
        <v>105</v>
      </c>
      <c r="D1493" s="312" t="s">
        <v>483</v>
      </c>
      <c r="E1493" s="312" t="s">
        <v>107</v>
      </c>
      <c r="F1493" s="312">
        <v>1825</v>
      </c>
      <c r="G1493" s="312" t="s">
        <v>108</v>
      </c>
      <c r="H1493" s="312">
        <v>1827</v>
      </c>
      <c r="I1493" s="312" t="s">
        <v>107</v>
      </c>
      <c r="J1493" s="312">
        <v>1913</v>
      </c>
      <c r="K1493" s="312" t="s">
        <v>109</v>
      </c>
    </row>
    <row r="1494" spans="1:11">
      <c r="A1494" s="312" t="s">
        <v>3255</v>
      </c>
      <c r="B1494" s="312" t="s">
        <v>3256</v>
      </c>
      <c r="C1494" s="312" t="s">
        <v>105</v>
      </c>
      <c r="D1494" s="312" t="s">
        <v>483</v>
      </c>
      <c r="E1494" s="312" t="s">
        <v>107</v>
      </c>
      <c r="F1494" s="312">
        <v>1825</v>
      </c>
      <c r="G1494" s="312" t="s">
        <v>108</v>
      </c>
      <c r="H1494" s="312">
        <v>1827</v>
      </c>
      <c r="I1494" s="312" t="s">
        <v>107</v>
      </c>
      <c r="J1494" s="312">
        <v>1913</v>
      </c>
      <c r="K1494" s="312" t="s">
        <v>109</v>
      </c>
    </row>
    <row r="1495" spans="1:11">
      <c r="A1495" s="312" t="s">
        <v>3257</v>
      </c>
      <c r="B1495" s="312" t="s">
        <v>3258</v>
      </c>
      <c r="C1495" s="312" t="s">
        <v>105</v>
      </c>
      <c r="D1495" s="312" t="s">
        <v>483</v>
      </c>
      <c r="E1495" s="312" t="s">
        <v>107</v>
      </c>
      <c r="F1495" s="312">
        <v>1825</v>
      </c>
      <c r="G1495" s="312" t="s">
        <v>108</v>
      </c>
      <c r="H1495" s="312">
        <v>1827</v>
      </c>
      <c r="I1495" s="312" t="s">
        <v>107</v>
      </c>
      <c r="J1495" s="312">
        <v>1913</v>
      </c>
      <c r="K1495" s="312" t="s">
        <v>109</v>
      </c>
    </row>
    <row r="1496" spans="1:11">
      <c r="A1496" s="312" t="s">
        <v>3259</v>
      </c>
      <c r="B1496" s="312" t="s">
        <v>3260</v>
      </c>
      <c r="C1496" s="312" t="s">
        <v>105</v>
      </c>
      <c r="D1496" s="312" t="s">
        <v>1533</v>
      </c>
      <c r="E1496" s="312" t="s">
        <v>167</v>
      </c>
      <c r="F1496" s="312">
        <v>1705</v>
      </c>
      <c r="G1496" s="312" t="s">
        <v>168</v>
      </c>
      <c r="H1496" s="312">
        <v>1707</v>
      </c>
      <c r="I1496" s="312" t="s">
        <v>167</v>
      </c>
      <c r="J1496" s="312">
        <v>1899</v>
      </c>
      <c r="K1496" s="312" t="s">
        <v>169</v>
      </c>
    </row>
    <row r="1497" spans="1:11">
      <c r="A1497" s="312" t="s">
        <v>3261</v>
      </c>
      <c r="B1497" s="312" t="s">
        <v>3262</v>
      </c>
      <c r="C1497" s="312" t="s">
        <v>105</v>
      </c>
      <c r="D1497" s="312" t="s">
        <v>507</v>
      </c>
      <c r="E1497" s="312" t="s">
        <v>167</v>
      </c>
      <c r="F1497" s="312">
        <v>1705</v>
      </c>
      <c r="G1497" s="312" t="s">
        <v>168</v>
      </c>
      <c r="H1497" s="312">
        <v>1707</v>
      </c>
      <c r="I1497" s="312" t="s">
        <v>167</v>
      </c>
      <c r="J1497" s="312">
        <v>1899</v>
      </c>
      <c r="K1497" s="312" t="s">
        <v>169</v>
      </c>
    </row>
    <row r="1498" spans="1:11">
      <c r="A1498" s="312" t="s">
        <v>3263</v>
      </c>
      <c r="B1498" s="312" t="s">
        <v>3264</v>
      </c>
      <c r="C1498" s="312" t="s">
        <v>105</v>
      </c>
      <c r="D1498" s="312" t="s">
        <v>1533</v>
      </c>
      <c r="E1498" s="312" t="s">
        <v>107</v>
      </c>
      <c r="F1498" s="312">
        <v>1825</v>
      </c>
      <c r="G1498" s="312" t="s">
        <v>108</v>
      </c>
      <c r="H1498" s="312">
        <v>1827</v>
      </c>
      <c r="I1498" s="312" t="s">
        <v>107</v>
      </c>
      <c r="J1498" s="312">
        <v>1913</v>
      </c>
      <c r="K1498" s="312" t="s">
        <v>109</v>
      </c>
    </row>
    <row r="1499" spans="1:11">
      <c r="A1499" s="312" t="s">
        <v>3265</v>
      </c>
      <c r="B1499" s="312" t="s">
        <v>3266</v>
      </c>
      <c r="C1499" s="312" t="s">
        <v>105</v>
      </c>
      <c r="D1499" s="312" t="s">
        <v>711</v>
      </c>
      <c r="E1499" s="312" t="s">
        <v>107</v>
      </c>
      <c r="F1499" s="312">
        <v>1825</v>
      </c>
      <c r="G1499" s="312" t="s">
        <v>108</v>
      </c>
      <c r="H1499" s="312">
        <v>1827</v>
      </c>
      <c r="I1499" s="312" t="s">
        <v>107</v>
      </c>
      <c r="J1499" s="312">
        <v>1913</v>
      </c>
      <c r="K1499" s="312" t="s">
        <v>109</v>
      </c>
    </row>
    <row r="1500" spans="1:11">
      <c r="A1500" s="312" t="s">
        <v>3267</v>
      </c>
      <c r="B1500" s="312" t="s">
        <v>3268</v>
      </c>
      <c r="C1500" s="312" t="s">
        <v>105</v>
      </c>
      <c r="D1500" s="312" t="s">
        <v>2211</v>
      </c>
      <c r="E1500" s="312" t="s">
        <v>167</v>
      </c>
      <c r="F1500" s="312">
        <v>1705</v>
      </c>
      <c r="G1500" s="312" t="s">
        <v>168</v>
      </c>
      <c r="H1500" s="312">
        <v>1707</v>
      </c>
      <c r="I1500" s="312" t="s">
        <v>167</v>
      </c>
      <c r="J1500" s="312">
        <v>1899</v>
      </c>
      <c r="K1500" s="312" t="s">
        <v>169</v>
      </c>
    </row>
    <row r="1501" spans="1:11">
      <c r="A1501" s="312" t="s">
        <v>3269</v>
      </c>
      <c r="B1501" s="1" t="s">
        <v>3270</v>
      </c>
      <c r="C1501" s="312" t="s">
        <v>105</v>
      </c>
      <c r="D1501" s="312" t="s">
        <v>2576</v>
      </c>
      <c r="E1501" s="312" t="s">
        <v>107</v>
      </c>
      <c r="F1501" s="312">
        <v>1825</v>
      </c>
      <c r="G1501" s="312" t="s">
        <v>108</v>
      </c>
      <c r="H1501" s="312">
        <v>1827</v>
      </c>
      <c r="I1501" s="312" t="s">
        <v>107</v>
      </c>
      <c r="J1501" s="312">
        <v>1913</v>
      </c>
      <c r="K1501" s="312" t="s">
        <v>109</v>
      </c>
    </row>
    <row r="1502" spans="1:11">
      <c r="A1502" s="312" t="s">
        <v>3271</v>
      </c>
      <c r="B1502" s="312" t="s">
        <v>3272</v>
      </c>
      <c r="C1502" s="312" t="s">
        <v>105</v>
      </c>
      <c r="D1502" s="312" t="s">
        <v>252</v>
      </c>
      <c r="E1502" s="312" t="s">
        <v>167</v>
      </c>
      <c r="F1502" s="312">
        <v>1705</v>
      </c>
      <c r="G1502" s="312" t="s">
        <v>168</v>
      </c>
      <c r="H1502" s="312">
        <v>1707</v>
      </c>
      <c r="I1502" s="312" t="s">
        <v>167</v>
      </c>
      <c r="J1502" s="312">
        <v>1899</v>
      </c>
      <c r="K1502" s="312" t="s">
        <v>169</v>
      </c>
    </row>
    <row r="1503" spans="1:11">
      <c r="A1503" s="312" t="s">
        <v>3273</v>
      </c>
      <c r="B1503" s="312" t="s">
        <v>3274</v>
      </c>
      <c r="C1503" s="312" t="s">
        <v>105</v>
      </c>
      <c r="D1503" s="312" t="s">
        <v>106</v>
      </c>
      <c r="E1503" s="312" t="s">
        <v>107</v>
      </c>
      <c r="F1503" s="312">
        <v>1825</v>
      </c>
      <c r="G1503" s="312" t="s">
        <v>108</v>
      </c>
      <c r="H1503" s="312">
        <v>1827</v>
      </c>
      <c r="I1503" s="312" t="s">
        <v>107</v>
      </c>
      <c r="J1503" s="312">
        <v>1913</v>
      </c>
      <c r="K1503" s="312" t="s">
        <v>109</v>
      </c>
    </row>
    <row r="1504" spans="1:11">
      <c r="A1504" s="312" t="s">
        <v>3275</v>
      </c>
      <c r="B1504" s="312" t="s">
        <v>3276</v>
      </c>
      <c r="C1504" s="312" t="s">
        <v>105</v>
      </c>
      <c r="D1504" s="312" t="s">
        <v>570</v>
      </c>
      <c r="E1504" s="312" t="s">
        <v>684</v>
      </c>
      <c r="F1504" s="312">
        <v>1750</v>
      </c>
      <c r="G1504" s="312" t="s">
        <v>685</v>
      </c>
      <c r="H1504" s="312">
        <v>1754</v>
      </c>
      <c r="I1504" s="312" t="s">
        <v>684</v>
      </c>
      <c r="J1504" s="312">
        <v>1920</v>
      </c>
      <c r="K1504" s="312" t="s">
        <v>686</v>
      </c>
    </row>
    <row r="1505" spans="1:11">
      <c r="A1505" s="312" t="s">
        <v>3277</v>
      </c>
      <c r="B1505" s="312" t="s">
        <v>3278</v>
      </c>
      <c r="C1505" s="312" t="s">
        <v>105</v>
      </c>
      <c r="D1505" s="312" t="s">
        <v>114</v>
      </c>
      <c r="E1505" s="312" t="s">
        <v>107</v>
      </c>
      <c r="F1505" s="312">
        <v>1825</v>
      </c>
      <c r="G1505" s="312" t="s">
        <v>108</v>
      </c>
      <c r="H1505" s="312">
        <v>1827</v>
      </c>
      <c r="I1505" s="312" t="s">
        <v>107</v>
      </c>
      <c r="J1505" s="312">
        <v>1913</v>
      </c>
      <c r="K1505" s="312" t="s">
        <v>109</v>
      </c>
    </row>
    <row r="1506" spans="1:11">
      <c r="A1506" s="312" t="s">
        <v>3279</v>
      </c>
      <c r="B1506" s="312" t="s">
        <v>3280</v>
      </c>
      <c r="C1506" s="312" t="s">
        <v>105</v>
      </c>
      <c r="D1506" s="312" t="s">
        <v>184</v>
      </c>
      <c r="E1506" s="312" t="s">
        <v>107</v>
      </c>
      <c r="F1506" s="312">
        <v>1825</v>
      </c>
      <c r="G1506" s="312" t="s">
        <v>108</v>
      </c>
      <c r="H1506" s="312">
        <v>1827</v>
      </c>
      <c r="I1506" s="312" t="s">
        <v>107</v>
      </c>
      <c r="J1506" s="312">
        <v>1913</v>
      </c>
      <c r="K1506" s="312" t="s">
        <v>109</v>
      </c>
    </row>
    <row r="1507" spans="1:11">
      <c r="A1507" s="312" t="s">
        <v>3281</v>
      </c>
      <c r="B1507" s="312" t="s">
        <v>3282</v>
      </c>
      <c r="C1507" s="312" t="s">
        <v>105</v>
      </c>
      <c r="D1507" s="312" t="s">
        <v>216</v>
      </c>
      <c r="E1507" s="312" t="s">
        <v>107</v>
      </c>
      <c r="F1507" s="312">
        <v>1825</v>
      </c>
      <c r="G1507" s="312" t="s">
        <v>108</v>
      </c>
      <c r="H1507" s="312">
        <v>1827</v>
      </c>
      <c r="I1507" s="312" t="s">
        <v>107</v>
      </c>
      <c r="J1507" s="312">
        <v>1913</v>
      </c>
      <c r="K1507" s="312" t="s">
        <v>109</v>
      </c>
    </row>
    <row r="1508" spans="1:11">
      <c r="A1508" s="312" t="s">
        <v>3283</v>
      </c>
      <c r="B1508" s="312" t="s">
        <v>3284</v>
      </c>
      <c r="C1508" s="312" t="s">
        <v>105</v>
      </c>
      <c r="D1508" s="312" t="s">
        <v>517</v>
      </c>
      <c r="E1508" s="312" t="s">
        <v>107</v>
      </c>
      <c r="F1508" s="312">
        <v>1825</v>
      </c>
      <c r="G1508" s="312" t="s">
        <v>108</v>
      </c>
      <c r="H1508" s="312">
        <v>1827</v>
      </c>
      <c r="I1508" s="312" t="s">
        <v>107</v>
      </c>
      <c r="J1508" s="312">
        <v>1913</v>
      </c>
      <c r="K1508" s="312" t="s">
        <v>109</v>
      </c>
    </row>
    <row r="1509" spans="1:11">
      <c r="A1509" s="312" t="s">
        <v>3285</v>
      </c>
      <c r="B1509" s="312" t="s">
        <v>3286</v>
      </c>
      <c r="C1509" s="312" t="s">
        <v>105</v>
      </c>
      <c r="D1509" s="312" t="s">
        <v>610</v>
      </c>
      <c r="E1509" s="312" t="s">
        <v>107</v>
      </c>
      <c r="F1509" s="312">
        <v>1825</v>
      </c>
      <c r="G1509" s="312" t="s">
        <v>108</v>
      </c>
      <c r="H1509" s="312">
        <v>1827</v>
      </c>
      <c r="I1509" s="312" t="s">
        <v>107</v>
      </c>
      <c r="J1509" s="312">
        <v>1913</v>
      </c>
      <c r="K1509" s="312" t="s">
        <v>109</v>
      </c>
    </row>
    <row r="1510" spans="1:11">
      <c r="A1510" s="312" t="s">
        <v>3287</v>
      </c>
      <c r="B1510" s="312" t="s">
        <v>3288</v>
      </c>
      <c r="C1510" s="312" t="s">
        <v>105</v>
      </c>
      <c r="D1510" s="312" t="s">
        <v>556</v>
      </c>
      <c r="E1510" s="312" t="s">
        <v>107</v>
      </c>
      <c r="F1510" s="312">
        <v>1825</v>
      </c>
      <c r="G1510" s="312" t="s">
        <v>108</v>
      </c>
      <c r="H1510" s="312">
        <v>1827</v>
      </c>
      <c r="I1510" s="312" t="s">
        <v>107</v>
      </c>
      <c r="J1510" s="312">
        <v>1913</v>
      </c>
      <c r="K1510" s="312" t="s">
        <v>109</v>
      </c>
    </row>
    <row r="1511" spans="1:11">
      <c r="A1511" s="312" t="s">
        <v>3289</v>
      </c>
      <c r="B1511" s="312" t="s">
        <v>3290</v>
      </c>
      <c r="C1511" s="312" t="s">
        <v>105</v>
      </c>
      <c r="D1511" s="312" t="s">
        <v>312</v>
      </c>
      <c r="E1511" s="312" t="s">
        <v>107</v>
      </c>
      <c r="F1511" s="312">
        <v>1825</v>
      </c>
      <c r="G1511" s="312" t="s">
        <v>108</v>
      </c>
      <c r="H1511" s="312">
        <v>1827</v>
      </c>
      <c r="I1511" s="312" t="s">
        <v>107</v>
      </c>
      <c r="J1511" s="312">
        <v>1913</v>
      </c>
      <c r="K1511" s="312" t="s">
        <v>109</v>
      </c>
    </row>
    <row r="1512" spans="1:11">
      <c r="A1512" s="312" t="s">
        <v>3291</v>
      </c>
      <c r="B1512" s="312" t="s">
        <v>3292</v>
      </c>
      <c r="C1512" s="312" t="s">
        <v>105</v>
      </c>
      <c r="D1512" s="312" t="s">
        <v>327</v>
      </c>
      <c r="E1512" s="312" t="s">
        <v>167</v>
      </c>
      <c r="F1512" s="312">
        <v>1705</v>
      </c>
      <c r="G1512" s="312" t="s">
        <v>168</v>
      </c>
      <c r="H1512" s="312">
        <v>1707</v>
      </c>
      <c r="I1512" s="312" t="s">
        <v>167</v>
      </c>
      <c r="J1512" s="312">
        <v>1899</v>
      </c>
      <c r="K1512" s="312" t="s">
        <v>169</v>
      </c>
    </row>
    <row r="1513" spans="1:11">
      <c r="A1513" s="312" t="s">
        <v>3293</v>
      </c>
      <c r="B1513" s="312" t="s">
        <v>3294</v>
      </c>
      <c r="C1513" s="312" t="s">
        <v>105</v>
      </c>
      <c r="D1513" s="312" t="s">
        <v>312</v>
      </c>
      <c r="E1513" s="312" t="s">
        <v>107</v>
      </c>
      <c r="F1513" s="312">
        <v>1825</v>
      </c>
      <c r="G1513" s="312" t="s">
        <v>108</v>
      </c>
      <c r="H1513" s="312">
        <v>1827</v>
      </c>
      <c r="I1513" s="312" t="s">
        <v>107</v>
      </c>
      <c r="J1513" s="312">
        <v>1913</v>
      </c>
      <c r="K1513" s="312" t="s">
        <v>109</v>
      </c>
    </row>
    <row r="1514" spans="1:11">
      <c r="A1514" s="312" t="s">
        <v>3295</v>
      </c>
      <c r="B1514" s="312" t="s">
        <v>3296</v>
      </c>
      <c r="C1514" s="312" t="s">
        <v>105</v>
      </c>
      <c r="D1514" s="312" t="s">
        <v>327</v>
      </c>
      <c r="E1514" s="312" t="s">
        <v>167</v>
      </c>
      <c r="F1514" s="312">
        <v>1705</v>
      </c>
      <c r="G1514" s="312" t="s">
        <v>168</v>
      </c>
      <c r="H1514" s="312">
        <v>1707</v>
      </c>
      <c r="I1514" s="312" t="s">
        <v>167</v>
      </c>
      <c r="J1514" s="312">
        <v>1899</v>
      </c>
      <c r="K1514" s="312" t="s">
        <v>169</v>
      </c>
    </row>
    <row r="1515" spans="1:11">
      <c r="A1515" s="312" t="s">
        <v>3297</v>
      </c>
      <c r="B1515" s="312" t="s">
        <v>3298</v>
      </c>
      <c r="C1515" s="312" t="s">
        <v>105</v>
      </c>
      <c r="D1515" s="312" t="s">
        <v>3299</v>
      </c>
      <c r="E1515" s="312" t="s">
        <v>107</v>
      </c>
      <c r="F1515" s="312">
        <v>1825</v>
      </c>
      <c r="G1515" s="312" t="s">
        <v>108</v>
      </c>
      <c r="H1515" s="312">
        <v>1827</v>
      </c>
      <c r="I1515" s="312" t="s">
        <v>107</v>
      </c>
      <c r="J1515" s="312">
        <v>1913</v>
      </c>
      <c r="K1515" s="312" t="s">
        <v>109</v>
      </c>
    </row>
    <row r="1516" spans="1:11">
      <c r="A1516" s="312" t="s">
        <v>3300</v>
      </c>
      <c r="B1516" s="312" t="s">
        <v>3301</v>
      </c>
      <c r="C1516" s="312" t="s">
        <v>105</v>
      </c>
      <c r="D1516" s="312" t="s">
        <v>1790</v>
      </c>
      <c r="E1516" s="312" t="s">
        <v>107</v>
      </c>
      <c r="F1516" s="312">
        <v>1825</v>
      </c>
      <c r="G1516" s="312" t="s">
        <v>108</v>
      </c>
      <c r="H1516" s="312">
        <v>1827</v>
      </c>
      <c r="I1516" s="312" t="s">
        <v>107</v>
      </c>
      <c r="J1516" s="312">
        <v>1913</v>
      </c>
      <c r="K1516" s="312" t="s">
        <v>109</v>
      </c>
    </row>
    <row r="1517" spans="1:11">
      <c r="A1517" s="312" t="s">
        <v>3302</v>
      </c>
      <c r="B1517" s="312" t="s">
        <v>3303</v>
      </c>
      <c r="C1517" s="312" t="s">
        <v>105</v>
      </c>
      <c r="D1517" s="312" t="s">
        <v>1790</v>
      </c>
      <c r="E1517" s="312" t="s">
        <v>107</v>
      </c>
      <c r="F1517" s="312">
        <v>1825</v>
      </c>
      <c r="G1517" s="312" t="s">
        <v>108</v>
      </c>
      <c r="H1517" s="312">
        <v>1827</v>
      </c>
      <c r="I1517" s="312" t="s">
        <v>107</v>
      </c>
      <c r="J1517" s="312">
        <v>1913</v>
      </c>
      <c r="K1517" s="312" t="s">
        <v>109</v>
      </c>
    </row>
    <row r="1518" spans="1:11">
      <c r="A1518" s="312" t="s">
        <v>3304</v>
      </c>
      <c r="B1518" s="312" t="s">
        <v>3305</v>
      </c>
      <c r="C1518" s="312" t="s">
        <v>105</v>
      </c>
      <c r="D1518" s="312" t="s">
        <v>1790</v>
      </c>
      <c r="E1518" s="312" t="s">
        <v>107</v>
      </c>
      <c r="F1518" s="312">
        <v>1825</v>
      </c>
      <c r="G1518" s="312" t="s">
        <v>108</v>
      </c>
      <c r="H1518" s="312">
        <v>1827</v>
      </c>
      <c r="I1518" s="312" t="s">
        <v>107</v>
      </c>
      <c r="J1518" s="312">
        <v>1913</v>
      </c>
      <c r="K1518" s="312" t="s">
        <v>109</v>
      </c>
    </row>
    <row r="1519" spans="1:11">
      <c r="A1519" s="312" t="s">
        <v>3306</v>
      </c>
      <c r="B1519" s="312" t="s">
        <v>3307</v>
      </c>
      <c r="C1519" s="312" t="s">
        <v>105</v>
      </c>
      <c r="D1519" s="312" t="s">
        <v>1790</v>
      </c>
      <c r="E1519" s="312" t="s">
        <v>107</v>
      </c>
      <c r="F1519" s="312">
        <v>1825</v>
      </c>
      <c r="G1519" s="312" t="s">
        <v>108</v>
      </c>
      <c r="H1519" s="312">
        <v>1827</v>
      </c>
      <c r="I1519" s="312" t="s">
        <v>107</v>
      </c>
      <c r="J1519" s="312">
        <v>1913</v>
      </c>
      <c r="K1519" s="312" t="s">
        <v>109</v>
      </c>
    </row>
    <row r="1520" spans="1:11">
      <c r="A1520" s="312" t="s">
        <v>3308</v>
      </c>
      <c r="B1520" s="312" t="s">
        <v>3309</v>
      </c>
      <c r="C1520" s="312" t="s">
        <v>105</v>
      </c>
      <c r="D1520" s="312" t="s">
        <v>1790</v>
      </c>
      <c r="E1520" s="312" t="s">
        <v>107</v>
      </c>
      <c r="F1520" s="312">
        <v>1825</v>
      </c>
      <c r="G1520" s="312" t="s">
        <v>108</v>
      </c>
      <c r="H1520" s="312">
        <v>1827</v>
      </c>
      <c r="I1520" s="312" t="s">
        <v>107</v>
      </c>
      <c r="J1520" s="312">
        <v>1913</v>
      </c>
      <c r="K1520" s="312" t="s">
        <v>109</v>
      </c>
    </row>
    <row r="1521" spans="1:11">
      <c r="A1521" s="312" t="s">
        <v>3310</v>
      </c>
      <c r="B1521" s="312" t="s">
        <v>3311</v>
      </c>
      <c r="C1521" s="312" t="s">
        <v>105</v>
      </c>
      <c r="D1521" s="312" t="s">
        <v>106</v>
      </c>
      <c r="E1521" s="312" t="s">
        <v>107</v>
      </c>
      <c r="F1521" s="312">
        <v>1825</v>
      </c>
      <c r="G1521" s="312" t="s">
        <v>108</v>
      </c>
      <c r="H1521" s="312">
        <v>1827</v>
      </c>
      <c r="I1521" s="312" t="s">
        <v>107</v>
      </c>
      <c r="J1521" s="312">
        <v>1913</v>
      </c>
      <c r="K1521" s="312" t="s">
        <v>109</v>
      </c>
    </row>
    <row r="1522" spans="1:11">
      <c r="A1522" s="312" t="s">
        <v>3312</v>
      </c>
      <c r="B1522" s="312" t="s">
        <v>3313</v>
      </c>
      <c r="C1522" s="312" t="s">
        <v>105</v>
      </c>
      <c r="D1522" s="312" t="s">
        <v>600</v>
      </c>
      <c r="E1522" s="312" t="s">
        <v>107</v>
      </c>
      <c r="F1522" s="312">
        <v>1825</v>
      </c>
      <c r="G1522" s="312" t="s">
        <v>108</v>
      </c>
      <c r="H1522" s="312">
        <v>1827</v>
      </c>
      <c r="I1522" s="312" t="s">
        <v>107</v>
      </c>
      <c r="J1522" s="312">
        <v>1913</v>
      </c>
      <c r="K1522" s="312" t="s">
        <v>109</v>
      </c>
    </row>
    <row r="1523" spans="1:11">
      <c r="A1523" s="312" t="s">
        <v>3314</v>
      </c>
      <c r="B1523" s="312" t="s">
        <v>3315</v>
      </c>
      <c r="C1523" s="312" t="s">
        <v>105</v>
      </c>
      <c r="D1523" s="312" t="s">
        <v>216</v>
      </c>
      <c r="E1523" s="312" t="s">
        <v>107</v>
      </c>
      <c r="F1523" s="312">
        <v>1825</v>
      </c>
      <c r="G1523" s="312" t="s">
        <v>108</v>
      </c>
      <c r="H1523" s="312">
        <v>1827</v>
      </c>
      <c r="I1523" s="312" t="s">
        <v>107</v>
      </c>
      <c r="J1523" s="312">
        <v>1913</v>
      </c>
      <c r="K1523" s="312" t="s">
        <v>109</v>
      </c>
    </row>
    <row r="1524" spans="1:11">
      <c r="A1524" s="312" t="s">
        <v>3316</v>
      </c>
      <c r="B1524" s="312" t="s">
        <v>3317</v>
      </c>
      <c r="C1524" s="312" t="s">
        <v>105</v>
      </c>
      <c r="D1524" s="312" t="s">
        <v>216</v>
      </c>
      <c r="E1524" s="312" t="s">
        <v>107</v>
      </c>
      <c r="F1524" s="312">
        <v>1825</v>
      </c>
      <c r="G1524" s="312" t="s">
        <v>108</v>
      </c>
      <c r="H1524" s="312">
        <v>1827</v>
      </c>
      <c r="I1524" s="312" t="s">
        <v>107</v>
      </c>
      <c r="J1524" s="312">
        <v>1913</v>
      </c>
      <c r="K1524" s="312" t="s">
        <v>109</v>
      </c>
    </row>
    <row r="1525" spans="1:11">
      <c r="A1525" s="312" t="s">
        <v>3318</v>
      </c>
      <c r="B1525" s="312" t="s">
        <v>3319</v>
      </c>
      <c r="C1525" s="312" t="s">
        <v>105</v>
      </c>
      <c r="D1525" s="312" t="s">
        <v>216</v>
      </c>
      <c r="E1525" s="312" t="s">
        <v>107</v>
      </c>
      <c r="F1525" s="312">
        <v>1825</v>
      </c>
      <c r="G1525" s="312" t="s">
        <v>108</v>
      </c>
      <c r="H1525" s="312">
        <v>1827</v>
      </c>
      <c r="I1525" s="312" t="s">
        <v>107</v>
      </c>
      <c r="J1525" s="312">
        <v>1913</v>
      </c>
      <c r="K1525" s="312" t="s">
        <v>109</v>
      </c>
    </row>
    <row r="1526" spans="1:11">
      <c r="A1526" s="312" t="s">
        <v>3320</v>
      </c>
      <c r="B1526" s="312" t="s">
        <v>3321</v>
      </c>
      <c r="C1526" s="312" t="s">
        <v>105</v>
      </c>
      <c r="D1526" s="312" t="s">
        <v>106</v>
      </c>
      <c r="E1526" s="312" t="s">
        <v>107</v>
      </c>
      <c r="F1526" s="312">
        <v>1825</v>
      </c>
      <c r="G1526" s="312" t="s">
        <v>108</v>
      </c>
      <c r="H1526" s="312">
        <v>1827</v>
      </c>
      <c r="I1526" s="312" t="s">
        <v>107</v>
      </c>
      <c r="J1526" s="312">
        <v>1913</v>
      </c>
      <c r="K1526" s="312" t="s">
        <v>109</v>
      </c>
    </row>
    <row r="1527" spans="1:11">
      <c r="A1527" s="312" t="s">
        <v>3322</v>
      </c>
      <c r="B1527" s="312" t="s">
        <v>3323</v>
      </c>
      <c r="C1527" s="312" t="s">
        <v>105</v>
      </c>
      <c r="D1527" s="312" t="s">
        <v>114</v>
      </c>
      <c r="E1527" s="312" t="s">
        <v>107</v>
      </c>
      <c r="F1527" s="312">
        <v>1825</v>
      </c>
      <c r="G1527" s="312" t="s">
        <v>108</v>
      </c>
      <c r="H1527" s="312">
        <v>1827</v>
      </c>
      <c r="I1527" s="312" t="s">
        <v>107</v>
      </c>
      <c r="J1527" s="312">
        <v>1913</v>
      </c>
      <c r="K1527" s="312" t="s">
        <v>109</v>
      </c>
    </row>
    <row r="1528" spans="1:11">
      <c r="A1528" s="312" t="s">
        <v>3324</v>
      </c>
      <c r="B1528" s="312" t="s">
        <v>3325</v>
      </c>
      <c r="C1528" s="312" t="s">
        <v>105</v>
      </c>
      <c r="D1528" s="312" t="s">
        <v>114</v>
      </c>
      <c r="E1528" s="312" t="s">
        <v>107</v>
      </c>
      <c r="F1528" s="312">
        <v>1825</v>
      </c>
      <c r="G1528" s="312" t="s">
        <v>108</v>
      </c>
      <c r="H1528" s="312">
        <v>1827</v>
      </c>
      <c r="I1528" s="312" t="s">
        <v>107</v>
      </c>
      <c r="J1528" s="312">
        <v>1913</v>
      </c>
      <c r="K1528" s="312" t="s">
        <v>109</v>
      </c>
    </row>
    <row r="1529" spans="1:11">
      <c r="A1529" s="312" t="s">
        <v>3326</v>
      </c>
      <c r="B1529" s="312" t="s">
        <v>3327</v>
      </c>
      <c r="C1529" s="312" t="s">
        <v>105</v>
      </c>
      <c r="D1529" s="312" t="s">
        <v>114</v>
      </c>
      <c r="E1529" s="312" t="s">
        <v>107</v>
      </c>
      <c r="F1529" s="312">
        <v>1825</v>
      </c>
      <c r="G1529" s="312" t="s">
        <v>108</v>
      </c>
      <c r="H1529" s="312">
        <v>1827</v>
      </c>
      <c r="I1529" s="312" t="s">
        <v>107</v>
      </c>
      <c r="J1529" s="312">
        <v>1913</v>
      </c>
      <c r="K1529" s="312" t="s">
        <v>109</v>
      </c>
    </row>
    <row r="1530" spans="1:11">
      <c r="A1530" s="312" t="s">
        <v>3328</v>
      </c>
      <c r="B1530" s="312" t="s">
        <v>3329</v>
      </c>
      <c r="C1530" s="312" t="s">
        <v>105</v>
      </c>
      <c r="D1530" s="312" t="s">
        <v>117</v>
      </c>
      <c r="E1530" s="312" t="s">
        <v>107</v>
      </c>
      <c r="F1530" s="312">
        <v>1825</v>
      </c>
      <c r="G1530" s="312" t="s">
        <v>108</v>
      </c>
      <c r="H1530" s="312">
        <v>1827</v>
      </c>
      <c r="I1530" s="312" t="s">
        <v>107</v>
      </c>
      <c r="J1530" s="312">
        <v>1913</v>
      </c>
      <c r="K1530" s="312" t="s">
        <v>109</v>
      </c>
    </row>
    <row r="1531" spans="1:11">
      <c r="A1531" s="312" t="s">
        <v>3330</v>
      </c>
      <c r="B1531" s="312" t="s">
        <v>3331</v>
      </c>
      <c r="C1531" s="312" t="s">
        <v>105</v>
      </c>
      <c r="D1531" s="312" t="s">
        <v>327</v>
      </c>
      <c r="E1531" s="312" t="s">
        <v>167</v>
      </c>
      <c r="F1531" s="312">
        <v>1705</v>
      </c>
      <c r="G1531" s="312" t="s">
        <v>168</v>
      </c>
      <c r="H1531" s="312">
        <v>1707</v>
      </c>
      <c r="I1531" s="312" t="s">
        <v>167</v>
      </c>
      <c r="J1531" s="312">
        <v>1899</v>
      </c>
      <c r="K1531" s="312" t="s">
        <v>169</v>
      </c>
    </row>
    <row r="1532" spans="1:11">
      <c r="A1532" s="312" t="s">
        <v>3332</v>
      </c>
      <c r="B1532" s="312" t="s">
        <v>3333</v>
      </c>
      <c r="C1532" s="312" t="s">
        <v>105</v>
      </c>
      <c r="D1532" s="312" t="s">
        <v>114</v>
      </c>
      <c r="E1532" s="312" t="s">
        <v>107</v>
      </c>
      <c r="F1532" s="312">
        <v>1825</v>
      </c>
      <c r="G1532" s="312" t="s">
        <v>108</v>
      </c>
      <c r="H1532" s="312">
        <v>1827</v>
      </c>
      <c r="I1532" s="312" t="s">
        <v>107</v>
      </c>
      <c r="J1532" s="312">
        <v>1913</v>
      </c>
      <c r="K1532" s="312" t="s">
        <v>109</v>
      </c>
    </row>
    <row r="1533" spans="1:11">
      <c r="A1533" s="312" t="s">
        <v>3334</v>
      </c>
      <c r="B1533" s="312" t="s">
        <v>3335</v>
      </c>
      <c r="C1533" s="312" t="s">
        <v>105</v>
      </c>
      <c r="D1533" s="312" t="s">
        <v>114</v>
      </c>
      <c r="E1533" s="312" t="s">
        <v>107</v>
      </c>
      <c r="F1533" s="312">
        <v>1825</v>
      </c>
      <c r="G1533" s="312" t="s">
        <v>108</v>
      </c>
      <c r="H1533" s="312">
        <v>1827</v>
      </c>
      <c r="I1533" s="312" t="s">
        <v>107</v>
      </c>
      <c r="J1533" s="312">
        <v>1913</v>
      </c>
      <c r="K1533" s="312" t="s">
        <v>109</v>
      </c>
    </row>
    <row r="1534" spans="1:11">
      <c r="A1534" s="312" t="s">
        <v>3336</v>
      </c>
      <c r="B1534" s="1" t="s">
        <v>3337</v>
      </c>
      <c r="C1534" s="312" t="s">
        <v>105</v>
      </c>
      <c r="D1534" s="312" t="s">
        <v>114</v>
      </c>
      <c r="E1534" s="312" t="s">
        <v>107</v>
      </c>
      <c r="F1534" s="312">
        <v>1825</v>
      </c>
      <c r="G1534" s="312" t="s">
        <v>108</v>
      </c>
      <c r="H1534" s="312">
        <v>1827</v>
      </c>
      <c r="I1534" s="312" t="s">
        <v>107</v>
      </c>
      <c r="J1534" s="312">
        <v>1913</v>
      </c>
      <c r="K1534" s="312" t="s">
        <v>109</v>
      </c>
    </row>
    <row r="1535" spans="1:11">
      <c r="A1535" s="312" t="s">
        <v>3338</v>
      </c>
      <c r="B1535" s="312" t="s">
        <v>3339</v>
      </c>
      <c r="C1535" s="312" t="s">
        <v>105</v>
      </c>
      <c r="D1535" s="312" t="s">
        <v>117</v>
      </c>
      <c r="E1535" s="312" t="s">
        <v>107</v>
      </c>
      <c r="F1535" s="312">
        <v>1825</v>
      </c>
      <c r="G1535" s="312" t="s">
        <v>108</v>
      </c>
      <c r="H1535" s="312">
        <v>1827</v>
      </c>
      <c r="I1535" s="312" t="s">
        <v>107</v>
      </c>
      <c r="J1535" s="312">
        <v>1913</v>
      </c>
      <c r="K1535" s="312" t="s">
        <v>109</v>
      </c>
    </row>
    <row r="1536" spans="1:11">
      <c r="A1536" s="312" t="s">
        <v>3340</v>
      </c>
      <c r="B1536" s="312" t="s">
        <v>3341</v>
      </c>
      <c r="C1536" s="312" t="s">
        <v>105</v>
      </c>
      <c r="D1536" s="312" t="s">
        <v>114</v>
      </c>
      <c r="E1536" s="312" t="s">
        <v>107</v>
      </c>
      <c r="F1536" s="312">
        <v>1825</v>
      </c>
      <c r="G1536" s="312" t="s">
        <v>108</v>
      </c>
      <c r="H1536" s="312">
        <v>1827</v>
      </c>
      <c r="I1536" s="312" t="s">
        <v>107</v>
      </c>
      <c r="J1536" s="312">
        <v>1913</v>
      </c>
      <c r="K1536" s="312" t="s">
        <v>109</v>
      </c>
    </row>
    <row r="1537" spans="1:11">
      <c r="A1537" s="312" t="s">
        <v>3342</v>
      </c>
      <c r="B1537" s="312" t="s">
        <v>3343</v>
      </c>
      <c r="C1537" s="312" t="s">
        <v>105</v>
      </c>
      <c r="D1537" s="312" t="s">
        <v>114</v>
      </c>
      <c r="E1537" s="312" t="s">
        <v>107</v>
      </c>
      <c r="F1537" s="312">
        <v>1825</v>
      </c>
      <c r="G1537" s="312" t="s">
        <v>108</v>
      </c>
      <c r="H1537" s="312">
        <v>1827</v>
      </c>
      <c r="I1537" s="312" t="s">
        <v>107</v>
      </c>
      <c r="J1537" s="312">
        <v>1913</v>
      </c>
      <c r="K1537" s="312" t="s">
        <v>109</v>
      </c>
    </row>
    <row r="1538" spans="1:11">
      <c r="A1538" s="312" t="s">
        <v>3344</v>
      </c>
      <c r="B1538" s="312" t="s">
        <v>3345</v>
      </c>
      <c r="C1538" s="312" t="s">
        <v>105</v>
      </c>
      <c r="D1538" s="312" t="s">
        <v>184</v>
      </c>
      <c r="E1538" s="312" t="s">
        <v>107</v>
      </c>
      <c r="F1538" s="312">
        <v>1825</v>
      </c>
      <c r="G1538" s="312" t="s">
        <v>108</v>
      </c>
      <c r="H1538" s="312">
        <v>1827</v>
      </c>
      <c r="I1538" s="312" t="s">
        <v>107</v>
      </c>
      <c r="J1538" s="312">
        <v>1913</v>
      </c>
      <c r="K1538" s="312" t="s">
        <v>109</v>
      </c>
    </row>
    <row r="1539" spans="1:11">
      <c r="A1539" s="312" t="s">
        <v>3346</v>
      </c>
      <c r="B1539" s="312" t="s">
        <v>3347</v>
      </c>
      <c r="C1539" s="312" t="s">
        <v>105</v>
      </c>
      <c r="D1539" s="312" t="s">
        <v>114</v>
      </c>
      <c r="E1539" s="312" t="s">
        <v>107</v>
      </c>
      <c r="F1539" s="312">
        <v>1825</v>
      </c>
      <c r="G1539" s="312" t="s">
        <v>108</v>
      </c>
      <c r="H1539" s="312">
        <v>1827</v>
      </c>
      <c r="I1539" s="312" t="s">
        <v>107</v>
      </c>
      <c r="J1539" s="312">
        <v>1913</v>
      </c>
      <c r="K1539" s="312" t="s">
        <v>109</v>
      </c>
    </row>
    <row r="1540" spans="1:11">
      <c r="A1540" s="312" t="s">
        <v>3348</v>
      </c>
      <c r="B1540" s="312" t="s">
        <v>3349</v>
      </c>
      <c r="C1540" s="312" t="s">
        <v>105</v>
      </c>
      <c r="D1540" s="312" t="s">
        <v>114</v>
      </c>
      <c r="E1540" s="312" t="s">
        <v>107</v>
      </c>
      <c r="F1540" s="312">
        <v>1825</v>
      </c>
      <c r="G1540" s="312" t="s">
        <v>108</v>
      </c>
      <c r="H1540" s="312">
        <v>1827</v>
      </c>
      <c r="I1540" s="312" t="s">
        <v>107</v>
      </c>
      <c r="J1540" s="312">
        <v>1913</v>
      </c>
      <c r="K1540" s="312" t="s">
        <v>109</v>
      </c>
    </row>
    <row r="1541" spans="1:11">
      <c r="A1541" s="312" t="s">
        <v>3350</v>
      </c>
      <c r="B1541" s="312" t="s">
        <v>3351</v>
      </c>
      <c r="C1541" s="312" t="s">
        <v>105</v>
      </c>
      <c r="D1541" s="312" t="s">
        <v>114</v>
      </c>
      <c r="E1541" s="312" t="s">
        <v>107</v>
      </c>
      <c r="F1541" s="312">
        <v>1825</v>
      </c>
      <c r="G1541" s="312" t="s">
        <v>108</v>
      </c>
      <c r="H1541" s="312">
        <v>1827</v>
      </c>
      <c r="I1541" s="312" t="s">
        <v>107</v>
      </c>
      <c r="J1541" s="312">
        <v>1913</v>
      </c>
      <c r="K1541" s="312" t="s">
        <v>109</v>
      </c>
    </row>
    <row r="1542" spans="1:11">
      <c r="A1542" s="312" t="s">
        <v>3352</v>
      </c>
      <c r="B1542" s="312" t="s">
        <v>3353</v>
      </c>
      <c r="C1542" s="312" t="s">
        <v>105</v>
      </c>
      <c r="D1542" s="312" t="s">
        <v>114</v>
      </c>
      <c r="E1542" s="312" t="s">
        <v>107</v>
      </c>
      <c r="F1542" s="312">
        <v>1825</v>
      </c>
      <c r="G1542" s="312" t="s">
        <v>108</v>
      </c>
      <c r="H1542" s="312">
        <v>1827</v>
      </c>
      <c r="I1542" s="312" t="s">
        <v>107</v>
      </c>
      <c r="J1542" s="312">
        <v>1913</v>
      </c>
      <c r="K1542" s="312" t="s">
        <v>109</v>
      </c>
    </row>
    <row r="1543" spans="1:11">
      <c r="A1543" s="312" t="s">
        <v>3354</v>
      </c>
      <c r="B1543" s="312" t="s">
        <v>3355</v>
      </c>
      <c r="C1543" s="312" t="s">
        <v>105</v>
      </c>
      <c r="D1543" s="312" t="s">
        <v>114</v>
      </c>
      <c r="E1543" s="312" t="s">
        <v>107</v>
      </c>
      <c r="F1543" s="312">
        <v>1825</v>
      </c>
      <c r="G1543" s="312" t="s">
        <v>108</v>
      </c>
      <c r="H1543" s="312">
        <v>1827</v>
      </c>
      <c r="I1543" s="312" t="s">
        <v>107</v>
      </c>
      <c r="J1543" s="312">
        <v>1913</v>
      </c>
      <c r="K1543" s="312" t="s">
        <v>109</v>
      </c>
    </row>
    <row r="1544" spans="1:11">
      <c r="A1544" s="312" t="s">
        <v>3356</v>
      </c>
      <c r="B1544" s="312" t="s">
        <v>3357</v>
      </c>
      <c r="C1544" s="312" t="s">
        <v>105</v>
      </c>
      <c r="D1544" s="312" t="s">
        <v>117</v>
      </c>
      <c r="E1544" s="312" t="s">
        <v>107</v>
      </c>
      <c r="F1544" s="312">
        <v>1825</v>
      </c>
      <c r="G1544" s="312" t="s">
        <v>108</v>
      </c>
      <c r="H1544" s="312">
        <v>1827</v>
      </c>
      <c r="I1544" s="312" t="s">
        <v>107</v>
      </c>
      <c r="J1544" s="312">
        <v>1913</v>
      </c>
      <c r="K1544" s="312" t="s">
        <v>109</v>
      </c>
    </row>
    <row r="1545" spans="1:11">
      <c r="A1545" s="312" t="s">
        <v>3358</v>
      </c>
      <c r="B1545" s="312" t="s">
        <v>3359</v>
      </c>
      <c r="C1545" s="312" t="s">
        <v>105</v>
      </c>
      <c r="D1545" s="312" t="s">
        <v>184</v>
      </c>
      <c r="E1545" s="312" t="s">
        <v>107</v>
      </c>
      <c r="F1545" s="312">
        <v>1825</v>
      </c>
      <c r="G1545" s="312" t="s">
        <v>108</v>
      </c>
      <c r="H1545" s="312">
        <v>1827</v>
      </c>
      <c r="I1545" s="312" t="s">
        <v>107</v>
      </c>
      <c r="J1545" s="312">
        <v>1913</v>
      </c>
      <c r="K1545" s="312" t="s">
        <v>109</v>
      </c>
    </row>
    <row r="1546" spans="1:11">
      <c r="A1546" s="312" t="s">
        <v>3360</v>
      </c>
      <c r="B1546" s="312" t="s">
        <v>3361</v>
      </c>
      <c r="C1546" s="312" t="s">
        <v>105</v>
      </c>
      <c r="D1546" s="312" t="s">
        <v>106</v>
      </c>
      <c r="E1546" s="312" t="s">
        <v>107</v>
      </c>
      <c r="F1546" s="312">
        <v>1825</v>
      </c>
      <c r="G1546" s="312" t="s">
        <v>108</v>
      </c>
      <c r="H1546" s="312">
        <v>1827</v>
      </c>
      <c r="I1546" s="312" t="s">
        <v>107</v>
      </c>
      <c r="J1546" s="312">
        <v>1913</v>
      </c>
      <c r="K1546" s="312" t="s">
        <v>109</v>
      </c>
    </row>
    <row r="1547" spans="1:11">
      <c r="A1547" s="312" t="s">
        <v>3362</v>
      </c>
      <c r="B1547" s="312" t="s">
        <v>3363</v>
      </c>
      <c r="C1547" s="312" t="s">
        <v>105</v>
      </c>
      <c r="D1547" s="312" t="s">
        <v>507</v>
      </c>
      <c r="E1547" s="312" t="s">
        <v>167</v>
      </c>
      <c r="F1547" s="312">
        <v>1705</v>
      </c>
      <c r="G1547" s="312" t="s">
        <v>168</v>
      </c>
      <c r="H1547" s="312">
        <v>1707</v>
      </c>
      <c r="I1547" s="312" t="s">
        <v>167</v>
      </c>
      <c r="J1547" s="312">
        <v>1899</v>
      </c>
      <c r="K1547" s="312" t="s">
        <v>169</v>
      </c>
    </row>
    <row r="1548" spans="1:11">
      <c r="A1548" s="312" t="s">
        <v>3364</v>
      </c>
      <c r="B1548" s="312" t="s">
        <v>3365</v>
      </c>
      <c r="C1548" s="312" t="s">
        <v>105</v>
      </c>
      <c r="D1548" s="312" t="s">
        <v>1300</v>
      </c>
      <c r="E1548" s="312" t="s">
        <v>167</v>
      </c>
      <c r="F1548" s="312">
        <v>1705</v>
      </c>
      <c r="G1548" s="312" t="s">
        <v>168</v>
      </c>
      <c r="H1548" s="312">
        <v>1707</v>
      </c>
      <c r="I1548" s="312" t="s">
        <v>167</v>
      </c>
      <c r="J1548" s="312">
        <v>1899</v>
      </c>
      <c r="K1548" s="312" t="s">
        <v>169</v>
      </c>
    </row>
    <row r="1549" spans="1:11">
      <c r="A1549" s="312" t="s">
        <v>3366</v>
      </c>
      <c r="B1549" s="312" t="s">
        <v>3367</v>
      </c>
      <c r="C1549" s="312" t="s">
        <v>105</v>
      </c>
      <c r="D1549" s="312" t="s">
        <v>2859</v>
      </c>
      <c r="E1549" s="312" t="s">
        <v>107</v>
      </c>
      <c r="F1549" s="312">
        <v>1825</v>
      </c>
      <c r="G1549" s="312" t="s">
        <v>108</v>
      </c>
      <c r="H1549" s="312">
        <v>1827</v>
      </c>
      <c r="I1549" s="312" t="s">
        <v>107</v>
      </c>
      <c r="J1549" s="312">
        <v>1913</v>
      </c>
      <c r="K1549" s="312" t="s">
        <v>109</v>
      </c>
    </row>
    <row r="1550" spans="1:11">
      <c r="A1550" s="312" t="s">
        <v>3368</v>
      </c>
      <c r="B1550" s="312" t="s">
        <v>3369</v>
      </c>
      <c r="C1550" s="312" t="s">
        <v>105</v>
      </c>
      <c r="D1550" s="312" t="s">
        <v>327</v>
      </c>
      <c r="E1550" s="312" t="s">
        <v>167</v>
      </c>
      <c r="F1550" s="312">
        <v>1705</v>
      </c>
      <c r="G1550" s="312" t="s">
        <v>168</v>
      </c>
      <c r="H1550" s="312">
        <v>1707</v>
      </c>
      <c r="I1550" s="312" t="s">
        <v>167</v>
      </c>
      <c r="J1550" s="312">
        <v>1899</v>
      </c>
      <c r="K1550" s="312" t="s">
        <v>169</v>
      </c>
    </row>
    <row r="1551" spans="1:11">
      <c r="A1551" s="312" t="s">
        <v>3370</v>
      </c>
      <c r="B1551" s="312" t="s">
        <v>3371</v>
      </c>
      <c r="C1551" s="312" t="s">
        <v>105</v>
      </c>
      <c r="D1551" s="312" t="s">
        <v>573</v>
      </c>
      <c r="E1551" s="312" t="s">
        <v>107</v>
      </c>
      <c r="F1551" s="312">
        <v>1825</v>
      </c>
      <c r="G1551" s="312" t="s">
        <v>108</v>
      </c>
      <c r="H1551" s="312">
        <v>1827</v>
      </c>
      <c r="I1551" s="312" t="s">
        <v>107</v>
      </c>
      <c r="J1551" s="312">
        <v>1913</v>
      </c>
      <c r="K1551" s="312" t="s">
        <v>109</v>
      </c>
    </row>
    <row r="1552" spans="1:11">
      <c r="A1552" s="312" t="s">
        <v>3372</v>
      </c>
      <c r="B1552" s="312" t="s">
        <v>3373</v>
      </c>
      <c r="C1552" s="312" t="s">
        <v>105</v>
      </c>
      <c r="D1552" s="312" t="s">
        <v>252</v>
      </c>
      <c r="E1552" s="312" t="s">
        <v>167</v>
      </c>
      <c r="F1552" s="312">
        <v>1705</v>
      </c>
      <c r="G1552" s="312" t="s">
        <v>168</v>
      </c>
      <c r="H1552" s="312">
        <v>1707</v>
      </c>
      <c r="I1552" s="312" t="s">
        <v>167</v>
      </c>
      <c r="J1552" s="312">
        <v>1899</v>
      </c>
      <c r="K1552" s="312" t="s">
        <v>169</v>
      </c>
    </row>
    <row r="1553" spans="1:11">
      <c r="A1553" s="312" t="s">
        <v>3374</v>
      </c>
      <c r="B1553" s="312" t="s">
        <v>3375</v>
      </c>
      <c r="C1553" s="312" t="s">
        <v>105</v>
      </c>
      <c r="D1553" s="312" t="s">
        <v>252</v>
      </c>
      <c r="E1553" s="312" t="s">
        <v>167</v>
      </c>
      <c r="F1553" s="312">
        <v>1705</v>
      </c>
      <c r="G1553" s="312" t="s">
        <v>168</v>
      </c>
      <c r="H1553" s="312">
        <v>1707</v>
      </c>
      <c r="I1553" s="312" t="s">
        <v>167</v>
      </c>
      <c r="J1553" s="312">
        <v>1899</v>
      </c>
      <c r="K1553" s="312" t="s">
        <v>169</v>
      </c>
    </row>
    <row r="1554" spans="1:11">
      <c r="A1554" s="312" t="s">
        <v>3376</v>
      </c>
      <c r="B1554" s="312" t="s">
        <v>3377</v>
      </c>
      <c r="C1554" s="312" t="s">
        <v>105</v>
      </c>
      <c r="D1554" s="312" t="s">
        <v>252</v>
      </c>
      <c r="E1554" s="312" t="s">
        <v>167</v>
      </c>
      <c r="F1554" s="312">
        <v>1705</v>
      </c>
      <c r="G1554" s="312" t="s">
        <v>168</v>
      </c>
      <c r="H1554" s="312">
        <v>1707</v>
      </c>
      <c r="I1554" s="312" t="s">
        <v>167</v>
      </c>
      <c r="J1554" s="312">
        <v>1899</v>
      </c>
      <c r="K1554" s="312" t="s">
        <v>169</v>
      </c>
    </row>
    <row r="1555" spans="1:11">
      <c r="A1555" s="312" t="s">
        <v>3378</v>
      </c>
      <c r="B1555" s="312" t="s">
        <v>3379</v>
      </c>
      <c r="C1555" s="312" t="s">
        <v>105</v>
      </c>
      <c r="D1555" s="312" t="s">
        <v>252</v>
      </c>
      <c r="E1555" s="312" t="s">
        <v>167</v>
      </c>
      <c r="F1555" s="312">
        <v>1705</v>
      </c>
      <c r="G1555" s="312" t="s">
        <v>168</v>
      </c>
      <c r="H1555" s="312">
        <v>1707</v>
      </c>
      <c r="I1555" s="312" t="s">
        <v>167</v>
      </c>
      <c r="J1555" s="312">
        <v>1899</v>
      </c>
      <c r="K1555" s="312" t="s">
        <v>169</v>
      </c>
    </row>
    <row r="1556" spans="1:11">
      <c r="A1556" s="312" t="s">
        <v>3380</v>
      </c>
      <c r="B1556" s="312" t="s">
        <v>3381</v>
      </c>
      <c r="C1556" s="312" t="s">
        <v>105</v>
      </c>
      <c r="D1556" s="312" t="s">
        <v>252</v>
      </c>
      <c r="E1556" s="312" t="s">
        <v>167</v>
      </c>
      <c r="F1556" s="312">
        <v>1705</v>
      </c>
      <c r="G1556" s="312" t="s">
        <v>168</v>
      </c>
      <c r="H1556" s="312">
        <v>1707</v>
      </c>
      <c r="I1556" s="312" t="s">
        <v>167</v>
      </c>
      <c r="J1556" s="312">
        <v>1899</v>
      </c>
      <c r="K1556" s="312" t="s">
        <v>169</v>
      </c>
    </row>
    <row r="1557" spans="1:11">
      <c r="A1557" s="312" t="s">
        <v>3382</v>
      </c>
      <c r="B1557" s="312" t="s">
        <v>3383</v>
      </c>
      <c r="C1557" s="312" t="s">
        <v>105</v>
      </c>
      <c r="D1557" s="312" t="s">
        <v>252</v>
      </c>
      <c r="E1557" s="312" t="s">
        <v>167</v>
      </c>
      <c r="F1557" s="312">
        <v>1705</v>
      </c>
      <c r="G1557" s="312" t="s">
        <v>168</v>
      </c>
      <c r="H1557" s="312">
        <v>1707</v>
      </c>
      <c r="I1557" s="312" t="s">
        <v>167</v>
      </c>
      <c r="J1557" s="312">
        <v>1899</v>
      </c>
      <c r="K1557" s="312" t="s">
        <v>169</v>
      </c>
    </row>
    <row r="1558" spans="1:11">
      <c r="A1558" s="312" t="s">
        <v>3384</v>
      </c>
      <c r="B1558" s="312" t="s">
        <v>3385</v>
      </c>
      <c r="C1558" s="312" t="s">
        <v>105</v>
      </c>
      <c r="D1558" s="312" t="s">
        <v>252</v>
      </c>
      <c r="E1558" s="312" t="s">
        <v>167</v>
      </c>
      <c r="F1558" s="312">
        <v>1705</v>
      </c>
      <c r="G1558" s="312" t="s">
        <v>168</v>
      </c>
      <c r="H1558" s="312">
        <v>1707</v>
      </c>
      <c r="I1558" s="312" t="s">
        <v>167</v>
      </c>
      <c r="J1558" s="312">
        <v>1899</v>
      </c>
      <c r="K1558" s="312" t="s">
        <v>169</v>
      </c>
    </row>
    <row r="1559" spans="1:11">
      <c r="A1559" s="312" t="s">
        <v>3386</v>
      </c>
      <c r="B1559" s="312" t="s">
        <v>3387</v>
      </c>
      <c r="C1559" s="312" t="s">
        <v>105</v>
      </c>
      <c r="D1559" s="312" t="s">
        <v>252</v>
      </c>
      <c r="E1559" s="312" t="s">
        <v>167</v>
      </c>
      <c r="F1559" s="312">
        <v>1705</v>
      </c>
      <c r="G1559" s="312" t="s">
        <v>168</v>
      </c>
      <c r="H1559" s="312">
        <v>1707</v>
      </c>
      <c r="I1559" s="312" t="s">
        <v>167</v>
      </c>
      <c r="J1559" s="312">
        <v>1899</v>
      </c>
      <c r="K1559" s="312" t="s">
        <v>169</v>
      </c>
    </row>
    <row r="1560" spans="1:11">
      <c r="A1560" s="312" t="s">
        <v>3388</v>
      </c>
      <c r="B1560" s="312" t="s">
        <v>3389</v>
      </c>
      <c r="C1560" s="312" t="s">
        <v>105</v>
      </c>
      <c r="D1560" s="312" t="s">
        <v>252</v>
      </c>
      <c r="E1560" s="312" t="s">
        <v>167</v>
      </c>
      <c r="F1560" s="312">
        <v>1705</v>
      </c>
      <c r="G1560" s="312" t="s">
        <v>168</v>
      </c>
      <c r="H1560" s="312">
        <v>1707</v>
      </c>
      <c r="I1560" s="312" t="s">
        <v>167</v>
      </c>
      <c r="J1560" s="312">
        <v>1899</v>
      </c>
      <c r="K1560" s="312" t="s">
        <v>169</v>
      </c>
    </row>
    <row r="1561" spans="1:11">
      <c r="A1561" s="312" t="s">
        <v>3390</v>
      </c>
      <c r="B1561" s="312" t="s">
        <v>3391</v>
      </c>
      <c r="C1561" s="312" t="s">
        <v>105</v>
      </c>
      <c r="D1561" s="312" t="s">
        <v>3392</v>
      </c>
      <c r="E1561" s="312" t="s">
        <v>167</v>
      </c>
      <c r="F1561" s="312">
        <v>1705</v>
      </c>
      <c r="G1561" s="312" t="s">
        <v>168</v>
      </c>
      <c r="H1561" s="312">
        <v>1707</v>
      </c>
      <c r="I1561" s="312" t="s">
        <v>167</v>
      </c>
      <c r="J1561" s="312">
        <v>1899</v>
      </c>
      <c r="K1561" s="312" t="s">
        <v>169</v>
      </c>
    </row>
    <row r="1562" spans="1:11">
      <c r="A1562" s="312" t="s">
        <v>3393</v>
      </c>
      <c r="B1562" s="312" t="s">
        <v>3394</v>
      </c>
      <c r="C1562" s="312" t="s">
        <v>105</v>
      </c>
      <c r="D1562" s="312" t="s">
        <v>3395</v>
      </c>
      <c r="E1562" s="312" t="s">
        <v>167</v>
      </c>
      <c r="F1562" s="312">
        <v>1705</v>
      </c>
      <c r="G1562" s="312" t="s">
        <v>168</v>
      </c>
      <c r="H1562" s="312">
        <v>1707</v>
      </c>
      <c r="I1562" s="312" t="s">
        <v>167</v>
      </c>
      <c r="J1562" s="312">
        <v>1899</v>
      </c>
      <c r="K1562" s="312" t="s">
        <v>169</v>
      </c>
    </row>
    <row r="1563" spans="1:11">
      <c r="A1563" s="312" t="s">
        <v>3396</v>
      </c>
      <c r="B1563" s="312" t="s">
        <v>3397</v>
      </c>
      <c r="C1563" s="312" t="s">
        <v>105</v>
      </c>
      <c r="D1563" s="312" t="s">
        <v>252</v>
      </c>
      <c r="E1563" s="312" t="s">
        <v>167</v>
      </c>
      <c r="F1563" s="312">
        <v>1705</v>
      </c>
      <c r="G1563" s="312" t="s">
        <v>168</v>
      </c>
      <c r="H1563" s="312">
        <v>1707</v>
      </c>
      <c r="I1563" s="312" t="s">
        <v>167</v>
      </c>
      <c r="J1563" s="312">
        <v>1899</v>
      </c>
      <c r="K1563" s="312" t="s">
        <v>169</v>
      </c>
    </row>
    <row r="1564" spans="1:11">
      <c r="A1564" s="312" t="s">
        <v>3398</v>
      </c>
      <c r="B1564" s="312" t="s">
        <v>3399</v>
      </c>
      <c r="C1564" s="312" t="s">
        <v>105</v>
      </c>
      <c r="D1564" s="312" t="s">
        <v>252</v>
      </c>
      <c r="E1564" s="312" t="s">
        <v>167</v>
      </c>
      <c r="F1564" s="312">
        <v>1705</v>
      </c>
      <c r="G1564" s="312" t="s">
        <v>168</v>
      </c>
      <c r="H1564" s="312">
        <v>1707</v>
      </c>
      <c r="I1564" s="312" t="s">
        <v>167</v>
      </c>
      <c r="J1564" s="312">
        <v>1899</v>
      </c>
      <c r="K1564" s="312" t="s">
        <v>169</v>
      </c>
    </row>
    <row r="1565" spans="1:11">
      <c r="A1565" s="312" t="s">
        <v>3400</v>
      </c>
      <c r="B1565" s="312" t="s">
        <v>3401</v>
      </c>
      <c r="C1565" s="312" t="s">
        <v>105</v>
      </c>
      <c r="D1565" s="312" t="s">
        <v>252</v>
      </c>
      <c r="E1565" s="312" t="s">
        <v>167</v>
      </c>
      <c r="F1565" s="312">
        <v>1705</v>
      </c>
      <c r="G1565" s="312" t="s">
        <v>168</v>
      </c>
      <c r="H1565" s="312">
        <v>1707</v>
      </c>
      <c r="I1565" s="312" t="s">
        <v>167</v>
      </c>
      <c r="J1565" s="312">
        <v>1899</v>
      </c>
      <c r="K1565" s="312" t="s">
        <v>169</v>
      </c>
    </row>
    <row r="1566" spans="1:11">
      <c r="A1566" s="312" t="s">
        <v>3402</v>
      </c>
      <c r="B1566" s="312" t="s">
        <v>3403</v>
      </c>
      <c r="C1566" s="312" t="s">
        <v>105</v>
      </c>
      <c r="D1566" s="312" t="s">
        <v>252</v>
      </c>
      <c r="E1566" s="312" t="s">
        <v>167</v>
      </c>
      <c r="F1566" s="312">
        <v>1705</v>
      </c>
      <c r="G1566" s="312" t="s">
        <v>168</v>
      </c>
      <c r="H1566" s="312">
        <v>1707</v>
      </c>
      <c r="I1566" s="312" t="s">
        <v>167</v>
      </c>
      <c r="J1566" s="312">
        <v>1899</v>
      </c>
      <c r="K1566" s="312" t="s">
        <v>169</v>
      </c>
    </row>
    <row r="1567" spans="1:11">
      <c r="A1567" s="312" t="s">
        <v>3404</v>
      </c>
      <c r="B1567" s="312" t="s">
        <v>3405</v>
      </c>
      <c r="C1567" s="312" t="s">
        <v>105</v>
      </c>
      <c r="D1567" s="312" t="s">
        <v>252</v>
      </c>
      <c r="E1567" s="312" t="s">
        <v>167</v>
      </c>
      <c r="F1567" s="312">
        <v>1705</v>
      </c>
      <c r="G1567" s="312" t="s">
        <v>168</v>
      </c>
      <c r="H1567" s="312">
        <v>1707</v>
      </c>
      <c r="I1567" s="312" t="s">
        <v>167</v>
      </c>
      <c r="J1567" s="312">
        <v>1899</v>
      </c>
      <c r="K1567" s="312" t="s">
        <v>169</v>
      </c>
    </row>
    <row r="1568" spans="1:11">
      <c r="A1568" s="312" t="s">
        <v>3406</v>
      </c>
      <c r="B1568" s="312" t="s">
        <v>3407</v>
      </c>
      <c r="C1568" s="312" t="s">
        <v>105</v>
      </c>
      <c r="D1568" s="312" t="s">
        <v>252</v>
      </c>
      <c r="E1568" s="312" t="s">
        <v>167</v>
      </c>
      <c r="F1568" s="312">
        <v>1705</v>
      </c>
      <c r="G1568" s="312" t="s">
        <v>168</v>
      </c>
      <c r="H1568" s="312">
        <v>1707</v>
      </c>
      <c r="I1568" s="312" t="s">
        <v>167</v>
      </c>
      <c r="J1568" s="312">
        <v>1899</v>
      </c>
      <c r="K1568" s="312" t="s">
        <v>169</v>
      </c>
    </row>
    <row r="1569" spans="1:11">
      <c r="A1569" s="312" t="s">
        <v>3408</v>
      </c>
      <c r="B1569" s="312" t="s">
        <v>3409</v>
      </c>
      <c r="C1569" s="312" t="s">
        <v>105</v>
      </c>
      <c r="D1569" s="312" t="s">
        <v>3395</v>
      </c>
      <c r="E1569" s="312" t="s">
        <v>167</v>
      </c>
      <c r="F1569" s="312">
        <v>1705</v>
      </c>
      <c r="G1569" s="312" t="s">
        <v>168</v>
      </c>
      <c r="H1569" s="312">
        <v>1707</v>
      </c>
      <c r="I1569" s="312" t="s">
        <v>167</v>
      </c>
      <c r="J1569" s="312">
        <v>1899</v>
      </c>
      <c r="K1569" s="312" t="s">
        <v>169</v>
      </c>
    </row>
    <row r="1570" spans="1:11">
      <c r="A1570" s="312" t="s">
        <v>3410</v>
      </c>
      <c r="B1570" s="312" t="s">
        <v>3411</v>
      </c>
      <c r="C1570" s="312" t="s">
        <v>105</v>
      </c>
      <c r="D1570" s="312" t="s">
        <v>252</v>
      </c>
      <c r="E1570" s="312" t="s">
        <v>167</v>
      </c>
      <c r="F1570" s="312">
        <v>1705</v>
      </c>
      <c r="G1570" s="312" t="s">
        <v>168</v>
      </c>
      <c r="H1570" s="312">
        <v>1707</v>
      </c>
      <c r="I1570" s="312" t="s">
        <v>167</v>
      </c>
      <c r="J1570" s="312">
        <v>1899</v>
      </c>
      <c r="K1570" s="312" t="s">
        <v>169</v>
      </c>
    </row>
    <row r="1571" spans="1:11">
      <c r="A1571" s="312" t="s">
        <v>3412</v>
      </c>
      <c r="B1571" s="312" t="s">
        <v>3413</v>
      </c>
      <c r="C1571" s="312" t="s">
        <v>105</v>
      </c>
      <c r="D1571" s="312" t="s">
        <v>576</v>
      </c>
      <c r="E1571" s="312" t="s">
        <v>107</v>
      </c>
      <c r="F1571" s="312">
        <v>1825</v>
      </c>
      <c r="G1571" s="312" t="s">
        <v>108</v>
      </c>
      <c r="H1571" s="312">
        <v>1827</v>
      </c>
      <c r="I1571" s="312" t="s">
        <v>107</v>
      </c>
      <c r="J1571" s="312">
        <v>1913</v>
      </c>
      <c r="K1571" s="312" t="s">
        <v>109</v>
      </c>
    </row>
    <row r="1572" spans="1:11">
      <c r="A1572" s="312" t="s">
        <v>3414</v>
      </c>
      <c r="B1572" s="312" t="s">
        <v>3415</v>
      </c>
      <c r="C1572" s="312" t="s">
        <v>105</v>
      </c>
      <c r="D1572" s="312" t="s">
        <v>1307</v>
      </c>
      <c r="E1572" s="312" t="s">
        <v>167</v>
      </c>
      <c r="F1572" s="312">
        <v>1705</v>
      </c>
      <c r="G1572" s="312" t="s">
        <v>168</v>
      </c>
      <c r="H1572" s="312">
        <v>1707</v>
      </c>
      <c r="I1572" s="312" t="s">
        <v>167</v>
      </c>
      <c r="J1572" s="312">
        <v>1899</v>
      </c>
      <c r="K1572" s="312" t="s">
        <v>169</v>
      </c>
    </row>
    <row r="1573" spans="1:11">
      <c r="A1573" s="312" t="s">
        <v>3416</v>
      </c>
      <c r="B1573" s="312" t="s">
        <v>3417</v>
      </c>
      <c r="C1573" s="312" t="s">
        <v>105</v>
      </c>
      <c r="D1573" s="312" t="s">
        <v>1402</v>
      </c>
      <c r="E1573" s="312" t="s">
        <v>167</v>
      </c>
      <c r="F1573" s="312">
        <v>1705</v>
      </c>
      <c r="G1573" s="312" t="s">
        <v>168</v>
      </c>
      <c r="H1573" s="312">
        <v>1707</v>
      </c>
      <c r="I1573" s="312" t="s">
        <v>167</v>
      </c>
      <c r="J1573" s="312">
        <v>1899</v>
      </c>
      <c r="K1573" s="312" t="s">
        <v>169</v>
      </c>
    </row>
    <row r="1574" spans="1:11">
      <c r="A1574" s="312" t="s">
        <v>3418</v>
      </c>
      <c r="B1574" s="312" t="s">
        <v>3419</v>
      </c>
      <c r="C1574" s="312" t="s">
        <v>105</v>
      </c>
      <c r="D1574" s="312" t="s">
        <v>507</v>
      </c>
      <c r="E1574" s="312" t="s">
        <v>167</v>
      </c>
      <c r="F1574" s="312">
        <v>1705</v>
      </c>
      <c r="G1574" s="312" t="s">
        <v>168</v>
      </c>
      <c r="H1574" s="312">
        <v>1707</v>
      </c>
      <c r="I1574" s="312" t="s">
        <v>167</v>
      </c>
      <c r="J1574" s="312">
        <v>1899</v>
      </c>
      <c r="K1574" s="312" t="s">
        <v>169</v>
      </c>
    </row>
    <row r="1575" spans="1:11">
      <c r="A1575" s="312" t="s">
        <v>3420</v>
      </c>
      <c r="B1575" s="312" t="s">
        <v>3421</v>
      </c>
      <c r="C1575" s="312" t="s">
        <v>105</v>
      </c>
      <c r="D1575" s="312" t="s">
        <v>645</v>
      </c>
      <c r="E1575" s="312" t="s">
        <v>107</v>
      </c>
      <c r="F1575" s="312">
        <v>1825</v>
      </c>
      <c r="G1575" s="312" t="s">
        <v>108</v>
      </c>
      <c r="H1575" s="312">
        <v>1827</v>
      </c>
      <c r="I1575" s="312" t="s">
        <v>107</v>
      </c>
      <c r="J1575" s="312">
        <v>1913</v>
      </c>
      <c r="K1575" s="312" t="s">
        <v>109</v>
      </c>
    </row>
    <row r="1576" spans="1:11">
      <c r="A1576" s="312" t="s">
        <v>3422</v>
      </c>
      <c r="B1576" s="312" t="s">
        <v>3423</v>
      </c>
      <c r="C1576" s="312" t="s">
        <v>105</v>
      </c>
      <c r="D1576" s="312" t="s">
        <v>504</v>
      </c>
      <c r="E1576" s="312" t="s">
        <v>167</v>
      </c>
      <c r="F1576" s="312">
        <v>1705</v>
      </c>
      <c r="G1576" s="312" t="s">
        <v>168</v>
      </c>
      <c r="H1576" s="312">
        <v>1707</v>
      </c>
      <c r="I1576" s="312" t="s">
        <v>167</v>
      </c>
      <c r="J1576" s="312">
        <v>1899</v>
      </c>
      <c r="K1576" s="312" t="s">
        <v>169</v>
      </c>
    </row>
    <row r="1577" spans="1:11">
      <c r="A1577" s="312" t="s">
        <v>3424</v>
      </c>
      <c r="B1577" s="312" t="s">
        <v>3425</v>
      </c>
      <c r="C1577" s="312" t="s">
        <v>105</v>
      </c>
      <c r="D1577" s="312" t="s">
        <v>504</v>
      </c>
      <c r="E1577" s="312" t="s">
        <v>167</v>
      </c>
      <c r="F1577" s="312">
        <v>1705</v>
      </c>
      <c r="G1577" s="312" t="s">
        <v>168</v>
      </c>
      <c r="H1577" s="312">
        <v>1707</v>
      </c>
      <c r="I1577" s="312" t="s">
        <v>167</v>
      </c>
      <c r="J1577" s="312">
        <v>1899</v>
      </c>
      <c r="K1577" s="312" t="s">
        <v>169</v>
      </c>
    </row>
    <row r="1578" spans="1:11">
      <c r="A1578" s="312" t="s">
        <v>3426</v>
      </c>
      <c r="B1578" s="312" t="s">
        <v>3427</v>
      </c>
      <c r="C1578" s="312" t="s">
        <v>105</v>
      </c>
      <c r="D1578" s="312" t="s">
        <v>504</v>
      </c>
      <c r="E1578" s="312" t="s">
        <v>107</v>
      </c>
      <c r="F1578" s="312">
        <v>1825</v>
      </c>
      <c r="G1578" s="312" t="s">
        <v>108</v>
      </c>
      <c r="H1578" s="312">
        <v>1827</v>
      </c>
      <c r="I1578" s="312" t="s">
        <v>107</v>
      </c>
      <c r="J1578" s="312">
        <v>1913</v>
      </c>
      <c r="K1578" s="312" t="s">
        <v>109</v>
      </c>
    </row>
    <row r="1579" spans="1:11">
      <c r="A1579" s="312" t="s">
        <v>3428</v>
      </c>
      <c r="B1579" s="1" t="s">
        <v>3429</v>
      </c>
      <c r="C1579" s="312" t="s">
        <v>105</v>
      </c>
      <c r="D1579" s="312" t="s">
        <v>556</v>
      </c>
      <c r="E1579" s="312" t="s">
        <v>107</v>
      </c>
      <c r="F1579" s="312">
        <v>1825</v>
      </c>
      <c r="G1579" s="312" t="s">
        <v>108</v>
      </c>
      <c r="H1579" s="312">
        <v>1827</v>
      </c>
      <c r="I1579" s="312" t="s">
        <v>107</v>
      </c>
      <c r="J1579" s="312">
        <v>1913</v>
      </c>
      <c r="K1579" s="312" t="s">
        <v>109</v>
      </c>
    </row>
    <row r="1580" spans="1:11">
      <c r="A1580" s="312" t="s">
        <v>3430</v>
      </c>
      <c r="B1580" s="312" t="s">
        <v>3431</v>
      </c>
      <c r="C1580" s="312" t="s">
        <v>105</v>
      </c>
      <c r="D1580" s="312" t="s">
        <v>691</v>
      </c>
      <c r="E1580" s="312" t="s">
        <v>684</v>
      </c>
      <c r="F1580" s="312">
        <v>1750</v>
      </c>
      <c r="G1580" s="312" t="s">
        <v>685</v>
      </c>
      <c r="H1580" s="312">
        <v>1754</v>
      </c>
      <c r="I1580" s="312" t="s">
        <v>684</v>
      </c>
      <c r="J1580" s="312">
        <v>1920</v>
      </c>
      <c r="K1580" s="312" t="s">
        <v>686</v>
      </c>
    </row>
    <row r="1581" spans="1:11">
      <c r="A1581" s="312" t="s">
        <v>3432</v>
      </c>
      <c r="B1581" s="312" t="s">
        <v>3433</v>
      </c>
      <c r="C1581" s="312" t="s">
        <v>105</v>
      </c>
      <c r="D1581" s="312" t="s">
        <v>228</v>
      </c>
      <c r="E1581" s="312" t="s">
        <v>167</v>
      </c>
      <c r="F1581" s="312">
        <v>1705</v>
      </c>
      <c r="G1581" s="312" t="s">
        <v>168</v>
      </c>
      <c r="H1581" s="312">
        <v>1707</v>
      </c>
      <c r="I1581" s="312" t="s">
        <v>167</v>
      </c>
      <c r="J1581" s="312">
        <v>1899</v>
      </c>
      <c r="K1581" s="312" t="s">
        <v>169</v>
      </c>
    </row>
    <row r="1582" spans="1:11">
      <c r="A1582" s="312" t="s">
        <v>3434</v>
      </c>
      <c r="B1582" s="312" t="s">
        <v>3435</v>
      </c>
      <c r="C1582" s="312" t="s">
        <v>105</v>
      </c>
      <c r="D1582" s="312" t="s">
        <v>228</v>
      </c>
      <c r="E1582" s="312" t="s">
        <v>167</v>
      </c>
      <c r="F1582" s="312">
        <v>1705</v>
      </c>
      <c r="G1582" s="312" t="s">
        <v>168</v>
      </c>
      <c r="H1582" s="312">
        <v>1707</v>
      </c>
      <c r="I1582" s="312" t="s">
        <v>167</v>
      </c>
      <c r="J1582" s="312">
        <v>1899</v>
      </c>
      <c r="K1582" s="312" t="s">
        <v>169</v>
      </c>
    </row>
    <row r="1583" spans="1:11">
      <c r="A1583" s="312" t="s">
        <v>3436</v>
      </c>
      <c r="B1583" s="312" t="s">
        <v>3437</v>
      </c>
      <c r="C1583" s="312" t="s">
        <v>105</v>
      </c>
      <c r="D1583" s="312" t="s">
        <v>531</v>
      </c>
      <c r="E1583" s="312" t="s">
        <v>107</v>
      </c>
      <c r="F1583" s="312">
        <v>1825</v>
      </c>
      <c r="G1583" s="312" t="s">
        <v>108</v>
      </c>
      <c r="H1583" s="312">
        <v>1827</v>
      </c>
      <c r="I1583" s="312" t="s">
        <v>107</v>
      </c>
      <c r="J1583" s="312">
        <v>1913</v>
      </c>
      <c r="K1583" s="312" t="s">
        <v>109</v>
      </c>
    </row>
    <row r="1584" spans="1:11">
      <c r="A1584" s="312" t="s">
        <v>3438</v>
      </c>
      <c r="B1584" s="312" t="s">
        <v>3439</v>
      </c>
      <c r="C1584" s="312" t="s">
        <v>105</v>
      </c>
      <c r="D1584" s="312" t="s">
        <v>556</v>
      </c>
      <c r="E1584" s="312" t="s">
        <v>107</v>
      </c>
      <c r="F1584" s="312">
        <v>1825</v>
      </c>
      <c r="G1584" s="312" t="s">
        <v>108</v>
      </c>
      <c r="H1584" s="312">
        <v>1827</v>
      </c>
      <c r="I1584" s="312" t="s">
        <v>107</v>
      </c>
      <c r="J1584" s="312">
        <v>1913</v>
      </c>
      <c r="K1584" s="312" t="s">
        <v>109</v>
      </c>
    </row>
    <row r="1585" spans="1:11">
      <c r="A1585" s="312" t="s">
        <v>3440</v>
      </c>
      <c r="B1585" s="312" t="s">
        <v>3441</v>
      </c>
      <c r="C1585" s="312" t="s">
        <v>105</v>
      </c>
      <c r="D1585" s="312" t="s">
        <v>312</v>
      </c>
      <c r="E1585" s="312" t="s">
        <v>107</v>
      </c>
      <c r="F1585" s="312">
        <v>1825</v>
      </c>
      <c r="G1585" s="312" t="s">
        <v>108</v>
      </c>
      <c r="H1585" s="312">
        <v>1827</v>
      </c>
      <c r="I1585" s="312" t="s">
        <v>107</v>
      </c>
      <c r="J1585" s="312">
        <v>1913</v>
      </c>
      <c r="K1585" s="312" t="s">
        <v>109</v>
      </c>
    </row>
    <row r="1586" spans="1:11">
      <c r="A1586" s="312" t="s">
        <v>3442</v>
      </c>
      <c r="B1586" s="312" t="s">
        <v>3443</v>
      </c>
      <c r="C1586" s="312" t="s">
        <v>105</v>
      </c>
      <c r="D1586" s="312" t="s">
        <v>312</v>
      </c>
      <c r="E1586" s="312" t="s">
        <v>107</v>
      </c>
      <c r="F1586" s="312">
        <v>1825</v>
      </c>
      <c r="G1586" s="312" t="s">
        <v>108</v>
      </c>
      <c r="H1586" s="312">
        <v>1827</v>
      </c>
      <c r="I1586" s="312" t="s">
        <v>107</v>
      </c>
      <c r="J1586" s="312">
        <v>1913</v>
      </c>
      <c r="K1586" s="312" t="s">
        <v>109</v>
      </c>
    </row>
    <row r="1587" spans="1:11">
      <c r="A1587" s="312" t="s">
        <v>3444</v>
      </c>
      <c r="B1587" s="312" t="s">
        <v>3445</v>
      </c>
      <c r="C1587" s="312" t="s">
        <v>105</v>
      </c>
      <c r="D1587" s="312" t="s">
        <v>404</v>
      </c>
      <c r="E1587" s="312" t="s">
        <v>107</v>
      </c>
      <c r="F1587" s="312">
        <v>1825</v>
      </c>
      <c r="G1587" s="312" t="s">
        <v>108</v>
      </c>
      <c r="H1587" s="312">
        <v>1827</v>
      </c>
      <c r="I1587" s="312" t="s">
        <v>107</v>
      </c>
      <c r="J1587" s="312">
        <v>1913</v>
      </c>
      <c r="K1587" s="312" t="s">
        <v>109</v>
      </c>
    </row>
    <row r="1588" spans="1:11">
      <c r="A1588" s="312" t="s">
        <v>3446</v>
      </c>
      <c r="B1588" s="312" t="s">
        <v>3447</v>
      </c>
      <c r="C1588" s="312" t="s">
        <v>105</v>
      </c>
      <c r="D1588" s="312" t="s">
        <v>114</v>
      </c>
      <c r="E1588" s="312" t="s">
        <v>107</v>
      </c>
      <c r="F1588" s="312">
        <v>1825</v>
      </c>
      <c r="G1588" s="312" t="s">
        <v>108</v>
      </c>
      <c r="H1588" s="312">
        <v>1827</v>
      </c>
      <c r="I1588" s="312" t="s">
        <v>107</v>
      </c>
      <c r="J1588" s="312">
        <v>1913</v>
      </c>
      <c r="K1588" s="312" t="s">
        <v>109</v>
      </c>
    </row>
    <row r="1589" spans="1:11">
      <c r="A1589" s="312" t="s">
        <v>3448</v>
      </c>
      <c r="B1589" s="312" t="s">
        <v>3449</v>
      </c>
      <c r="C1589" s="312" t="s">
        <v>105</v>
      </c>
      <c r="D1589" s="312" t="s">
        <v>114</v>
      </c>
      <c r="E1589" s="312" t="s">
        <v>107</v>
      </c>
      <c r="F1589" s="312">
        <v>1825</v>
      </c>
      <c r="G1589" s="312" t="s">
        <v>108</v>
      </c>
      <c r="H1589" s="312">
        <v>1827</v>
      </c>
      <c r="I1589" s="312" t="s">
        <v>107</v>
      </c>
      <c r="J1589" s="312">
        <v>1913</v>
      </c>
      <c r="K1589" s="312" t="s">
        <v>109</v>
      </c>
    </row>
    <row r="1590" spans="1:11">
      <c r="A1590" s="312" t="s">
        <v>3450</v>
      </c>
      <c r="B1590" s="312" t="s">
        <v>3451</v>
      </c>
      <c r="C1590" s="312" t="s">
        <v>105</v>
      </c>
      <c r="D1590" s="312" t="s">
        <v>114</v>
      </c>
      <c r="E1590" s="312" t="s">
        <v>107</v>
      </c>
      <c r="F1590" s="312">
        <v>1825</v>
      </c>
      <c r="G1590" s="312" t="s">
        <v>108</v>
      </c>
      <c r="H1590" s="312">
        <v>1827</v>
      </c>
      <c r="I1590" s="312" t="s">
        <v>107</v>
      </c>
      <c r="J1590" s="312">
        <v>1913</v>
      </c>
      <c r="K1590" s="312" t="s">
        <v>109</v>
      </c>
    </row>
    <row r="1591" spans="1:11">
      <c r="A1591" s="312" t="s">
        <v>3452</v>
      </c>
      <c r="B1591" s="312" t="s">
        <v>3453</v>
      </c>
      <c r="C1591" s="312" t="s">
        <v>105</v>
      </c>
      <c r="D1591" s="312" t="s">
        <v>114</v>
      </c>
      <c r="E1591" s="312" t="s">
        <v>107</v>
      </c>
      <c r="F1591" s="312">
        <v>1825</v>
      </c>
      <c r="G1591" s="312" t="s">
        <v>108</v>
      </c>
      <c r="H1591" s="312">
        <v>1827</v>
      </c>
      <c r="I1591" s="312" t="s">
        <v>107</v>
      </c>
      <c r="J1591" s="312">
        <v>1913</v>
      </c>
      <c r="K1591" s="312" t="s">
        <v>109</v>
      </c>
    </row>
    <row r="1592" spans="1:11">
      <c r="A1592" s="312" t="s">
        <v>3454</v>
      </c>
      <c r="B1592" s="312" t="s">
        <v>3455</v>
      </c>
      <c r="C1592" s="312" t="s">
        <v>105</v>
      </c>
      <c r="D1592" s="312" t="s">
        <v>1701</v>
      </c>
      <c r="E1592" s="312" t="s">
        <v>167</v>
      </c>
      <c r="F1592" s="312">
        <v>1705</v>
      </c>
      <c r="G1592" s="312" t="s">
        <v>168</v>
      </c>
      <c r="H1592" s="312">
        <v>1707</v>
      </c>
      <c r="I1592" s="312" t="s">
        <v>167</v>
      </c>
      <c r="J1592" s="312">
        <v>1899</v>
      </c>
      <c r="K1592" s="312" t="s">
        <v>169</v>
      </c>
    </row>
    <row r="1593" spans="1:11">
      <c r="A1593" s="312" t="s">
        <v>3456</v>
      </c>
      <c r="B1593" s="312" t="s">
        <v>3457</v>
      </c>
      <c r="C1593" s="312" t="s">
        <v>105</v>
      </c>
      <c r="D1593" s="312" t="s">
        <v>891</v>
      </c>
      <c r="E1593" s="312" t="s">
        <v>466</v>
      </c>
      <c r="F1593" s="312">
        <v>1796</v>
      </c>
      <c r="G1593" s="312" t="s">
        <v>467</v>
      </c>
      <c r="H1593" s="312">
        <v>1799</v>
      </c>
      <c r="I1593" s="312" t="s">
        <v>466</v>
      </c>
      <c r="J1593" s="312">
        <v>1918</v>
      </c>
      <c r="K1593" s="312" t="s">
        <v>468</v>
      </c>
    </row>
    <row r="1594" spans="1:11">
      <c r="A1594" s="312" t="s">
        <v>3458</v>
      </c>
      <c r="B1594" s="312" t="s">
        <v>3459</v>
      </c>
      <c r="C1594" s="312" t="s">
        <v>105</v>
      </c>
      <c r="D1594" s="312" t="s">
        <v>891</v>
      </c>
      <c r="E1594" s="312" t="s">
        <v>466</v>
      </c>
      <c r="F1594" s="312">
        <v>1796</v>
      </c>
      <c r="G1594" s="312" t="s">
        <v>467</v>
      </c>
      <c r="H1594" s="312">
        <v>1799</v>
      </c>
      <c r="I1594" s="312" t="s">
        <v>466</v>
      </c>
      <c r="J1594" s="312">
        <v>1918</v>
      </c>
      <c r="K1594" s="312" t="s">
        <v>468</v>
      </c>
    </row>
    <row r="1595" spans="1:11">
      <c r="A1595" s="312" t="s">
        <v>3460</v>
      </c>
      <c r="B1595" s="312" t="s">
        <v>3461</v>
      </c>
      <c r="C1595" s="312" t="s">
        <v>105</v>
      </c>
      <c r="D1595" s="312" t="s">
        <v>891</v>
      </c>
      <c r="E1595" s="312" t="s">
        <v>466</v>
      </c>
      <c r="F1595" s="312">
        <v>1796</v>
      </c>
      <c r="G1595" s="312" t="s">
        <v>467</v>
      </c>
      <c r="H1595" s="312">
        <v>1799</v>
      </c>
      <c r="I1595" s="312" t="s">
        <v>466</v>
      </c>
      <c r="J1595" s="312">
        <v>1918</v>
      </c>
      <c r="K1595" s="312" t="s">
        <v>468</v>
      </c>
    </row>
    <row r="1596" spans="1:11">
      <c r="A1596" s="312" t="s">
        <v>3462</v>
      </c>
      <c r="B1596" s="312" t="s">
        <v>3463</v>
      </c>
      <c r="C1596" s="312" t="s">
        <v>105</v>
      </c>
      <c r="D1596" s="312" t="s">
        <v>891</v>
      </c>
      <c r="E1596" s="312" t="s">
        <v>466</v>
      </c>
      <c r="F1596" s="312">
        <v>1796</v>
      </c>
      <c r="G1596" s="312" t="s">
        <v>467</v>
      </c>
      <c r="H1596" s="312">
        <v>1799</v>
      </c>
      <c r="I1596" s="312" t="s">
        <v>466</v>
      </c>
      <c r="J1596" s="312">
        <v>1918</v>
      </c>
      <c r="K1596" s="312" t="s">
        <v>468</v>
      </c>
    </row>
    <row r="1597" spans="1:11">
      <c r="A1597" s="312" t="s">
        <v>3464</v>
      </c>
      <c r="B1597" s="312" t="s">
        <v>3465</v>
      </c>
      <c r="C1597" s="312" t="s">
        <v>105</v>
      </c>
      <c r="D1597" s="312" t="s">
        <v>483</v>
      </c>
      <c r="E1597" s="312" t="s">
        <v>466</v>
      </c>
      <c r="F1597" s="312">
        <v>1796</v>
      </c>
      <c r="G1597" s="312" t="s">
        <v>467</v>
      </c>
      <c r="H1597" s="312">
        <v>1799</v>
      </c>
      <c r="I1597" s="312" t="s">
        <v>466</v>
      </c>
      <c r="J1597" s="312">
        <v>1918</v>
      </c>
      <c r="K1597" s="312" t="s">
        <v>468</v>
      </c>
    </row>
    <row r="1598" spans="1:11">
      <c r="A1598" s="312" t="s">
        <v>3466</v>
      </c>
      <c r="B1598" s="312" t="s">
        <v>3467</v>
      </c>
      <c r="C1598" s="312" t="s">
        <v>105</v>
      </c>
      <c r="D1598" s="312" t="s">
        <v>483</v>
      </c>
      <c r="E1598" s="312" t="s">
        <v>466</v>
      </c>
      <c r="F1598" s="312">
        <v>1796</v>
      </c>
      <c r="G1598" s="312" t="s">
        <v>467</v>
      </c>
      <c r="H1598" s="312">
        <v>1799</v>
      </c>
      <c r="I1598" s="312" t="s">
        <v>466</v>
      </c>
      <c r="J1598" s="312">
        <v>1918</v>
      </c>
      <c r="K1598" s="312" t="s">
        <v>468</v>
      </c>
    </row>
    <row r="1599" spans="1:11">
      <c r="A1599" s="312" t="s">
        <v>3468</v>
      </c>
      <c r="B1599" s="312" t="s">
        <v>3469</v>
      </c>
      <c r="C1599" s="312" t="s">
        <v>105</v>
      </c>
      <c r="D1599" s="312" t="s">
        <v>114</v>
      </c>
      <c r="E1599" s="312" t="s">
        <v>107</v>
      </c>
      <c r="F1599" s="312">
        <v>1825</v>
      </c>
      <c r="G1599" s="312" t="s">
        <v>108</v>
      </c>
      <c r="H1599" s="312">
        <v>1827</v>
      </c>
      <c r="I1599" s="312" t="s">
        <v>107</v>
      </c>
      <c r="J1599" s="312">
        <v>1913</v>
      </c>
      <c r="K1599" s="312" t="s">
        <v>109</v>
      </c>
    </row>
    <row r="1600" spans="1:11">
      <c r="A1600" s="312" t="s">
        <v>3470</v>
      </c>
      <c r="B1600" s="312" t="s">
        <v>3471</v>
      </c>
      <c r="C1600" s="312" t="s">
        <v>105</v>
      </c>
      <c r="D1600" s="312" t="s">
        <v>1285</v>
      </c>
      <c r="E1600" s="312" t="s">
        <v>107</v>
      </c>
      <c r="F1600" s="312">
        <v>1825</v>
      </c>
      <c r="G1600" s="312" t="s">
        <v>108</v>
      </c>
      <c r="H1600" s="312">
        <v>1827</v>
      </c>
      <c r="I1600" s="312" t="s">
        <v>107</v>
      </c>
      <c r="J1600" s="312">
        <v>1913</v>
      </c>
      <c r="K1600" s="312" t="s">
        <v>109</v>
      </c>
    </row>
    <row r="1601" spans="1:11">
      <c r="A1601" s="312" t="s">
        <v>3472</v>
      </c>
      <c r="B1601" s="312" t="s">
        <v>3473</v>
      </c>
      <c r="C1601" s="312" t="s">
        <v>105</v>
      </c>
      <c r="D1601" s="312" t="s">
        <v>483</v>
      </c>
      <c r="E1601" s="312" t="s">
        <v>466</v>
      </c>
      <c r="F1601" s="312">
        <v>1796</v>
      </c>
      <c r="G1601" s="312" t="s">
        <v>467</v>
      </c>
      <c r="H1601" s="312">
        <v>1799</v>
      </c>
      <c r="I1601" s="312" t="s">
        <v>466</v>
      </c>
      <c r="J1601" s="312">
        <v>1918</v>
      </c>
      <c r="K1601" s="312" t="s">
        <v>468</v>
      </c>
    </row>
    <row r="1602" spans="1:11">
      <c r="A1602" s="312" t="s">
        <v>3474</v>
      </c>
      <c r="B1602" s="312" t="s">
        <v>3475</v>
      </c>
      <c r="C1602" s="312" t="s">
        <v>105</v>
      </c>
      <c r="D1602" s="312" t="s">
        <v>891</v>
      </c>
      <c r="E1602" s="312" t="s">
        <v>466</v>
      </c>
      <c r="F1602" s="312">
        <v>1796</v>
      </c>
      <c r="G1602" s="312" t="s">
        <v>467</v>
      </c>
      <c r="H1602" s="312">
        <v>1799</v>
      </c>
      <c r="I1602" s="312" t="s">
        <v>466</v>
      </c>
      <c r="J1602" s="312">
        <v>1918</v>
      </c>
      <c r="K1602" s="312" t="s">
        <v>468</v>
      </c>
    </row>
    <row r="1603" spans="1:11">
      <c r="A1603" s="312" t="s">
        <v>3476</v>
      </c>
      <c r="B1603" s="312" t="s">
        <v>3477</v>
      </c>
      <c r="C1603" s="312" t="s">
        <v>105</v>
      </c>
      <c r="D1603" s="312" t="s">
        <v>891</v>
      </c>
      <c r="E1603" s="312" t="s">
        <v>466</v>
      </c>
      <c r="F1603" s="312">
        <v>1796</v>
      </c>
      <c r="G1603" s="312" t="s">
        <v>467</v>
      </c>
      <c r="H1603" s="312">
        <v>1799</v>
      </c>
      <c r="I1603" s="312" t="s">
        <v>466</v>
      </c>
      <c r="J1603" s="312">
        <v>1918</v>
      </c>
      <c r="K1603" s="312" t="s">
        <v>468</v>
      </c>
    </row>
    <row r="1604" spans="1:11">
      <c r="A1604" s="312" t="s">
        <v>3478</v>
      </c>
      <c r="B1604" s="312" t="s">
        <v>3479</v>
      </c>
      <c r="C1604" s="312" t="s">
        <v>105</v>
      </c>
      <c r="D1604" s="312" t="s">
        <v>2252</v>
      </c>
      <c r="E1604" s="312" t="s">
        <v>3480</v>
      </c>
      <c r="F1604" s="312">
        <v>1708</v>
      </c>
      <c r="G1604" s="312" t="s">
        <v>3481</v>
      </c>
      <c r="H1604" s="312">
        <v>1710</v>
      </c>
      <c r="I1604" s="312" t="s">
        <v>3480</v>
      </c>
      <c r="J1604" s="312">
        <v>1909</v>
      </c>
      <c r="K1604" s="312" t="s">
        <v>3482</v>
      </c>
    </row>
    <row r="1605" spans="1:11">
      <c r="A1605" s="312" t="s">
        <v>3483</v>
      </c>
      <c r="B1605" s="312" t="s">
        <v>3484</v>
      </c>
      <c r="C1605" s="312" t="s">
        <v>105</v>
      </c>
      <c r="D1605" s="312" t="s">
        <v>252</v>
      </c>
      <c r="E1605" s="312" t="s">
        <v>167</v>
      </c>
      <c r="F1605" s="312">
        <v>1705</v>
      </c>
      <c r="G1605" s="312" t="s">
        <v>168</v>
      </c>
      <c r="H1605" s="312">
        <v>1707</v>
      </c>
      <c r="I1605" s="312" t="s">
        <v>167</v>
      </c>
      <c r="J1605" s="312">
        <v>1899</v>
      </c>
      <c r="K1605" s="312" t="s">
        <v>169</v>
      </c>
    </row>
    <row r="1606" spans="1:11">
      <c r="A1606" s="312" t="s">
        <v>3485</v>
      </c>
      <c r="B1606" s="1" t="s">
        <v>3486</v>
      </c>
      <c r="C1606" s="312" t="s">
        <v>105</v>
      </c>
      <c r="D1606" s="312" t="s">
        <v>573</v>
      </c>
      <c r="E1606" s="312" t="s">
        <v>107</v>
      </c>
      <c r="F1606" s="312">
        <v>1825</v>
      </c>
      <c r="G1606" s="312" t="s">
        <v>108</v>
      </c>
      <c r="H1606" s="312">
        <v>1827</v>
      </c>
      <c r="I1606" s="312" t="s">
        <v>107</v>
      </c>
      <c r="J1606" s="312">
        <v>1913</v>
      </c>
      <c r="K1606" s="312" t="s">
        <v>109</v>
      </c>
    </row>
    <row r="1607" spans="1:11">
      <c r="A1607" s="312" t="s">
        <v>3487</v>
      </c>
      <c r="B1607" s="312" t="s">
        <v>3488</v>
      </c>
      <c r="C1607" s="312" t="s">
        <v>105</v>
      </c>
      <c r="D1607" s="312" t="s">
        <v>114</v>
      </c>
      <c r="E1607" s="312" t="s">
        <v>107</v>
      </c>
      <c r="F1607" s="312">
        <v>1825</v>
      </c>
      <c r="G1607" s="312" t="s">
        <v>108</v>
      </c>
      <c r="H1607" s="312">
        <v>1827</v>
      </c>
      <c r="I1607" s="312" t="s">
        <v>107</v>
      </c>
      <c r="J1607" s="312">
        <v>1913</v>
      </c>
      <c r="K1607" s="312" t="s">
        <v>109</v>
      </c>
    </row>
    <row r="1608" spans="1:11">
      <c r="A1608" s="312" t="s">
        <v>3489</v>
      </c>
      <c r="B1608" s="312" t="s">
        <v>3490</v>
      </c>
      <c r="C1608" s="312" t="s">
        <v>105</v>
      </c>
      <c r="D1608" s="312" t="s">
        <v>117</v>
      </c>
      <c r="E1608" s="312" t="s">
        <v>107</v>
      </c>
      <c r="F1608" s="312">
        <v>1825</v>
      </c>
      <c r="G1608" s="312" t="s">
        <v>108</v>
      </c>
      <c r="H1608" s="312">
        <v>1827</v>
      </c>
      <c r="I1608" s="312" t="s">
        <v>107</v>
      </c>
      <c r="J1608" s="312">
        <v>1913</v>
      </c>
      <c r="K1608" s="312" t="s">
        <v>109</v>
      </c>
    </row>
    <row r="1609" spans="1:11">
      <c r="A1609" s="312" t="s">
        <v>3491</v>
      </c>
      <c r="B1609" s="312" t="s">
        <v>3492</v>
      </c>
      <c r="C1609" s="312" t="s">
        <v>105</v>
      </c>
      <c r="D1609" s="312" t="s">
        <v>216</v>
      </c>
      <c r="E1609" s="312" t="s">
        <v>107</v>
      </c>
      <c r="F1609" s="312">
        <v>1825</v>
      </c>
      <c r="G1609" s="312" t="s">
        <v>108</v>
      </c>
      <c r="H1609" s="312">
        <v>1827</v>
      </c>
      <c r="I1609" s="312" t="s">
        <v>107</v>
      </c>
      <c r="J1609" s="312">
        <v>1913</v>
      </c>
      <c r="K1609" s="312" t="s">
        <v>109</v>
      </c>
    </row>
    <row r="1610" spans="1:11">
      <c r="A1610" s="312" t="s">
        <v>3493</v>
      </c>
      <c r="B1610" s="312" t="s">
        <v>3494</v>
      </c>
      <c r="C1610" s="312" t="s">
        <v>105</v>
      </c>
      <c r="D1610" s="312" t="s">
        <v>106</v>
      </c>
      <c r="E1610" s="312" t="s">
        <v>107</v>
      </c>
      <c r="F1610" s="312">
        <v>1825</v>
      </c>
      <c r="G1610" s="312" t="s">
        <v>108</v>
      </c>
      <c r="H1610" s="312">
        <v>1827</v>
      </c>
      <c r="I1610" s="312" t="s">
        <v>107</v>
      </c>
      <c r="J1610" s="312">
        <v>1913</v>
      </c>
      <c r="K1610" s="312" t="s">
        <v>109</v>
      </c>
    </row>
    <row r="1611" spans="1:11">
      <c r="A1611" s="312" t="s">
        <v>3495</v>
      </c>
      <c r="B1611" s="312" t="s">
        <v>3496</v>
      </c>
      <c r="C1611" s="312" t="s">
        <v>105</v>
      </c>
      <c r="D1611" s="312" t="s">
        <v>691</v>
      </c>
      <c r="E1611" s="312" t="s">
        <v>107</v>
      </c>
      <c r="F1611" s="312">
        <v>1825</v>
      </c>
      <c r="G1611" s="312" t="s">
        <v>108</v>
      </c>
      <c r="H1611" s="312">
        <v>1827</v>
      </c>
      <c r="I1611" s="312" t="s">
        <v>107</v>
      </c>
      <c r="J1611" s="312">
        <v>1913</v>
      </c>
      <c r="K1611" s="312" t="s">
        <v>109</v>
      </c>
    </row>
    <row r="1612" spans="1:11">
      <c r="A1612" s="312" t="s">
        <v>3497</v>
      </c>
      <c r="B1612" s="312" t="s">
        <v>3498</v>
      </c>
      <c r="C1612" s="312" t="s">
        <v>105</v>
      </c>
      <c r="D1612" s="312" t="s">
        <v>858</v>
      </c>
      <c r="E1612" s="312" t="s">
        <v>167</v>
      </c>
      <c r="F1612" s="312">
        <v>1705</v>
      </c>
      <c r="G1612" s="312" t="s">
        <v>168</v>
      </c>
      <c r="H1612" s="312">
        <v>1707</v>
      </c>
      <c r="I1612" s="312" t="s">
        <v>167</v>
      </c>
      <c r="J1612" s="312">
        <v>1899</v>
      </c>
      <c r="K1612" s="312" t="s">
        <v>169</v>
      </c>
    </row>
    <row r="1613" spans="1:11">
      <c r="A1613" s="312" t="s">
        <v>3499</v>
      </c>
      <c r="B1613" s="312" t="s">
        <v>3500</v>
      </c>
      <c r="C1613" s="312" t="s">
        <v>105</v>
      </c>
      <c r="D1613" s="312" t="s">
        <v>252</v>
      </c>
      <c r="E1613" s="312" t="s">
        <v>167</v>
      </c>
      <c r="F1613" s="312">
        <v>1705</v>
      </c>
      <c r="G1613" s="312" t="s">
        <v>168</v>
      </c>
      <c r="H1613" s="312">
        <v>1707</v>
      </c>
      <c r="I1613" s="312" t="s">
        <v>167</v>
      </c>
      <c r="J1613" s="312">
        <v>1899</v>
      </c>
      <c r="K1613" s="312" t="s">
        <v>169</v>
      </c>
    </row>
    <row r="1614" spans="1:11">
      <c r="A1614" s="312" t="s">
        <v>3501</v>
      </c>
      <c r="B1614" s="312" t="s">
        <v>3502</v>
      </c>
      <c r="C1614" s="312" t="s">
        <v>105</v>
      </c>
      <c r="D1614" s="312" t="s">
        <v>730</v>
      </c>
      <c r="E1614" s="312" t="s">
        <v>696</v>
      </c>
      <c r="F1614" s="312">
        <v>1736</v>
      </c>
      <c r="G1614" s="312" t="s">
        <v>697</v>
      </c>
      <c r="H1614" s="312">
        <v>1741</v>
      </c>
      <c r="I1614" s="312" t="s">
        <v>696</v>
      </c>
      <c r="J1614" s="312">
        <v>1929</v>
      </c>
      <c r="K1614" s="312" t="s">
        <v>698</v>
      </c>
    </row>
    <row r="1615" spans="1:11">
      <c r="A1615" s="312" t="s">
        <v>3503</v>
      </c>
      <c r="B1615" s="312" t="s">
        <v>3504</v>
      </c>
      <c r="C1615" s="312" t="s">
        <v>105</v>
      </c>
      <c r="D1615" s="312" t="s">
        <v>858</v>
      </c>
      <c r="E1615" s="312" t="s">
        <v>684</v>
      </c>
      <c r="F1615" s="312">
        <v>1750</v>
      </c>
      <c r="G1615" s="312" t="s">
        <v>685</v>
      </c>
      <c r="H1615" s="312">
        <v>1754</v>
      </c>
      <c r="I1615" s="312" t="s">
        <v>684</v>
      </c>
      <c r="J1615" s="312">
        <v>1920</v>
      </c>
      <c r="K1615" s="312" t="s">
        <v>686</v>
      </c>
    </row>
    <row r="1616" spans="1:11">
      <c r="A1616" s="312" t="s">
        <v>3505</v>
      </c>
      <c r="B1616" s="312" t="s">
        <v>3506</v>
      </c>
      <c r="C1616" s="312" t="s">
        <v>105</v>
      </c>
      <c r="D1616" s="312" t="s">
        <v>691</v>
      </c>
      <c r="E1616" s="312" t="s">
        <v>107</v>
      </c>
      <c r="F1616" s="312">
        <v>1825</v>
      </c>
      <c r="G1616" s="312" t="s">
        <v>108</v>
      </c>
      <c r="H1616" s="312">
        <v>1827</v>
      </c>
      <c r="I1616" s="312" t="s">
        <v>107</v>
      </c>
      <c r="J1616" s="312">
        <v>1913</v>
      </c>
      <c r="K1616" s="312" t="s">
        <v>109</v>
      </c>
    </row>
    <row r="1617" spans="1:11">
      <c r="A1617" s="312" t="s">
        <v>3507</v>
      </c>
      <c r="B1617" s="312" t="s">
        <v>3508</v>
      </c>
      <c r="C1617" s="312" t="s">
        <v>105</v>
      </c>
      <c r="D1617" s="312" t="s">
        <v>858</v>
      </c>
      <c r="E1617" s="312" t="s">
        <v>684</v>
      </c>
      <c r="F1617" s="312">
        <v>1750</v>
      </c>
      <c r="G1617" s="312" t="s">
        <v>685</v>
      </c>
      <c r="H1617" s="312">
        <v>1754</v>
      </c>
      <c r="I1617" s="312" t="s">
        <v>684</v>
      </c>
      <c r="J1617" s="312">
        <v>1920</v>
      </c>
      <c r="K1617" s="312" t="s">
        <v>686</v>
      </c>
    </row>
    <row r="1618" spans="1:11">
      <c r="A1618" s="312" t="s">
        <v>3509</v>
      </c>
      <c r="B1618" s="312" t="s">
        <v>3510</v>
      </c>
      <c r="C1618" s="312" t="s">
        <v>105</v>
      </c>
      <c r="D1618" s="312" t="s">
        <v>691</v>
      </c>
      <c r="E1618" s="312" t="s">
        <v>684</v>
      </c>
      <c r="F1618" s="312">
        <v>1750</v>
      </c>
      <c r="G1618" s="312" t="s">
        <v>685</v>
      </c>
      <c r="H1618" s="312">
        <v>1754</v>
      </c>
      <c r="I1618" s="312" t="s">
        <v>684</v>
      </c>
      <c r="J1618" s="312">
        <v>1920</v>
      </c>
      <c r="K1618" s="312" t="s">
        <v>686</v>
      </c>
    </row>
    <row r="1619" spans="1:11">
      <c r="A1619" s="312" t="s">
        <v>3511</v>
      </c>
      <c r="B1619" s="312" t="s">
        <v>3512</v>
      </c>
      <c r="C1619" s="312" t="s">
        <v>105</v>
      </c>
      <c r="D1619" s="312" t="s">
        <v>691</v>
      </c>
      <c r="E1619" s="312" t="s">
        <v>107</v>
      </c>
      <c r="F1619" s="312">
        <v>1825</v>
      </c>
      <c r="G1619" s="312" t="s">
        <v>108</v>
      </c>
      <c r="H1619" s="312">
        <v>1827</v>
      </c>
      <c r="I1619" s="312" t="s">
        <v>107</v>
      </c>
      <c r="J1619" s="312">
        <v>1913</v>
      </c>
      <c r="K1619" s="312" t="s">
        <v>109</v>
      </c>
    </row>
    <row r="1620" spans="1:11">
      <c r="A1620" s="312" t="s">
        <v>3513</v>
      </c>
      <c r="B1620" s="312" t="s">
        <v>3514</v>
      </c>
      <c r="C1620" s="312" t="s">
        <v>105</v>
      </c>
      <c r="D1620" s="312" t="s">
        <v>691</v>
      </c>
      <c r="E1620" s="312" t="s">
        <v>107</v>
      </c>
      <c r="F1620" s="312">
        <v>1825</v>
      </c>
      <c r="G1620" s="312" t="s">
        <v>108</v>
      </c>
      <c r="H1620" s="312">
        <v>1827</v>
      </c>
      <c r="I1620" s="312" t="s">
        <v>107</v>
      </c>
      <c r="J1620" s="312">
        <v>1913</v>
      </c>
      <c r="K1620" s="312" t="s">
        <v>109</v>
      </c>
    </row>
    <row r="1621" spans="1:11">
      <c r="A1621" s="312" t="s">
        <v>3515</v>
      </c>
      <c r="B1621" s="312" t="s">
        <v>3516</v>
      </c>
      <c r="C1621" s="312" t="s">
        <v>105</v>
      </c>
      <c r="D1621" s="312" t="s">
        <v>858</v>
      </c>
      <c r="E1621" s="312" t="s">
        <v>684</v>
      </c>
      <c r="F1621" s="312">
        <v>1750</v>
      </c>
      <c r="G1621" s="312" t="s">
        <v>685</v>
      </c>
      <c r="H1621" s="312">
        <v>1754</v>
      </c>
      <c r="I1621" s="312" t="s">
        <v>684</v>
      </c>
      <c r="J1621" s="312">
        <v>1920</v>
      </c>
      <c r="K1621" s="312" t="s">
        <v>686</v>
      </c>
    </row>
    <row r="1622" spans="1:11">
      <c r="A1622" s="312" t="s">
        <v>3517</v>
      </c>
      <c r="B1622" s="312" t="s">
        <v>3518</v>
      </c>
      <c r="C1622" s="312" t="s">
        <v>105</v>
      </c>
      <c r="D1622" s="312" t="s">
        <v>3519</v>
      </c>
      <c r="E1622" s="312" t="s">
        <v>684</v>
      </c>
      <c r="F1622" s="312">
        <v>1750</v>
      </c>
      <c r="G1622" s="312" t="s">
        <v>685</v>
      </c>
      <c r="H1622" s="312">
        <v>1754</v>
      </c>
      <c r="I1622" s="312" t="s">
        <v>684</v>
      </c>
      <c r="J1622" s="312">
        <v>1920</v>
      </c>
      <c r="K1622" s="312" t="s">
        <v>686</v>
      </c>
    </row>
    <row r="1623" spans="1:11">
      <c r="A1623" s="312" t="s">
        <v>3520</v>
      </c>
      <c r="B1623" s="312" t="s">
        <v>3521</v>
      </c>
      <c r="C1623" s="312" t="s">
        <v>105</v>
      </c>
      <c r="D1623" s="312" t="s">
        <v>3522</v>
      </c>
      <c r="E1623" s="312" t="s">
        <v>107</v>
      </c>
      <c r="F1623" s="312">
        <v>1825</v>
      </c>
      <c r="G1623" s="312" t="s">
        <v>108</v>
      </c>
      <c r="H1623" s="312">
        <v>1827</v>
      </c>
      <c r="I1623" s="312" t="s">
        <v>107</v>
      </c>
      <c r="J1623" s="312">
        <v>1913</v>
      </c>
      <c r="K1623" s="312" t="s">
        <v>109</v>
      </c>
    </row>
    <row r="1624" spans="1:11">
      <c r="A1624" s="312" t="s">
        <v>3523</v>
      </c>
      <c r="B1624" s="312" t="s">
        <v>3524</v>
      </c>
      <c r="C1624" s="312" t="s">
        <v>105</v>
      </c>
      <c r="D1624" s="312" t="s">
        <v>3522</v>
      </c>
      <c r="E1624" s="312" t="s">
        <v>107</v>
      </c>
      <c r="F1624" s="312">
        <v>1825</v>
      </c>
      <c r="G1624" s="312" t="s">
        <v>108</v>
      </c>
      <c r="H1624" s="312">
        <v>1827</v>
      </c>
      <c r="I1624" s="312" t="s">
        <v>107</v>
      </c>
      <c r="J1624" s="312">
        <v>1913</v>
      </c>
      <c r="K1624" s="312" t="s">
        <v>109</v>
      </c>
    </row>
    <row r="1625" spans="1:11">
      <c r="A1625" s="312" t="s">
        <v>3525</v>
      </c>
      <c r="B1625" s="312" t="s">
        <v>3526</v>
      </c>
      <c r="C1625" s="312" t="s">
        <v>105</v>
      </c>
      <c r="D1625" s="312" t="s">
        <v>3522</v>
      </c>
      <c r="E1625" s="312" t="s">
        <v>107</v>
      </c>
      <c r="F1625" s="312">
        <v>1825</v>
      </c>
      <c r="G1625" s="312" t="s">
        <v>108</v>
      </c>
      <c r="H1625" s="312">
        <v>1827</v>
      </c>
      <c r="I1625" s="312" t="s">
        <v>107</v>
      </c>
      <c r="J1625" s="312">
        <v>1913</v>
      </c>
      <c r="K1625" s="312" t="s">
        <v>109</v>
      </c>
    </row>
    <row r="1626" spans="1:11">
      <c r="A1626" s="312" t="s">
        <v>3527</v>
      </c>
      <c r="B1626" s="312" t="s">
        <v>3528</v>
      </c>
      <c r="C1626" s="312" t="s">
        <v>105</v>
      </c>
      <c r="D1626" s="312" t="s">
        <v>114</v>
      </c>
      <c r="E1626" s="312" t="s">
        <v>107</v>
      </c>
      <c r="F1626" s="312">
        <v>1825</v>
      </c>
      <c r="G1626" s="312" t="s">
        <v>108</v>
      </c>
      <c r="H1626" s="312">
        <v>1827</v>
      </c>
      <c r="I1626" s="312" t="s">
        <v>107</v>
      </c>
      <c r="J1626" s="312">
        <v>1913</v>
      </c>
      <c r="K1626" s="312" t="s">
        <v>109</v>
      </c>
    </row>
    <row r="1627" spans="1:11">
      <c r="A1627" s="312" t="s">
        <v>3529</v>
      </c>
      <c r="B1627" s="1" t="s">
        <v>3530</v>
      </c>
      <c r="C1627" s="312" t="s">
        <v>105</v>
      </c>
      <c r="D1627" s="312" t="s">
        <v>114</v>
      </c>
      <c r="E1627" s="312" t="s">
        <v>107</v>
      </c>
      <c r="F1627" s="312">
        <v>1825</v>
      </c>
      <c r="G1627" s="312" t="s">
        <v>108</v>
      </c>
      <c r="H1627" s="312">
        <v>1827</v>
      </c>
      <c r="I1627" s="312" t="s">
        <v>107</v>
      </c>
      <c r="J1627" s="312">
        <v>1913</v>
      </c>
      <c r="K1627" s="312" t="s">
        <v>109</v>
      </c>
    </row>
    <row r="1628" spans="1:11">
      <c r="A1628" s="312" t="s">
        <v>3531</v>
      </c>
      <c r="B1628" s="312" t="s">
        <v>3532</v>
      </c>
      <c r="C1628" s="312" t="s">
        <v>105</v>
      </c>
      <c r="D1628" s="312" t="s">
        <v>556</v>
      </c>
      <c r="E1628" s="312" t="s">
        <v>107</v>
      </c>
      <c r="F1628" s="312">
        <v>1825</v>
      </c>
      <c r="G1628" s="312" t="s">
        <v>108</v>
      </c>
      <c r="H1628" s="312">
        <v>1827</v>
      </c>
      <c r="I1628" s="312" t="s">
        <v>107</v>
      </c>
      <c r="J1628" s="312">
        <v>1913</v>
      </c>
      <c r="K1628" s="312" t="s">
        <v>109</v>
      </c>
    </row>
    <row r="1629" spans="1:11">
      <c r="A1629" s="312" t="s">
        <v>3533</v>
      </c>
      <c r="B1629" s="312" t="s">
        <v>3534</v>
      </c>
      <c r="C1629" s="312" t="s">
        <v>105</v>
      </c>
      <c r="D1629" s="312" t="s">
        <v>114</v>
      </c>
      <c r="E1629" s="312" t="s">
        <v>107</v>
      </c>
      <c r="F1629" s="312">
        <v>1825</v>
      </c>
      <c r="G1629" s="312" t="s">
        <v>108</v>
      </c>
      <c r="H1629" s="312">
        <v>1827</v>
      </c>
      <c r="I1629" s="312" t="s">
        <v>107</v>
      </c>
      <c r="J1629" s="312">
        <v>1913</v>
      </c>
      <c r="K1629" s="312" t="s">
        <v>109</v>
      </c>
    </row>
    <row r="1630" spans="1:11">
      <c r="A1630" s="312" t="s">
        <v>3535</v>
      </c>
      <c r="B1630" s="312" t="s">
        <v>3536</v>
      </c>
      <c r="C1630" s="312" t="s">
        <v>105</v>
      </c>
      <c r="D1630" s="312" t="s">
        <v>312</v>
      </c>
      <c r="E1630" s="312" t="s">
        <v>107</v>
      </c>
      <c r="F1630" s="312">
        <v>1825</v>
      </c>
      <c r="G1630" s="312" t="s">
        <v>108</v>
      </c>
      <c r="H1630" s="312">
        <v>1827</v>
      </c>
      <c r="I1630" s="312" t="s">
        <v>107</v>
      </c>
      <c r="J1630" s="312">
        <v>1913</v>
      </c>
      <c r="K1630" s="312" t="s">
        <v>109</v>
      </c>
    </row>
    <row r="1631" spans="1:11">
      <c r="A1631" s="312" t="s">
        <v>3537</v>
      </c>
      <c r="B1631" s="312" t="s">
        <v>3538</v>
      </c>
      <c r="C1631" s="312" t="s">
        <v>105</v>
      </c>
      <c r="D1631" s="312" t="s">
        <v>312</v>
      </c>
      <c r="E1631" s="312" t="s">
        <v>107</v>
      </c>
      <c r="F1631" s="312">
        <v>1825</v>
      </c>
      <c r="G1631" s="312" t="s">
        <v>108</v>
      </c>
      <c r="H1631" s="312">
        <v>1827</v>
      </c>
      <c r="I1631" s="312" t="s">
        <v>107</v>
      </c>
      <c r="J1631" s="312">
        <v>1913</v>
      </c>
      <c r="K1631" s="312" t="s">
        <v>109</v>
      </c>
    </row>
    <row r="1632" spans="1:11">
      <c r="A1632" s="312" t="s">
        <v>3539</v>
      </c>
      <c r="B1632" s="312" t="s">
        <v>3540</v>
      </c>
      <c r="C1632" s="312" t="s">
        <v>105</v>
      </c>
      <c r="D1632" s="312" t="s">
        <v>312</v>
      </c>
      <c r="E1632" s="312" t="s">
        <v>107</v>
      </c>
      <c r="F1632" s="312">
        <v>1825</v>
      </c>
      <c r="G1632" s="312" t="s">
        <v>108</v>
      </c>
      <c r="H1632" s="312">
        <v>1827</v>
      </c>
      <c r="I1632" s="312" t="s">
        <v>107</v>
      </c>
      <c r="J1632" s="312">
        <v>1913</v>
      </c>
      <c r="K1632" s="312" t="s">
        <v>109</v>
      </c>
    </row>
    <row r="1633" spans="1:11">
      <c r="A1633" s="312" t="s">
        <v>3541</v>
      </c>
      <c r="B1633" s="312" t="s">
        <v>3542</v>
      </c>
      <c r="C1633" s="312" t="s">
        <v>105</v>
      </c>
      <c r="D1633" s="312" t="s">
        <v>312</v>
      </c>
      <c r="E1633" s="312" t="s">
        <v>107</v>
      </c>
      <c r="F1633" s="312">
        <v>1825</v>
      </c>
      <c r="G1633" s="312" t="s">
        <v>108</v>
      </c>
      <c r="H1633" s="312">
        <v>1827</v>
      </c>
      <c r="I1633" s="312" t="s">
        <v>107</v>
      </c>
      <c r="J1633" s="312">
        <v>1913</v>
      </c>
      <c r="K1633" s="312" t="s">
        <v>109</v>
      </c>
    </row>
    <row r="1634" spans="1:11">
      <c r="A1634" s="312" t="s">
        <v>3543</v>
      </c>
      <c r="B1634" s="312" t="s">
        <v>3544</v>
      </c>
      <c r="C1634" s="312" t="s">
        <v>105</v>
      </c>
      <c r="D1634" s="312" t="s">
        <v>312</v>
      </c>
      <c r="E1634" s="312" t="s">
        <v>107</v>
      </c>
      <c r="F1634" s="312">
        <v>1825</v>
      </c>
      <c r="G1634" s="312" t="s">
        <v>108</v>
      </c>
      <c r="H1634" s="312">
        <v>1827</v>
      </c>
      <c r="I1634" s="312" t="s">
        <v>107</v>
      </c>
      <c r="J1634" s="312">
        <v>1913</v>
      </c>
      <c r="K1634" s="312" t="s">
        <v>109</v>
      </c>
    </row>
    <row r="1635" spans="1:11">
      <c r="A1635" s="312" t="s">
        <v>3545</v>
      </c>
      <c r="B1635" s="312" t="s">
        <v>3546</v>
      </c>
      <c r="C1635" s="312" t="s">
        <v>105</v>
      </c>
      <c r="D1635" s="312" t="s">
        <v>216</v>
      </c>
      <c r="E1635" s="312" t="s">
        <v>107</v>
      </c>
      <c r="F1635" s="312">
        <v>1825</v>
      </c>
      <c r="G1635" s="312" t="s">
        <v>108</v>
      </c>
      <c r="H1635" s="312">
        <v>1827</v>
      </c>
      <c r="I1635" s="312" t="s">
        <v>107</v>
      </c>
      <c r="J1635" s="312">
        <v>1913</v>
      </c>
      <c r="K1635" s="312" t="s">
        <v>109</v>
      </c>
    </row>
    <row r="1636" spans="1:11">
      <c r="A1636" s="312" t="s">
        <v>3547</v>
      </c>
      <c r="B1636" s="312" t="s">
        <v>3548</v>
      </c>
      <c r="C1636" s="312" t="s">
        <v>105</v>
      </c>
      <c r="D1636" s="312" t="s">
        <v>404</v>
      </c>
      <c r="E1636" s="312" t="s">
        <v>107</v>
      </c>
      <c r="F1636" s="312">
        <v>1825</v>
      </c>
      <c r="G1636" s="312" t="s">
        <v>108</v>
      </c>
      <c r="H1636" s="312">
        <v>1827</v>
      </c>
      <c r="I1636" s="312" t="s">
        <v>107</v>
      </c>
      <c r="J1636" s="312">
        <v>1913</v>
      </c>
      <c r="K1636" s="312" t="s">
        <v>109</v>
      </c>
    </row>
    <row r="1637" spans="1:11">
      <c r="A1637" s="312" t="s">
        <v>3549</v>
      </c>
      <c r="B1637" s="312" t="s">
        <v>3550</v>
      </c>
      <c r="C1637" s="312" t="s">
        <v>105</v>
      </c>
      <c r="D1637" s="312" t="s">
        <v>114</v>
      </c>
      <c r="E1637" s="312" t="s">
        <v>107</v>
      </c>
      <c r="F1637" s="312">
        <v>1825</v>
      </c>
      <c r="G1637" s="312" t="s">
        <v>108</v>
      </c>
      <c r="H1637" s="312">
        <v>1827</v>
      </c>
      <c r="I1637" s="312" t="s">
        <v>107</v>
      </c>
      <c r="J1637" s="312">
        <v>1913</v>
      </c>
      <c r="K1637" s="312" t="s">
        <v>109</v>
      </c>
    </row>
    <row r="1638" spans="1:11">
      <c r="A1638" s="312" t="s">
        <v>3551</v>
      </c>
      <c r="B1638" s="312" t="s">
        <v>3552</v>
      </c>
      <c r="C1638" s="312" t="s">
        <v>105</v>
      </c>
      <c r="D1638" s="312" t="s">
        <v>106</v>
      </c>
      <c r="E1638" s="312" t="s">
        <v>107</v>
      </c>
      <c r="F1638" s="312">
        <v>1825</v>
      </c>
      <c r="G1638" s="312" t="s">
        <v>108</v>
      </c>
      <c r="H1638" s="312">
        <v>1827</v>
      </c>
      <c r="I1638" s="312" t="s">
        <v>107</v>
      </c>
      <c r="J1638" s="312">
        <v>1913</v>
      </c>
      <c r="K1638" s="312" t="s">
        <v>109</v>
      </c>
    </row>
    <row r="1639" spans="1:11">
      <c r="A1639" s="312" t="s">
        <v>3553</v>
      </c>
      <c r="B1639" s="312" t="s">
        <v>3554</v>
      </c>
      <c r="C1639" s="312" t="s">
        <v>105</v>
      </c>
      <c r="D1639" s="312" t="s">
        <v>114</v>
      </c>
      <c r="E1639" s="312" t="s">
        <v>107</v>
      </c>
      <c r="F1639" s="312">
        <v>1825</v>
      </c>
      <c r="G1639" s="312" t="s">
        <v>108</v>
      </c>
      <c r="H1639" s="312">
        <v>1827</v>
      </c>
      <c r="I1639" s="312" t="s">
        <v>107</v>
      </c>
      <c r="J1639" s="312">
        <v>1913</v>
      </c>
      <c r="K1639" s="312" t="s">
        <v>109</v>
      </c>
    </row>
    <row r="1640" spans="1:11">
      <c r="A1640" s="312" t="s">
        <v>3555</v>
      </c>
      <c r="B1640" s="312" t="s">
        <v>3556</v>
      </c>
      <c r="C1640" s="312" t="s">
        <v>105</v>
      </c>
      <c r="D1640" s="312" t="s">
        <v>106</v>
      </c>
      <c r="E1640" s="312" t="s">
        <v>107</v>
      </c>
      <c r="F1640" s="312">
        <v>1825</v>
      </c>
      <c r="G1640" s="312" t="s">
        <v>108</v>
      </c>
      <c r="H1640" s="312">
        <v>1827</v>
      </c>
      <c r="I1640" s="312" t="s">
        <v>107</v>
      </c>
      <c r="J1640" s="312">
        <v>1913</v>
      </c>
      <c r="K1640" s="312" t="s">
        <v>109</v>
      </c>
    </row>
    <row r="1641" spans="1:11">
      <c r="A1641" s="312" t="s">
        <v>3557</v>
      </c>
      <c r="B1641" s="312" t="s">
        <v>3558</v>
      </c>
      <c r="C1641" s="312" t="s">
        <v>105</v>
      </c>
      <c r="D1641" s="312" t="s">
        <v>114</v>
      </c>
      <c r="E1641" s="312" t="s">
        <v>107</v>
      </c>
      <c r="F1641" s="312">
        <v>1825</v>
      </c>
      <c r="G1641" s="312" t="s">
        <v>108</v>
      </c>
      <c r="H1641" s="312">
        <v>1827</v>
      </c>
      <c r="I1641" s="312" t="s">
        <v>107</v>
      </c>
      <c r="J1641" s="312">
        <v>1913</v>
      </c>
      <c r="K1641" s="312" t="s">
        <v>109</v>
      </c>
    </row>
    <row r="1642" spans="1:11">
      <c r="A1642" s="312" t="s">
        <v>3559</v>
      </c>
      <c r="B1642" s="312" t="s">
        <v>3560</v>
      </c>
      <c r="C1642" s="312" t="s">
        <v>105</v>
      </c>
      <c r="D1642" s="312" t="s">
        <v>114</v>
      </c>
      <c r="E1642" s="312" t="s">
        <v>107</v>
      </c>
      <c r="F1642" s="312">
        <v>1825</v>
      </c>
      <c r="G1642" s="312" t="s">
        <v>108</v>
      </c>
      <c r="H1642" s="312">
        <v>1827</v>
      </c>
      <c r="I1642" s="312" t="s">
        <v>107</v>
      </c>
      <c r="J1642" s="312">
        <v>1913</v>
      </c>
      <c r="K1642" s="312" t="s">
        <v>109</v>
      </c>
    </row>
    <row r="1643" spans="1:11">
      <c r="A1643" s="312" t="s">
        <v>3561</v>
      </c>
      <c r="B1643" s="312" t="s">
        <v>3562</v>
      </c>
      <c r="C1643" s="312" t="s">
        <v>105</v>
      </c>
      <c r="D1643" s="312" t="s">
        <v>114</v>
      </c>
      <c r="E1643" s="312" t="s">
        <v>107</v>
      </c>
      <c r="F1643" s="312">
        <v>1825</v>
      </c>
      <c r="G1643" s="312" t="s">
        <v>108</v>
      </c>
      <c r="H1643" s="312">
        <v>1827</v>
      </c>
      <c r="I1643" s="312" t="s">
        <v>107</v>
      </c>
      <c r="J1643" s="312">
        <v>1913</v>
      </c>
      <c r="K1643" s="312" t="s">
        <v>109</v>
      </c>
    </row>
    <row r="1644" spans="1:11">
      <c r="A1644" s="312" t="s">
        <v>3563</v>
      </c>
      <c r="B1644" s="312" t="s">
        <v>3564</v>
      </c>
      <c r="C1644" s="312" t="s">
        <v>105</v>
      </c>
      <c r="D1644" s="312" t="s">
        <v>114</v>
      </c>
      <c r="E1644" s="312" t="s">
        <v>107</v>
      </c>
      <c r="F1644" s="312">
        <v>1825</v>
      </c>
      <c r="G1644" s="312" t="s">
        <v>108</v>
      </c>
      <c r="H1644" s="312">
        <v>1827</v>
      </c>
      <c r="I1644" s="312" t="s">
        <v>107</v>
      </c>
      <c r="J1644" s="312">
        <v>1913</v>
      </c>
      <c r="K1644" s="312" t="s">
        <v>109</v>
      </c>
    </row>
    <row r="1645" spans="1:11">
      <c r="A1645" s="312" t="s">
        <v>3565</v>
      </c>
      <c r="B1645" s="312" t="s">
        <v>3566</v>
      </c>
      <c r="C1645" s="312" t="s">
        <v>105</v>
      </c>
      <c r="D1645" s="312" t="s">
        <v>114</v>
      </c>
      <c r="E1645" s="312" t="s">
        <v>107</v>
      </c>
      <c r="F1645" s="312">
        <v>1825</v>
      </c>
      <c r="G1645" s="312" t="s">
        <v>108</v>
      </c>
      <c r="H1645" s="312">
        <v>1827</v>
      </c>
      <c r="I1645" s="312" t="s">
        <v>107</v>
      </c>
      <c r="J1645" s="312">
        <v>1913</v>
      </c>
      <c r="K1645" s="312" t="s">
        <v>109</v>
      </c>
    </row>
    <row r="1646" spans="1:11">
      <c r="A1646" s="312" t="s">
        <v>3567</v>
      </c>
      <c r="B1646" s="312" t="s">
        <v>3568</v>
      </c>
      <c r="C1646" s="312" t="s">
        <v>105</v>
      </c>
      <c r="D1646" s="312" t="s">
        <v>114</v>
      </c>
      <c r="E1646" s="312" t="s">
        <v>107</v>
      </c>
      <c r="F1646" s="312">
        <v>1825</v>
      </c>
      <c r="G1646" s="312" t="s">
        <v>108</v>
      </c>
      <c r="H1646" s="312">
        <v>1827</v>
      </c>
      <c r="I1646" s="312" t="s">
        <v>107</v>
      </c>
      <c r="J1646" s="312">
        <v>1913</v>
      </c>
      <c r="K1646" s="312" t="s">
        <v>109</v>
      </c>
    </row>
    <row r="1647" spans="1:11">
      <c r="A1647" s="312" t="s">
        <v>3569</v>
      </c>
      <c r="B1647" s="312" t="s">
        <v>3570</v>
      </c>
      <c r="C1647" s="312" t="s">
        <v>105</v>
      </c>
      <c r="D1647" s="312" t="s">
        <v>114</v>
      </c>
      <c r="E1647" s="312" t="s">
        <v>107</v>
      </c>
      <c r="F1647" s="312">
        <v>1825</v>
      </c>
      <c r="G1647" s="312" t="s">
        <v>108</v>
      </c>
      <c r="H1647" s="312">
        <v>1827</v>
      </c>
      <c r="I1647" s="312" t="s">
        <v>107</v>
      </c>
      <c r="J1647" s="312">
        <v>1913</v>
      </c>
      <c r="K1647" s="312" t="s">
        <v>109</v>
      </c>
    </row>
    <row r="1648" spans="1:11">
      <c r="A1648" s="312" t="s">
        <v>3571</v>
      </c>
      <c r="B1648" s="312" t="s">
        <v>3572</v>
      </c>
      <c r="C1648" s="312" t="s">
        <v>105</v>
      </c>
      <c r="D1648" s="312" t="s">
        <v>114</v>
      </c>
      <c r="E1648" s="312" t="s">
        <v>107</v>
      </c>
      <c r="F1648" s="312">
        <v>1825</v>
      </c>
      <c r="G1648" s="312" t="s">
        <v>108</v>
      </c>
      <c r="H1648" s="312">
        <v>1827</v>
      </c>
      <c r="I1648" s="312" t="s">
        <v>107</v>
      </c>
      <c r="J1648" s="312">
        <v>1913</v>
      </c>
      <c r="K1648" s="312" t="s">
        <v>109</v>
      </c>
    </row>
    <row r="1649" spans="1:11">
      <c r="A1649" s="312" t="s">
        <v>3573</v>
      </c>
      <c r="B1649" s="312" t="s">
        <v>3574</v>
      </c>
      <c r="C1649" s="312" t="s">
        <v>105</v>
      </c>
      <c r="D1649" s="312" t="s">
        <v>114</v>
      </c>
      <c r="E1649" s="312" t="s">
        <v>107</v>
      </c>
      <c r="F1649" s="312">
        <v>1825</v>
      </c>
      <c r="G1649" s="312" t="s">
        <v>108</v>
      </c>
      <c r="H1649" s="312">
        <v>1827</v>
      </c>
      <c r="I1649" s="312" t="s">
        <v>107</v>
      </c>
      <c r="J1649" s="312">
        <v>1913</v>
      </c>
      <c r="K1649" s="312" t="s">
        <v>109</v>
      </c>
    </row>
    <row r="1650" spans="1:11">
      <c r="A1650" s="312" t="s">
        <v>3575</v>
      </c>
      <c r="B1650" s="312" t="s">
        <v>3576</v>
      </c>
      <c r="C1650" s="312" t="s">
        <v>105</v>
      </c>
      <c r="D1650" s="312" t="s">
        <v>3577</v>
      </c>
      <c r="E1650" s="312" t="s">
        <v>167</v>
      </c>
      <c r="F1650" s="312">
        <v>1705</v>
      </c>
      <c r="G1650" s="312" t="s">
        <v>168</v>
      </c>
      <c r="H1650" s="312">
        <v>1707</v>
      </c>
      <c r="I1650" s="312" t="s">
        <v>167</v>
      </c>
      <c r="J1650" s="312">
        <v>1899</v>
      </c>
      <c r="K1650" s="312" t="s">
        <v>169</v>
      </c>
    </row>
    <row r="1651" spans="1:11">
      <c r="A1651" s="312" t="s">
        <v>3578</v>
      </c>
      <c r="B1651" s="312" t="s">
        <v>3579</v>
      </c>
      <c r="C1651" s="312" t="s">
        <v>105</v>
      </c>
      <c r="D1651" s="312" t="s">
        <v>294</v>
      </c>
      <c r="E1651" s="312" t="s">
        <v>107</v>
      </c>
      <c r="F1651" s="312">
        <v>1825</v>
      </c>
      <c r="G1651" s="312" t="s">
        <v>108</v>
      </c>
      <c r="H1651" s="312">
        <v>1827</v>
      </c>
      <c r="I1651" s="312" t="s">
        <v>107</v>
      </c>
      <c r="J1651" s="312">
        <v>1913</v>
      </c>
      <c r="K1651" s="312" t="s">
        <v>109</v>
      </c>
    </row>
    <row r="1652" spans="1:11">
      <c r="A1652" s="312" t="s">
        <v>3580</v>
      </c>
      <c r="B1652" s="312" t="s">
        <v>3581</v>
      </c>
      <c r="C1652" s="312" t="s">
        <v>105</v>
      </c>
      <c r="D1652" s="312" t="s">
        <v>730</v>
      </c>
      <c r="E1652" s="312" t="s">
        <v>107</v>
      </c>
      <c r="F1652" s="312">
        <v>1825</v>
      </c>
      <c r="G1652" s="312" t="s">
        <v>108</v>
      </c>
      <c r="H1652" s="312">
        <v>1827</v>
      </c>
      <c r="I1652" s="312" t="s">
        <v>107</v>
      </c>
      <c r="J1652" s="312">
        <v>1913</v>
      </c>
      <c r="K1652" s="312" t="s">
        <v>109</v>
      </c>
    </row>
    <row r="1653" spans="1:11">
      <c r="A1653" s="312" t="s">
        <v>3582</v>
      </c>
      <c r="B1653" s="312" t="s">
        <v>3583</v>
      </c>
      <c r="C1653" s="312" t="s">
        <v>105</v>
      </c>
      <c r="D1653" s="312" t="s">
        <v>404</v>
      </c>
      <c r="E1653" s="312" t="s">
        <v>107</v>
      </c>
      <c r="F1653" s="312">
        <v>1825</v>
      </c>
      <c r="G1653" s="312" t="s">
        <v>108</v>
      </c>
      <c r="H1653" s="312">
        <v>1827</v>
      </c>
      <c r="I1653" s="312" t="s">
        <v>107</v>
      </c>
      <c r="J1653" s="312">
        <v>1913</v>
      </c>
      <c r="K1653" s="312" t="s">
        <v>109</v>
      </c>
    </row>
    <row r="1654" spans="1:11">
      <c r="A1654" s="312" t="s">
        <v>3584</v>
      </c>
      <c r="B1654" s="1" t="s">
        <v>3585</v>
      </c>
      <c r="C1654" s="312" t="s">
        <v>105</v>
      </c>
      <c r="D1654" s="312" t="s">
        <v>404</v>
      </c>
      <c r="E1654" s="312" t="s">
        <v>107</v>
      </c>
      <c r="F1654" s="312">
        <v>1825</v>
      </c>
      <c r="G1654" s="312" t="s">
        <v>108</v>
      </c>
      <c r="H1654" s="312">
        <v>1827</v>
      </c>
      <c r="I1654" s="312" t="s">
        <v>107</v>
      </c>
      <c r="J1654" s="312">
        <v>1913</v>
      </c>
      <c r="K1654" s="312" t="s">
        <v>109</v>
      </c>
    </row>
    <row r="1655" spans="1:11">
      <c r="A1655" s="312" t="s">
        <v>3586</v>
      </c>
      <c r="B1655" s="312" t="s">
        <v>3587</v>
      </c>
      <c r="C1655" s="312" t="s">
        <v>105</v>
      </c>
      <c r="D1655" s="312" t="s">
        <v>114</v>
      </c>
      <c r="E1655" s="312" t="s">
        <v>107</v>
      </c>
      <c r="F1655" s="312">
        <v>1825</v>
      </c>
      <c r="G1655" s="312" t="s">
        <v>108</v>
      </c>
      <c r="H1655" s="312">
        <v>1827</v>
      </c>
      <c r="I1655" s="312" t="s">
        <v>107</v>
      </c>
      <c r="J1655" s="312">
        <v>1913</v>
      </c>
      <c r="K1655" s="312" t="s">
        <v>109</v>
      </c>
    </row>
    <row r="1656" spans="1:11">
      <c r="A1656" s="312" t="s">
        <v>3588</v>
      </c>
      <c r="B1656" s="312" t="s">
        <v>3589</v>
      </c>
      <c r="C1656" s="312" t="s">
        <v>105</v>
      </c>
      <c r="D1656" s="312" t="s">
        <v>114</v>
      </c>
      <c r="E1656" s="312" t="s">
        <v>107</v>
      </c>
      <c r="F1656" s="312">
        <v>1825</v>
      </c>
      <c r="G1656" s="312" t="s">
        <v>108</v>
      </c>
      <c r="H1656" s="312">
        <v>1827</v>
      </c>
      <c r="I1656" s="312" t="s">
        <v>107</v>
      </c>
      <c r="J1656" s="312">
        <v>1913</v>
      </c>
      <c r="K1656" s="312" t="s">
        <v>109</v>
      </c>
    </row>
    <row r="1657" spans="1:11">
      <c r="A1657" s="312" t="s">
        <v>3590</v>
      </c>
      <c r="B1657" s="312" t="s">
        <v>3591</v>
      </c>
      <c r="C1657" s="312" t="s">
        <v>105</v>
      </c>
      <c r="D1657" s="312" t="s">
        <v>114</v>
      </c>
      <c r="E1657" s="312" t="s">
        <v>107</v>
      </c>
      <c r="F1657" s="312">
        <v>1825</v>
      </c>
      <c r="G1657" s="312" t="s">
        <v>108</v>
      </c>
      <c r="H1657" s="312">
        <v>1827</v>
      </c>
      <c r="I1657" s="312" t="s">
        <v>107</v>
      </c>
      <c r="J1657" s="312">
        <v>1913</v>
      </c>
      <c r="K1657" s="312" t="s">
        <v>109</v>
      </c>
    </row>
    <row r="1658" spans="1:11">
      <c r="A1658" s="312" t="s">
        <v>3592</v>
      </c>
      <c r="B1658" s="312" t="s">
        <v>3593</v>
      </c>
      <c r="C1658" s="312" t="s">
        <v>105</v>
      </c>
      <c r="D1658" s="312" t="s">
        <v>114</v>
      </c>
      <c r="E1658" s="312" t="s">
        <v>107</v>
      </c>
      <c r="F1658" s="312">
        <v>1825</v>
      </c>
      <c r="G1658" s="312" t="s">
        <v>108</v>
      </c>
      <c r="H1658" s="312">
        <v>1827</v>
      </c>
      <c r="I1658" s="312" t="s">
        <v>107</v>
      </c>
      <c r="J1658" s="312">
        <v>1913</v>
      </c>
      <c r="K1658" s="312" t="s">
        <v>109</v>
      </c>
    </row>
    <row r="1659" spans="1:11">
      <c r="A1659" s="312" t="s">
        <v>3594</v>
      </c>
      <c r="B1659" s="312" t="s">
        <v>3595</v>
      </c>
      <c r="C1659" s="312" t="s">
        <v>105</v>
      </c>
      <c r="D1659" s="312" t="s">
        <v>114</v>
      </c>
      <c r="E1659" s="312" t="s">
        <v>107</v>
      </c>
      <c r="F1659" s="312">
        <v>1825</v>
      </c>
      <c r="G1659" s="312" t="s">
        <v>108</v>
      </c>
      <c r="H1659" s="312">
        <v>1827</v>
      </c>
      <c r="I1659" s="312" t="s">
        <v>107</v>
      </c>
      <c r="J1659" s="312">
        <v>1913</v>
      </c>
      <c r="K1659" s="312" t="s">
        <v>109</v>
      </c>
    </row>
    <row r="1660" spans="1:11">
      <c r="A1660" s="312" t="s">
        <v>3596</v>
      </c>
      <c r="B1660" s="312" t="s">
        <v>3597</v>
      </c>
      <c r="C1660" s="312" t="s">
        <v>105</v>
      </c>
      <c r="D1660" s="312" t="s">
        <v>114</v>
      </c>
      <c r="E1660" s="312" t="s">
        <v>107</v>
      </c>
      <c r="F1660" s="312">
        <v>1825</v>
      </c>
      <c r="G1660" s="312" t="s">
        <v>108</v>
      </c>
      <c r="H1660" s="312">
        <v>1827</v>
      </c>
      <c r="I1660" s="312" t="s">
        <v>107</v>
      </c>
      <c r="J1660" s="312">
        <v>1913</v>
      </c>
      <c r="K1660" s="312" t="s">
        <v>109</v>
      </c>
    </row>
    <row r="1661" spans="1:11">
      <c r="A1661" s="312" t="s">
        <v>3598</v>
      </c>
      <c r="B1661" s="312" t="s">
        <v>3599</v>
      </c>
      <c r="C1661" s="312" t="s">
        <v>105</v>
      </c>
      <c r="D1661" s="312" t="s">
        <v>327</v>
      </c>
      <c r="E1661" s="312" t="s">
        <v>167</v>
      </c>
      <c r="F1661" s="312">
        <v>1705</v>
      </c>
      <c r="G1661" s="312" t="s">
        <v>168</v>
      </c>
      <c r="H1661" s="312">
        <v>1707</v>
      </c>
      <c r="I1661" s="312" t="s">
        <v>167</v>
      </c>
      <c r="J1661" s="312">
        <v>1899</v>
      </c>
      <c r="K1661" s="312" t="s">
        <v>169</v>
      </c>
    </row>
    <row r="1662" spans="1:11">
      <c r="A1662" s="312" t="s">
        <v>3600</v>
      </c>
      <c r="B1662" s="312" t="s">
        <v>3601</v>
      </c>
      <c r="C1662" s="312" t="s">
        <v>105</v>
      </c>
      <c r="D1662" s="312" t="s">
        <v>1307</v>
      </c>
      <c r="E1662" s="312" t="s">
        <v>167</v>
      </c>
      <c r="F1662" s="312">
        <v>1705</v>
      </c>
      <c r="G1662" s="312" t="s">
        <v>168</v>
      </c>
      <c r="H1662" s="312">
        <v>1707</v>
      </c>
      <c r="I1662" s="312" t="s">
        <v>167</v>
      </c>
      <c r="J1662" s="312">
        <v>1899</v>
      </c>
      <c r="K1662" s="312" t="s">
        <v>169</v>
      </c>
    </row>
    <row r="1663" spans="1:11">
      <c r="A1663" s="312" t="s">
        <v>3602</v>
      </c>
      <c r="B1663" s="312" t="s">
        <v>3603</v>
      </c>
      <c r="C1663" s="312" t="s">
        <v>105</v>
      </c>
      <c r="D1663" s="312" t="s">
        <v>1307</v>
      </c>
      <c r="E1663" s="312" t="s">
        <v>167</v>
      </c>
      <c r="F1663" s="312">
        <v>1705</v>
      </c>
      <c r="G1663" s="312" t="s">
        <v>168</v>
      </c>
      <c r="H1663" s="312">
        <v>1707</v>
      </c>
      <c r="I1663" s="312" t="s">
        <v>167</v>
      </c>
      <c r="J1663" s="312">
        <v>1899</v>
      </c>
      <c r="K1663" s="312" t="s">
        <v>169</v>
      </c>
    </row>
    <row r="1664" spans="1:11">
      <c r="A1664" s="312" t="s">
        <v>3604</v>
      </c>
      <c r="B1664" s="312" t="s">
        <v>3605</v>
      </c>
      <c r="C1664" s="312" t="s">
        <v>105</v>
      </c>
      <c r="D1664" s="312" t="s">
        <v>1307</v>
      </c>
      <c r="E1664" s="312" t="s">
        <v>167</v>
      </c>
      <c r="F1664" s="312">
        <v>1705</v>
      </c>
      <c r="G1664" s="312" t="s">
        <v>168</v>
      </c>
      <c r="H1664" s="312">
        <v>1707</v>
      </c>
      <c r="I1664" s="312" t="s">
        <v>167</v>
      </c>
      <c r="J1664" s="312">
        <v>1899</v>
      </c>
      <c r="K1664" s="312" t="s">
        <v>169</v>
      </c>
    </row>
    <row r="1665" spans="1:11">
      <c r="A1665" s="312" t="s">
        <v>3606</v>
      </c>
      <c r="B1665" s="312" t="s">
        <v>3607</v>
      </c>
      <c r="C1665" s="312" t="s">
        <v>105</v>
      </c>
      <c r="D1665" s="312" t="s">
        <v>252</v>
      </c>
      <c r="E1665" s="312" t="s">
        <v>167</v>
      </c>
      <c r="F1665" s="312">
        <v>1705</v>
      </c>
      <c r="G1665" s="312" t="s">
        <v>168</v>
      </c>
      <c r="H1665" s="312">
        <v>1707</v>
      </c>
      <c r="I1665" s="312" t="s">
        <v>167</v>
      </c>
      <c r="J1665" s="312">
        <v>1899</v>
      </c>
      <c r="K1665" s="312" t="s">
        <v>169</v>
      </c>
    </row>
    <row r="1666" spans="1:11">
      <c r="A1666" s="312" t="s">
        <v>3608</v>
      </c>
      <c r="B1666" s="312" t="s">
        <v>3609</v>
      </c>
      <c r="C1666" s="312" t="s">
        <v>105</v>
      </c>
      <c r="D1666" s="312" t="s">
        <v>252</v>
      </c>
      <c r="E1666" s="312" t="s">
        <v>167</v>
      </c>
      <c r="F1666" s="312">
        <v>1705</v>
      </c>
      <c r="G1666" s="312" t="s">
        <v>168</v>
      </c>
      <c r="H1666" s="312">
        <v>1707</v>
      </c>
      <c r="I1666" s="312" t="s">
        <v>167</v>
      </c>
      <c r="J1666" s="312">
        <v>1899</v>
      </c>
      <c r="K1666" s="312" t="s">
        <v>169</v>
      </c>
    </row>
    <row r="1667" spans="1:11">
      <c r="A1667" s="312" t="s">
        <v>3610</v>
      </c>
      <c r="B1667" s="312" t="s">
        <v>3611</v>
      </c>
      <c r="C1667" s="312" t="s">
        <v>105</v>
      </c>
      <c r="D1667" s="312" t="s">
        <v>252</v>
      </c>
      <c r="E1667" s="312" t="s">
        <v>167</v>
      </c>
      <c r="F1667" s="312">
        <v>1705</v>
      </c>
      <c r="G1667" s="312" t="s">
        <v>168</v>
      </c>
      <c r="H1667" s="312">
        <v>1707</v>
      </c>
      <c r="I1667" s="312" t="s">
        <v>167</v>
      </c>
      <c r="J1667" s="312">
        <v>1899</v>
      </c>
      <c r="K1667" s="312" t="s">
        <v>169</v>
      </c>
    </row>
    <row r="1668" spans="1:11">
      <c r="A1668" s="312" t="s">
        <v>3612</v>
      </c>
      <c r="B1668" s="312" t="s">
        <v>3613</v>
      </c>
      <c r="C1668" s="312" t="s">
        <v>105</v>
      </c>
      <c r="D1668" s="312" t="s">
        <v>252</v>
      </c>
      <c r="E1668" s="312" t="s">
        <v>167</v>
      </c>
      <c r="F1668" s="312">
        <v>1705</v>
      </c>
      <c r="G1668" s="312" t="s">
        <v>168</v>
      </c>
      <c r="H1668" s="312">
        <v>1707</v>
      </c>
      <c r="I1668" s="312" t="s">
        <v>167</v>
      </c>
      <c r="J1668" s="312">
        <v>1899</v>
      </c>
      <c r="K1668" s="312" t="s">
        <v>169</v>
      </c>
    </row>
    <row r="1669" spans="1:11">
      <c r="A1669" s="312" t="s">
        <v>3614</v>
      </c>
      <c r="B1669" s="1" t="s">
        <v>3615</v>
      </c>
      <c r="C1669" s="312" t="s">
        <v>105</v>
      </c>
      <c r="D1669" s="312" t="s">
        <v>252</v>
      </c>
      <c r="E1669" s="312" t="s">
        <v>167</v>
      </c>
      <c r="F1669" s="312">
        <v>1705</v>
      </c>
      <c r="G1669" s="312" t="s">
        <v>168</v>
      </c>
      <c r="H1669" s="312">
        <v>1707</v>
      </c>
      <c r="I1669" s="312" t="s">
        <v>167</v>
      </c>
      <c r="J1669" s="312">
        <v>1899</v>
      </c>
      <c r="K1669" s="312" t="s">
        <v>169</v>
      </c>
    </row>
    <row r="1670" spans="1:11">
      <c r="A1670" s="312" t="s">
        <v>3616</v>
      </c>
      <c r="B1670" s="1" t="s">
        <v>3617</v>
      </c>
      <c r="C1670" s="312" t="s">
        <v>105</v>
      </c>
      <c r="D1670" s="312" t="s">
        <v>252</v>
      </c>
      <c r="E1670" s="312" t="s">
        <v>167</v>
      </c>
      <c r="F1670" s="312">
        <v>1705</v>
      </c>
      <c r="G1670" s="312" t="s">
        <v>168</v>
      </c>
      <c r="H1670" s="312">
        <v>1707</v>
      </c>
      <c r="I1670" s="312" t="s">
        <v>167</v>
      </c>
      <c r="J1670" s="312">
        <v>1899</v>
      </c>
      <c r="K1670" s="312" t="s">
        <v>169</v>
      </c>
    </row>
    <row r="1671" spans="1:11">
      <c r="A1671" s="312" t="s">
        <v>3618</v>
      </c>
      <c r="B1671" s="312" t="s">
        <v>3619</v>
      </c>
      <c r="C1671" s="312" t="s">
        <v>105</v>
      </c>
      <c r="D1671" s="312" t="s">
        <v>184</v>
      </c>
      <c r="E1671" s="312" t="s">
        <v>107</v>
      </c>
      <c r="F1671" s="312">
        <v>1825</v>
      </c>
      <c r="G1671" s="312" t="s">
        <v>108</v>
      </c>
      <c r="H1671" s="312">
        <v>1827</v>
      </c>
      <c r="I1671" s="312" t="s">
        <v>107</v>
      </c>
      <c r="J1671" s="312">
        <v>1913</v>
      </c>
      <c r="K1671" s="312" t="s">
        <v>109</v>
      </c>
    </row>
    <row r="1672" spans="1:11">
      <c r="A1672" s="312" t="s">
        <v>3620</v>
      </c>
      <c r="B1672" s="312" t="s">
        <v>3621</v>
      </c>
      <c r="C1672" s="312" t="s">
        <v>105</v>
      </c>
      <c r="D1672" s="312" t="s">
        <v>184</v>
      </c>
      <c r="E1672" s="312" t="s">
        <v>107</v>
      </c>
      <c r="F1672" s="312">
        <v>1825</v>
      </c>
      <c r="G1672" s="312" t="s">
        <v>108</v>
      </c>
      <c r="H1672" s="312">
        <v>1827</v>
      </c>
      <c r="I1672" s="312" t="s">
        <v>107</v>
      </c>
      <c r="J1672" s="312">
        <v>1913</v>
      </c>
      <c r="K1672" s="312" t="s">
        <v>109</v>
      </c>
    </row>
    <row r="1673" spans="1:11">
      <c r="A1673" s="312" t="s">
        <v>3622</v>
      </c>
      <c r="B1673" s="312" t="s">
        <v>3623</v>
      </c>
      <c r="C1673" s="312" t="s">
        <v>105</v>
      </c>
      <c r="D1673" s="312" t="s">
        <v>184</v>
      </c>
      <c r="E1673" s="312" t="s">
        <v>107</v>
      </c>
      <c r="F1673" s="312">
        <v>1825</v>
      </c>
      <c r="G1673" s="312" t="s">
        <v>108</v>
      </c>
      <c r="H1673" s="312">
        <v>1827</v>
      </c>
      <c r="I1673" s="312" t="s">
        <v>107</v>
      </c>
      <c r="J1673" s="312">
        <v>1913</v>
      </c>
      <c r="K1673" s="312" t="s">
        <v>109</v>
      </c>
    </row>
    <row r="1674" spans="1:11">
      <c r="A1674" s="312" t="s">
        <v>3624</v>
      </c>
      <c r="B1674" s="312" t="s">
        <v>3625</v>
      </c>
      <c r="C1674" s="312" t="s">
        <v>105</v>
      </c>
      <c r="D1674" s="312" t="s">
        <v>184</v>
      </c>
      <c r="E1674" s="312" t="s">
        <v>107</v>
      </c>
      <c r="F1674" s="312">
        <v>1825</v>
      </c>
      <c r="G1674" s="312" t="s">
        <v>108</v>
      </c>
      <c r="H1674" s="312">
        <v>1827</v>
      </c>
      <c r="I1674" s="312" t="s">
        <v>107</v>
      </c>
      <c r="J1674" s="312">
        <v>1913</v>
      </c>
      <c r="K1674" s="312" t="s">
        <v>109</v>
      </c>
    </row>
    <row r="1675" spans="1:11">
      <c r="A1675" s="312" t="s">
        <v>3626</v>
      </c>
      <c r="B1675" s="312" t="s">
        <v>3627</v>
      </c>
      <c r="C1675" s="312" t="s">
        <v>105</v>
      </c>
      <c r="D1675" s="312" t="s">
        <v>114</v>
      </c>
      <c r="E1675" s="312" t="s">
        <v>107</v>
      </c>
      <c r="F1675" s="312">
        <v>1825</v>
      </c>
      <c r="G1675" s="312" t="s">
        <v>108</v>
      </c>
      <c r="H1675" s="312">
        <v>1827</v>
      </c>
      <c r="I1675" s="312" t="s">
        <v>107</v>
      </c>
      <c r="J1675" s="312">
        <v>1913</v>
      </c>
      <c r="K1675" s="312" t="s">
        <v>109</v>
      </c>
    </row>
    <row r="1676" spans="1:11">
      <c r="A1676" s="312" t="s">
        <v>3628</v>
      </c>
      <c r="B1676" s="312" t="s">
        <v>3629</v>
      </c>
      <c r="C1676" s="312" t="s">
        <v>105</v>
      </c>
      <c r="D1676" s="312" t="s">
        <v>573</v>
      </c>
      <c r="E1676" s="312" t="s">
        <v>107</v>
      </c>
      <c r="F1676" s="312">
        <v>1825</v>
      </c>
      <c r="G1676" s="312" t="s">
        <v>108</v>
      </c>
      <c r="H1676" s="312">
        <v>1827</v>
      </c>
      <c r="I1676" s="312" t="s">
        <v>107</v>
      </c>
      <c r="J1676" s="312">
        <v>1913</v>
      </c>
      <c r="K1676" s="312" t="s">
        <v>109</v>
      </c>
    </row>
    <row r="1677" spans="1:11">
      <c r="A1677" s="312" t="s">
        <v>3630</v>
      </c>
      <c r="B1677" s="312" t="s">
        <v>3631</v>
      </c>
      <c r="C1677" s="312" t="s">
        <v>105</v>
      </c>
      <c r="D1677" s="312" t="s">
        <v>576</v>
      </c>
      <c r="E1677" s="312" t="s">
        <v>107</v>
      </c>
      <c r="F1677" s="312">
        <v>1825</v>
      </c>
      <c r="G1677" s="312" t="s">
        <v>108</v>
      </c>
      <c r="H1677" s="312">
        <v>1827</v>
      </c>
      <c r="I1677" s="312" t="s">
        <v>107</v>
      </c>
      <c r="J1677" s="312">
        <v>1913</v>
      </c>
      <c r="K1677" s="312" t="s">
        <v>109</v>
      </c>
    </row>
    <row r="1678" spans="1:11">
      <c r="A1678" s="312" t="s">
        <v>3632</v>
      </c>
      <c r="B1678" s="312" t="s">
        <v>3633</v>
      </c>
      <c r="C1678" s="312" t="s">
        <v>105</v>
      </c>
      <c r="D1678" s="312" t="s">
        <v>587</v>
      </c>
      <c r="E1678" s="312" t="s">
        <v>107</v>
      </c>
      <c r="F1678" s="312">
        <v>1825</v>
      </c>
      <c r="G1678" s="312" t="s">
        <v>108</v>
      </c>
      <c r="H1678" s="312">
        <v>1827</v>
      </c>
      <c r="I1678" s="312" t="s">
        <v>107</v>
      </c>
      <c r="J1678" s="312">
        <v>1913</v>
      </c>
      <c r="K1678" s="312" t="s">
        <v>109</v>
      </c>
    </row>
    <row r="1679" spans="1:11">
      <c r="A1679" s="312" t="s">
        <v>3634</v>
      </c>
      <c r="B1679" s="312" t="s">
        <v>3635</v>
      </c>
      <c r="C1679" s="312" t="s">
        <v>105</v>
      </c>
      <c r="D1679" s="312" t="s">
        <v>573</v>
      </c>
      <c r="E1679" s="312" t="s">
        <v>107</v>
      </c>
      <c r="F1679" s="312">
        <v>1825</v>
      </c>
      <c r="G1679" s="312" t="s">
        <v>108</v>
      </c>
      <c r="H1679" s="312">
        <v>1827</v>
      </c>
      <c r="I1679" s="312" t="s">
        <v>107</v>
      </c>
      <c r="J1679" s="312">
        <v>1913</v>
      </c>
      <c r="K1679" s="312" t="s">
        <v>109</v>
      </c>
    </row>
    <row r="1680" spans="1:11">
      <c r="A1680" s="312" t="s">
        <v>3636</v>
      </c>
      <c r="B1680" s="312" t="s">
        <v>3637</v>
      </c>
      <c r="C1680" s="312" t="s">
        <v>105</v>
      </c>
      <c r="D1680" s="312" t="s">
        <v>114</v>
      </c>
      <c r="E1680" s="312" t="s">
        <v>107</v>
      </c>
      <c r="F1680" s="312">
        <v>1825</v>
      </c>
      <c r="G1680" s="312" t="s">
        <v>108</v>
      </c>
      <c r="H1680" s="312">
        <v>1827</v>
      </c>
      <c r="I1680" s="312" t="s">
        <v>107</v>
      </c>
      <c r="J1680" s="312">
        <v>1913</v>
      </c>
      <c r="K1680" s="312" t="s">
        <v>109</v>
      </c>
    </row>
    <row r="1681" spans="1:11">
      <c r="A1681" s="312" t="s">
        <v>3638</v>
      </c>
      <c r="B1681" s="312" t="s">
        <v>3639</v>
      </c>
      <c r="C1681" s="312" t="s">
        <v>105</v>
      </c>
      <c r="D1681" s="312" t="s">
        <v>114</v>
      </c>
      <c r="E1681" s="312" t="s">
        <v>107</v>
      </c>
      <c r="F1681" s="312">
        <v>1825</v>
      </c>
      <c r="G1681" s="312" t="s">
        <v>108</v>
      </c>
      <c r="H1681" s="312">
        <v>1827</v>
      </c>
      <c r="I1681" s="312" t="s">
        <v>107</v>
      </c>
      <c r="J1681" s="312">
        <v>1913</v>
      </c>
      <c r="K1681" s="312" t="s">
        <v>109</v>
      </c>
    </row>
    <row r="1682" spans="1:11">
      <c r="A1682" s="312" t="s">
        <v>3640</v>
      </c>
      <c r="B1682" s="312" t="s">
        <v>3641</v>
      </c>
      <c r="C1682" s="312" t="s">
        <v>105</v>
      </c>
      <c r="D1682" s="312" t="s">
        <v>114</v>
      </c>
      <c r="E1682" s="312" t="s">
        <v>107</v>
      </c>
      <c r="F1682" s="312">
        <v>1825</v>
      </c>
      <c r="G1682" s="312" t="s">
        <v>108</v>
      </c>
      <c r="H1682" s="312">
        <v>1827</v>
      </c>
      <c r="I1682" s="312" t="s">
        <v>107</v>
      </c>
      <c r="J1682" s="312">
        <v>1913</v>
      </c>
      <c r="K1682" s="312" t="s">
        <v>109</v>
      </c>
    </row>
    <row r="1683" spans="1:11">
      <c r="A1683" s="312" t="s">
        <v>3642</v>
      </c>
      <c r="B1683" s="312" t="s">
        <v>3643</v>
      </c>
      <c r="C1683" s="312" t="s">
        <v>105</v>
      </c>
      <c r="D1683" s="312" t="s">
        <v>216</v>
      </c>
      <c r="E1683" s="312" t="s">
        <v>107</v>
      </c>
      <c r="F1683" s="312">
        <v>1825</v>
      </c>
      <c r="G1683" s="312" t="s">
        <v>108</v>
      </c>
      <c r="H1683" s="312">
        <v>1827</v>
      </c>
      <c r="I1683" s="312" t="s">
        <v>107</v>
      </c>
      <c r="J1683" s="312">
        <v>1913</v>
      </c>
      <c r="K1683" s="312" t="s">
        <v>109</v>
      </c>
    </row>
    <row r="1684" spans="1:11">
      <c r="A1684" s="312" t="s">
        <v>3644</v>
      </c>
      <c r="B1684" s="312" t="s">
        <v>3645</v>
      </c>
      <c r="C1684" s="312" t="s">
        <v>105</v>
      </c>
      <c r="D1684" s="312" t="s">
        <v>114</v>
      </c>
      <c r="E1684" s="312" t="s">
        <v>107</v>
      </c>
      <c r="F1684" s="312">
        <v>1825</v>
      </c>
      <c r="G1684" s="312" t="s">
        <v>108</v>
      </c>
      <c r="H1684" s="312">
        <v>1827</v>
      </c>
      <c r="I1684" s="312" t="s">
        <v>107</v>
      </c>
      <c r="J1684" s="312">
        <v>1913</v>
      </c>
      <c r="K1684" s="312" t="s">
        <v>109</v>
      </c>
    </row>
    <row r="1685" spans="1:11">
      <c r="A1685" s="312" t="s">
        <v>3646</v>
      </c>
      <c r="B1685" s="312" t="s">
        <v>3647</v>
      </c>
      <c r="C1685" s="312" t="s">
        <v>105</v>
      </c>
      <c r="D1685" s="312" t="s">
        <v>551</v>
      </c>
      <c r="E1685" s="312" t="s">
        <v>167</v>
      </c>
      <c r="F1685" s="312">
        <v>1705</v>
      </c>
      <c r="G1685" s="312" t="s">
        <v>168</v>
      </c>
      <c r="H1685" s="312">
        <v>1707</v>
      </c>
      <c r="I1685" s="312" t="s">
        <v>167</v>
      </c>
      <c r="J1685" s="312">
        <v>1899</v>
      </c>
      <c r="K1685" s="312" t="s">
        <v>169</v>
      </c>
    </row>
    <row r="1686" spans="1:11">
      <c r="A1686" s="312" t="s">
        <v>3648</v>
      </c>
      <c r="B1686" s="312" t="s">
        <v>3649</v>
      </c>
      <c r="C1686" s="312" t="s">
        <v>105</v>
      </c>
      <c r="D1686" s="312" t="s">
        <v>551</v>
      </c>
      <c r="E1686" s="312" t="s">
        <v>167</v>
      </c>
      <c r="F1686" s="312">
        <v>1705</v>
      </c>
      <c r="G1686" s="312" t="s">
        <v>168</v>
      </c>
      <c r="H1686" s="312">
        <v>1707</v>
      </c>
      <c r="I1686" s="312" t="s">
        <v>167</v>
      </c>
      <c r="J1686" s="312">
        <v>1899</v>
      </c>
      <c r="K1686" s="312" t="s">
        <v>169</v>
      </c>
    </row>
    <row r="1687" spans="1:11">
      <c r="A1687" s="312" t="s">
        <v>3650</v>
      </c>
      <c r="B1687" s="312" t="s">
        <v>3651</v>
      </c>
      <c r="C1687" s="312" t="s">
        <v>105</v>
      </c>
      <c r="D1687" s="312" t="s">
        <v>3652</v>
      </c>
      <c r="E1687" s="312" t="s">
        <v>320</v>
      </c>
      <c r="F1687" s="312">
        <v>1716</v>
      </c>
      <c r="G1687" s="312" t="s">
        <v>321</v>
      </c>
      <c r="H1687" s="312">
        <v>1725</v>
      </c>
      <c r="I1687" s="312" t="s">
        <v>320</v>
      </c>
      <c r="J1687" s="312">
        <v>1910</v>
      </c>
      <c r="K1687" s="312" t="s">
        <v>322</v>
      </c>
    </row>
    <row r="1688" spans="1:11">
      <c r="A1688" s="312" t="s">
        <v>3653</v>
      </c>
      <c r="B1688" s="312" t="s">
        <v>3654</v>
      </c>
      <c r="C1688" s="312" t="s">
        <v>105</v>
      </c>
      <c r="D1688" s="312" t="s">
        <v>343</v>
      </c>
      <c r="E1688" s="312" t="s">
        <v>167</v>
      </c>
      <c r="F1688" s="312">
        <v>1705</v>
      </c>
      <c r="G1688" s="312" t="s">
        <v>168</v>
      </c>
      <c r="H1688" s="312">
        <v>1707</v>
      </c>
      <c r="I1688" s="312" t="s">
        <v>167</v>
      </c>
      <c r="J1688" s="312">
        <v>1899</v>
      </c>
      <c r="K1688" s="312" t="s">
        <v>169</v>
      </c>
    </row>
    <row r="1689" spans="1:11">
      <c r="A1689" s="312" t="s">
        <v>3655</v>
      </c>
      <c r="B1689" s="312" t="s">
        <v>3656</v>
      </c>
      <c r="C1689" s="312" t="s">
        <v>105</v>
      </c>
      <c r="D1689" s="312" t="s">
        <v>343</v>
      </c>
      <c r="E1689" s="312" t="s">
        <v>167</v>
      </c>
      <c r="F1689" s="312">
        <v>1705</v>
      </c>
      <c r="G1689" s="312" t="s">
        <v>168</v>
      </c>
      <c r="H1689" s="312">
        <v>1707</v>
      </c>
      <c r="I1689" s="312" t="s">
        <v>167</v>
      </c>
      <c r="J1689" s="312">
        <v>1899</v>
      </c>
      <c r="K1689" s="312" t="s">
        <v>169</v>
      </c>
    </row>
    <row r="1690" spans="1:11">
      <c r="A1690" s="312" t="s">
        <v>3657</v>
      </c>
      <c r="B1690" s="312" t="s">
        <v>3658</v>
      </c>
      <c r="C1690" s="312" t="s">
        <v>105</v>
      </c>
      <c r="D1690" s="312" t="s">
        <v>252</v>
      </c>
      <c r="E1690" s="312" t="s">
        <v>167</v>
      </c>
      <c r="F1690" s="312">
        <v>1705</v>
      </c>
      <c r="G1690" s="312" t="s">
        <v>168</v>
      </c>
      <c r="H1690" s="312">
        <v>1707</v>
      </c>
      <c r="I1690" s="312" t="s">
        <v>167</v>
      </c>
      <c r="J1690" s="312">
        <v>1899</v>
      </c>
      <c r="K1690" s="312" t="s">
        <v>169</v>
      </c>
    </row>
    <row r="1691" spans="1:11">
      <c r="A1691" s="312" t="s">
        <v>3659</v>
      </c>
      <c r="B1691" s="312" t="s">
        <v>3660</v>
      </c>
      <c r="C1691" s="312" t="s">
        <v>105</v>
      </c>
      <c r="D1691" s="312" t="s">
        <v>1307</v>
      </c>
      <c r="E1691" s="312" t="s">
        <v>167</v>
      </c>
      <c r="F1691" s="312">
        <v>1705</v>
      </c>
      <c r="G1691" s="312" t="s">
        <v>168</v>
      </c>
      <c r="H1691" s="312">
        <v>1707</v>
      </c>
      <c r="I1691" s="312" t="s">
        <v>167</v>
      </c>
      <c r="J1691" s="312">
        <v>1899</v>
      </c>
      <c r="K1691" s="312" t="s">
        <v>169</v>
      </c>
    </row>
    <row r="1692" spans="1:11">
      <c r="A1692" s="312" t="s">
        <v>3661</v>
      </c>
      <c r="B1692" s="312" t="s">
        <v>3662</v>
      </c>
      <c r="C1692" s="312" t="s">
        <v>105</v>
      </c>
      <c r="D1692" s="312" t="s">
        <v>1910</v>
      </c>
      <c r="E1692" s="312" t="s">
        <v>167</v>
      </c>
      <c r="F1692" s="312">
        <v>1705</v>
      </c>
      <c r="G1692" s="312" t="s">
        <v>168</v>
      </c>
      <c r="H1692" s="312">
        <v>1707</v>
      </c>
      <c r="I1692" s="312" t="s">
        <v>167</v>
      </c>
      <c r="J1692" s="312">
        <v>1899</v>
      </c>
      <c r="K1692" s="312" t="s">
        <v>169</v>
      </c>
    </row>
    <row r="1693" spans="1:11">
      <c r="A1693" s="312" t="s">
        <v>3663</v>
      </c>
      <c r="B1693" s="312" t="s">
        <v>3664</v>
      </c>
      <c r="C1693" s="312" t="s">
        <v>105</v>
      </c>
      <c r="D1693" s="312" t="s">
        <v>1294</v>
      </c>
      <c r="E1693" s="312" t="s">
        <v>107</v>
      </c>
      <c r="F1693" s="312">
        <v>1825</v>
      </c>
      <c r="G1693" s="312" t="s">
        <v>108</v>
      </c>
      <c r="H1693" s="312">
        <v>1827</v>
      </c>
      <c r="I1693" s="312" t="s">
        <v>107</v>
      </c>
      <c r="J1693" s="312">
        <v>1913</v>
      </c>
      <c r="K1693" s="312" t="s">
        <v>109</v>
      </c>
    </row>
    <row r="1694" spans="1:11">
      <c r="A1694" s="312" t="s">
        <v>3665</v>
      </c>
      <c r="B1694" s="312" t="s">
        <v>3666</v>
      </c>
      <c r="C1694" s="312" t="s">
        <v>105</v>
      </c>
      <c r="D1694" s="312" t="s">
        <v>517</v>
      </c>
      <c r="E1694" s="312" t="s">
        <v>107</v>
      </c>
      <c r="F1694" s="312">
        <v>1825</v>
      </c>
      <c r="G1694" s="312" t="s">
        <v>108</v>
      </c>
      <c r="H1694" s="312">
        <v>1827</v>
      </c>
      <c r="I1694" s="312" t="s">
        <v>107</v>
      </c>
      <c r="J1694" s="312">
        <v>1913</v>
      </c>
      <c r="K1694" s="312" t="s">
        <v>109</v>
      </c>
    </row>
    <row r="1695" spans="1:11">
      <c r="A1695" s="312" t="s">
        <v>3667</v>
      </c>
      <c r="B1695" s="312" t="s">
        <v>3668</v>
      </c>
      <c r="C1695" s="312" t="s">
        <v>105</v>
      </c>
      <c r="D1695" s="312" t="s">
        <v>504</v>
      </c>
      <c r="E1695" s="312" t="s">
        <v>167</v>
      </c>
      <c r="F1695" s="312">
        <v>1705</v>
      </c>
      <c r="G1695" s="312" t="s">
        <v>168</v>
      </c>
      <c r="H1695" s="312">
        <v>1707</v>
      </c>
      <c r="I1695" s="312" t="s">
        <v>167</v>
      </c>
      <c r="J1695" s="312">
        <v>1899</v>
      </c>
      <c r="K1695" s="312" t="s">
        <v>169</v>
      </c>
    </row>
    <row r="1696" spans="1:11">
      <c r="A1696" s="312" t="s">
        <v>3669</v>
      </c>
      <c r="B1696" s="312" t="s">
        <v>3670</v>
      </c>
      <c r="C1696" s="312" t="s">
        <v>105</v>
      </c>
      <c r="D1696" s="312" t="s">
        <v>114</v>
      </c>
      <c r="E1696" s="312" t="s">
        <v>107</v>
      </c>
      <c r="F1696" s="312">
        <v>1825</v>
      </c>
      <c r="G1696" s="312" t="s">
        <v>108</v>
      </c>
      <c r="H1696" s="312">
        <v>1827</v>
      </c>
      <c r="I1696" s="312" t="s">
        <v>107</v>
      </c>
      <c r="J1696" s="312">
        <v>1913</v>
      </c>
      <c r="K1696" s="312" t="s">
        <v>109</v>
      </c>
    </row>
    <row r="1697" spans="1:11">
      <c r="A1697" s="312" t="s">
        <v>3671</v>
      </c>
      <c r="B1697" s="312" t="s">
        <v>3672</v>
      </c>
      <c r="C1697" s="312" t="s">
        <v>105</v>
      </c>
      <c r="D1697" s="312" t="s">
        <v>858</v>
      </c>
      <c r="E1697" s="312" t="s">
        <v>167</v>
      </c>
      <c r="F1697" s="312">
        <v>1705</v>
      </c>
      <c r="G1697" s="312" t="s">
        <v>168</v>
      </c>
      <c r="H1697" s="312">
        <v>1707</v>
      </c>
      <c r="I1697" s="312" t="s">
        <v>167</v>
      </c>
      <c r="J1697" s="312">
        <v>1899</v>
      </c>
      <c r="K1697" s="312" t="s">
        <v>169</v>
      </c>
    </row>
    <row r="1698" spans="1:11">
      <c r="A1698" s="312" t="s">
        <v>3673</v>
      </c>
      <c r="B1698" s="312" t="s">
        <v>3674</v>
      </c>
      <c r="C1698" s="312" t="s">
        <v>105</v>
      </c>
      <c r="D1698" s="312" t="s">
        <v>3652</v>
      </c>
      <c r="E1698" s="312" t="s">
        <v>167</v>
      </c>
      <c r="F1698" s="312">
        <v>1705</v>
      </c>
      <c r="G1698" s="312" t="s">
        <v>168</v>
      </c>
      <c r="H1698" s="312">
        <v>1707</v>
      </c>
      <c r="I1698" s="312" t="s">
        <v>167</v>
      </c>
      <c r="J1698" s="312">
        <v>1899</v>
      </c>
      <c r="K1698" s="312" t="s">
        <v>169</v>
      </c>
    </row>
    <row r="1699" spans="1:11">
      <c r="A1699" s="312" t="s">
        <v>3675</v>
      </c>
      <c r="B1699" s="312" t="s">
        <v>3676</v>
      </c>
      <c r="C1699" s="312" t="s">
        <v>105</v>
      </c>
      <c r="D1699" s="312" t="s">
        <v>3652</v>
      </c>
      <c r="E1699" s="312" t="s">
        <v>320</v>
      </c>
      <c r="F1699" s="312">
        <v>1716</v>
      </c>
      <c r="G1699" s="312" t="s">
        <v>321</v>
      </c>
      <c r="H1699" s="312">
        <v>1725</v>
      </c>
      <c r="I1699" s="312" t="s">
        <v>320</v>
      </c>
      <c r="J1699" s="312">
        <v>1910</v>
      </c>
      <c r="K1699" s="312" t="s">
        <v>322</v>
      </c>
    </row>
    <row r="1700" spans="1:11">
      <c r="A1700" s="312" t="s">
        <v>3677</v>
      </c>
      <c r="B1700" s="312" t="s">
        <v>3678</v>
      </c>
      <c r="C1700" s="312" t="s">
        <v>105</v>
      </c>
      <c r="D1700" s="312" t="s">
        <v>3679</v>
      </c>
      <c r="E1700" s="312" t="s">
        <v>886</v>
      </c>
      <c r="F1700" s="312">
        <v>1857</v>
      </c>
      <c r="G1700" s="312" t="s">
        <v>887</v>
      </c>
      <c r="H1700" s="312">
        <v>1858</v>
      </c>
      <c r="I1700" s="312" t="s">
        <v>886</v>
      </c>
      <c r="J1700" s="312">
        <v>1924</v>
      </c>
      <c r="K1700" s="312" t="s">
        <v>888</v>
      </c>
    </row>
    <row r="1701" spans="1:11">
      <c r="A1701" s="312" t="s">
        <v>3680</v>
      </c>
      <c r="B1701" s="312" t="s">
        <v>3681</v>
      </c>
      <c r="C1701" s="312" t="s">
        <v>105</v>
      </c>
      <c r="D1701" s="312" t="s">
        <v>3679</v>
      </c>
      <c r="E1701" s="312" t="s">
        <v>886</v>
      </c>
      <c r="F1701" s="312">
        <v>1857</v>
      </c>
      <c r="G1701" s="312" t="s">
        <v>887</v>
      </c>
      <c r="H1701" s="312">
        <v>1858</v>
      </c>
      <c r="I1701" s="312" t="s">
        <v>886</v>
      </c>
      <c r="J1701" s="312">
        <v>1924</v>
      </c>
      <c r="K1701" s="312" t="s">
        <v>888</v>
      </c>
    </row>
    <row r="1702" spans="1:11">
      <c r="A1702" s="312" t="s">
        <v>3682</v>
      </c>
      <c r="B1702" s="312" t="s">
        <v>3683</v>
      </c>
      <c r="C1702" s="312" t="s">
        <v>105</v>
      </c>
      <c r="D1702" s="312" t="s">
        <v>3679</v>
      </c>
      <c r="E1702" s="312" t="s">
        <v>886</v>
      </c>
      <c r="F1702" s="312">
        <v>1857</v>
      </c>
      <c r="G1702" s="312" t="s">
        <v>887</v>
      </c>
      <c r="H1702" s="312">
        <v>1858</v>
      </c>
      <c r="I1702" s="312" t="s">
        <v>886</v>
      </c>
      <c r="J1702" s="312">
        <v>1924</v>
      </c>
      <c r="K1702" s="312" t="s">
        <v>888</v>
      </c>
    </row>
    <row r="1703" spans="1:11">
      <c r="A1703" s="312" t="s">
        <v>3684</v>
      </c>
      <c r="B1703" s="312" t="s">
        <v>3685</v>
      </c>
      <c r="C1703" s="312" t="s">
        <v>105</v>
      </c>
      <c r="D1703" s="312" t="s">
        <v>3679</v>
      </c>
      <c r="E1703" s="312" t="s">
        <v>886</v>
      </c>
      <c r="F1703" s="312">
        <v>1857</v>
      </c>
      <c r="G1703" s="312" t="s">
        <v>887</v>
      </c>
      <c r="H1703" s="312">
        <v>1858</v>
      </c>
      <c r="I1703" s="312" t="s">
        <v>886</v>
      </c>
      <c r="J1703" s="312">
        <v>1924</v>
      </c>
      <c r="K1703" s="312" t="s">
        <v>888</v>
      </c>
    </row>
    <row r="1704" spans="1:11">
      <c r="A1704" s="312" t="s">
        <v>3686</v>
      </c>
      <c r="B1704" s="312" t="s">
        <v>3687</v>
      </c>
      <c r="C1704" s="312" t="s">
        <v>105</v>
      </c>
      <c r="D1704" s="312" t="s">
        <v>3679</v>
      </c>
      <c r="E1704" s="312" t="s">
        <v>886</v>
      </c>
      <c r="F1704" s="312">
        <v>1857</v>
      </c>
      <c r="G1704" s="312" t="s">
        <v>887</v>
      </c>
      <c r="H1704" s="312">
        <v>1858</v>
      </c>
      <c r="I1704" s="312" t="s">
        <v>886</v>
      </c>
      <c r="J1704" s="312">
        <v>1924</v>
      </c>
      <c r="K1704" s="312" t="s">
        <v>888</v>
      </c>
    </row>
    <row r="1705" spans="1:11">
      <c r="A1705" s="312" t="s">
        <v>3688</v>
      </c>
      <c r="B1705" s="312" t="s">
        <v>3689</v>
      </c>
      <c r="C1705" s="312" t="s">
        <v>105</v>
      </c>
      <c r="D1705" s="312" t="s">
        <v>3679</v>
      </c>
      <c r="E1705" s="312" t="s">
        <v>886</v>
      </c>
      <c r="F1705" s="312">
        <v>1857</v>
      </c>
      <c r="G1705" s="312" t="s">
        <v>887</v>
      </c>
      <c r="H1705" s="312">
        <v>1858</v>
      </c>
      <c r="I1705" s="312" t="s">
        <v>886</v>
      </c>
      <c r="J1705" s="312">
        <v>1924</v>
      </c>
      <c r="K1705" s="312" t="s">
        <v>888</v>
      </c>
    </row>
    <row r="1706" spans="1:11">
      <c r="A1706" s="312" t="s">
        <v>3690</v>
      </c>
      <c r="B1706" s="312" t="s">
        <v>3691</v>
      </c>
      <c r="C1706" s="312" t="s">
        <v>105</v>
      </c>
      <c r="D1706" s="312" t="s">
        <v>3679</v>
      </c>
      <c r="E1706" s="312" t="s">
        <v>886</v>
      </c>
      <c r="F1706" s="312">
        <v>1857</v>
      </c>
      <c r="G1706" s="312" t="s">
        <v>887</v>
      </c>
      <c r="H1706" s="312">
        <v>1858</v>
      </c>
      <c r="I1706" s="312" t="s">
        <v>886</v>
      </c>
      <c r="J1706" s="312">
        <v>1924</v>
      </c>
      <c r="K1706" s="312" t="s">
        <v>888</v>
      </c>
    </row>
    <row r="1707" spans="1:11">
      <c r="A1707" s="312" t="s">
        <v>3692</v>
      </c>
      <c r="B1707" s="312" t="s">
        <v>3693</v>
      </c>
      <c r="C1707" s="312" t="s">
        <v>105</v>
      </c>
      <c r="D1707" s="312" t="s">
        <v>3679</v>
      </c>
      <c r="E1707" s="312" t="s">
        <v>886</v>
      </c>
      <c r="F1707" s="312">
        <v>1857</v>
      </c>
      <c r="G1707" s="312" t="s">
        <v>887</v>
      </c>
      <c r="H1707" s="312">
        <v>1858</v>
      </c>
      <c r="I1707" s="312" t="s">
        <v>886</v>
      </c>
      <c r="J1707" s="312">
        <v>1924</v>
      </c>
      <c r="K1707" s="312" t="s">
        <v>888</v>
      </c>
    </row>
    <row r="1708" spans="1:11">
      <c r="A1708" s="312" t="s">
        <v>3694</v>
      </c>
      <c r="B1708" s="312" t="s">
        <v>3695</v>
      </c>
      <c r="C1708" s="312" t="s">
        <v>105</v>
      </c>
      <c r="D1708" s="312" t="s">
        <v>3679</v>
      </c>
      <c r="E1708" s="312" t="s">
        <v>886</v>
      </c>
      <c r="F1708" s="312">
        <v>1857</v>
      </c>
      <c r="G1708" s="312" t="s">
        <v>887</v>
      </c>
      <c r="H1708" s="312">
        <v>1858</v>
      </c>
      <c r="I1708" s="312" t="s">
        <v>886</v>
      </c>
      <c r="J1708" s="312">
        <v>1924</v>
      </c>
      <c r="K1708" s="312" t="s">
        <v>888</v>
      </c>
    </row>
    <row r="1709" spans="1:11">
      <c r="A1709" s="312" t="s">
        <v>3696</v>
      </c>
      <c r="B1709" s="312" t="s">
        <v>3697</v>
      </c>
      <c r="C1709" s="312" t="s">
        <v>105</v>
      </c>
      <c r="D1709" s="312" t="s">
        <v>3679</v>
      </c>
      <c r="E1709" s="312" t="s">
        <v>886</v>
      </c>
      <c r="F1709" s="312">
        <v>1857</v>
      </c>
      <c r="G1709" s="312" t="s">
        <v>887</v>
      </c>
      <c r="H1709" s="312">
        <v>1858</v>
      </c>
      <c r="I1709" s="312" t="s">
        <v>886</v>
      </c>
      <c r="J1709" s="312">
        <v>1924</v>
      </c>
      <c r="K1709" s="312" t="s">
        <v>888</v>
      </c>
    </row>
    <row r="1710" spans="1:11">
      <c r="A1710" s="312" t="s">
        <v>3698</v>
      </c>
      <c r="B1710" s="312" t="s">
        <v>3699</v>
      </c>
      <c r="C1710" s="312" t="s">
        <v>105</v>
      </c>
      <c r="D1710" s="312" t="s">
        <v>3679</v>
      </c>
      <c r="E1710" s="312" t="s">
        <v>886</v>
      </c>
      <c r="F1710" s="312">
        <v>1857</v>
      </c>
      <c r="G1710" s="312" t="s">
        <v>887</v>
      </c>
      <c r="H1710" s="312">
        <v>1858</v>
      </c>
      <c r="I1710" s="312" t="s">
        <v>886</v>
      </c>
      <c r="J1710" s="312">
        <v>1924</v>
      </c>
      <c r="K1710" s="312" t="s">
        <v>888</v>
      </c>
    </row>
    <row r="1711" spans="1:11">
      <c r="A1711" s="312" t="s">
        <v>3700</v>
      </c>
      <c r="B1711" s="312" t="s">
        <v>3701</v>
      </c>
      <c r="C1711" s="312" t="s">
        <v>105</v>
      </c>
      <c r="D1711" s="312" t="s">
        <v>3679</v>
      </c>
      <c r="E1711" s="312" t="s">
        <v>886</v>
      </c>
      <c r="F1711" s="312">
        <v>1857</v>
      </c>
      <c r="G1711" s="312" t="s">
        <v>887</v>
      </c>
      <c r="H1711" s="312">
        <v>1858</v>
      </c>
      <c r="I1711" s="312" t="s">
        <v>886</v>
      </c>
      <c r="J1711" s="312">
        <v>1924</v>
      </c>
      <c r="K1711" s="312" t="s">
        <v>888</v>
      </c>
    </row>
    <row r="1712" spans="1:11">
      <c r="A1712" s="312" t="s">
        <v>3702</v>
      </c>
      <c r="B1712" s="312" t="s">
        <v>3703</v>
      </c>
      <c r="C1712" s="312" t="s">
        <v>105</v>
      </c>
      <c r="D1712" s="312" t="s">
        <v>3679</v>
      </c>
      <c r="E1712" s="312" t="s">
        <v>886</v>
      </c>
      <c r="F1712" s="312">
        <v>1857</v>
      </c>
      <c r="G1712" s="312" t="s">
        <v>887</v>
      </c>
      <c r="H1712" s="312">
        <v>1858</v>
      </c>
      <c r="I1712" s="312" t="s">
        <v>886</v>
      </c>
      <c r="J1712" s="312">
        <v>1924</v>
      </c>
      <c r="K1712" s="312" t="s">
        <v>888</v>
      </c>
    </row>
    <row r="1713" spans="1:11">
      <c r="A1713" s="312" t="s">
        <v>3704</v>
      </c>
      <c r="B1713" s="312" t="s">
        <v>3705</v>
      </c>
      <c r="C1713" s="312" t="s">
        <v>105</v>
      </c>
      <c r="D1713" s="312" t="s">
        <v>3679</v>
      </c>
      <c r="E1713" s="312" t="s">
        <v>886</v>
      </c>
      <c r="F1713" s="312">
        <v>1857</v>
      </c>
      <c r="G1713" s="312" t="s">
        <v>887</v>
      </c>
      <c r="H1713" s="312">
        <v>1858</v>
      </c>
      <c r="I1713" s="312" t="s">
        <v>886</v>
      </c>
      <c r="J1713" s="312">
        <v>1924</v>
      </c>
      <c r="K1713" s="312" t="s">
        <v>888</v>
      </c>
    </row>
    <row r="1714" spans="1:11">
      <c r="A1714" s="312" t="s">
        <v>3706</v>
      </c>
      <c r="B1714" s="312" t="s">
        <v>3707</v>
      </c>
      <c r="C1714" s="312" t="s">
        <v>105</v>
      </c>
      <c r="D1714" s="312" t="s">
        <v>3679</v>
      </c>
      <c r="E1714" s="312" t="s">
        <v>886</v>
      </c>
      <c r="F1714" s="312">
        <v>1857</v>
      </c>
      <c r="G1714" s="312" t="s">
        <v>887</v>
      </c>
      <c r="H1714" s="312">
        <v>1858</v>
      </c>
      <c r="I1714" s="312" t="s">
        <v>886</v>
      </c>
      <c r="J1714" s="312">
        <v>1924</v>
      </c>
      <c r="K1714" s="312" t="s">
        <v>888</v>
      </c>
    </row>
    <row r="1715" spans="1:11">
      <c r="A1715" s="312" t="s">
        <v>3708</v>
      </c>
      <c r="B1715" s="312" t="s">
        <v>3709</v>
      </c>
      <c r="C1715" s="312" t="s">
        <v>105</v>
      </c>
      <c r="D1715" s="312" t="s">
        <v>3679</v>
      </c>
      <c r="E1715" s="312" t="s">
        <v>886</v>
      </c>
      <c r="F1715" s="312">
        <v>1857</v>
      </c>
      <c r="G1715" s="312" t="s">
        <v>887</v>
      </c>
      <c r="H1715" s="312">
        <v>1858</v>
      </c>
      <c r="I1715" s="312" t="s">
        <v>886</v>
      </c>
      <c r="J1715" s="312">
        <v>1924</v>
      </c>
      <c r="K1715" s="312" t="s">
        <v>888</v>
      </c>
    </row>
    <row r="1716" spans="1:11">
      <c r="A1716" s="312" t="s">
        <v>3710</v>
      </c>
      <c r="B1716" s="312" t="s">
        <v>3711</v>
      </c>
      <c r="C1716" s="312" t="s">
        <v>105</v>
      </c>
      <c r="D1716" s="312" t="s">
        <v>3679</v>
      </c>
      <c r="E1716" s="312" t="s">
        <v>886</v>
      </c>
      <c r="F1716" s="312">
        <v>1857</v>
      </c>
      <c r="G1716" s="312" t="s">
        <v>887</v>
      </c>
      <c r="H1716" s="312">
        <v>1858</v>
      </c>
      <c r="I1716" s="312" t="s">
        <v>886</v>
      </c>
      <c r="J1716" s="312">
        <v>1924</v>
      </c>
      <c r="K1716" s="312" t="s">
        <v>888</v>
      </c>
    </row>
    <row r="1717" spans="1:11">
      <c r="A1717" s="312" t="s">
        <v>3712</v>
      </c>
      <c r="B1717" s="312" t="s">
        <v>3713</v>
      </c>
      <c r="C1717" s="312" t="s">
        <v>105</v>
      </c>
      <c r="D1717" s="312" t="s">
        <v>3679</v>
      </c>
      <c r="E1717" s="312" t="s">
        <v>886</v>
      </c>
      <c r="F1717" s="312">
        <v>1857</v>
      </c>
      <c r="G1717" s="312" t="s">
        <v>887</v>
      </c>
      <c r="H1717" s="312">
        <v>1858</v>
      </c>
      <c r="I1717" s="312" t="s">
        <v>886</v>
      </c>
      <c r="J1717" s="312">
        <v>1924</v>
      </c>
      <c r="K1717" s="312" t="s">
        <v>888</v>
      </c>
    </row>
    <row r="1718" spans="1:11">
      <c r="A1718" s="312" t="s">
        <v>3714</v>
      </c>
      <c r="B1718" s="312" t="s">
        <v>3715</v>
      </c>
      <c r="C1718" s="312" t="s">
        <v>105</v>
      </c>
      <c r="D1718" s="312" t="s">
        <v>2760</v>
      </c>
      <c r="E1718" s="312" t="s">
        <v>886</v>
      </c>
      <c r="F1718" s="312">
        <v>1857</v>
      </c>
      <c r="G1718" s="312" t="s">
        <v>887</v>
      </c>
      <c r="H1718" s="312">
        <v>1858</v>
      </c>
      <c r="I1718" s="312" t="s">
        <v>886</v>
      </c>
      <c r="J1718" s="312">
        <v>1924</v>
      </c>
      <c r="K1718" s="312" t="s">
        <v>888</v>
      </c>
    </row>
    <row r="1719" spans="1:11">
      <c r="A1719" s="312" t="s">
        <v>3716</v>
      </c>
      <c r="B1719" s="312" t="s">
        <v>3717</v>
      </c>
      <c r="C1719" s="312" t="s">
        <v>105</v>
      </c>
      <c r="D1719" s="312" t="s">
        <v>2760</v>
      </c>
      <c r="E1719" s="312" t="s">
        <v>886</v>
      </c>
      <c r="F1719" s="312">
        <v>1857</v>
      </c>
      <c r="G1719" s="312" t="s">
        <v>887</v>
      </c>
      <c r="H1719" s="312">
        <v>1858</v>
      </c>
      <c r="I1719" s="312" t="s">
        <v>886</v>
      </c>
      <c r="J1719" s="312">
        <v>1924</v>
      </c>
      <c r="K1719" s="312" t="s">
        <v>888</v>
      </c>
    </row>
    <row r="1720" spans="1:11">
      <c r="A1720" s="312" t="s">
        <v>3718</v>
      </c>
      <c r="B1720" s="312" t="s">
        <v>3719</v>
      </c>
      <c r="C1720" s="312" t="s">
        <v>105</v>
      </c>
      <c r="D1720" s="312" t="s">
        <v>536</v>
      </c>
      <c r="E1720" s="312" t="s">
        <v>107</v>
      </c>
      <c r="F1720" s="312">
        <v>1825</v>
      </c>
      <c r="G1720" s="312" t="s">
        <v>108</v>
      </c>
      <c r="H1720" s="312">
        <v>1827</v>
      </c>
      <c r="I1720" s="312" t="s">
        <v>107</v>
      </c>
      <c r="J1720" s="312">
        <v>1913</v>
      </c>
      <c r="K1720" s="312" t="s">
        <v>109</v>
      </c>
    </row>
    <row r="1721" spans="1:11">
      <c r="A1721" s="312" t="s">
        <v>3720</v>
      </c>
      <c r="B1721" s="312" t="s">
        <v>3721</v>
      </c>
      <c r="C1721" s="312" t="s">
        <v>105</v>
      </c>
      <c r="D1721" s="312" t="s">
        <v>536</v>
      </c>
      <c r="E1721" s="312" t="s">
        <v>107</v>
      </c>
      <c r="F1721" s="312">
        <v>1825</v>
      </c>
      <c r="G1721" s="312" t="s">
        <v>108</v>
      </c>
      <c r="H1721" s="312">
        <v>1827</v>
      </c>
      <c r="I1721" s="312" t="s">
        <v>107</v>
      </c>
      <c r="J1721" s="312">
        <v>1913</v>
      </c>
      <c r="K1721" s="312" t="s">
        <v>109</v>
      </c>
    </row>
    <row r="1722" spans="1:11">
      <c r="A1722" s="312" t="s">
        <v>3722</v>
      </c>
      <c r="B1722" s="312" t="s">
        <v>3723</v>
      </c>
      <c r="C1722" s="312" t="s">
        <v>105</v>
      </c>
      <c r="D1722" s="312" t="s">
        <v>536</v>
      </c>
      <c r="E1722" s="312" t="s">
        <v>107</v>
      </c>
      <c r="F1722" s="312">
        <v>1825</v>
      </c>
      <c r="G1722" s="312" t="s">
        <v>108</v>
      </c>
      <c r="H1722" s="312">
        <v>1827</v>
      </c>
      <c r="I1722" s="312" t="s">
        <v>107</v>
      </c>
      <c r="J1722" s="312">
        <v>1913</v>
      </c>
      <c r="K1722" s="312" t="s">
        <v>109</v>
      </c>
    </row>
    <row r="1723" spans="1:11">
      <c r="A1723" s="312" t="s">
        <v>3724</v>
      </c>
      <c r="B1723" s="312" t="s">
        <v>3725</v>
      </c>
      <c r="C1723" s="312" t="s">
        <v>105</v>
      </c>
      <c r="D1723" s="312" t="s">
        <v>1047</v>
      </c>
      <c r="E1723" s="312" t="s">
        <v>167</v>
      </c>
      <c r="F1723" s="312">
        <v>1705</v>
      </c>
      <c r="G1723" s="312" t="s">
        <v>168</v>
      </c>
      <c r="H1723" s="312">
        <v>1707</v>
      </c>
      <c r="I1723" s="312" t="s">
        <v>167</v>
      </c>
      <c r="J1723" s="312">
        <v>1899</v>
      </c>
      <c r="K1723" s="312" t="s">
        <v>169</v>
      </c>
    </row>
    <row r="1724" spans="1:11">
      <c r="A1724" s="312" t="s">
        <v>3726</v>
      </c>
      <c r="B1724" s="312" t="s">
        <v>3727</v>
      </c>
      <c r="C1724" s="312" t="s">
        <v>105</v>
      </c>
      <c r="D1724" s="312" t="s">
        <v>1047</v>
      </c>
      <c r="E1724" s="312" t="s">
        <v>167</v>
      </c>
      <c r="F1724" s="312">
        <v>1705</v>
      </c>
      <c r="G1724" s="312" t="s">
        <v>168</v>
      </c>
      <c r="H1724" s="312">
        <v>1707</v>
      </c>
      <c r="I1724" s="312" t="s">
        <v>167</v>
      </c>
      <c r="J1724" s="312">
        <v>1899</v>
      </c>
      <c r="K1724" s="312" t="s">
        <v>169</v>
      </c>
    </row>
    <row r="1725" spans="1:11">
      <c r="A1725" s="312" t="s">
        <v>3728</v>
      </c>
      <c r="B1725" s="312" t="s">
        <v>3729</v>
      </c>
      <c r="C1725" s="312" t="s">
        <v>105</v>
      </c>
      <c r="D1725" s="312" t="s">
        <v>3730</v>
      </c>
      <c r="E1725" s="312" t="s">
        <v>167</v>
      </c>
      <c r="F1725" s="312">
        <v>1705</v>
      </c>
      <c r="G1725" s="312" t="s">
        <v>168</v>
      </c>
      <c r="H1725" s="312">
        <v>1707</v>
      </c>
      <c r="I1725" s="312" t="s">
        <v>167</v>
      </c>
      <c r="J1725" s="312">
        <v>1899</v>
      </c>
      <c r="K1725" s="312" t="s">
        <v>169</v>
      </c>
    </row>
    <row r="1726" spans="1:11">
      <c r="A1726" s="312" t="s">
        <v>3731</v>
      </c>
      <c r="B1726" s="312" t="s">
        <v>3732</v>
      </c>
      <c r="C1726" s="312" t="s">
        <v>105</v>
      </c>
      <c r="D1726" s="312" t="s">
        <v>3730</v>
      </c>
      <c r="E1726" s="312" t="s">
        <v>167</v>
      </c>
      <c r="F1726" s="312">
        <v>1705</v>
      </c>
      <c r="G1726" s="312" t="s">
        <v>168</v>
      </c>
      <c r="H1726" s="312">
        <v>1707</v>
      </c>
      <c r="I1726" s="312" t="s">
        <v>167</v>
      </c>
      <c r="J1726" s="312">
        <v>1899</v>
      </c>
      <c r="K1726" s="312" t="s">
        <v>169</v>
      </c>
    </row>
    <row r="1727" spans="1:11">
      <c r="A1727" s="312" t="s">
        <v>3733</v>
      </c>
      <c r="B1727" s="312" t="s">
        <v>3734</v>
      </c>
      <c r="C1727" s="312" t="s">
        <v>105</v>
      </c>
      <c r="D1727" s="312" t="s">
        <v>3735</v>
      </c>
      <c r="E1727" s="312" t="s">
        <v>3736</v>
      </c>
      <c r="F1727" s="312">
        <v>1697</v>
      </c>
      <c r="G1727" s="312" t="s">
        <v>3737</v>
      </c>
      <c r="H1727" s="312">
        <v>1702</v>
      </c>
      <c r="I1727" s="312" t="s">
        <v>3736</v>
      </c>
      <c r="J1727" s="312">
        <v>1906</v>
      </c>
      <c r="K1727" s="312" t="s">
        <v>3738</v>
      </c>
    </row>
    <row r="1728" spans="1:11">
      <c r="A1728" s="312" t="s">
        <v>3739</v>
      </c>
      <c r="B1728" s="312" t="s">
        <v>3740</v>
      </c>
      <c r="C1728" s="312" t="s">
        <v>105</v>
      </c>
      <c r="D1728" s="312" t="s">
        <v>2760</v>
      </c>
      <c r="E1728" s="312" t="s">
        <v>886</v>
      </c>
      <c r="F1728" s="312">
        <v>1857</v>
      </c>
      <c r="G1728" s="312" t="s">
        <v>887</v>
      </c>
      <c r="H1728" s="312">
        <v>1858</v>
      </c>
      <c r="I1728" s="312" t="s">
        <v>886</v>
      </c>
      <c r="J1728" s="312">
        <v>1924</v>
      </c>
      <c r="K1728" s="312" t="s">
        <v>888</v>
      </c>
    </row>
    <row r="1729" spans="1:11">
      <c r="A1729" s="312" t="s">
        <v>3741</v>
      </c>
      <c r="B1729" s="312" t="s">
        <v>3742</v>
      </c>
      <c r="C1729" s="312" t="s">
        <v>105</v>
      </c>
      <c r="D1729" s="312" t="s">
        <v>2760</v>
      </c>
      <c r="E1729" s="312" t="s">
        <v>886</v>
      </c>
      <c r="F1729" s="312">
        <v>1857</v>
      </c>
      <c r="G1729" s="312" t="s">
        <v>887</v>
      </c>
      <c r="H1729" s="312">
        <v>1858</v>
      </c>
      <c r="I1729" s="312" t="s">
        <v>886</v>
      </c>
      <c r="J1729" s="312">
        <v>1924</v>
      </c>
      <c r="K1729" s="312" t="s">
        <v>888</v>
      </c>
    </row>
    <row r="1730" spans="1:11">
      <c r="A1730" s="312" t="s">
        <v>3743</v>
      </c>
      <c r="B1730" s="312" t="s">
        <v>3744</v>
      </c>
      <c r="C1730" s="312" t="s">
        <v>105</v>
      </c>
      <c r="D1730" s="312" t="s">
        <v>600</v>
      </c>
      <c r="E1730" s="312" t="s">
        <v>684</v>
      </c>
      <c r="F1730" s="312">
        <v>1750</v>
      </c>
      <c r="G1730" s="312" t="s">
        <v>685</v>
      </c>
      <c r="H1730" s="312">
        <v>1754</v>
      </c>
      <c r="I1730" s="312" t="s">
        <v>684</v>
      </c>
      <c r="J1730" s="312">
        <v>1920</v>
      </c>
      <c r="K1730" s="312" t="s">
        <v>686</v>
      </c>
    </row>
    <row r="1731" spans="1:11">
      <c r="A1731" s="312" t="s">
        <v>3745</v>
      </c>
      <c r="B1731" s="312" t="s">
        <v>3746</v>
      </c>
      <c r="C1731" s="312" t="s">
        <v>105</v>
      </c>
      <c r="D1731" s="312" t="s">
        <v>3735</v>
      </c>
      <c r="E1731" s="312" t="s">
        <v>3736</v>
      </c>
      <c r="F1731" s="312">
        <v>1697</v>
      </c>
      <c r="G1731" s="312" t="s">
        <v>3737</v>
      </c>
      <c r="H1731" s="312">
        <v>1702</v>
      </c>
      <c r="I1731" s="312" t="s">
        <v>3736</v>
      </c>
      <c r="J1731" s="312">
        <v>1906</v>
      </c>
      <c r="K1731" s="312" t="s">
        <v>3738</v>
      </c>
    </row>
    <row r="1732" spans="1:11">
      <c r="A1732" s="312" t="s">
        <v>3747</v>
      </c>
      <c r="B1732" s="312" t="s">
        <v>3748</v>
      </c>
      <c r="C1732" s="312" t="s">
        <v>105</v>
      </c>
      <c r="D1732" s="312" t="s">
        <v>3735</v>
      </c>
      <c r="E1732" s="312" t="s">
        <v>3736</v>
      </c>
      <c r="F1732" s="312">
        <v>1697</v>
      </c>
      <c r="G1732" s="312" t="s">
        <v>3737</v>
      </c>
      <c r="H1732" s="312">
        <v>1702</v>
      </c>
      <c r="I1732" s="312" t="s">
        <v>3736</v>
      </c>
      <c r="J1732" s="312">
        <v>1906</v>
      </c>
      <c r="K1732" s="312" t="s">
        <v>3738</v>
      </c>
    </row>
    <row r="1733" spans="1:11">
      <c r="A1733" s="312" t="s">
        <v>3749</v>
      </c>
      <c r="B1733" s="312" t="s">
        <v>3750</v>
      </c>
      <c r="C1733" s="312" t="s">
        <v>105</v>
      </c>
      <c r="D1733" s="312" t="s">
        <v>114</v>
      </c>
      <c r="E1733" s="312" t="s">
        <v>107</v>
      </c>
      <c r="F1733" s="312">
        <v>1825</v>
      </c>
      <c r="G1733" s="312" t="s">
        <v>108</v>
      </c>
      <c r="H1733" s="312">
        <v>1827</v>
      </c>
      <c r="I1733" s="312" t="s">
        <v>107</v>
      </c>
      <c r="J1733" s="312">
        <v>1913</v>
      </c>
      <c r="K1733" s="312" t="s">
        <v>109</v>
      </c>
    </row>
    <row r="1734" spans="1:11">
      <c r="A1734" s="312" t="s">
        <v>3751</v>
      </c>
      <c r="B1734" s="312" t="s">
        <v>3752</v>
      </c>
      <c r="C1734" s="312" t="s">
        <v>105</v>
      </c>
      <c r="D1734" s="312" t="s">
        <v>2928</v>
      </c>
      <c r="E1734" s="312" t="s">
        <v>107</v>
      </c>
      <c r="F1734" s="312">
        <v>1825</v>
      </c>
      <c r="G1734" s="312" t="s">
        <v>108</v>
      </c>
      <c r="H1734" s="312">
        <v>1827</v>
      </c>
      <c r="I1734" s="312" t="s">
        <v>107</v>
      </c>
      <c r="J1734" s="312">
        <v>1913</v>
      </c>
      <c r="K1734" s="312" t="s">
        <v>109</v>
      </c>
    </row>
    <row r="1735" spans="1:11">
      <c r="A1735" s="312" t="s">
        <v>3753</v>
      </c>
      <c r="B1735" s="312" t="s">
        <v>3754</v>
      </c>
      <c r="C1735" s="312" t="s">
        <v>105</v>
      </c>
      <c r="D1735" s="312" t="s">
        <v>2928</v>
      </c>
      <c r="E1735" s="312" t="s">
        <v>107</v>
      </c>
      <c r="F1735" s="312">
        <v>1825</v>
      </c>
      <c r="G1735" s="312" t="s">
        <v>108</v>
      </c>
      <c r="H1735" s="312">
        <v>1827</v>
      </c>
      <c r="I1735" s="312" t="s">
        <v>107</v>
      </c>
      <c r="J1735" s="312">
        <v>1913</v>
      </c>
      <c r="K1735" s="312" t="s">
        <v>109</v>
      </c>
    </row>
    <row r="1736" spans="1:11">
      <c r="A1736" s="312" t="s">
        <v>3755</v>
      </c>
      <c r="B1736" s="312" t="s">
        <v>3756</v>
      </c>
      <c r="C1736" s="312" t="s">
        <v>105</v>
      </c>
      <c r="D1736" s="312" t="s">
        <v>106</v>
      </c>
      <c r="E1736" s="312" t="s">
        <v>107</v>
      </c>
      <c r="F1736" s="312">
        <v>1825</v>
      </c>
      <c r="G1736" s="312" t="s">
        <v>108</v>
      </c>
      <c r="H1736" s="312">
        <v>1827</v>
      </c>
      <c r="I1736" s="312" t="s">
        <v>107</v>
      </c>
      <c r="J1736" s="312">
        <v>1913</v>
      </c>
      <c r="K1736" s="312" t="s">
        <v>109</v>
      </c>
    </row>
    <row r="1737" spans="1:11">
      <c r="A1737" s="312" t="s">
        <v>3757</v>
      </c>
      <c r="B1737" s="312" t="s">
        <v>3758</v>
      </c>
      <c r="C1737" s="312" t="s">
        <v>105</v>
      </c>
      <c r="D1737" s="312" t="s">
        <v>483</v>
      </c>
      <c r="E1737" s="312" t="s">
        <v>107</v>
      </c>
      <c r="F1737" s="312">
        <v>1825</v>
      </c>
      <c r="G1737" s="312" t="s">
        <v>108</v>
      </c>
      <c r="H1737" s="312">
        <v>1827</v>
      </c>
      <c r="I1737" s="312" t="s">
        <v>107</v>
      </c>
      <c r="J1737" s="312">
        <v>1913</v>
      </c>
      <c r="K1737" s="312" t="s">
        <v>109</v>
      </c>
    </row>
    <row r="1738" spans="1:11">
      <c r="A1738" s="312" t="s">
        <v>3759</v>
      </c>
      <c r="B1738" s="312" t="s">
        <v>3760</v>
      </c>
      <c r="C1738" s="312" t="s">
        <v>105</v>
      </c>
      <c r="D1738" s="312" t="s">
        <v>483</v>
      </c>
      <c r="E1738" s="312" t="s">
        <v>107</v>
      </c>
      <c r="F1738" s="312">
        <v>1825</v>
      </c>
      <c r="G1738" s="312" t="s">
        <v>108</v>
      </c>
      <c r="H1738" s="312">
        <v>1827</v>
      </c>
      <c r="I1738" s="312" t="s">
        <v>107</v>
      </c>
      <c r="J1738" s="312">
        <v>1913</v>
      </c>
      <c r="K1738" s="312" t="s">
        <v>109</v>
      </c>
    </row>
    <row r="1739" spans="1:11">
      <c r="A1739" s="312" t="s">
        <v>3761</v>
      </c>
      <c r="B1739" s="312" t="s">
        <v>3762</v>
      </c>
      <c r="C1739" s="312" t="s">
        <v>105</v>
      </c>
      <c r="D1739" s="312" t="s">
        <v>483</v>
      </c>
      <c r="E1739" s="312" t="s">
        <v>107</v>
      </c>
      <c r="F1739" s="312">
        <v>1825</v>
      </c>
      <c r="G1739" s="312" t="s">
        <v>108</v>
      </c>
      <c r="H1739" s="312">
        <v>1827</v>
      </c>
      <c r="I1739" s="312" t="s">
        <v>107</v>
      </c>
      <c r="J1739" s="312">
        <v>1913</v>
      </c>
      <c r="K1739" s="312" t="s">
        <v>109</v>
      </c>
    </row>
    <row r="1740" spans="1:11">
      <c r="A1740" s="312" t="s">
        <v>3763</v>
      </c>
      <c r="B1740" s="312" t="s">
        <v>3764</v>
      </c>
      <c r="C1740" s="312" t="s">
        <v>105</v>
      </c>
      <c r="D1740" s="312" t="s">
        <v>483</v>
      </c>
      <c r="E1740" s="312" t="s">
        <v>107</v>
      </c>
      <c r="F1740" s="312">
        <v>1825</v>
      </c>
      <c r="G1740" s="312" t="s">
        <v>108</v>
      </c>
      <c r="H1740" s="312">
        <v>1827</v>
      </c>
      <c r="I1740" s="312" t="s">
        <v>107</v>
      </c>
      <c r="J1740" s="312">
        <v>1913</v>
      </c>
      <c r="K1740" s="312" t="s">
        <v>109</v>
      </c>
    </row>
    <row r="1741" spans="1:11">
      <c r="A1741" s="312" t="s">
        <v>3765</v>
      </c>
      <c r="B1741" s="312" t="s">
        <v>3766</v>
      </c>
      <c r="C1741" s="312" t="s">
        <v>105</v>
      </c>
      <c r="D1741" s="312" t="s">
        <v>483</v>
      </c>
      <c r="E1741" s="312" t="s">
        <v>107</v>
      </c>
      <c r="F1741" s="312">
        <v>1825</v>
      </c>
      <c r="G1741" s="312" t="s">
        <v>108</v>
      </c>
      <c r="H1741" s="312">
        <v>1827</v>
      </c>
      <c r="I1741" s="312" t="s">
        <v>107</v>
      </c>
      <c r="J1741" s="312">
        <v>1913</v>
      </c>
      <c r="K1741" s="312" t="s">
        <v>109</v>
      </c>
    </row>
    <row r="1742" spans="1:11">
      <c r="A1742" s="312" t="s">
        <v>3767</v>
      </c>
      <c r="B1742" s="312" t="s">
        <v>3768</v>
      </c>
      <c r="C1742" s="312" t="s">
        <v>105</v>
      </c>
      <c r="D1742" s="312" t="s">
        <v>483</v>
      </c>
      <c r="E1742" s="312" t="s">
        <v>107</v>
      </c>
      <c r="F1742" s="312">
        <v>1825</v>
      </c>
      <c r="G1742" s="312" t="s">
        <v>108</v>
      </c>
      <c r="H1742" s="312">
        <v>1827</v>
      </c>
      <c r="I1742" s="312" t="s">
        <v>107</v>
      </c>
      <c r="J1742" s="312">
        <v>1913</v>
      </c>
      <c r="K1742" s="312" t="s">
        <v>109</v>
      </c>
    </row>
    <row r="1743" spans="1:11">
      <c r="A1743" s="312" t="s">
        <v>3769</v>
      </c>
      <c r="B1743" s="312" t="s">
        <v>3770</v>
      </c>
      <c r="C1743" s="312" t="s">
        <v>105</v>
      </c>
      <c r="D1743" s="312" t="s">
        <v>1288</v>
      </c>
      <c r="E1743" s="312" t="s">
        <v>107</v>
      </c>
      <c r="F1743" s="312">
        <v>1825</v>
      </c>
      <c r="G1743" s="312" t="s">
        <v>108</v>
      </c>
      <c r="H1743" s="312">
        <v>1827</v>
      </c>
      <c r="I1743" s="312" t="s">
        <v>107</v>
      </c>
      <c r="J1743" s="312">
        <v>1913</v>
      </c>
      <c r="K1743" s="312" t="s">
        <v>109</v>
      </c>
    </row>
    <row r="1744" spans="1:11">
      <c r="A1744" s="312" t="s">
        <v>3771</v>
      </c>
      <c r="B1744" s="312" t="s">
        <v>3772</v>
      </c>
      <c r="C1744" s="312" t="s">
        <v>105</v>
      </c>
      <c r="D1744" s="312" t="s">
        <v>106</v>
      </c>
      <c r="E1744" s="312" t="s">
        <v>107</v>
      </c>
      <c r="F1744" s="312">
        <v>1825</v>
      </c>
      <c r="G1744" s="312" t="s">
        <v>108</v>
      </c>
      <c r="H1744" s="312">
        <v>1827</v>
      </c>
      <c r="I1744" s="312" t="s">
        <v>107</v>
      </c>
      <c r="J1744" s="312">
        <v>1913</v>
      </c>
      <c r="K1744" s="312" t="s">
        <v>109</v>
      </c>
    </row>
    <row r="1745" spans="1:11">
      <c r="A1745" s="312" t="s">
        <v>3773</v>
      </c>
      <c r="B1745" s="312" t="s">
        <v>3774</v>
      </c>
      <c r="C1745" s="312" t="s">
        <v>105</v>
      </c>
      <c r="D1745" s="312" t="s">
        <v>570</v>
      </c>
      <c r="E1745" s="312" t="s">
        <v>684</v>
      </c>
      <c r="F1745" s="312">
        <v>1750</v>
      </c>
      <c r="G1745" s="312" t="s">
        <v>685</v>
      </c>
      <c r="H1745" s="312">
        <v>1754</v>
      </c>
      <c r="I1745" s="312" t="s">
        <v>684</v>
      </c>
      <c r="J1745" s="312">
        <v>1920</v>
      </c>
      <c r="K1745" s="312" t="s">
        <v>686</v>
      </c>
    </row>
    <row r="1746" spans="1:11">
      <c r="A1746" s="312" t="s">
        <v>3775</v>
      </c>
      <c r="B1746" s="312" t="s">
        <v>3776</v>
      </c>
      <c r="C1746" s="312" t="s">
        <v>105</v>
      </c>
      <c r="D1746" s="312" t="s">
        <v>114</v>
      </c>
      <c r="E1746" s="312" t="s">
        <v>107</v>
      </c>
      <c r="F1746" s="312">
        <v>1825</v>
      </c>
      <c r="G1746" s="312" t="s">
        <v>108</v>
      </c>
      <c r="H1746" s="312">
        <v>1827</v>
      </c>
      <c r="I1746" s="312" t="s">
        <v>107</v>
      </c>
      <c r="J1746" s="312">
        <v>1913</v>
      </c>
      <c r="K1746" s="312" t="s">
        <v>109</v>
      </c>
    </row>
    <row r="1747" spans="1:11">
      <c r="A1747" s="312" t="s">
        <v>3777</v>
      </c>
      <c r="B1747" s="312" t="s">
        <v>3778</v>
      </c>
      <c r="C1747" s="312" t="s">
        <v>105</v>
      </c>
      <c r="D1747" s="312" t="s">
        <v>184</v>
      </c>
      <c r="E1747" s="312" t="s">
        <v>107</v>
      </c>
      <c r="F1747" s="312">
        <v>1825</v>
      </c>
      <c r="G1747" s="312" t="s">
        <v>108</v>
      </c>
      <c r="H1747" s="312">
        <v>1827</v>
      </c>
      <c r="I1747" s="312" t="s">
        <v>107</v>
      </c>
      <c r="J1747" s="312">
        <v>1913</v>
      </c>
      <c r="K1747" s="312" t="s">
        <v>109</v>
      </c>
    </row>
    <row r="1748" spans="1:11">
      <c r="A1748" s="312" t="s">
        <v>3779</v>
      </c>
      <c r="B1748" s="312" t="s">
        <v>3780</v>
      </c>
      <c r="C1748" s="312" t="s">
        <v>105</v>
      </c>
      <c r="D1748" s="312" t="s">
        <v>166</v>
      </c>
      <c r="E1748" s="312" t="s">
        <v>167</v>
      </c>
      <c r="F1748" s="312">
        <v>1705</v>
      </c>
      <c r="G1748" s="312" t="s">
        <v>168</v>
      </c>
      <c r="H1748" s="312">
        <v>1707</v>
      </c>
      <c r="I1748" s="312" t="s">
        <v>167</v>
      </c>
      <c r="J1748" s="312">
        <v>1899</v>
      </c>
      <c r="K1748" s="312" t="s">
        <v>169</v>
      </c>
    </row>
    <row r="1749" spans="1:11">
      <c r="A1749" s="312" t="s">
        <v>3781</v>
      </c>
      <c r="B1749" s="312" t="s">
        <v>3782</v>
      </c>
      <c r="C1749" s="312" t="s">
        <v>105</v>
      </c>
      <c r="D1749" s="312" t="s">
        <v>114</v>
      </c>
      <c r="E1749" s="312" t="s">
        <v>107</v>
      </c>
      <c r="F1749" s="312">
        <v>1825</v>
      </c>
      <c r="G1749" s="312" t="s">
        <v>108</v>
      </c>
      <c r="H1749" s="312">
        <v>1827</v>
      </c>
      <c r="I1749" s="312" t="s">
        <v>107</v>
      </c>
      <c r="J1749" s="312">
        <v>1913</v>
      </c>
      <c r="K1749" s="312" t="s">
        <v>109</v>
      </c>
    </row>
    <row r="1750" spans="1:11">
      <c r="A1750" s="312" t="s">
        <v>3783</v>
      </c>
      <c r="B1750" s="312" t="s">
        <v>3784</v>
      </c>
      <c r="C1750" s="312" t="s">
        <v>105</v>
      </c>
      <c r="D1750" s="312" t="s">
        <v>114</v>
      </c>
      <c r="E1750" s="312" t="s">
        <v>107</v>
      </c>
      <c r="F1750" s="312">
        <v>1825</v>
      </c>
      <c r="G1750" s="312" t="s">
        <v>108</v>
      </c>
      <c r="H1750" s="312">
        <v>1827</v>
      </c>
      <c r="I1750" s="312" t="s">
        <v>107</v>
      </c>
      <c r="J1750" s="312">
        <v>1913</v>
      </c>
      <c r="K1750" s="312" t="s">
        <v>109</v>
      </c>
    </row>
    <row r="1751" spans="1:11">
      <c r="A1751" s="312" t="s">
        <v>3785</v>
      </c>
      <c r="B1751" s="312" t="s">
        <v>3786</v>
      </c>
      <c r="C1751" s="312" t="s">
        <v>105</v>
      </c>
      <c r="D1751" s="312" t="s">
        <v>114</v>
      </c>
      <c r="E1751" s="312" t="s">
        <v>107</v>
      </c>
      <c r="F1751" s="312">
        <v>1825</v>
      </c>
      <c r="G1751" s="312" t="s">
        <v>108</v>
      </c>
      <c r="H1751" s="312">
        <v>1827</v>
      </c>
      <c r="I1751" s="312" t="s">
        <v>107</v>
      </c>
      <c r="J1751" s="312">
        <v>1913</v>
      </c>
      <c r="K1751" s="312" t="s">
        <v>109</v>
      </c>
    </row>
    <row r="1752" spans="1:11">
      <c r="A1752" s="312" t="s">
        <v>3787</v>
      </c>
      <c r="B1752" s="312" t="s">
        <v>3788</v>
      </c>
      <c r="C1752" s="312" t="s">
        <v>105</v>
      </c>
      <c r="D1752" s="312" t="s">
        <v>252</v>
      </c>
      <c r="E1752" s="312" t="s">
        <v>167</v>
      </c>
      <c r="F1752" s="312">
        <v>1705</v>
      </c>
      <c r="G1752" s="312" t="s">
        <v>168</v>
      </c>
      <c r="H1752" s="312">
        <v>1707</v>
      </c>
      <c r="I1752" s="312" t="s">
        <v>167</v>
      </c>
      <c r="J1752" s="312">
        <v>1899</v>
      </c>
      <c r="K1752" s="312" t="s">
        <v>169</v>
      </c>
    </row>
    <row r="1753" spans="1:11">
      <c r="A1753" s="312" t="s">
        <v>3789</v>
      </c>
      <c r="B1753" s="312" t="s">
        <v>3790</v>
      </c>
      <c r="C1753" s="312" t="s">
        <v>105</v>
      </c>
      <c r="D1753" s="312" t="s">
        <v>746</v>
      </c>
      <c r="E1753" s="312" t="s">
        <v>107</v>
      </c>
      <c r="F1753" s="312">
        <v>1825</v>
      </c>
      <c r="G1753" s="312" t="s">
        <v>108</v>
      </c>
      <c r="H1753" s="312">
        <v>1827</v>
      </c>
      <c r="I1753" s="312" t="s">
        <v>107</v>
      </c>
      <c r="J1753" s="312">
        <v>1913</v>
      </c>
      <c r="K1753" s="312" t="s">
        <v>109</v>
      </c>
    </row>
    <row r="1754" spans="1:11">
      <c r="A1754" s="312" t="s">
        <v>3791</v>
      </c>
      <c r="B1754" s="312" t="s">
        <v>3792</v>
      </c>
      <c r="C1754" s="312" t="s">
        <v>105</v>
      </c>
      <c r="D1754" s="312" t="s">
        <v>252</v>
      </c>
      <c r="E1754" s="312" t="s">
        <v>167</v>
      </c>
      <c r="F1754" s="312">
        <v>1705</v>
      </c>
      <c r="G1754" s="312" t="s">
        <v>168</v>
      </c>
      <c r="H1754" s="312">
        <v>1707</v>
      </c>
      <c r="I1754" s="312" t="s">
        <v>167</v>
      </c>
      <c r="J1754" s="312">
        <v>1899</v>
      </c>
      <c r="K1754" s="312" t="s">
        <v>169</v>
      </c>
    </row>
    <row r="1755" spans="1:11">
      <c r="A1755" s="312" t="s">
        <v>3793</v>
      </c>
      <c r="B1755" s="312" t="s">
        <v>3794</v>
      </c>
      <c r="C1755" s="312" t="s">
        <v>105</v>
      </c>
      <c r="D1755" s="312" t="s">
        <v>252</v>
      </c>
      <c r="E1755" s="312" t="s">
        <v>167</v>
      </c>
      <c r="F1755" s="312">
        <v>1705</v>
      </c>
      <c r="G1755" s="312" t="s">
        <v>168</v>
      </c>
      <c r="H1755" s="312">
        <v>1707</v>
      </c>
      <c r="I1755" s="312" t="s">
        <v>167</v>
      </c>
      <c r="J1755" s="312">
        <v>1899</v>
      </c>
      <c r="K1755" s="312" t="s">
        <v>169</v>
      </c>
    </row>
    <row r="1756" spans="1:11">
      <c r="A1756" s="312" t="s">
        <v>3795</v>
      </c>
      <c r="B1756" s="312" t="s">
        <v>3796</v>
      </c>
      <c r="C1756" s="312" t="s">
        <v>105</v>
      </c>
      <c r="D1756" s="312" t="s">
        <v>477</v>
      </c>
      <c r="E1756" s="312" t="s">
        <v>107</v>
      </c>
      <c r="F1756" s="312">
        <v>1825</v>
      </c>
      <c r="G1756" s="312" t="s">
        <v>108</v>
      </c>
      <c r="H1756" s="312">
        <v>1827</v>
      </c>
      <c r="I1756" s="312" t="s">
        <v>107</v>
      </c>
      <c r="J1756" s="312">
        <v>1913</v>
      </c>
      <c r="K1756" s="312" t="s">
        <v>109</v>
      </c>
    </row>
    <row r="1757" spans="1:11">
      <c r="A1757" s="312" t="s">
        <v>3797</v>
      </c>
      <c r="B1757" s="312" t="s">
        <v>3798</v>
      </c>
      <c r="C1757" s="312" t="s">
        <v>105</v>
      </c>
      <c r="D1757" s="312" t="s">
        <v>477</v>
      </c>
      <c r="E1757" s="312" t="s">
        <v>107</v>
      </c>
      <c r="F1757" s="312">
        <v>1825</v>
      </c>
      <c r="G1757" s="312" t="s">
        <v>108</v>
      </c>
      <c r="H1757" s="312">
        <v>1827</v>
      </c>
      <c r="I1757" s="312" t="s">
        <v>107</v>
      </c>
      <c r="J1757" s="312">
        <v>1913</v>
      </c>
      <c r="K1757" s="312" t="s">
        <v>109</v>
      </c>
    </row>
    <row r="1758" spans="1:11">
      <c r="A1758" s="312" t="s">
        <v>3799</v>
      </c>
      <c r="B1758" s="312" t="s">
        <v>3800</v>
      </c>
      <c r="C1758" s="312" t="s">
        <v>105</v>
      </c>
      <c r="D1758" s="312" t="s">
        <v>477</v>
      </c>
      <c r="E1758" s="312" t="s">
        <v>107</v>
      </c>
      <c r="F1758" s="312">
        <v>1825</v>
      </c>
      <c r="G1758" s="312" t="s">
        <v>108</v>
      </c>
      <c r="H1758" s="312">
        <v>1827</v>
      </c>
      <c r="I1758" s="312" t="s">
        <v>107</v>
      </c>
      <c r="J1758" s="312">
        <v>1913</v>
      </c>
      <c r="K1758" s="312" t="s">
        <v>109</v>
      </c>
    </row>
    <row r="1759" spans="1:11">
      <c r="A1759" s="312" t="s">
        <v>3801</v>
      </c>
      <c r="B1759" s="312" t="s">
        <v>3802</v>
      </c>
      <c r="C1759" s="312" t="s">
        <v>105</v>
      </c>
      <c r="D1759" s="312" t="s">
        <v>746</v>
      </c>
      <c r="E1759" s="312" t="s">
        <v>107</v>
      </c>
      <c r="F1759" s="312">
        <v>1825</v>
      </c>
      <c r="G1759" s="312" t="s">
        <v>108</v>
      </c>
      <c r="H1759" s="312">
        <v>1827</v>
      </c>
      <c r="I1759" s="312" t="s">
        <v>107</v>
      </c>
      <c r="J1759" s="312">
        <v>1913</v>
      </c>
      <c r="K1759" s="312" t="s">
        <v>109</v>
      </c>
    </row>
    <row r="1760" spans="1:11">
      <c r="A1760" s="312" t="s">
        <v>3803</v>
      </c>
      <c r="B1760" s="312" t="s">
        <v>3804</v>
      </c>
      <c r="C1760" s="312" t="s">
        <v>105</v>
      </c>
      <c r="D1760" s="312" t="s">
        <v>746</v>
      </c>
      <c r="E1760" s="312" t="s">
        <v>107</v>
      </c>
      <c r="F1760" s="312">
        <v>1825</v>
      </c>
      <c r="G1760" s="312" t="s">
        <v>108</v>
      </c>
      <c r="H1760" s="312">
        <v>1827</v>
      </c>
      <c r="I1760" s="312" t="s">
        <v>107</v>
      </c>
      <c r="J1760" s="312">
        <v>1913</v>
      </c>
      <c r="K1760" s="312" t="s">
        <v>109</v>
      </c>
    </row>
    <row r="1761" spans="1:11">
      <c r="A1761" s="312" t="s">
        <v>3805</v>
      </c>
      <c r="B1761" s="312" t="s">
        <v>3806</v>
      </c>
      <c r="C1761" s="312" t="s">
        <v>105</v>
      </c>
      <c r="D1761" s="312" t="s">
        <v>746</v>
      </c>
      <c r="E1761" s="312" t="s">
        <v>107</v>
      </c>
      <c r="F1761" s="312">
        <v>1825</v>
      </c>
      <c r="G1761" s="312" t="s">
        <v>108</v>
      </c>
      <c r="H1761" s="312">
        <v>1827</v>
      </c>
      <c r="I1761" s="312" t="s">
        <v>107</v>
      </c>
      <c r="J1761" s="312">
        <v>1913</v>
      </c>
      <c r="K1761" s="312" t="s">
        <v>109</v>
      </c>
    </row>
    <row r="1762" spans="1:11">
      <c r="A1762" s="312" t="s">
        <v>3807</v>
      </c>
      <c r="B1762" s="312" t="s">
        <v>3808</v>
      </c>
      <c r="C1762" s="312" t="s">
        <v>105</v>
      </c>
      <c r="D1762" s="312" t="s">
        <v>3809</v>
      </c>
      <c r="E1762" s="312" t="s">
        <v>107</v>
      </c>
      <c r="F1762" s="312">
        <v>1825</v>
      </c>
      <c r="G1762" s="312" t="s">
        <v>108</v>
      </c>
      <c r="H1762" s="312">
        <v>1827</v>
      </c>
      <c r="I1762" s="312" t="s">
        <v>107</v>
      </c>
      <c r="J1762" s="312">
        <v>1913</v>
      </c>
      <c r="K1762" s="312" t="s">
        <v>109</v>
      </c>
    </row>
    <row r="1763" spans="1:11">
      <c r="A1763" s="312" t="s">
        <v>3810</v>
      </c>
      <c r="B1763" s="312" t="s">
        <v>3811</v>
      </c>
      <c r="C1763" s="312" t="s">
        <v>105</v>
      </c>
      <c r="D1763" s="312" t="s">
        <v>3809</v>
      </c>
      <c r="E1763" s="312" t="s">
        <v>107</v>
      </c>
      <c r="F1763" s="312">
        <v>1825</v>
      </c>
      <c r="G1763" s="312" t="s">
        <v>108</v>
      </c>
      <c r="H1763" s="312">
        <v>1827</v>
      </c>
      <c r="I1763" s="312" t="s">
        <v>107</v>
      </c>
      <c r="J1763" s="312">
        <v>1913</v>
      </c>
      <c r="K1763" s="312" t="s">
        <v>109</v>
      </c>
    </row>
    <row r="1764" spans="1:11">
      <c r="A1764" s="312" t="s">
        <v>3812</v>
      </c>
      <c r="B1764" s="312" t="s">
        <v>3813</v>
      </c>
      <c r="C1764" s="312" t="s">
        <v>105</v>
      </c>
      <c r="D1764" s="312" t="s">
        <v>3809</v>
      </c>
      <c r="E1764" s="312" t="s">
        <v>107</v>
      </c>
      <c r="F1764" s="312">
        <v>1825</v>
      </c>
      <c r="G1764" s="312" t="s">
        <v>108</v>
      </c>
      <c r="H1764" s="312">
        <v>1827</v>
      </c>
      <c r="I1764" s="312" t="s">
        <v>107</v>
      </c>
      <c r="J1764" s="312">
        <v>1913</v>
      </c>
      <c r="K1764" s="312" t="s">
        <v>109</v>
      </c>
    </row>
    <row r="1765" spans="1:11">
      <c r="A1765" s="312" t="s">
        <v>3814</v>
      </c>
      <c r="B1765" s="312" t="s">
        <v>3815</v>
      </c>
      <c r="C1765" s="312" t="s">
        <v>105</v>
      </c>
      <c r="D1765" s="312" t="s">
        <v>3809</v>
      </c>
      <c r="E1765" s="312" t="s">
        <v>107</v>
      </c>
      <c r="F1765" s="312">
        <v>1825</v>
      </c>
      <c r="G1765" s="312" t="s">
        <v>108</v>
      </c>
      <c r="H1765" s="312">
        <v>1827</v>
      </c>
      <c r="I1765" s="312" t="s">
        <v>107</v>
      </c>
      <c r="J1765" s="312">
        <v>1913</v>
      </c>
      <c r="K1765" s="312" t="s">
        <v>109</v>
      </c>
    </row>
    <row r="1766" spans="1:11">
      <c r="A1766" s="312" t="s">
        <v>3816</v>
      </c>
      <c r="B1766" s="312" t="s">
        <v>3817</v>
      </c>
      <c r="C1766" s="312" t="s">
        <v>105</v>
      </c>
      <c r="D1766" s="312" t="s">
        <v>312</v>
      </c>
      <c r="E1766" s="312" t="s">
        <v>107</v>
      </c>
      <c r="F1766" s="312">
        <v>1825</v>
      </c>
      <c r="G1766" s="312" t="s">
        <v>108</v>
      </c>
      <c r="H1766" s="312">
        <v>1827</v>
      </c>
      <c r="I1766" s="312" t="s">
        <v>107</v>
      </c>
      <c r="J1766" s="312">
        <v>1913</v>
      </c>
      <c r="K1766" s="312" t="s">
        <v>109</v>
      </c>
    </row>
    <row r="1767" spans="1:11">
      <c r="A1767" s="312" t="s">
        <v>3818</v>
      </c>
      <c r="B1767" s="312" t="s">
        <v>3819</v>
      </c>
      <c r="C1767" s="312" t="s">
        <v>105</v>
      </c>
      <c r="D1767" s="312" t="s">
        <v>524</v>
      </c>
      <c r="E1767" s="312" t="s">
        <v>107</v>
      </c>
      <c r="F1767" s="312">
        <v>1825</v>
      </c>
      <c r="G1767" s="312" t="s">
        <v>108</v>
      </c>
      <c r="H1767" s="312">
        <v>1827</v>
      </c>
      <c r="I1767" s="312" t="s">
        <v>107</v>
      </c>
      <c r="J1767" s="312">
        <v>1913</v>
      </c>
      <c r="K1767" s="312" t="s">
        <v>109</v>
      </c>
    </row>
    <row r="1768" spans="1:11">
      <c r="A1768" s="312" t="s">
        <v>3820</v>
      </c>
      <c r="B1768" s="312" t="s">
        <v>3821</v>
      </c>
      <c r="C1768" s="312" t="s">
        <v>105</v>
      </c>
      <c r="D1768" s="312" t="s">
        <v>3822</v>
      </c>
      <c r="E1768" s="312" t="s">
        <v>107</v>
      </c>
      <c r="F1768" s="312">
        <v>1825</v>
      </c>
      <c r="G1768" s="312" t="s">
        <v>108</v>
      </c>
      <c r="H1768" s="312">
        <v>1827</v>
      </c>
      <c r="I1768" s="312" t="s">
        <v>107</v>
      </c>
      <c r="J1768" s="312">
        <v>1913</v>
      </c>
      <c r="K1768" s="312" t="s">
        <v>109</v>
      </c>
    </row>
    <row r="1769" spans="1:11">
      <c r="A1769" s="312" t="s">
        <v>3823</v>
      </c>
      <c r="B1769" s="312" t="s">
        <v>3824</v>
      </c>
      <c r="C1769" s="312" t="s">
        <v>105</v>
      </c>
      <c r="D1769" s="312" t="s">
        <v>3822</v>
      </c>
      <c r="E1769" s="312" t="s">
        <v>107</v>
      </c>
      <c r="F1769" s="312">
        <v>1825</v>
      </c>
      <c r="G1769" s="312" t="s">
        <v>108</v>
      </c>
      <c r="H1769" s="312">
        <v>1827</v>
      </c>
      <c r="I1769" s="312" t="s">
        <v>107</v>
      </c>
      <c r="J1769" s="312">
        <v>1913</v>
      </c>
      <c r="K1769" s="312" t="s">
        <v>109</v>
      </c>
    </row>
    <row r="1770" spans="1:11">
      <c r="A1770" s="312" t="s">
        <v>3825</v>
      </c>
      <c r="B1770" s="312" t="s">
        <v>3826</v>
      </c>
      <c r="C1770" s="312" t="s">
        <v>105</v>
      </c>
      <c r="D1770" s="312" t="s">
        <v>524</v>
      </c>
      <c r="E1770" s="312" t="s">
        <v>107</v>
      </c>
      <c r="F1770" s="312">
        <v>1825</v>
      </c>
      <c r="G1770" s="312" t="s">
        <v>108</v>
      </c>
      <c r="H1770" s="312">
        <v>1827</v>
      </c>
      <c r="I1770" s="312" t="s">
        <v>107</v>
      </c>
      <c r="J1770" s="312">
        <v>1913</v>
      </c>
      <c r="K1770" s="312" t="s">
        <v>109</v>
      </c>
    </row>
    <row r="1771" spans="1:11">
      <c r="A1771" s="312" t="s">
        <v>3827</v>
      </c>
      <c r="B1771" s="312" t="s">
        <v>3828</v>
      </c>
      <c r="C1771" s="312" t="s">
        <v>105</v>
      </c>
      <c r="D1771" s="312" t="s">
        <v>1294</v>
      </c>
      <c r="E1771" s="312" t="s">
        <v>107</v>
      </c>
      <c r="F1771" s="312">
        <v>1825</v>
      </c>
      <c r="G1771" s="312" t="s">
        <v>108</v>
      </c>
      <c r="H1771" s="312">
        <v>1827</v>
      </c>
      <c r="I1771" s="312" t="s">
        <v>107</v>
      </c>
      <c r="J1771" s="312">
        <v>1913</v>
      </c>
      <c r="K1771" s="312" t="s">
        <v>109</v>
      </c>
    </row>
    <row r="1772" spans="1:11">
      <c r="A1772" s="312" t="s">
        <v>3829</v>
      </c>
      <c r="B1772" s="312" t="s">
        <v>3830</v>
      </c>
      <c r="C1772" s="312" t="s">
        <v>105</v>
      </c>
      <c r="D1772" s="312" t="s">
        <v>1291</v>
      </c>
      <c r="E1772" s="312" t="s">
        <v>107</v>
      </c>
      <c r="F1772" s="312">
        <v>1825</v>
      </c>
      <c r="G1772" s="312" t="s">
        <v>108</v>
      </c>
      <c r="H1772" s="312">
        <v>1827</v>
      </c>
      <c r="I1772" s="312" t="s">
        <v>107</v>
      </c>
      <c r="J1772" s="312">
        <v>1913</v>
      </c>
      <c r="K1772" s="312" t="s">
        <v>109</v>
      </c>
    </row>
    <row r="1773" spans="1:11">
      <c r="A1773" s="312" t="s">
        <v>3831</v>
      </c>
      <c r="B1773" s="312" t="s">
        <v>3832</v>
      </c>
      <c r="C1773" s="312" t="s">
        <v>105</v>
      </c>
      <c r="D1773" s="312" t="s">
        <v>1291</v>
      </c>
      <c r="E1773" s="312" t="s">
        <v>107</v>
      </c>
      <c r="F1773" s="312">
        <v>1825</v>
      </c>
      <c r="G1773" s="312" t="s">
        <v>108</v>
      </c>
      <c r="H1773" s="312">
        <v>1827</v>
      </c>
      <c r="I1773" s="312" t="s">
        <v>107</v>
      </c>
      <c r="J1773" s="312">
        <v>1913</v>
      </c>
      <c r="K1773" s="312" t="s">
        <v>109</v>
      </c>
    </row>
    <row r="1774" spans="1:11">
      <c r="A1774" s="312" t="s">
        <v>3833</v>
      </c>
      <c r="B1774" s="312" t="s">
        <v>3834</v>
      </c>
      <c r="C1774" s="312" t="s">
        <v>105</v>
      </c>
      <c r="D1774" s="312" t="s">
        <v>1291</v>
      </c>
      <c r="E1774" s="312" t="s">
        <v>107</v>
      </c>
      <c r="F1774" s="312">
        <v>1825</v>
      </c>
      <c r="G1774" s="312" t="s">
        <v>108</v>
      </c>
      <c r="H1774" s="312">
        <v>1827</v>
      </c>
      <c r="I1774" s="312" t="s">
        <v>107</v>
      </c>
      <c r="J1774" s="312">
        <v>1913</v>
      </c>
      <c r="K1774" s="312" t="s">
        <v>109</v>
      </c>
    </row>
    <row r="1775" spans="1:11">
      <c r="A1775" s="312" t="s">
        <v>3835</v>
      </c>
      <c r="B1775" s="312" t="s">
        <v>3836</v>
      </c>
      <c r="C1775" s="312" t="s">
        <v>105</v>
      </c>
      <c r="D1775" s="312" t="s">
        <v>1291</v>
      </c>
      <c r="E1775" s="312" t="s">
        <v>107</v>
      </c>
      <c r="F1775" s="312">
        <v>1825</v>
      </c>
      <c r="G1775" s="312" t="s">
        <v>108</v>
      </c>
      <c r="H1775" s="312">
        <v>1827</v>
      </c>
      <c r="I1775" s="312" t="s">
        <v>107</v>
      </c>
      <c r="J1775" s="312">
        <v>1913</v>
      </c>
      <c r="K1775" s="312" t="s">
        <v>109</v>
      </c>
    </row>
    <row r="1776" spans="1:11">
      <c r="A1776" s="312" t="s">
        <v>3837</v>
      </c>
      <c r="B1776" s="312" t="s">
        <v>3838</v>
      </c>
      <c r="C1776" s="312" t="s">
        <v>105</v>
      </c>
      <c r="D1776" s="312" t="s">
        <v>477</v>
      </c>
      <c r="E1776" s="312" t="s">
        <v>107</v>
      </c>
      <c r="F1776" s="312">
        <v>1825</v>
      </c>
      <c r="G1776" s="312" t="s">
        <v>108</v>
      </c>
      <c r="H1776" s="312">
        <v>1827</v>
      </c>
      <c r="I1776" s="312" t="s">
        <v>107</v>
      </c>
      <c r="J1776" s="312">
        <v>1913</v>
      </c>
      <c r="K1776" s="312" t="s">
        <v>109</v>
      </c>
    </row>
    <row r="1777" spans="1:11">
      <c r="A1777" s="312" t="s">
        <v>3839</v>
      </c>
      <c r="B1777" s="312" t="s">
        <v>3840</v>
      </c>
      <c r="C1777" s="312" t="s">
        <v>105</v>
      </c>
      <c r="D1777" s="312" t="s">
        <v>524</v>
      </c>
      <c r="E1777" s="312" t="s">
        <v>107</v>
      </c>
      <c r="F1777" s="312">
        <v>1825</v>
      </c>
      <c r="G1777" s="312" t="s">
        <v>108</v>
      </c>
      <c r="H1777" s="312">
        <v>1827</v>
      </c>
      <c r="I1777" s="312" t="s">
        <v>107</v>
      </c>
      <c r="J1777" s="312">
        <v>1913</v>
      </c>
      <c r="K1777" s="312" t="s">
        <v>109</v>
      </c>
    </row>
    <row r="1778" spans="1:11">
      <c r="A1778" s="312" t="s">
        <v>3841</v>
      </c>
      <c r="B1778" s="312" t="s">
        <v>3842</v>
      </c>
      <c r="C1778" s="312" t="s">
        <v>105</v>
      </c>
      <c r="D1778" s="312" t="s">
        <v>1771</v>
      </c>
      <c r="E1778" s="312" t="s">
        <v>167</v>
      </c>
      <c r="F1778" s="312">
        <v>1705</v>
      </c>
      <c r="G1778" s="312" t="s">
        <v>168</v>
      </c>
      <c r="H1778" s="312">
        <v>1707</v>
      </c>
      <c r="I1778" s="312" t="s">
        <v>167</v>
      </c>
      <c r="J1778" s="312">
        <v>1899</v>
      </c>
      <c r="K1778" s="312" t="s">
        <v>169</v>
      </c>
    </row>
    <row r="1779" spans="1:11">
      <c r="A1779" s="312" t="s">
        <v>3843</v>
      </c>
      <c r="B1779" s="312" t="s">
        <v>3844</v>
      </c>
      <c r="C1779" s="312" t="s">
        <v>105</v>
      </c>
      <c r="D1779" s="312" t="s">
        <v>252</v>
      </c>
      <c r="E1779" s="312" t="s">
        <v>167</v>
      </c>
      <c r="F1779" s="312">
        <v>1705</v>
      </c>
      <c r="G1779" s="312" t="s">
        <v>168</v>
      </c>
      <c r="H1779" s="312">
        <v>1707</v>
      </c>
      <c r="I1779" s="312" t="s">
        <v>167</v>
      </c>
      <c r="J1779" s="312">
        <v>1899</v>
      </c>
      <c r="K1779" s="312" t="s">
        <v>169</v>
      </c>
    </row>
    <row r="1780" spans="1:11">
      <c r="A1780" s="312" t="s">
        <v>3845</v>
      </c>
      <c r="B1780" s="312" t="s">
        <v>3846</v>
      </c>
      <c r="C1780" s="312" t="s">
        <v>105</v>
      </c>
      <c r="D1780" s="312" t="s">
        <v>252</v>
      </c>
      <c r="E1780" s="312" t="s">
        <v>167</v>
      </c>
      <c r="F1780" s="312">
        <v>1705</v>
      </c>
      <c r="G1780" s="312" t="s">
        <v>168</v>
      </c>
      <c r="H1780" s="312">
        <v>1707</v>
      </c>
      <c r="I1780" s="312" t="s">
        <v>167</v>
      </c>
      <c r="J1780" s="312">
        <v>1899</v>
      </c>
      <c r="K1780" s="312" t="s">
        <v>169</v>
      </c>
    </row>
    <row r="1781" spans="1:11">
      <c r="A1781" s="312" t="s">
        <v>3847</v>
      </c>
      <c r="B1781" s="312" t="s">
        <v>3848</v>
      </c>
      <c r="C1781" s="312" t="s">
        <v>105</v>
      </c>
      <c r="D1781" s="312" t="s">
        <v>678</v>
      </c>
      <c r="E1781" s="312" t="s">
        <v>107</v>
      </c>
      <c r="F1781" s="312">
        <v>1825</v>
      </c>
      <c r="G1781" s="312" t="s">
        <v>108</v>
      </c>
      <c r="H1781" s="312">
        <v>1827</v>
      </c>
      <c r="I1781" s="312" t="s">
        <v>107</v>
      </c>
      <c r="J1781" s="312">
        <v>1913</v>
      </c>
      <c r="K1781" s="312" t="s">
        <v>109</v>
      </c>
    </row>
    <row r="1782" spans="1:11">
      <c r="A1782" s="312" t="s">
        <v>3849</v>
      </c>
      <c r="B1782" s="312" t="s">
        <v>3850</v>
      </c>
      <c r="C1782" s="312" t="s">
        <v>105</v>
      </c>
      <c r="D1782" s="312" t="s">
        <v>570</v>
      </c>
      <c r="E1782" s="312" t="s">
        <v>107</v>
      </c>
      <c r="F1782" s="312">
        <v>1825</v>
      </c>
      <c r="G1782" s="312" t="s">
        <v>108</v>
      </c>
      <c r="H1782" s="312">
        <v>1827</v>
      </c>
      <c r="I1782" s="312" t="s">
        <v>107</v>
      </c>
      <c r="J1782" s="312">
        <v>1913</v>
      </c>
      <c r="K1782" s="312" t="s">
        <v>109</v>
      </c>
    </row>
    <row r="1783" spans="1:11">
      <c r="A1783" s="312" t="s">
        <v>3851</v>
      </c>
      <c r="B1783" s="312" t="s">
        <v>3852</v>
      </c>
      <c r="C1783" s="312" t="s">
        <v>105</v>
      </c>
      <c r="D1783" s="312" t="s">
        <v>1156</v>
      </c>
      <c r="E1783" s="312" t="s">
        <v>107</v>
      </c>
      <c r="F1783" s="312">
        <v>1825</v>
      </c>
      <c r="G1783" s="312" t="s">
        <v>108</v>
      </c>
      <c r="H1783" s="312">
        <v>1827</v>
      </c>
      <c r="I1783" s="312" t="s">
        <v>107</v>
      </c>
      <c r="J1783" s="312">
        <v>1913</v>
      </c>
      <c r="K1783" s="312" t="s">
        <v>109</v>
      </c>
    </row>
    <row r="1784" spans="1:11">
      <c r="A1784" s="312" t="s">
        <v>3853</v>
      </c>
      <c r="B1784" s="312" t="s">
        <v>3854</v>
      </c>
      <c r="C1784" s="312" t="s">
        <v>105</v>
      </c>
      <c r="D1784" s="312" t="s">
        <v>1156</v>
      </c>
      <c r="E1784" s="312" t="s">
        <v>107</v>
      </c>
      <c r="F1784" s="312">
        <v>1825</v>
      </c>
      <c r="G1784" s="312" t="s">
        <v>108</v>
      </c>
      <c r="H1784" s="312">
        <v>1827</v>
      </c>
      <c r="I1784" s="312" t="s">
        <v>107</v>
      </c>
      <c r="J1784" s="312">
        <v>1913</v>
      </c>
      <c r="K1784" s="312" t="s">
        <v>109</v>
      </c>
    </row>
    <row r="1785" spans="1:11">
      <c r="A1785" s="312" t="s">
        <v>3855</v>
      </c>
      <c r="B1785" s="312" t="s">
        <v>3856</v>
      </c>
      <c r="C1785" s="312" t="s">
        <v>105</v>
      </c>
      <c r="D1785" s="312" t="s">
        <v>1156</v>
      </c>
      <c r="E1785" s="312" t="s">
        <v>107</v>
      </c>
      <c r="F1785" s="312">
        <v>1825</v>
      </c>
      <c r="G1785" s="312" t="s">
        <v>108</v>
      </c>
      <c r="H1785" s="312">
        <v>1827</v>
      </c>
      <c r="I1785" s="312" t="s">
        <v>107</v>
      </c>
      <c r="J1785" s="312">
        <v>1913</v>
      </c>
      <c r="K1785" s="312" t="s">
        <v>109</v>
      </c>
    </row>
    <row r="1786" spans="1:11">
      <c r="A1786" s="312" t="s">
        <v>3857</v>
      </c>
      <c r="B1786" s="312" t="s">
        <v>3858</v>
      </c>
      <c r="C1786" s="312" t="s">
        <v>105</v>
      </c>
      <c r="D1786" s="312" t="s">
        <v>1156</v>
      </c>
      <c r="E1786" s="312" t="s">
        <v>107</v>
      </c>
      <c r="F1786" s="312">
        <v>1825</v>
      </c>
      <c r="G1786" s="312" t="s">
        <v>108</v>
      </c>
      <c r="H1786" s="312">
        <v>1827</v>
      </c>
      <c r="I1786" s="312" t="s">
        <v>107</v>
      </c>
      <c r="J1786" s="312">
        <v>1913</v>
      </c>
      <c r="K1786" s="312" t="s">
        <v>109</v>
      </c>
    </row>
    <row r="1787" spans="1:11">
      <c r="A1787" s="312" t="s">
        <v>3859</v>
      </c>
      <c r="B1787" s="312" t="s">
        <v>3860</v>
      </c>
      <c r="C1787" s="312" t="s">
        <v>105</v>
      </c>
      <c r="D1787" s="312" t="s">
        <v>1156</v>
      </c>
      <c r="E1787" s="312" t="s">
        <v>107</v>
      </c>
      <c r="F1787" s="312">
        <v>1825</v>
      </c>
      <c r="G1787" s="312" t="s">
        <v>108</v>
      </c>
      <c r="H1787" s="312">
        <v>1827</v>
      </c>
      <c r="I1787" s="312" t="s">
        <v>107</v>
      </c>
      <c r="J1787" s="312">
        <v>1913</v>
      </c>
      <c r="K1787" s="312" t="s">
        <v>109</v>
      </c>
    </row>
    <row r="1788" spans="1:11">
      <c r="A1788" s="312" t="s">
        <v>3861</v>
      </c>
      <c r="B1788" s="312" t="s">
        <v>3862</v>
      </c>
      <c r="C1788" s="312" t="s">
        <v>105</v>
      </c>
      <c r="D1788" s="312" t="s">
        <v>117</v>
      </c>
      <c r="E1788" s="312" t="s">
        <v>107</v>
      </c>
      <c r="F1788" s="312">
        <v>1825</v>
      </c>
      <c r="G1788" s="312" t="s">
        <v>108</v>
      </c>
      <c r="H1788" s="312">
        <v>1827</v>
      </c>
      <c r="I1788" s="312" t="s">
        <v>107</v>
      </c>
      <c r="J1788" s="312">
        <v>1913</v>
      </c>
      <c r="K1788" s="312" t="s">
        <v>109</v>
      </c>
    </row>
    <row r="1789" spans="1:11">
      <c r="A1789" s="312" t="s">
        <v>3863</v>
      </c>
      <c r="B1789" s="312" t="s">
        <v>3864</v>
      </c>
      <c r="C1789" s="312" t="s">
        <v>105</v>
      </c>
      <c r="D1789" s="312" t="s">
        <v>114</v>
      </c>
      <c r="E1789" s="312" t="s">
        <v>107</v>
      </c>
      <c r="F1789" s="312">
        <v>1825</v>
      </c>
      <c r="G1789" s="312" t="s">
        <v>108</v>
      </c>
      <c r="H1789" s="312">
        <v>1827</v>
      </c>
      <c r="I1789" s="312" t="s">
        <v>107</v>
      </c>
      <c r="J1789" s="312">
        <v>1913</v>
      </c>
      <c r="K1789" s="312" t="s">
        <v>109</v>
      </c>
    </row>
    <row r="1790" spans="1:11">
      <c r="A1790" s="312" t="s">
        <v>3865</v>
      </c>
      <c r="B1790" s="312" t="s">
        <v>3866</v>
      </c>
      <c r="C1790" s="312" t="s">
        <v>105</v>
      </c>
      <c r="D1790" s="312" t="s">
        <v>517</v>
      </c>
      <c r="E1790" s="312" t="s">
        <v>107</v>
      </c>
      <c r="F1790" s="312">
        <v>1825</v>
      </c>
      <c r="G1790" s="312" t="s">
        <v>108</v>
      </c>
      <c r="H1790" s="312">
        <v>1827</v>
      </c>
      <c r="I1790" s="312" t="s">
        <v>107</v>
      </c>
      <c r="J1790" s="312">
        <v>1913</v>
      </c>
      <c r="K1790" s="312" t="s">
        <v>109</v>
      </c>
    </row>
    <row r="1791" spans="1:11">
      <c r="A1791" s="312" t="s">
        <v>3867</v>
      </c>
      <c r="B1791" s="312" t="s">
        <v>3868</v>
      </c>
      <c r="C1791" s="312" t="s">
        <v>105</v>
      </c>
      <c r="D1791" s="312" t="s">
        <v>570</v>
      </c>
      <c r="E1791" s="312" t="s">
        <v>684</v>
      </c>
      <c r="F1791" s="312">
        <v>1750</v>
      </c>
      <c r="G1791" s="312" t="s">
        <v>685</v>
      </c>
      <c r="H1791" s="312">
        <v>1754</v>
      </c>
      <c r="I1791" s="312" t="s">
        <v>684</v>
      </c>
      <c r="J1791" s="312">
        <v>1920</v>
      </c>
      <c r="K1791" s="312" t="s">
        <v>686</v>
      </c>
    </row>
    <row r="1792" spans="1:11">
      <c r="A1792" s="312" t="s">
        <v>3869</v>
      </c>
      <c r="B1792" s="1" t="s">
        <v>3870</v>
      </c>
      <c r="C1792" s="312" t="s">
        <v>105</v>
      </c>
      <c r="D1792" s="312" t="s">
        <v>570</v>
      </c>
      <c r="E1792" s="312" t="s">
        <v>684</v>
      </c>
      <c r="F1792" s="312">
        <v>1750</v>
      </c>
      <c r="G1792" s="312" t="s">
        <v>685</v>
      </c>
      <c r="H1792" s="312">
        <v>1754</v>
      </c>
      <c r="I1792" s="312" t="s">
        <v>684</v>
      </c>
      <c r="J1792" s="312">
        <v>1920</v>
      </c>
      <c r="K1792" s="312" t="s">
        <v>686</v>
      </c>
    </row>
    <row r="1793" spans="1:11">
      <c r="A1793" s="312" t="s">
        <v>3871</v>
      </c>
      <c r="B1793" s="312" t="s">
        <v>3872</v>
      </c>
      <c r="C1793" s="312" t="s">
        <v>105</v>
      </c>
      <c r="D1793" s="312" t="s">
        <v>3112</v>
      </c>
      <c r="E1793" s="312" t="s">
        <v>167</v>
      </c>
      <c r="F1793" s="312">
        <v>1705</v>
      </c>
      <c r="G1793" s="312" t="s">
        <v>168</v>
      </c>
      <c r="H1793" s="312">
        <v>1707</v>
      </c>
      <c r="I1793" s="312" t="s">
        <v>167</v>
      </c>
      <c r="J1793" s="312">
        <v>1899</v>
      </c>
      <c r="K1793" s="312" t="s">
        <v>169</v>
      </c>
    </row>
    <row r="1794" spans="1:11">
      <c r="A1794" s="312" t="s">
        <v>3873</v>
      </c>
      <c r="B1794" s="312" t="s">
        <v>3874</v>
      </c>
      <c r="C1794" s="312" t="s">
        <v>105</v>
      </c>
      <c r="D1794" s="312" t="s">
        <v>853</v>
      </c>
      <c r="E1794" s="312" t="s">
        <v>107</v>
      </c>
      <c r="F1794" s="312">
        <v>1825</v>
      </c>
      <c r="G1794" s="312" t="s">
        <v>108</v>
      </c>
      <c r="H1794" s="312">
        <v>1827</v>
      </c>
      <c r="I1794" s="312" t="s">
        <v>107</v>
      </c>
      <c r="J1794" s="312">
        <v>1913</v>
      </c>
      <c r="K1794" s="312" t="s">
        <v>109</v>
      </c>
    </row>
    <row r="1795" spans="1:11">
      <c r="A1795" s="312" t="s">
        <v>3875</v>
      </c>
      <c r="B1795" s="312" t="s">
        <v>3876</v>
      </c>
      <c r="C1795" s="312" t="s">
        <v>105</v>
      </c>
      <c r="D1795" s="312" t="s">
        <v>853</v>
      </c>
      <c r="E1795" s="312" t="s">
        <v>107</v>
      </c>
      <c r="F1795" s="312">
        <v>1825</v>
      </c>
      <c r="G1795" s="312" t="s">
        <v>108</v>
      </c>
      <c r="H1795" s="312">
        <v>1827</v>
      </c>
      <c r="I1795" s="312" t="s">
        <v>107</v>
      </c>
      <c r="J1795" s="312">
        <v>1913</v>
      </c>
      <c r="K1795" s="312" t="s">
        <v>109</v>
      </c>
    </row>
    <row r="1796" spans="1:11">
      <c r="A1796" s="312" t="s">
        <v>3877</v>
      </c>
      <c r="B1796" s="312" t="s">
        <v>3878</v>
      </c>
      <c r="C1796" s="312" t="s">
        <v>105</v>
      </c>
      <c r="D1796" s="312" t="s">
        <v>853</v>
      </c>
      <c r="E1796" s="312" t="s">
        <v>107</v>
      </c>
      <c r="F1796" s="312">
        <v>1825</v>
      </c>
      <c r="G1796" s="312" t="s">
        <v>108</v>
      </c>
      <c r="H1796" s="312">
        <v>1827</v>
      </c>
      <c r="I1796" s="312" t="s">
        <v>107</v>
      </c>
      <c r="J1796" s="312">
        <v>1913</v>
      </c>
      <c r="K1796" s="312" t="s">
        <v>109</v>
      </c>
    </row>
    <row r="1797" spans="1:11">
      <c r="A1797" s="312" t="s">
        <v>3879</v>
      </c>
      <c r="B1797" s="312" t="s">
        <v>3880</v>
      </c>
      <c r="C1797" s="312" t="s">
        <v>105</v>
      </c>
      <c r="D1797" s="312" t="s">
        <v>114</v>
      </c>
      <c r="E1797" s="312" t="s">
        <v>107</v>
      </c>
      <c r="F1797" s="312">
        <v>1825</v>
      </c>
      <c r="G1797" s="312" t="s">
        <v>108</v>
      </c>
      <c r="H1797" s="312">
        <v>1827</v>
      </c>
      <c r="I1797" s="312" t="s">
        <v>107</v>
      </c>
      <c r="J1797" s="312">
        <v>1913</v>
      </c>
      <c r="K1797" s="312" t="s">
        <v>109</v>
      </c>
    </row>
    <row r="1798" spans="1:11">
      <c r="A1798" s="312" t="s">
        <v>3881</v>
      </c>
      <c r="B1798" s="312" t="s">
        <v>3882</v>
      </c>
      <c r="C1798" s="312" t="s">
        <v>105</v>
      </c>
      <c r="D1798" s="312" t="s">
        <v>114</v>
      </c>
      <c r="E1798" s="312" t="s">
        <v>107</v>
      </c>
      <c r="F1798" s="312">
        <v>1825</v>
      </c>
      <c r="G1798" s="312" t="s">
        <v>108</v>
      </c>
      <c r="H1798" s="312">
        <v>1827</v>
      </c>
      <c r="I1798" s="312" t="s">
        <v>107</v>
      </c>
      <c r="J1798" s="312">
        <v>1913</v>
      </c>
      <c r="K1798" s="312" t="s">
        <v>109</v>
      </c>
    </row>
    <row r="1799" spans="1:11">
      <c r="A1799" s="312" t="s">
        <v>3883</v>
      </c>
      <c r="B1799" s="312" t="s">
        <v>3884</v>
      </c>
      <c r="C1799" s="312" t="s">
        <v>105</v>
      </c>
      <c r="D1799" s="312" t="s">
        <v>587</v>
      </c>
      <c r="E1799" s="312" t="s">
        <v>107</v>
      </c>
      <c r="F1799" s="312">
        <v>1825</v>
      </c>
      <c r="G1799" s="312" t="s">
        <v>108</v>
      </c>
      <c r="H1799" s="312">
        <v>1827</v>
      </c>
      <c r="I1799" s="312" t="s">
        <v>107</v>
      </c>
      <c r="J1799" s="312">
        <v>1913</v>
      </c>
      <c r="K1799" s="312" t="s">
        <v>109</v>
      </c>
    </row>
    <row r="1800" spans="1:11">
      <c r="A1800" s="312" t="s">
        <v>3885</v>
      </c>
      <c r="B1800" s="312" t="s">
        <v>3886</v>
      </c>
      <c r="C1800" s="312" t="s">
        <v>105</v>
      </c>
      <c r="D1800" s="312" t="s">
        <v>587</v>
      </c>
      <c r="E1800" s="312" t="s">
        <v>107</v>
      </c>
      <c r="F1800" s="312">
        <v>1825</v>
      </c>
      <c r="G1800" s="312" t="s">
        <v>108</v>
      </c>
      <c r="H1800" s="312">
        <v>1827</v>
      </c>
      <c r="I1800" s="312" t="s">
        <v>107</v>
      </c>
      <c r="J1800" s="312">
        <v>1913</v>
      </c>
      <c r="K1800" s="312" t="s">
        <v>109</v>
      </c>
    </row>
    <row r="1801" spans="1:11">
      <c r="A1801" s="312" t="s">
        <v>3887</v>
      </c>
      <c r="B1801" s="312" t="s">
        <v>3888</v>
      </c>
      <c r="C1801" s="312" t="s">
        <v>105</v>
      </c>
      <c r="D1801" s="312" t="s">
        <v>480</v>
      </c>
      <c r="E1801" s="312" t="s">
        <v>107</v>
      </c>
      <c r="F1801" s="312">
        <v>1825</v>
      </c>
      <c r="G1801" s="312" t="s">
        <v>108</v>
      </c>
      <c r="H1801" s="312">
        <v>1827</v>
      </c>
      <c r="I1801" s="312" t="s">
        <v>107</v>
      </c>
      <c r="J1801" s="312">
        <v>1913</v>
      </c>
      <c r="K1801" s="312" t="s">
        <v>109</v>
      </c>
    </row>
    <row r="1802" spans="1:11">
      <c r="A1802" s="312" t="s">
        <v>3889</v>
      </c>
      <c r="B1802" s="312" t="s">
        <v>3890</v>
      </c>
      <c r="C1802" s="312" t="s">
        <v>105</v>
      </c>
      <c r="D1802" s="312" t="s">
        <v>573</v>
      </c>
      <c r="E1802" s="312" t="s">
        <v>107</v>
      </c>
      <c r="F1802" s="312">
        <v>1825</v>
      </c>
      <c r="G1802" s="312" t="s">
        <v>108</v>
      </c>
      <c r="H1802" s="312">
        <v>1827</v>
      </c>
      <c r="I1802" s="312" t="s">
        <v>107</v>
      </c>
      <c r="J1802" s="312">
        <v>1913</v>
      </c>
      <c r="K1802" s="312" t="s">
        <v>109</v>
      </c>
    </row>
    <row r="1803" spans="1:11">
      <c r="A1803" s="312" t="s">
        <v>3891</v>
      </c>
      <c r="B1803" s="312" t="s">
        <v>3892</v>
      </c>
      <c r="C1803" s="312" t="s">
        <v>105</v>
      </c>
      <c r="D1803" s="312" t="s">
        <v>573</v>
      </c>
      <c r="E1803" s="312" t="s">
        <v>107</v>
      </c>
      <c r="F1803" s="312">
        <v>1825</v>
      </c>
      <c r="G1803" s="312" t="s">
        <v>108</v>
      </c>
      <c r="H1803" s="312">
        <v>1827</v>
      </c>
      <c r="I1803" s="312" t="s">
        <v>107</v>
      </c>
      <c r="J1803" s="312">
        <v>1913</v>
      </c>
      <c r="K1803" s="312" t="s">
        <v>109</v>
      </c>
    </row>
    <row r="1804" spans="1:11">
      <c r="A1804" s="312" t="s">
        <v>3893</v>
      </c>
      <c r="B1804" s="312" t="s">
        <v>3894</v>
      </c>
      <c r="C1804" s="312" t="s">
        <v>105</v>
      </c>
      <c r="D1804" s="312" t="s">
        <v>587</v>
      </c>
      <c r="E1804" s="312" t="s">
        <v>107</v>
      </c>
      <c r="F1804" s="312">
        <v>1825</v>
      </c>
      <c r="G1804" s="312" t="s">
        <v>108</v>
      </c>
      <c r="H1804" s="312">
        <v>1827</v>
      </c>
      <c r="I1804" s="312" t="s">
        <v>107</v>
      </c>
      <c r="J1804" s="312">
        <v>1913</v>
      </c>
      <c r="K1804" s="312" t="s">
        <v>109</v>
      </c>
    </row>
    <row r="1805" spans="1:11">
      <c r="A1805" s="312" t="s">
        <v>3895</v>
      </c>
      <c r="B1805" s="312" t="s">
        <v>3896</v>
      </c>
      <c r="C1805" s="312" t="s">
        <v>105</v>
      </c>
      <c r="D1805" s="312" t="s">
        <v>480</v>
      </c>
      <c r="E1805" s="312" t="s">
        <v>107</v>
      </c>
      <c r="F1805" s="312">
        <v>1825</v>
      </c>
      <c r="G1805" s="312" t="s">
        <v>108</v>
      </c>
      <c r="H1805" s="312">
        <v>1827</v>
      </c>
      <c r="I1805" s="312" t="s">
        <v>107</v>
      </c>
      <c r="J1805" s="312">
        <v>1913</v>
      </c>
      <c r="K1805" s="312" t="s">
        <v>109</v>
      </c>
    </row>
    <row r="1806" spans="1:11">
      <c r="A1806" s="312" t="s">
        <v>3897</v>
      </c>
      <c r="B1806" s="312" t="s">
        <v>3898</v>
      </c>
      <c r="C1806" s="312" t="s">
        <v>105</v>
      </c>
      <c r="D1806" s="312" t="s">
        <v>3392</v>
      </c>
      <c r="E1806" s="312" t="s">
        <v>107</v>
      </c>
      <c r="F1806" s="312">
        <v>1825</v>
      </c>
      <c r="G1806" s="312" t="s">
        <v>108</v>
      </c>
      <c r="H1806" s="312">
        <v>1827</v>
      </c>
      <c r="I1806" s="312" t="s">
        <v>107</v>
      </c>
      <c r="J1806" s="312">
        <v>1913</v>
      </c>
      <c r="K1806" s="312" t="s">
        <v>109</v>
      </c>
    </row>
    <row r="1807" spans="1:11">
      <c r="A1807" s="312" t="s">
        <v>3899</v>
      </c>
      <c r="B1807" s="312" t="s">
        <v>3900</v>
      </c>
      <c r="C1807" s="312" t="s">
        <v>105</v>
      </c>
      <c r="D1807" s="312" t="s">
        <v>3392</v>
      </c>
      <c r="E1807" s="312" t="s">
        <v>684</v>
      </c>
      <c r="F1807" s="312">
        <v>1750</v>
      </c>
      <c r="G1807" s="312" t="s">
        <v>685</v>
      </c>
      <c r="H1807" s="312">
        <v>1754</v>
      </c>
      <c r="I1807" s="312" t="s">
        <v>684</v>
      </c>
      <c r="J1807" s="312">
        <v>1920</v>
      </c>
      <c r="K1807" s="312" t="s">
        <v>686</v>
      </c>
    </row>
    <row r="1808" spans="1:11">
      <c r="A1808" s="312" t="s">
        <v>3901</v>
      </c>
      <c r="B1808" s="312" t="s">
        <v>3902</v>
      </c>
      <c r="C1808" s="312" t="s">
        <v>105</v>
      </c>
      <c r="D1808" s="312" t="s">
        <v>106</v>
      </c>
      <c r="E1808" s="312" t="s">
        <v>107</v>
      </c>
      <c r="F1808" s="312">
        <v>1825</v>
      </c>
      <c r="G1808" s="312" t="s">
        <v>108</v>
      </c>
      <c r="H1808" s="312">
        <v>1827</v>
      </c>
      <c r="I1808" s="312" t="s">
        <v>107</v>
      </c>
      <c r="J1808" s="312">
        <v>1913</v>
      </c>
      <c r="K1808" s="312" t="s">
        <v>109</v>
      </c>
    </row>
    <row r="1809" spans="1:11">
      <c r="A1809" s="312" t="s">
        <v>3903</v>
      </c>
      <c r="B1809" s="312" t="s">
        <v>3904</v>
      </c>
      <c r="C1809" s="312" t="s">
        <v>105</v>
      </c>
      <c r="D1809" s="312" t="s">
        <v>114</v>
      </c>
      <c r="E1809" s="312" t="s">
        <v>107</v>
      </c>
      <c r="F1809" s="312">
        <v>1825</v>
      </c>
      <c r="G1809" s="312" t="s">
        <v>108</v>
      </c>
      <c r="H1809" s="312">
        <v>1827</v>
      </c>
      <c r="I1809" s="312" t="s">
        <v>107</v>
      </c>
      <c r="J1809" s="312">
        <v>1913</v>
      </c>
      <c r="K1809" s="312" t="s">
        <v>109</v>
      </c>
    </row>
    <row r="1810" spans="1:11">
      <c r="A1810" s="312" t="s">
        <v>3905</v>
      </c>
      <c r="B1810" s="312" t="s">
        <v>3906</v>
      </c>
      <c r="C1810" s="312" t="s">
        <v>105</v>
      </c>
      <c r="D1810" s="312" t="s">
        <v>858</v>
      </c>
      <c r="E1810" s="312" t="s">
        <v>107</v>
      </c>
      <c r="F1810" s="312">
        <v>1825</v>
      </c>
      <c r="G1810" s="312" t="s">
        <v>108</v>
      </c>
      <c r="H1810" s="312">
        <v>1827</v>
      </c>
      <c r="I1810" s="312" t="s">
        <v>107</v>
      </c>
      <c r="J1810" s="312">
        <v>1913</v>
      </c>
      <c r="K1810" s="312" t="s">
        <v>109</v>
      </c>
    </row>
    <row r="1811" spans="1:11">
      <c r="A1811" s="312" t="s">
        <v>3907</v>
      </c>
      <c r="B1811" s="312" t="s">
        <v>3908</v>
      </c>
      <c r="C1811" s="312" t="s">
        <v>105</v>
      </c>
      <c r="D1811" s="312" t="s">
        <v>114</v>
      </c>
      <c r="E1811" s="312" t="s">
        <v>107</v>
      </c>
      <c r="F1811" s="312">
        <v>1825</v>
      </c>
      <c r="G1811" s="312" t="s">
        <v>108</v>
      </c>
      <c r="H1811" s="312">
        <v>1827</v>
      </c>
      <c r="I1811" s="312" t="s">
        <v>107</v>
      </c>
      <c r="J1811" s="312">
        <v>1913</v>
      </c>
      <c r="K1811" s="312" t="s">
        <v>109</v>
      </c>
    </row>
    <row r="1812" spans="1:11">
      <c r="A1812" s="312" t="s">
        <v>3909</v>
      </c>
      <c r="B1812" s="312" t="s">
        <v>3910</v>
      </c>
      <c r="C1812" s="312" t="s">
        <v>105</v>
      </c>
      <c r="D1812" s="312" t="s">
        <v>438</v>
      </c>
      <c r="E1812" s="312" t="s">
        <v>107</v>
      </c>
      <c r="F1812" s="312">
        <v>1825</v>
      </c>
      <c r="G1812" s="312" t="s">
        <v>108</v>
      </c>
      <c r="H1812" s="312">
        <v>1827</v>
      </c>
      <c r="I1812" s="312" t="s">
        <v>107</v>
      </c>
      <c r="J1812" s="312">
        <v>1913</v>
      </c>
      <c r="K1812" s="312" t="s">
        <v>109</v>
      </c>
    </row>
    <row r="1813" spans="1:11">
      <c r="A1813" s="312" t="s">
        <v>3911</v>
      </c>
      <c r="B1813" s="312" t="s">
        <v>3912</v>
      </c>
      <c r="C1813" s="312" t="s">
        <v>105</v>
      </c>
      <c r="D1813" s="312" t="s">
        <v>319</v>
      </c>
      <c r="E1813" s="312" t="s">
        <v>107</v>
      </c>
      <c r="F1813" s="312">
        <v>1825</v>
      </c>
      <c r="G1813" s="312" t="s">
        <v>108</v>
      </c>
      <c r="H1813" s="312">
        <v>1827</v>
      </c>
      <c r="I1813" s="312" t="s">
        <v>107</v>
      </c>
      <c r="J1813" s="312">
        <v>1913</v>
      </c>
      <c r="K1813" s="312" t="s">
        <v>109</v>
      </c>
    </row>
    <row r="1814" spans="1:11">
      <c r="A1814" s="312" t="s">
        <v>3913</v>
      </c>
      <c r="B1814" s="312" t="s">
        <v>3914</v>
      </c>
      <c r="C1814" s="312" t="s">
        <v>105</v>
      </c>
      <c r="D1814" s="312" t="s">
        <v>114</v>
      </c>
      <c r="E1814" s="312" t="s">
        <v>107</v>
      </c>
      <c r="F1814" s="312">
        <v>1825</v>
      </c>
      <c r="G1814" s="312" t="s">
        <v>108</v>
      </c>
      <c r="H1814" s="312">
        <v>1827</v>
      </c>
      <c r="I1814" s="312" t="s">
        <v>107</v>
      </c>
      <c r="J1814" s="312">
        <v>1913</v>
      </c>
      <c r="K1814" s="312" t="s">
        <v>109</v>
      </c>
    </row>
    <row r="1815" spans="1:11">
      <c r="A1815" s="312" t="s">
        <v>3915</v>
      </c>
      <c r="B1815" s="312" t="s">
        <v>3916</v>
      </c>
      <c r="C1815" s="312" t="s">
        <v>105</v>
      </c>
      <c r="D1815" s="312" t="s">
        <v>117</v>
      </c>
      <c r="E1815" s="312" t="s">
        <v>107</v>
      </c>
      <c r="F1815" s="312">
        <v>1825</v>
      </c>
      <c r="G1815" s="312" t="s">
        <v>108</v>
      </c>
      <c r="H1815" s="312">
        <v>1827</v>
      </c>
      <c r="I1815" s="312" t="s">
        <v>107</v>
      </c>
      <c r="J1815" s="312">
        <v>1913</v>
      </c>
      <c r="K1815" s="312" t="s">
        <v>109</v>
      </c>
    </row>
    <row r="1816" spans="1:11">
      <c r="A1816" s="312" t="s">
        <v>3917</v>
      </c>
      <c r="B1816" s="312" t="s">
        <v>3918</v>
      </c>
      <c r="C1816" s="312" t="s">
        <v>105</v>
      </c>
      <c r="D1816" s="312" t="s">
        <v>117</v>
      </c>
      <c r="E1816" s="312" t="s">
        <v>107</v>
      </c>
      <c r="F1816" s="312">
        <v>1825</v>
      </c>
      <c r="G1816" s="312" t="s">
        <v>108</v>
      </c>
      <c r="H1816" s="312">
        <v>1827</v>
      </c>
      <c r="I1816" s="312" t="s">
        <v>107</v>
      </c>
      <c r="J1816" s="312">
        <v>1913</v>
      </c>
      <c r="K1816" s="312" t="s">
        <v>109</v>
      </c>
    </row>
    <row r="1817" spans="1:11">
      <c r="A1817" s="312" t="s">
        <v>3919</v>
      </c>
      <c r="B1817" s="312" t="s">
        <v>3920</v>
      </c>
      <c r="C1817" s="312" t="s">
        <v>105</v>
      </c>
      <c r="D1817" s="312" t="s">
        <v>117</v>
      </c>
      <c r="E1817" s="312" t="s">
        <v>107</v>
      </c>
      <c r="F1817" s="312">
        <v>1825</v>
      </c>
      <c r="G1817" s="312" t="s">
        <v>108</v>
      </c>
      <c r="H1817" s="312">
        <v>1827</v>
      </c>
      <c r="I1817" s="312" t="s">
        <v>107</v>
      </c>
      <c r="J1817" s="312">
        <v>1913</v>
      </c>
      <c r="K1817" s="312" t="s">
        <v>109</v>
      </c>
    </row>
    <row r="1818" spans="1:11">
      <c r="A1818" s="312" t="s">
        <v>3921</v>
      </c>
      <c r="B1818" s="312" t="s">
        <v>3922</v>
      </c>
      <c r="C1818" s="312" t="s">
        <v>105</v>
      </c>
      <c r="D1818" s="312" t="s">
        <v>117</v>
      </c>
      <c r="E1818" s="312" t="s">
        <v>107</v>
      </c>
      <c r="F1818" s="312">
        <v>1825</v>
      </c>
      <c r="G1818" s="312" t="s">
        <v>108</v>
      </c>
      <c r="H1818" s="312">
        <v>1827</v>
      </c>
      <c r="I1818" s="312" t="s">
        <v>107</v>
      </c>
      <c r="J1818" s="312">
        <v>1913</v>
      </c>
      <c r="K1818" s="312" t="s">
        <v>109</v>
      </c>
    </row>
    <row r="1819" spans="1:11">
      <c r="A1819" s="312" t="s">
        <v>3923</v>
      </c>
      <c r="B1819" s="312" t="s">
        <v>3924</v>
      </c>
      <c r="C1819" s="312" t="s">
        <v>105</v>
      </c>
      <c r="D1819" s="312" t="s">
        <v>117</v>
      </c>
      <c r="E1819" s="312" t="s">
        <v>107</v>
      </c>
      <c r="F1819" s="312">
        <v>1825</v>
      </c>
      <c r="G1819" s="312" t="s">
        <v>108</v>
      </c>
      <c r="H1819" s="312">
        <v>1827</v>
      </c>
      <c r="I1819" s="312" t="s">
        <v>107</v>
      </c>
      <c r="J1819" s="312">
        <v>1913</v>
      </c>
      <c r="K1819" s="312" t="s">
        <v>109</v>
      </c>
    </row>
    <row r="1820" spans="1:11">
      <c r="A1820" s="312" t="s">
        <v>3925</v>
      </c>
      <c r="B1820" s="312" t="s">
        <v>3926</v>
      </c>
      <c r="C1820" s="312" t="s">
        <v>105</v>
      </c>
      <c r="D1820" s="312" t="s">
        <v>117</v>
      </c>
      <c r="E1820" s="312" t="s">
        <v>107</v>
      </c>
      <c r="F1820" s="312">
        <v>1825</v>
      </c>
      <c r="G1820" s="312" t="s">
        <v>108</v>
      </c>
      <c r="H1820" s="312">
        <v>1827</v>
      </c>
      <c r="I1820" s="312" t="s">
        <v>107</v>
      </c>
      <c r="J1820" s="312">
        <v>1913</v>
      </c>
      <c r="K1820" s="312" t="s">
        <v>109</v>
      </c>
    </row>
    <row r="1821" spans="1:11">
      <c r="A1821" s="312" t="s">
        <v>3927</v>
      </c>
      <c r="B1821" s="312" t="s">
        <v>3928</v>
      </c>
      <c r="C1821" s="312" t="s">
        <v>105</v>
      </c>
      <c r="D1821" s="312" t="s">
        <v>117</v>
      </c>
      <c r="E1821" s="312" t="s">
        <v>107</v>
      </c>
      <c r="F1821" s="312">
        <v>1825</v>
      </c>
      <c r="G1821" s="312" t="s">
        <v>108</v>
      </c>
      <c r="H1821" s="312">
        <v>1827</v>
      </c>
      <c r="I1821" s="312" t="s">
        <v>107</v>
      </c>
      <c r="J1821" s="312">
        <v>1913</v>
      </c>
      <c r="K1821" s="312" t="s">
        <v>109</v>
      </c>
    </row>
    <row r="1822" spans="1:11">
      <c r="A1822" s="312" t="s">
        <v>3929</v>
      </c>
      <c r="B1822" s="312" t="s">
        <v>3930</v>
      </c>
      <c r="C1822" s="312" t="s">
        <v>105</v>
      </c>
      <c r="D1822" s="312" t="s">
        <v>483</v>
      </c>
      <c r="E1822" s="312" t="s">
        <v>696</v>
      </c>
      <c r="F1822" s="312">
        <v>1736</v>
      </c>
      <c r="G1822" s="312" t="s">
        <v>697</v>
      </c>
      <c r="H1822" s="312">
        <v>1741</v>
      </c>
      <c r="I1822" s="312" t="s">
        <v>696</v>
      </c>
      <c r="J1822" s="312">
        <v>1929</v>
      </c>
      <c r="K1822" s="312" t="s">
        <v>698</v>
      </c>
    </row>
    <row r="1823" spans="1:11">
      <c r="A1823" s="312" t="s">
        <v>3931</v>
      </c>
      <c r="B1823" s="312" t="s">
        <v>3932</v>
      </c>
      <c r="C1823" s="312" t="s">
        <v>105</v>
      </c>
      <c r="D1823" s="312" t="s">
        <v>3519</v>
      </c>
      <c r="E1823" s="312" t="s">
        <v>107</v>
      </c>
      <c r="F1823" s="312">
        <v>1825</v>
      </c>
      <c r="G1823" s="312" t="s">
        <v>108</v>
      </c>
      <c r="H1823" s="312">
        <v>1827</v>
      </c>
      <c r="I1823" s="312" t="s">
        <v>107</v>
      </c>
      <c r="J1823" s="312">
        <v>1913</v>
      </c>
      <c r="K1823" s="312" t="s">
        <v>109</v>
      </c>
    </row>
    <row r="1824" spans="1:11">
      <c r="A1824" s="312" t="s">
        <v>3933</v>
      </c>
      <c r="B1824" s="312" t="s">
        <v>3934</v>
      </c>
      <c r="C1824" s="312" t="s">
        <v>105</v>
      </c>
      <c r="D1824" s="312" t="s">
        <v>117</v>
      </c>
      <c r="E1824" s="312" t="s">
        <v>107</v>
      </c>
      <c r="F1824" s="312">
        <v>1825</v>
      </c>
      <c r="G1824" s="312" t="s">
        <v>108</v>
      </c>
      <c r="H1824" s="312">
        <v>1827</v>
      </c>
      <c r="I1824" s="312" t="s">
        <v>107</v>
      </c>
      <c r="J1824" s="312">
        <v>1913</v>
      </c>
      <c r="K1824" s="312" t="s">
        <v>109</v>
      </c>
    </row>
    <row r="1825" spans="1:11">
      <c r="A1825" s="312" t="s">
        <v>3935</v>
      </c>
      <c r="B1825" s="312" t="s">
        <v>3936</v>
      </c>
      <c r="C1825" s="312" t="s">
        <v>105</v>
      </c>
      <c r="D1825" s="312" t="s">
        <v>3519</v>
      </c>
      <c r="E1825" s="312" t="s">
        <v>107</v>
      </c>
      <c r="F1825" s="312">
        <v>1825</v>
      </c>
      <c r="G1825" s="312" t="s">
        <v>108</v>
      </c>
      <c r="H1825" s="312">
        <v>1827</v>
      </c>
      <c r="I1825" s="312" t="s">
        <v>107</v>
      </c>
      <c r="J1825" s="312">
        <v>1913</v>
      </c>
      <c r="K1825" s="312" t="s">
        <v>109</v>
      </c>
    </row>
    <row r="1826" spans="1:11">
      <c r="A1826" s="312" t="s">
        <v>3937</v>
      </c>
      <c r="B1826" s="312" t="s">
        <v>3938</v>
      </c>
      <c r="C1826" s="312" t="s">
        <v>105</v>
      </c>
      <c r="D1826" s="312" t="s">
        <v>252</v>
      </c>
      <c r="E1826" s="312" t="s">
        <v>167</v>
      </c>
      <c r="F1826" s="312">
        <v>1705</v>
      </c>
      <c r="G1826" s="312" t="s">
        <v>168</v>
      </c>
      <c r="H1826" s="312">
        <v>1707</v>
      </c>
      <c r="I1826" s="312" t="s">
        <v>167</v>
      </c>
      <c r="J1826" s="312">
        <v>1899</v>
      </c>
      <c r="K1826" s="312" t="s">
        <v>169</v>
      </c>
    </row>
    <row r="1827" spans="1:11">
      <c r="A1827" s="312" t="s">
        <v>3939</v>
      </c>
      <c r="B1827" s="312" t="s">
        <v>3940</v>
      </c>
      <c r="C1827" s="312" t="s">
        <v>105</v>
      </c>
      <c r="D1827" s="312" t="s">
        <v>117</v>
      </c>
      <c r="E1827" s="312" t="s">
        <v>107</v>
      </c>
      <c r="F1827" s="312">
        <v>1825</v>
      </c>
      <c r="G1827" s="312" t="s">
        <v>108</v>
      </c>
      <c r="H1827" s="312">
        <v>1827</v>
      </c>
      <c r="I1827" s="312" t="s">
        <v>107</v>
      </c>
      <c r="J1827" s="312">
        <v>1913</v>
      </c>
      <c r="K1827" s="312" t="s">
        <v>109</v>
      </c>
    </row>
    <row r="1828" spans="1:11">
      <c r="A1828" s="312" t="s">
        <v>3941</v>
      </c>
      <c r="B1828" s="312" t="s">
        <v>3942</v>
      </c>
      <c r="C1828" s="312" t="s">
        <v>105</v>
      </c>
      <c r="D1828" s="312" t="s">
        <v>483</v>
      </c>
      <c r="E1828" s="312" t="s">
        <v>107</v>
      </c>
      <c r="F1828" s="312">
        <v>1825</v>
      </c>
      <c r="G1828" s="312" t="s">
        <v>108</v>
      </c>
      <c r="H1828" s="312">
        <v>1827</v>
      </c>
      <c r="I1828" s="312" t="s">
        <v>107</v>
      </c>
      <c r="J1828" s="312">
        <v>1913</v>
      </c>
      <c r="K1828" s="312" t="s">
        <v>109</v>
      </c>
    </row>
    <row r="1829" spans="1:11">
      <c r="A1829" s="312" t="s">
        <v>3943</v>
      </c>
      <c r="B1829" s="312" t="s">
        <v>3944</v>
      </c>
      <c r="C1829" s="312" t="s">
        <v>105</v>
      </c>
      <c r="D1829" s="312" t="s">
        <v>114</v>
      </c>
      <c r="E1829" s="312" t="s">
        <v>107</v>
      </c>
      <c r="F1829" s="312">
        <v>1825</v>
      </c>
      <c r="G1829" s="312" t="s">
        <v>108</v>
      </c>
      <c r="H1829" s="312">
        <v>1827</v>
      </c>
      <c r="I1829" s="312" t="s">
        <v>107</v>
      </c>
      <c r="J1829" s="312">
        <v>1913</v>
      </c>
      <c r="K1829" s="312" t="s">
        <v>109</v>
      </c>
    </row>
    <row r="1830" spans="1:11">
      <c r="A1830" s="312" t="s">
        <v>3945</v>
      </c>
      <c r="B1830" s="312" t="s">
        <v>3946</v>
      </c>
      <c r="C1830" s="312" t="s">
        <v>105</v>
      </c>
      <c r="D1830" s="312" t="s">
        <v>184</v>
      </c>
      <c r="E1830" s="312" t="s">
        <v>107</v>
      </c>
      <c r="F1830" s="312">
        <v>1825</v>
      </c>
      <c r="G1830" s="312" t="s">
        <v>108</v>
      </c>
      <c r="H1830" s="312">
        <v>1827</v>
      </c>
      <c r="I1830" s="312" t="s">
        <v>107</v>
      </c>
      <c r="J1830" s="312">
        <v>1913</v>
      </c>
      <c r="K1830" s="312" t="s">
        <v>109</v>
      </c>
    </row>
    <row r="1831" spans="1:11">
      <c r="A1831" s="312" t="s">
        <v>3947</v>
      </c>
      <c r="B1831" s="312" t="s">
        <v>3948</v>
      </c>
      <c r="C1831" s="312" t="s">
        <v>105</v>
      </c>
      <c r="D1831" s="312" t="s">
        <v>106</v>
      </c>
      <c r="E1831" s="312" t="s">
        <v>107</v>
      </c>
      <c r="F1831" s="312">
        <v>1825</v>
      </c>
      <c r="G1831" s="312" t="s">
        <v>108</v>
      </c>
      <c r="H1831" s="312">
        <v>1827</v>
      </c>
      <c r="I1831" s="312" t="s">
        <v>107</v>
      </c>
      <c r="J1831" s="312">
        <v>1913</v>
      </c>
      <c r="K1831" s="312" t="s">
        <v>109</v>
      </c>
    </row>
    <row r="1832" spans="1:11">
      <c r="A1832" s="312" t="s">
        <v>3949</v>
      </c>
      <c r="B1832" s="312" t="s">
        <v>3950</v>
      </c>
      <c r="C1832" s="312" t="s">
        <v>105</v>
      </c>
      <c r="D1832" s="312" t="s">
        <v>114</v>
      </c>
      <c r="E1832" s="312" t="s">
        <v>107</v>
      </c>
      <c r="F1832" s="312">
        <v>1825</v>
      </c>
      <c r="G1832" s="312" t="s">
        <v>108</v>
      </c>
      <c r="H1832" s="312">
        <v>1827</v>
      </c>
      <c r="I1832" s="312" t="s">
        <v>107</v>
      </c>
      <c r="J1832" s="312">
        <v>1913</v>
      </c>
      <c r="K1832" s="312" t="s">
        <v>109</v>
      </c>
    </row>
    <row r="1833" spans="1:11">
      <c r="A1833" s="312" t="s">
        <v>3951</v>
      </c>
      <c r="B1833" s="312" t="s">
        <v>3952</v>
      </c>
      <c r="C1833" s="312" t="s">
        <v>105</v>
      </c>
      <c r="D1833" s="312" t="s">
        <v>114</v>
      </c>
      <c r="E1833" s="312" t="s">
        <v>107</v>
      </c>
      <c r="F1833" s="312">
        <v>1825</v>
      </c>
      <c r="G1833" s="312" t="s">
        <v>108</v>
      </c>
      <c r="H1833" s="312">
        <v>1827</v>
      </c>
      <c r="I1833" s="312" t="s">
        <v>107</v>
      </c>
      <c r="J1833" s="312">
        <v>1913</v>
      </c>
      <c r="K1833" s="312" t="s">
        <v>109</v>
      </c>
    </row>
    <row r="1834" spans="1:11">
      <c r="A1834" s="312" t="s">
        <v>3953</v>
      </c>
      <c r="B1834" s="312" t="s">
        <v>3954</v>
      </c>
      <c r="C1834" s="312" t="s">
        <v>105</v>
      </c>
      <c r="D1834" s="312" t="s">
        <v>114</v>
      </c>
      <c r="E1834" s="312" t="s">
        <v>107</v>
      </c>
      <c r="F1834" s="312">
        <v>1825</v>
      </c>
      <c r="G1834" s="312" t="s">
        <v>108</v>
      </c>
      <c r="H1834" s="312">
        <v>1827</v>
      </c>
      <c r="I1834" s="312" t="s">
        <v>107</v>
      </c>
      <c r="J1834" s="312">
        <v>1913</v>
      </c>
      <c r="K1834" s="312" t="s">
        <v>109</v>
      </c>
    </row>
    <row r="1835" spans="1:11">
      <c r="A1835" s="312" t="s">
        <v>3955</v>
      </c>
      <c r="B1835" s="312" t="s">
        <v>3956</v>
      </c>
      <c r="C1835" s="312" t="s">
        <v>105</v>
      </c>
      <c r="D1835" s="312" t="s">
        <v>106</v>
      </c>
      <c r="E1835" s="312" t="s">
        <v>107</v>
      </c>
      <c r="F1835" s="312">
        <v>1825</v>
      </c>
      <c r="G1835" s="312" t="s">
        <v>108</v>
      </c>
      <c r="H1835" s="312">
        <v>1827</v>
      </c>
      <c r="I1835" s="312" t="s">
        <v>107</v>
      </c>
      <c r="J1835" s="312">
        <v>1913</v>
      </c>
      <c r="K1835" s="312" t="s">
        <v>109</v>
      </c>
    </row>
    <row r="1836" spans="1:11">
      <c r="A1836" s="312" t="s">
        <v>3957</v>
      </c>
      <c r="B1836" s="312" t="s">
        <v>3958</v>
      </c>
      <c r="C1836" s="312" t="s">
        <v>105</v>
      </c>
      <c r="D1836" s="312" t="s">
        <v>769</v>
      </c>
      <c r="E1836" s="312" t="s">
        <v>107</v>
      </c>
      <c r="F1836" s="312">
        <v>1825</v>
      </c>
      <c r="G1836" s="312" t="s">
        <v>108</v>
      </c>
      <c r="H1836" s="312">
        <v>1827</v>
      </c>
      <c r="I1836" s="312" t="s">
        <v>107</v>
      </c>
      <c r="J1836" s="312">
        <v>1913</v>
      </c>
      <c r="K1836" s="312" t="s">
        <v>109</v>
      </c>
    </row>
    <row r="1837" spans="1:11">
      <c r="A1837" s="312" t="s">
        <v>3959</v>
      </c>
      <c r="B1837" s="312" t="s">
        <v>3960</v>
      </c>
      <c r="C1837" s="312" t="s">
        <v>105</v>
      </c>
      <c r="D1837" s="312" t="s">
        <v>327</v>
      </c>
      <c r="E1837" s="312" t="s">
        <v>167</v>
      </c>
      <c r="F1837" s="312">
        <v>1705</v>
      </c>
      <c r="G1837" s="312" t="s">
        <v>168</v>
      </c>
      <c r="H1837" s="312">
        <v>1707</v>
      </c>
      <c r="I1837" s="312" t="s">
        <v>167</v>
      </c>
      <c r="J1837" s="312">
        <v>1899</v>
      </c>
      <c r="K1837" s="312" t="s">
        <v>169</v>
      </c>
    </row>
    <row r="1838" spans="1:11">
      <c r="A1838" s="312" t="s">
        <v>3961</v>
      </c>
      <c r="B1838" s="312" t="s">
        <v>3962</v>
      </c>
      <c r="C1838" s="312" t="s">
        <v>105</v>
      </c>
      <c r="D1838" s="312" t="s">
        <v>404</v>
      </c>
      <c r="E1838" s="312" t="s">
        <v>107</v>
      </c>
      <c r="F1838" s="312">
        <v>1825</v>
      </c>
      <c r="G1838" s="312" t="s">
        <v>108</v>
      </c>
      <c r="H1838" s="312">
        <v>1827</v>
      </c>
      <c r="I1838" s="312" t="s">
        <v>107</v>
      </c>
      <c r="J1838" s="312">
        <v>1913</v>
      </c>
      <c r="K1838" s="312" t="s">
        <v>109</v>
      </c>
    </row>
    <row r="1839" spans="1:11">
      <c r="A1839" s="312" t="s">
        <v>3963</v>
      </c>
      <c r="B1839" s="312" t="s">
        <v>3964</v>
      </c>
      <c r="C1839" s="312" t="s">
        <v>105</v>
      </c>
      <c r="D1839" s="312" t="s">
        <v>114</v>
      </c>
      <c r="E1839" s="312" t="s">
        <v>107</v>
      </c>
      <c r="F1839" s="312">
        <v>1825</v>
      </c>
      <c r="G1839" s="312" t="s">
        <v>108</v>
      </c>
      <c r="H1839" s="312">
        <v>1827</v>
      </c>
      <c r="I1839" s="312" t="s">
        <v>107</v>
      </c>
      <c r="J1839" s="312">
        <v>1913</v>
      </c>
      <c r="K1839" s="312" t="s">
        <v>109</v>
      </c>
    </row>
    <row r="1840" spans="1:11">
      <c r="A1840" s="312" t="s">
        <v>3965</v>
      </c>
      <c r="B1840" s="312" t="s">
        <v>3966</v>
      </c>
      <c r="C1840" s="312" t="s">
        <v>105</v>
      </c>
      <c r="D1840" s="312" t="s">
        <v>114</v>
      </c>
      <c r="E1840" s="312" t="s">
        <v>107</v>
      </c>
      <c r="F1840" s="312">
        <v>1825</v>
      </c>
      <c r="G1840" s="312" t="s">
        <v>108</v>
      </c>
      <c r="H1840" s="312">
        <v>1827</v>
      </c>
      <c r="I1840" s="312" t="s">
        <v>107</v>
      </c>
      <c r="J1840" s="312">
        <v>1913</v>
      </c>
      <c r="K1840" s="312" t="s">
        <v>109</v>
      </c>
    </row>
    <row r="1841" spans="1:11">
      <c r="A1841" s="312" t="s">
        <v>3967</v>
      </c>
      <c r="B1841" s="312" t="s">
        <v>3968</v>
      </c>
      <c r="C1841" s="312" t="s">
        <v>105</v>
      </c>
      <c r="D1841" s="312" t="s">
        <v>114</v>
      </c>
      <c r="E1841" s="312" t="s">
        <v>107</v>
      </c>
      <c r="F1841" s="312">
        <v>1825</v>
      </c>
      <c r="G1841" s="312" t="s">
        <v>108</v>
      </c>
      <c r="H1841" s="312">
        <v>1827</v>
      </c>
      <c r="I1841" s="312" t="s">
        <v>107</v>
      </c>
      <c r="J1841" s="312">
        <v>1913</v>
      </c>
      <c r="K1841" s="312" t="s">
        <v>109</v>
      </c>
    </row>
    <row r="1842" spans="1:11">
      <c r="A1842" s="312" t="s">
        <v>3969</v>
      </c>
      <c r="B1842" s="312" t="s">
        <v>3970</v>
      </c>
      <c r="C1842" s="312" t="s">
        <v>105</v>
      </c>
      <c r="D1842" s="312" t="s">
        <v>114</v>
      </c>
      <c r="E1842" s="312" t="s">
        <v>107</v>
      </c>
      <c r="F1842" s="312">
        <v>1825</v>
      </c>
      <c r="G1842" s="312" t="s">
        <v>108</v>
      </c>
      <c r="H1842" s="312">
        <v>1827</v>
      </c>
      <c r="I1842" s="312" t="s">
        <v>107</v>
      </c>
      <c r="J1842" s="312">
        <v>1913</v>
      </c>
      <c r="K1842" s="312" t="s">
        <v>109</v>
      </c>
    </row>
    <row r="1843" spans="1:11">
      <c r="A1843" s="312" t="s">
        <v>3971</v>
      </c>
      <c r="B1843" s="312" t="s">
        <v>3972</v>
      </c>
      <c r="C1843" s="312" t="s">
        <v>105</v>
      </c>
      <c r="D1843" s="312" t="s">
        <v>114</v>
      </c>
      <c r="E1843" s="312" t="s">
        <v>107</v>
      </c>
      <c r="F1843" s="312">
        <v>1825</v>
      </c>
      <c r="G1843" s="312" t="s">
        <v>108</v>
      </c>
      <c r="H1843" s="312">
        <v>1827</v>
      </c>
      <c r="I1843" s="312" t="s">
        <v>107</v>
      </c>
      <c r="J1843" s="312">
        <v>1913</v>
      </c>
      <c r="K1843" s="312" t="s">
        <v>109</v>
      </c>
    </row>
    <row r="1844" spans="1:11">
      <c r="A1844" s="312" t="s">
        <v>3973</v>
      </c>
      <c r="B1844" s="312" t="s">
        <v>3974</v>
      </c>
      <c r="C1844" s="312" t="s">
        <v>105</v>
      </c>
      <c r="D1844" s="312" t="s">
        <v>114</v>
      </c>
      <c r="E1844" s="312" t="s">
        <v>107</v>
      </c>
      <c r="F1844" s="312">
        <v>1825</v>
      </c>
      <c r="G1844" s="312" t="s">
        <v>108</v>
      </c>
      <c r="H1844" s="312">
        <v>1827</v>
      </c>
      <c r="I1844" s="312" t="s">
        <v>107</v>
      </c>
      <c r="J1844" s="312">
        <v>1913</v>
      </c>
      <c r="K1844" s="312" t="s">
        <v>109</v>
      </c>
    </row>
    <row r="1845" spans="1:11">
      <c r="A1845" s="312" t="s">
        <v>3975</v>
      </c>
      <c r="B1845" s="312" t="s">
        <v>3976</v>
      </c>
      <c r="C1845" s="312" t="s">
        <v>105</v>
      </c>
      <c r="D1845" s="312" t="s">
        <v>252</v>
      </c>
      <c r="E1845" s="312" t="s">
        <v>167</v>
      </c>
      <c r="F1845" s="312">
        <v>1705</v>
      </c>
      <c r="G1845" s="312" t="s">
        <v>168</v>
      </c>
      <c r="H1845" s="312">
        <v>1707</v>
      </c>
      <c r="I1845" s="312" t="s">
        <v>167</v>
      </c>
      <c r="J1845" s="312">
        <v>1899</v>
      </c>
      <c r="K1845" s="312" t="s">
        <v>169</v>
      </c>
    </row>
    <row r="1846" spans="1:11">
      <c r="A1846" s="312" t="s">
        <v>3977</v>
      </c>
      <c r="B1846" s="312" t="s">
        <v>3978</v>
      </c>
      <c r="C1846" s="312" t="s">
        <v>105</v>
      </c>
      <c r="D1846" s="312" t="s">
        <v>891</v>
      </c>
      <c r="E1846" s="312" t="s">
        <v>466</v>
      </c>
      <c r="F1846" s="312">
        <v>1796</v>
      </c>
      <c r="G1846" s="312" t="s">
        <v>467</v>
      </c>
      <c r="H1846" s="312">
        <v>1799</v>
      </c>
      <c r="I1846" s="312" t="s">
        <v>466</v>
      </c>
      <c r="J1846" s="312">
        <v>1918</v>
      </c>
      <c r="K1846" s="312" t="s">
        <v>468</v>
      </c>
    </row>
    <row r="1847" spans="1:11">
      <c r="A1847" s="312" t="s">
        <v>3979</v>
      </c>
      <c r="B1847" s="312" t="s">
        <v>3980</v>
      </c>
      <c r="C1847" s="312" t="s">
        <v>105</v>
      </c>
      <c r="D1847" s="312" t="s">
        <v>891</v>
      </c>
      <c r="E1847" s="312" t="s">
        <v>466</v>
      </c>
      <c r="F1847" s="312">
        <v>1796</v>
      </c>
      <c r="G1847" s="312" t="s">
        <v>467</v>
      </c>
      <c r="H1847" s="312">
        <v>1799</v>
      </c>
      <c r="I1847" s="312" t="s">
        <v>466</v>
      </c>
      <c r="J1847" s="312">
        <v>1918</v>
      </c>
      <c r="K1847" s="312" t="s">
        <v>468</v>
      </c>
    </row>
    <row r="1848" spans="1:11">
      <c r="A1848" s="312" t="s">
        <v>3981</v>
      </c>
      <c r="B1848" s="312" t="s">
        <v>3982</v>
      </c>
      <c r="C1848" s="312" t="s">
        <v>105</v>
      </c>
      <c r="D1848" s="312" t="s">
        <v>891</v>
      </c>
      <c r="E1848" s="312" t="s">
        <v>466</v>
      </c>
      <c r="F1848" s="312">
        <v>1796</v>
      </c>
      <c r="G1848" s="312" t="s">
        <v>467</v>
      </c>
      <c r="H1848" s="312">
        <v>1799</v>
      </c>
      <c r="I1848" s="312" t="s">
        <v>466</v>
      </c>
      <c r="J1848" s="312">
        <v>1918</v>
      </c>
      <c r="K1848" s="312" t="s">
        <v>468</v>
      </c>
    </row>
    <row r="1849" spans="1:11">
      <c r="A1849" s="312" t="s">
        <v>3983</v>
      </c>
      <c r="B1849" s="312" t="s">
        <v>3984</v>
      </c>
      <c r="C1849" s="312" t="s">
        <v>105</v>
      </c>
      <c r="D1849" s="312" t="s">
        <v>3985</v>
      </c>
      <c r="E1849" s="312" t="s">
        <v>167</v>
      </c>
      <c r="F1849" s="312">
        <v>1705</v>
      </c>
      <c r="G1849" s="312" t="s">
        <v>168</v>
      </c>
      <c r="H1849" s="312">
        <v>1707</v>
      </c>
      <c r="I1849" s="312" t="s">
        <v>167</v>
      </c>
      <c r="J1849" s="312">
        <v>1899</v>
      </c>
      <c r="K1849" s="312" t="s">
        <v>169</v>
      </c>
    </row>
    <row r="1850" spans="1:11">
      <c r="A1850" s="312" t="s">
        <v>3986</v>
      </c>
      <c r="B1850" s="312" t="s">
        <v>3987</v>
      </c>
      <c r="C1850" s="312" t="s">
        <v>105</v>
      </c>
      <c r="D1850" s="312" t="s">
        <v>3985</v>
      </c>
      <c r="E1850" s="312" t="s">
        <v>167</v>
      </c>
      <c r="F1850" s="312">
        <v>1705</v>
      </c>
      <c r="G1850" s="312" t="s">
        <v>168</v>
      </c>
      <c r="H1850" s="312">
        <v>1707</v>
      </c>
      <c r="I1850" s="312" t="s">
        <v>167</v>
      </c>
      <c r="J1850" s="312">
        <v>1899</v>
      </c>
      <c r="K1850" s="312" t="s">
        <v>169</v>
      </c>
    </row>
    <row r="1851" spans="1:11">
      <c r="A1851" s="312" t="s">
        <v>3988</v>
      </c>
      <c r="B1851" s="312" t="s">
        <v>3989</v>
      </c>
      <c r="C1851" s="312" t="s">
        <v>105</v>
      </c>
      <c r="D1851" s="312" t="s">
        <v>3985</v>
      </c>
      <c r="E1851" s="312" t="s">
        <v>167</v>
      </c>
      <c r="F1851" s="312">
        <v>1705</v>
      </c>
      <c r="G1851" s="312" t="s">
        <v>168</v>
      </c>
      <c r="H1851" s="312">
        <v>1707</v>
      </c>
      <c r="I1851" s="312" t="s">
        <v>167</v>
      </c>
      <c r="J1851" s="312">
        <v>1899</v>
      </c>
      <c r="K1851" s="312" t="s">
        <v>169</v>
      </c>
    </row>
    <row r="1852" spans="1:11">
      <c r="A1852" s="312" t="s">
        <v>3990</v>
      </c>
      <c r="B1852" s="312" t="s">
        <v>3991</v>
      </c>
      <c r="C1852" s="312" t="s">
        <v>105</v>
      </c>
      <c r="D1852" s="312" t="s">
        <v>3985</v>
      </c>
      <c r="E1852" s="312" t="s">
        <v>167</v>
      </c>
      <c r="F1852" s="312">
        <v>1705</v>
      </c>
      <c r="G1852" s="312" t="s">
        <v>168</v>
      </c>
      <c r="H1852" s="312">
        <v>1707</v>
      </c>
      <c r="I1852" s="312" t="s">
        <v>167</v>
      </c>
      <c r="J1852" s="312">
        <v>1899</v>
      </c>
      <c r="K1852" s="312" t="s">
        <v>169</v>
      </c>
    </row>
    <row r="1853" spans="1:11">
      <c r="A1853" s="312" t="s">
        <v>3992</v>
      </c>
      <c r="B1853" s="312" t="s">
        <v>3993</v>
      </c>
      <c r="C1853" s="312" t="s">
        <v>105</v>
      </c>
      <c r="D1853" s="312" t="s">
        <v>3985</v>
      </c>
      <c r="E1853" s="312" t="s">
        <v>167</v>
      </c>
      <c r="F1853" s="312">
        <v>1705</v>
      </c>
      <c r="G1853" s="312" t="s">
        <v>168</v>
      </c>
      <c r="H1853" s="312">
        <v>1707</v>
      </c>
      <c r="I1853" s="312" t="s">
        <v>167</v>
      </c>
      <c r="J1853" s="312">
        <v>1899</v>
      </c>
      <c r="K1853" s="312" t="s">
        <v>169</v>
      </c>
    </row>
    <row r="1854" spans="1:11">
      <c r="A1854" s="312" t="s">
        <v>3994</v>
      </c>
      <c r="B1854" s="312" t="s">
        <v>3995</v>
      </c>
      <c r="C1854" s="312" t="s">
        <v>105</v>
      </c>
      <c r="D1854" s="312" t="s">
        <v>3985</v>
      </c>
      <c r="E1854" s="312" t="s">
        <v>167</v>
      </c>
      <c r="F1854" s="312">
        <v>1705</v>
      </c>
      <c r="G1854" s="312" t="s">
        <v>168</v>
      </c>
      <c r="H1854" s="312">
        <v>1707</v>
      </c>
      <c r="I1854" s="312" t="s">
        <v>167</v>
      </c>
      <c r="J1854" s="312">
        <v>1899</v>
      </c>
      <c r="K1854" s="312" t="s">
        <v>169</v>
      </c>
    </row>
    <row r="1855" spans="1:11">
      <c r="A1855" s="312" t="s">
        <v>3996</v>
      </c>
      <c r="B1855" s="312" t="s">
        <v>3997</v>
      </c>
      <c r="C1855" s="312" t="s">
        <v>105</v>
      </c>
      <c r="D1855" s="312" t="s">
        <v>891</v>
      </c>
      <c r="E1855" s="312" t="s">
        <v>466</v>
      </c>
      <c r="F1855" s="312">
        <v>1796</v>
      </c>
      <c r="G1855" s="312" t="s">
        <v>467</v>
      </c>
      <c r="H1855" s="312">
        <v>1799</v>
      </c>
      <c r="I1855" s="312" t="s">
        <v>466</v>
      </c>
      <c r="J1855" s="312">
        <v>1918</v>
      </c>
      <c r="K1855" s="312" t="s">
        <v>468</v>
      </c>
    </row>
    <row r="1856" spans="1:11">
      <c r="A1856" s="312" t="s">
        <v>3998</v>
      </c>
      <c r="B1856" s="312" t="s">
        <v>3999</v>
      </c>
      <c r="C1856" s="312" t="s">
        <v>105</v>
      </c>
      <c r="D1856" s="312" t="s">
        <v>891</v>
      </c>
      <c r="E1856" s="312" t="s">
        <v>466</v>
      </c>
      <c r="F1856" s="312">
        <v>1796</v>
      </c>
      <c r="G1856" s="312" t="s">
        <v>467</v>
      </c>
      <c r="H1856" s="312">
        <v>1799</v>
      </c>
      <c r="I1856" s="312" t="s">
        <v>466</v>
      </c>
      <c r="J1856" s="312">
        <v>1918</v>
      </c>
      <c r="K1856" s="312" t="s">
        <v>468</v>
      </c>
    </row>
    <row r="1857" spans="1:11">
      <c r="A1857" s="312" t="s">
        <v>4000</v>
      </c>
      <c r="B1857" s="312" t="s">
        <v>4001</v>
      </c>
      <c r="C1857" s="312" t="s">
        <v>105</v>
      </c>
      <c r="D1857" s="312" t="s">
        <v>891</v>
      </c>
      <c r="E1857" s="312" t="s">
        <v>466</v>
      </c>
      <c r="F1857" s="312">
        <v>1796</v>
      </c>
      <c r="G1857" s="312" t="s">
        <v>467</v>
      </c>
      <c r="H1857" s="312">
        <v>1799</v>
      </c>
      <c r="I1857" s="312" t="s">
        <v>466</v>
      </c>
      <c r="J1857" s="312">
        <v>1918</v>
      </c>
      <c r="K1857" s="312" t="s">
        <v>468</v>
      </c>
    </row>
    <row r="1858" spans="1:11">
      <c r="A1858" s="312" t="s">
        <v>4002</v>
      </c>
      <c r="B1858" s="312" t="s">
        <v>4003</v>
      </c>
      <c r="C1858" s="312" t="s">
        <v>105</v>
      </c>
      <c r="D1858" s="312" t="s">
        <v>891</v>
      </c>
      <c r="E1858" s="312" t="s">
        <v>466</v>
      </c>
      <c r="F1858" s="312">
        <v>1796</v>
      </c>
      <c r="G1858" s="312" t="s">
        <v>467</v>
      </c>
      <c r="H1858" s="312">
        <v>1799</v>
      </c>
      <c r="I1858" s="312" t="s">
        <v>466</v>
      </c>
      <c r="J1858" s="312">
        <v>1918</v>
      </c>
      <c r="K1858" s="312" t="s">
        <v>468</v>
      </c>
    </row>
    <row r="1859" spans="1:11">
      <c r="A1859" s="312" t="s">
        <v>4004</v>
      </c>
      <c r="B1859" s="312" t="s">
        <v>4005</v>
      </c>
      <c r="C1859" s="312" t="s">
        <v>105</v>
      </c>
      <c r="D1859" s="312" t="s">
        <v>891</v>
      </c>
      <c r="E1859" s="312" t="s">
        <v>466</v>
      </c>
      <c r="F1859" s="312">
        <v>1796</v>
      </c>
      <c r="G1859" s="312" t="s">
        <v>467</v>
      </c>
      <c r="H1859" s="312">
        <v>1799</v>
      </c>
      <c r="I1859" s="312" t="s">
        <v>466</v>
      </c>
      <c r="J1859" s="312">
        <v>1918</v>
      </c>
      <c r="K1859" s="312" t="s">
        <v>468</v>
      </c>
    </row>
    <row r="1860" spans="1:11">
      <c r="A1860" s="312" t="s">
        <v>4006</v>
      </c>
      <c r="B1860" s="312" t="s">
        <v>4007</v>
      </c>
      <c r="C1860" s="312" t="s">
        <v>105</v>
      </c>
      <c r="D1860" s="312" t="s">
        <v>891</v>
      </c>
      <c r="E1860" s="312" t="s">
        <v>466</v>
      </c>
      <c r="F1860" s="312">
        <v>1796</v>
      </c>
      <c r="G1860" s="312" t="s">
        <v>467</v>
      </c>
      <c r="H1860" s="312">
        <v>1799</v>
      </c>
      <c r="I1860" s="312" t="s">
        <v>466</v>
      </c>
      <c r="J1860" s="312">
        <v>1918</v>
      </c>
      <c r="K1860" s="312" t="s">
        <v>468</v>
      </c>
    </row>
    <row r="1861" spans="1:11">
      <c r="A1861" s="312" t="s">
        <v>4008</v>
      </c>
      <c r="B1861" s="312" t="s">
        <v>4009</v>
      </c>
      <c r="C1861" s="312" t="s">
        <v>105</v>
      </c>
      <c r="D1861" s="312" t="s">
        <v>1166</v>
      </c>
      <c r="E1861" s="312" t="s">
        <v>466</v>
      </c>
      <c r="F1861" s="312">
        <v>1796</v>
      </c>
      <c r="G1861" s="312" t="s">
        <v>467</v>
      </c>
      <c r="H1861" s="312">
        <v>1799</v>
      </c>
      <c r="I1861" s="312" t="s">
        <v>466</v>
      </c>
      <c r="J1861" s="312">
        <v>1918</v>
      </c>
      <c r="K1861" s="312" t="s">
        <v>468</v>
      </c>
    </row>
    <row r="1862" spans="1:11">
      <c r="A1862" s="312" t="s">
        <v>4010</v>
      </c>
      <c r="B1862" s="312" t="s">
        <v>4011</v>
      </c>
      <c r="C1862" s="312" t="s">
        <v>105</v>
      </c>
      <c r="D1862" s="312" t="s">
        <v>1166</v>
      </c>
      <c r="E1862" s="312" t="s">
        <v>466</v>
      </c>
      <c r="F1862" s="312">
        <v>1796</v>
      </c>
      <c r="G1862" s="312" t="s">
        <v>467</v>
      </c>
      <c r="H1862" s="312">
        <v>1799</v>
      </c>
      <c r="I1862" s="312" t="s">
        <v>466</v>
      </c>
      <c r="J1862" s="312">
        <v>1918</v>
      </c>
      <c r="K1862" s="312" t="s">
        <v>468</v>
      </c>
    </row>
    <row r="1863" spans="1:11">
      <c r="A1863" s="312" t="s">
        <v>4012</v>
      </c>
      <c r="B1863" s="312" t="s">
        <v>4013</v>
      </c>
      <c r="C1863" s="312" t="s">
        <v>105</v>
      </c>
      <c r="D1863" s="312" t="s">
        <v>1307</v>
      </c>
      <c r="E1863" s="312" t="s">
        <v>466</v>
      </c>
      <c r="F1863" s="312">
        <v>1796</v>
      </c>
      <c r="G1863" s="312" t="s">
        <v>467</v>
      </c>
      <c r="H1863" s="312">
        <v>1799</v>
      </c>
      <c r="I1863" s="312" t="s">
        <v>466</v>
      </c>
      <c r="J1863" s="312">
        <v>1918</v>
      </c>
      <c r="K1863" s="312" t="s">
        <v>468</v>
      </c>
    </row>
    <row r="1864" spans="1:11">
      <c r="A1864" s="312" t="s">
        <v>4014</v>
      </c>
      <c r="B1864" s="312" t="s">
        <v>4015</v>
      </c>
      <c r="C1864" s="312" t="s">
        <v>105</v>
      </c>
      <c r="D1864" s="312" t="s">
        <v>1166</v>
      </c>
      <c r="E1864" s="312" t="s">
        <v>466</v>
      </c>
      <c r="F1864" s="312">
        <v>1796</v>
      </c>
      <c r="G1864" s="312" t="s">
        <v>467</v>
      </c>
      <c r="H1864" s="312">
        <v>1799</v>
      </c>
      <c r="I1864" s="312" t="s">
        <v>466</v>
      </c>
      <c r="J1864" s="312">
        <v>1918</v>
      </c>
      <c r="K1864" s="312" t="s">
        <v>468</v>
      </c>
    </row>
    <row r="1865" spans="1:11">
      <c r="A1865" s="312" t="s">
        <v>4016</v>
      </c>
      <c r="B1865" s="312" t="s">
        <v>4017</v>
      </c>
      <c r="C1865" s="312" t="s">
        <v>105</v>
      </c>
      <c r="D1865" s="312" t="s">
        <v>1166</v>
      </c>
      <c r="E1865" s="312" t="s">
        <v>466</v>
      </c>
      <c r="F1865" s="312">
        <v>1796</v>
      </c>
      <c r="G1865" s="312" t="s">
        <v>467</v>
      </c>
      <c r="H1865" s="312">
        <v>1799</v>
      </c>
      <c r="I1865" s="312" t="s">
        <v>466</v>
      </c>
      <c r="J1865" s="312">
        <v>1918</v>
      </c>
      <c r="K1865" s="312" t="s">
        <v>468</v>
      </c>
    </row>
    <row r="1866" spans="1:11">
      <c r="A1866" s="312" t="s">
        <v>4018</v>
      </c>
      <c r="B1866" s="312" t="s">
        <v>4019</v>
      </c>
      <c r="C1866" s="312" t="s">
        <v>105</v>
      </c>
      <c r="D1866" s="312" t="s">
        <v>1166</v>
      </c>
      <c r="E1866" s="312" t="s">
        <v>466</v>
      </c>
      <c r="F1866" s="312">
        <v>1796</v>
      </c>
      <c r="G1866" s="312" t="s">
        <v>467</v>
      </c>
      <c r="H1866" s="312">
        <v>1799</v>
      </c>
      <c r="I1866" s="312" t="s">
        <v>466</v>
      </c>
      <c r="J1866" s="312">
        <v>1918</v>
      </c>
      <c r="K1866" s="312" t="s">
        <v>468</v>
      </c>
    </row>
    <row r="1867" spans="1:11">
      <c r="A1867" s="312" t="s">
        <v>4020</v>
      </c>
      <c r="B1867" s="312" t="s">
        <v>4021</v>
      </c>
      <c r="C1867" s="312" t="s">
        <v>105</v>
      </c>
      <c r="D1867" s="312" t="s">
        <v>252</v>
      </c>
      <c r="E1867" s="312" t="s">
        <v>167</v>
      </c>
      <c r="F1867" s="312">
        <v>1705</v>
      </c>
      <c r="G1867" s="312" t="s">
        <v>168</v>
      </c>
      <c r="H1867" s="312">
        <v>1707</v>
      </c>
      <c r="I1867" s="312" t="s">
        <v>167</v>
      </c>
      <c r="J1867" s="312">
        <v>1899</v>
      </c>
      <c r="K1867" s="312" t="s">
        <v>169</v>
      </c>
    </row>
    <row r="1868" spans="1:11">
      <c r="A1868" s="312" t="s">
        <v>4022</v>
      </c>
      <c r="B1868" s="312" t="s">
        <v>4023</v>
      </c>
      <c r="C1868" s="312" t="s">
        <v>105</v>
      </c>
      <c r="D1868" s="312" t="s">
        <v>891</v>
      </c>
      <c r="E1868" s="312" t="s">
        <v>466</v>
      </c>
      <c r="F1868" s="312">
        <v>1796</v>
      </c>
      <c r="G1868" s="312" t="s">
        <v>467</v>
      </c>
      <c r="H1868" s="312">
        <v>1799</v>
      </c>
      <c r="I1868" s="312" t="s">
        <v>466</v>
      </c>
      <c r="J1868" s="312">
        <v>1918</v>
      </c>
      <c r="K1868" s="312" t="s">
        <v>468</v>
      </c>
    </row>
    <row r="1869" spans="1:11">
      <c r="A1869" s="312" t="s">
        <v>4024</v>
      </c>
      <c r="B1869" s="312" t="s">
        <v>4025</v>
      </c>
      <c r="C1869" s="312" t="s">
        <v>105</v>
      </c>
      <c r="D1869" s="312" t="s">
        <v>891</v>
      </c>
      <c r="E1869" s="312" t="s">
        <v>466</v>
      </c>
      <c r="F1869" s="312">
        <v>1796</v>
      </c>
      <c r="G1869" s="312" t="s">
        <v>467</v>
      </c>
      <c r="H1869" s="312">
        <v>1799</v>
      </c>
      <c r="I1869" s="312" t="s">
        <v>466</v>
      </c>
      <c r="J1869" s="312">
        <v>1918</v>
      </c>
      <c r="K1869" s="312" t="s">
        <v>468</v>
      </c>
    </row>
    <row r="1870" spans="1:11">
      <c r="A1870" s="312" t="s">
        <v>4026</v>
      </c>
      <c r="B1870" s="312" t="s">
        <v>4027</v>
      </c>
      <c r="C1870" s="312" t="s">
        <v>105</v>
      </c>
      <c r="D1870" s="312" t="s">
        <v>891</v>
      </c>
      <c r="E1870" s="312" t="s">
        <v>466</v>
      </c>
      <c r="F1870" s="312">
        <v>1796</v>
      </c>
      <c r="G1870" s="312" t="s">
        <v>467</v>
      </c>
      <c r="H1870" s="312">
        <v>1799</v>
      </c>
      <c r="I1870" s="312" t="s">
        <v>466</v>
      </c>
      <c r="J1870" s="312">
        <v>1918</v>
      </c>
      <c r="K1870" s="312" t="s">
        <v>468</v>
      </c>
    </row>
    <row r="1871" spans="1:11">
      <c r="A1871" s="312" t="s">
        <v>4028</v>
      </c>
      <c r="B1871" s="312" t="s">
        <v>4029</v>
      </c>
      <c r="C1871" s="312" t="s">
        <v>105</v>
      </c>
      <c r="D1871" s="312" t="s">
        <v>891</v>
      </c>
      <c r="E1871" s="312" t="s">
        <v>466</v>
      </c>
      <c r="F1871" s="312">
        <v>1796</v>
      </c>
      <c r="G1871" s="312" t="s">
        <v>467</v>
      </c>
      <c r="H1871" s="312">
        <v>1799</v>
      </c>
      <c r="I1871" s="312" t="s">
        <v>466</v>
      </c>
      <c r="J1871" s="312">
        <v>1918</v>
      </c>
      <c r="K1871" s="312" t="s">
        <v>468</v>
      </c>
    </row>
    <row r="1872" spans="1:11">
      <c r="A1872" s="312" t="s">
        <v>4030</v>
      </c>
      <c r="B1872" s="312" t="s">
        <v>4031</v>
      </c>
      <c r="C1872" s="312" t="s">
        <v>105</v>
      </c>
      <c r="D1872" s="312" t="s">
        <v>891</v>
      </c>
      <c r="E1872" s="312" t="s">
        <v>466</v>
      </c>
      <c r="F1872" s="312">
        <v>1796</v>
      </c>
      <c r="G1872" s="312" t="s">
        <v>467</v>
      </c>
      <c r="H1872" s="312">
        <v>1799</v>
      </c>
      <c r="I1872" s="312" t="s">
        <v>466</v>
      </c>
      <c r="J1872" s="312">
        <v>1918</v>
      </c>
      <c r="K1872" s="312" t="s">
        <v>468</v>
      </c>
    </row>
    <row r="1873" spans="1:11">
      <c r="A1873" s="312" t="s">
        <v>4032</v>
      </c>
      <c r="B1873" s="312" t="s">
        <v>4033</v>
      </c>
      <c r="C1873" s="312" t="s">
        <v>105</v>
      </c>
      <c r="D1873" s="312" t="s">
        <v>1307</v>
      </c>
      <c r="E1873" s="312" t="s">
        <v>167</v>
      </c>
      <c r="F1873" s="312">
        <v>1705</v>
      </c>
      <c r="G1873" s="312" t="s">
        <v>168</v>
      </c>
      <c r="H1873" s="312">
        <v>1707</v>
      </c>
      <c r="I1873" s="312" t="s">
        <v>167</v>
      </c>
      <c r="J1873" s="312">
        <v>1899</v>
      </c>
      <c r="K1873" s="312" t="s">
        <v>169</v>
      </c>
    </row>
    <row r="1874" spans="1:11">
      <c r="A1874" s="312" t="s">
        <v>4034</v>
      </c>
      <c r="B1874" s="1" t="s">
        <v>4035</v>
      </c>
      <c r="C1874" s="312" t="s">
        <v>105</v>
      </c>
      <c r="D1874" s="312" t="s">
        <v>3985</v>
      </c>
      <c r="E1874" s="312" t="s">
        <v>167</v>
      </c>
      <c r="F1874" s="312">
        <v>1705</v>
      </c>
      <c r="G1874" s="312" t="s">
        <v>168</v>
      </c>
      <c r="H1874" s="312">
        <v>1707</v>
      </c>
      <c r="I1874" s="312" t="s">
        <v>167</v>
      </c>
      <c r="J1874" s="312">
        <v>1899</v>
      </c>
      <c r="K1874" s="312" t="s">
        <v>169</v>
      </c>
    </row>
    <row r="1875" spans="1:11">
      <c r="A1875" s="312" t="s">
        <v>4036</v>
      </c>
      <c r="B1875" s="312" t="s">
        <v>4037</v>
      </c>
      <c r="C1875" s="312" t="s">
        <v>105</v>
      </c>
      <c r="D1875" s="312" t="s">
        <v>3985</v>
      </c>
      <c r="E1875" s="312" t="s">
        <v>167</v>
      </c>
      <c r="F1875" s="312">
        <v>1705</v>
      </c>
      <c r="G1875" s="312" t="s">
        <v>168</v>
      </c>
      <c r="H1875" s="312">
        <v>1707</v>
      </c>
      <c r="I1875" s="312" t="s">
        <v>167</v>
      </c>
      <c r="J1875" s="312">
        <v>1899</v>
      </c>
      <c r="K1875" s="312" t="s">
        <v>169</v>
      </c>
    </row>
    <row r="1876" spans="1:11">
      <c r="A1876" s="312" t="s">
        <v>4038</v>
      </c>
      <c r="B1876" s="312" t="s">
        <v>4039</v>
      </c>
      <c r="C1876" s="312" t="s">
        <v>105</v>
      </c>
      <c r="D1876" s="312" t="s">
        <v>3985</v>
      </c>
      <c r="E1876" s="312" t="s">
        <v>167</v>
      </c>
      <c r="F1876" s="312">
        <v>1705</v>
      </c>
      <c r="G1876" s="312" t="s">
        <v>168</v>
      </c>
      <c r="H1876" s="312">
        <v>1707</v>
      </c>
      <c r="I1876" s="312" t="s">
        <v>167</v>
      </c>
      <c r="J1876" s="312">
        <v>1899</v>
      </c>
      <c r="K1876" s="312" t="s">
        <v>169</v>
      </c>
    </row>
    <row r="1877" spans="1:11">
      <c r="A1877" s="312" t="s">
        <v>4040</v>
      </c>
      <c r="B1877" s="312" t="s">
        <v>4041</v>
      </c>
      <c r="C1877" s="312" t="s">
        <v>105</v>
      </c>
      <c r="D1877" s="312" t="s">
        <v>3985</v>
      </c>
      <c r="E1877" s="312" t="s">
        <v>167</v>
      </c>
      <c r="F1877" s="312">
        <v>1705</v>
      </c>
      <c r="G1877" s="312" t="s">
        <v>168</v>
      </c>
      <c r="H1877" s="312">
        <v>1707</v>
      </c>
      <c r="I1877" s="312" t="s">
        <v>167</v>
      </c>
      <c r="J1877" s="312">
        <v>1899</v>
      </c>
      <c r="K1877" s="312" t="s">
        <v>169</v>
      </c>
    </row>
    <row r="1878" spans="1:11">
      <c r="A1878" s="312" t="s">
        <v>4042</v>
      </c>
      <c r="B1878" s="312" t="s">
        <v>4043</v>
      </c>
      <c r="C1878" s="312" t="s">
        <v>105</v>
      </c>
      <c r="D1878" s="312" t="s">
        <v>3985</v>
      </c>
      <c r="E1878" s="312" t="s">
        <v>167</v>
      </c>
      <c r="F1878" s="312">
        <v>1705</v>
      </c>
      <c r="G1878" s="312" t="s">
        <v>168</v>
      </c>
      <c r="H1878" s="312">
        <v>1707</v>
      </c>
      <c r="I1878" s="312" t="s">
        <v>167</v>
      </c>
      <c r="J1878" s="312">
        <v>1899</v>
      </c>
      <c r="K1878" s="312" t="s">
        <v>169</v>
      </c>
    </row>
    <row r="1879" spans="1:11">
      <c r="A1879" s="312" t="s">
        <v>4044</v>
      </c>
      <c r="B1879" s="312" t="s">
        <v>4045</v>
      </c>
      <c r="C1879" s="312" t="s">
        <v>105</v>
      </c>
      <c r="D1879" s="312" t="s">
        <v>3985</v>
      </c>
      <c r="E1879" s="312" t="s">
        <v>167</v>
      </c>
      <c r="F1879" s="312">
        <v>1705</v>
      </c>
      <c r="G1879" s="312" t="s">
        <v>168</v>
      </c>
      <c r="H1879" s="312">
        <v>1707</v>
      </c>
      <c r="I1879" s="312" t="s">
        <v>167</v>
      </c>
      <c r="J1879" s="312">
        <v>1899</v>
      </c>
      <c r="K1879" s="312" t="s">
        <v>169</v>
      </c>
    </row>
    <row r="1880" spans="1:11">
      <c r="A1880" s="312" t="s">
        <v>4046</v>
      </c>
      <c r="B1880" s="312" t="s">
        <v>4047</v>
      </c>
      <c r="C1880" s="312" t="s">
        <v>105</v>
      </c>
      <c r="D1880" s="312" t="s">
        <v>3985</v>
      </c>
      <c r="E1880" s="312" t="s">
        <v>167</v>
      </c>
      <c r="F1880" s="312">
        <v>1705</v>
      </c>
      <c r="G1880" s="312" t="s">
        <v>168</v>
      </c>
      <c r="H1880" s="312">
        <v>1707</v>
      </c>
      <c r="I1880" s="312" t="s">
        <v>167</v>
      </c>
      <c r="J1880" s="312">
        <v>1899</v>
      </c>
      <c r="K1880" s="312" t="s">
        <v>169</v>
      </c>
    </row>
    <row r="1881" spans="1:11">
      <c r="A1881" s="312" t="s">
        <v>4048</v>
      </c>
      <c r="B1881" s="312" t="s">
        <v>4049</v>
      </c>
      <c r="C1881" s="312" t="s">
        <v>105</v>
      </c>
      <c r="D1881" s="312" t="s">
        <v>3985</v>
      </c>
      <c r="E1881" s="312" t="s">
        <v>167</v>
      </c>
      <c r="F1881" s="312">
        <v>1705</v>
      </c>
      <c r="G1881" s="312" t="s">
        <v>168</v>
      </c>
      <c r="H1881" s="312">
        <v>1707</v>
      </c>
      <c r="I1881" s="312" t="s">
        <v>167</v>
      </c>
      <c r="J1881" s="312">
        <v>1899</v>
      </c>
      <c r="K1881" s="312" t="s">
        <v>169</v>
      </c>
    </row>
    <row r="1882" spans="1:11">
      <c r="A1882" s="312" t="s">
        <v>4050</v>
      </c>
      <c r="B1882" s="312" t="s">
        <v>4051</v>
      </c>
      <c r="C1882" s="312" t="s">
        <v>105</v>
      </c>
      <c r="D1882" s="312" t="s">
        <v>3985</v>
      </c>
      <c r="E1882" s="312" t="s">
        <v>167</v>
      </c>
      <c r="F1882" s="312">
        <v>1705</v>
      </c>
      <c r="G1882" s="312" t="s">
        <v>168</v>
      </c>
      <c r="H1882" s="312">
        <v>1707</v>
      </c>
      <c r="I1882" s="312" t="s">
        <v>167</v>
      </c>
      <c r="J1882" s="312">
        <v>1899</v>
      </c>
      <c r="K1882" s="312" t="s">
        <v>169</v>
      </c>
    </row>
    <row r="1883" spans="1:11">
      <c r="A1883" s="312" t="s">
        <v>4052</v>
      </c>
      <c r="B1883" s="312" t="s">
        <v>4053</v>
      </c>
      <c r="C1883" s="312" t="s">
        <v>105</v>
      </c>
      <c r="D1883" s="312" t="s">
        <v>3985</v>
      </c>
      <c r="E1883" s="312" t="s">
        <v>167</v>
      </c>
      <c r="F1883" s="312">
        <v>1705</v>
      </c>
      <c r="G1883" s="312" t="s">
        <v>168</v>
      </c>
      <c r="H1883" s="312">
        <v>1707</v>
      </c>
      <c r="I1883" s="312" t="s">
        <v>167</v>
      </c>
      <c r="J1883" s="312">
        <v>1899</v>
      </c>
      <c r="K1883" s="312" t="s">
        <v>169</v>
      </c>
    </row>
    <row r="1884" spans="1:11">
      <c r="A1884" s="312" t="s">
        <v>4054</v>
      </c>
      <c r="B1884" s="312" t="s">
        <v>4055</v>
      </c>
      <c r="C1884" s="312" t="s">
        <v>105</v>
      </c>
      <c r="D1884" s="312" t="s">
        <v>1166</v>
      </c>
      <c r="E1884" s="312" t="s">
        <v>167</v>
      </c>
      <c r="F1884" s="312">
        <v>1705</v>
      </c>
      <c r="G1884" s="312" t="s">
        <v>168</v>
      </c>
      <c r="H1884" s="312">
        <v>1707</v>
      </c>
      <c r="I1884" s="312" t="s">
        <v>167</v>
      </c>
      <c r="J1884" s="312">
        <v>1899</v>
      </c>
      <c r="K1884" s="312" t="s">
        <v>169</v>
      </c>
    </row>
    <row r="1885" spans="1:11">
      <c r="A1885" s="312" t="s">
        <v>4056</v>
      </c>
      <c r="B1885" s="312" t="s">
        <v>4057</v>
      </c>
      <c r="C1885" s="312" t="s">
        <v>105</v>
      </c>
      <c r="D1885" s="312" t="s">
        <v>1166</v>
      </c>
      <c r="E1885" s="312" t="s">
        <v>167</v>
      </c>
      <c r="F1885" s="312">
        <v>1705</v>
      </c>
      <c r="G1885" s="312" t="s">
        <v>168</v>
      </c>
      <c r="H1885" s="312">
        <v>1707</v>
      </c>
      <c r="I1885" s="312" t="s">
        <v>167</v>
      </c>
      <c r="J1885" s="312">
        <v>1899</v>
      </c>
      <c r="K1885" s="312" t="s">
        <v>169</v>
      </c>
    </row>
    <row r="1886" spans="1:11">
      <c r="A1886" s="312" t="s">
        <v>4058</v>
      </c>
      <c r="B1886" s="312" t="s">
        <v>4059</v>
      </c>
      <c r="C1886" s="312" t="s">
        <v>105</v>
      </c>
      <c r="D1886" s="312" t="s">
        <v>114</v>
      </c>
      <c r="E1886" s="312" t="s">
        <v>107</v>
      </c>
      <c r="F1886" s="312">
        <v>1825</v>
      </c>
      <c r="G1886" s="312" t="s">
        <v>108</v>
      </c>
      <c r="H1886" s="312">
        <v>1827</v>
      </c>
      <c r="I1886" s="312" t="s">
        <v>107</v>
      </c>
      <c r="J1886" s="312">
        <v>1913</v>
      </c>
      <c r="K1886" s="312" t="s">
        <v>109</v>
      </c>
    </row>
    <row r="1887" spans="1:11">
      <c r="A1887" s="312" t="s">
        <v>4060</v>
      </c>
      <c r="B1887" s="312" t="s">
        <v>4061</v>
      </c>
      <c r="C1887" s="312" t="s">
        <v>105</v>
      </c>
      <c r="D1887" s="312" t="s">
        <v>114</v>
      </c>
      <c r="E1887" s="312" t="s">
        <v>107</v>
      </c>
      <c r="F1887" s="312">
        <v>1825</v>
      </c>
      <c r="G1887" s="312" t="s">
        <v>108</v>
      </c>
      <c r="H1887" s="312">
        <v>1827</v>
      </c>
      <c r="I1887" s="312" t="s">
        <v>107</v>
      </c>
      <c r="J1887" s="312">
        <v>1913</v>
      </c>
      <c r="K1887" s="312" t="s">
        <v>109</v>
      </c>
    </row>
    <row r="1888" spans="1:11">
      <c r="A1888" s="312" t="s">
        <v>4062</v>
      </c>
      <c r="B1888" s="312" t="s">
        <v>4063</v>
      </c>
      <c r="C1888" s="312" t="s">
        <v>105</v>
      </c>
      <c r="D1888" s="312" t="s">
        <v>106</v>
      </c>
      <c r="E1888" s="312" t="s">
        <v>107</v>
      </c>
      <c r="F1888" s="312">
        <v>1825</v>
      </c>
      <c r="G1888" s="312" t="s">
        <v>108</v>
      </c>
      <c r="H1888" s="312">
        <v>1827</v>
      </c>
      <c r="I1888" s="312" t="s">
        <v>107</v>
      </c>
      <c r="J1888" s="312">
        <v>1913</v>
      </c>
      <c r="K1888" s="312" t="s">
        <v>109</v>
      </c>
    </row>
    <row r="1889" spans="1:11">
      <c r="A1889" s="312" t="s">
        <v>4064</v>
      </c>
      <c r="B1889" s="312" t="s">
        <v>4065</v>
      </c>
      <c r="C1889" s="312" t="s">
        <v>105</v>
      </c>
      <c r="D1889" s="312" t="s">
        <v>603</v>
      </c>
      <c r="E1889" s="312" t="s">
        <v>107</v>
      </c>
      <c r="F1889" s="312">
        <v>1825</v>
      </c>
      <c r="G1889" s="312" t="s">
        <v>108</v>
      </c>
      <c r="H1889" s="312">
        <v>1827</v>
      </c>
      <c r="I1889" s="312" t="s">
        <v>107</v>
      </c>
      <c r="J1889" s="312">
        <v>1913</v>
      </c>
      <c r="K1889" s="312" t="s">
        <v>109</v>
      </c>
    </row>
    <row r="1890" spans="1:11">
      <c r="A1890" s="312" t="s">
        <v>4066</v>
      </c>
      <c r="B1890" s="312" t="s">
        <v>4067</v>
      </c>
      <c r="C1890" s="312" t="s">
        <v>105</v>
      </c>
      <c r="D1890" s="312" t="s">
        <v>524</v>
      </c>
      <c r="E1890" s="312" t="s">
        <v>107</v>
      </c>
      <c r="F1890" s="312">
        <v>1825</v>
      </c>
      <c r="G1890" s="312" t="s">
        <v>108</v>
      </c>
      <c r="H1890" s="312">
        <v>1827</v>
      </c>
      <c r="I1890" s="312" t="s">
        <v>107</v>
      </c>
      <c r="J1890" s="312">
        <v>1913</v>
      </c>
      <c r="K1890" s="312" t="s">
        <v>109</v>
      </c>
    </row>
    <row r="1891" spans="1:11">
      <c r="A1891" s="312" t="s">
        <v>4068</v>
      </c>
      <c r="B1891" s="312" t="s">
        <v>4069</v>
      </c>
      <c r="C1891" s="312" t="s">
        <v>105</v>
      </c>
      <c r="D1891" s="312" t="s">
        <v>252</v>
      </c>
      <c r="E1891" s="312" t="s">
        <v>2368</v>
      </c>
      <c r="F1891" s="312">
        <v>1810</v>
      </c>
      <c r="G1891" s="312" t="s">
        <v>2369</v>
      </c>
      <c r="H1891" s="312">
        <v>1816</v>
      </c>
      <c r="I1891" s="312" t="s">
        <v>2368</v>
      </c>
      <c r="J1891" s="312">
        <v>1919</v>
      </c>
      <c r="K1891" s="312" t="s">
        <v>2370</v>
      </c>
    </row>
    <row r="1892" spans="1:11">
      <c r="A1892" s="312" t="s">
        <v>4070</v>
      </c>
      <c r="B1892" s="312" t="s">
        <v>4071</v>
      </c>
      <c r="C1892" s="312" t="s">
        <v>105</v>
      </c>
      <c r="D1892" s="312" t="s">
        <v>1307</v>
      </c>
      <c r="E1892" s="312" t="s">
        <v>320</v>
      </c>
      <c r="F1892" s="312">
        <v>1716</v>
      </c>
      <c r="G1892" s="312" t="s">
        <v>321</v>
      </c>
      <c r="H1892" s="312">
        <v>1725</v>
      </c>
      <c r="I1892" s="312" t="s">
        <v>320</v>
      </c>
      <c r="J1892" s="312">
        <v>1910</v>
      </c>
      <c r="K1892" s="312" t="s">
        <v>322</v>
      </c>
    </row>
    <row r="1893" spans="1:11">
      <c r="A1893" s="312" t="s">
        <v>4072</v>
      </c>
      <c r="B1893" s="312" t="s">
        <v>4073</v>
      </c>
      <c r="C1893" s="312" t="s">
        <v>105</v>
      </c>
      <c r="D1893" s="312" t="s">
        <v>1307</v>
      </c>
      <c r="E1893" s="312" t="s">
        <v>320</v>
      </c>
      <c r="F1893" s="312">
        <v>1716</v>
      </c>
      <c r="G1893" s="312" t="s">
        <v>321</v>
      </c>
      <c r="H1893" s="312">
        <v>1725</v>
      </c>
      <c r="I1893" s="312" t="s">
        <v>320</v>
      </c>
      <c r="J1893" s="312">
        <v>1910</v>
      </c>
      <c r="K1893" s="312" t="s">
        <v>322</v>
      </c>
    </row>
    <row r="1894" spans="1:11">
      <c r="A1894" s="312" t="s">
        <v>4074</v>
      </c>
      <c r="B1894" s="312" t="s">
        <v>4075</v>
      </c>
      <c r="C1894" s="312" t="s">
        <v>105</v>
      </c>
      <c r="D1894" s="312" t="s">
        <v>1307</v>
      </c>
      <c r="E1894" s="312" t="s">
        <v>320</v>
      </c>
      <c r="F1894" s="312">
        <v>1716</v>
      </c>
      <c r="G1894" s="312" t="s">
        <v>321</v>
      </c>
      <c r="H1894" s="312">
        <v>1725</v>
      </c>
      <c r="I1894" s="312" t="s">
        <v>320</v>
      </c>
      <c r="J1894" s="312">
        <v>1910</v>
      </c>
      <c r="K1894" s="312" t="s">
        <v>322</v>
      </c>
    </row>
    <row r="1895" spans="1:11">
      <c r="A1895" s="312" t="s">
        <v>4076</v>
      </c>
      <c r="B1895" s="312" t="s">
        <v>4077</v>
      </c>
      <c r="C1895" s="312" t="s">
        <v>105</v>
      </c>
      <c r="D1895" s="312" t="s">
        <v>1307</v>
      </c>
      <c r="E1895" s="312" t="s">
        <v>320</v>
      </c>
      <c r="F1895" s="312">
        <v>1716</v>
      </c>
      <c r="G1895" s="312" t="s">
        <v>321</v>
      </c>
      <c r="H1895" s="312">
        <v>1725</v>
      </c>
      <c r="I1895" s="312" t="s">
        <v>320</v>
      </c>
      <c r="J1895" s="312">
        <v>1910</v>
      </c>
      <c r="K1895" s="312" t="s">
        <v>322</v>
      </c>
    </row>
    <row r="1896" spans="1:11">
      <c r="A1896" s="312" t="s">
        <v>4078</v>
      </c>
      <c r="B1896" s="312" t="s">
        <v>4079</v>
      </c>
      <c r="C1896" s="312" t="s">
        <v>105</v>
      </c>
      <c r="D1896" s="312" t="s">
        <v>1307</v>
      </c>
      <c r="E1896" s="312" t="s">
        <v>320</v>
      </c>
      <c r="F1896" s="312">
        <v>1716</v>
      </c>
      <c r="G1896" s="312" t="s">
        <v>321</v>
      </c>
      <c r="H1896" s="312">
        <v>1725</v>
      </c>
      <c r="I1896" s="312" t="s">
        <v>320</v>
      </c>
      <c r="J1896" s="312">
        <v>1910</v>
      </c>
      <c r="K1896" s="312" t="s">
        <v>322</v>
      </c>
    </row>
    <row r="1897" spans="1:11">
      <c r="A1897" s="312" t="s">
        <v>4080</v>
      </c>
      <c r="B1897" s="312" t="s">
        <v>4081</v>
      </c>
      <c r="C1897" s="312" t="s">
        <v>105</v>
      </c>
      <c r="D1897" s="312" t="s">
        <v>1307</v>
      </c>
      <c r="E1897" s="312" t="s">
        <v>320</v>
      </c>
      <c r="F1897" s="312">
        <v>1716</v>
      </c>
      <c r="G1897" s="312" t="s">
        <v>321</v>
      </c>
      <c r="H1897" s="312">
        <v>1725</v>
      </c>
      <c r="I1897" s="312" t="s">
        <v>320</v>
      </c>
      <c r="J1897" s="312">
        <v>1910</v>
      </c>
      <c r="K1897" s="312" t="s">
        <v>322</v>
      </c>
    </row>
    <row r="1898" spans="1:11">
      <c r="A1898" s="312" t="s">
        <v>4082</v>
      </c>
      <c r="B1898" s="312" t="s">
        <v>4083</v>
      </c>
      <c r="C1898" s="312" t="s">
        <v>105</v>
      </c>
      <c r="D1898" s="312" t="s">
        <v>1307</v>
      </c>
      <c r="E1898" s="312" t="s">
        <v>320</v>
      </c>
      <c r="F1898" s="312">
        <v>1716</v>
      </c>
      <c r="G1898" s="312" t="s">
        <v>321</v>
      </c>
      <c r="H1898" s="312">
        <v>1725</v>
      </c>
      <c r="I1898" s="312" t="s">
        <v>320</v>
      </c>
      <c r="J1898" s="312">
        <v>1910</v>
      </c>
      <c r="K1898" s="312" t="s">
        <v>322</v>
      </c>
    </row>
    <row r="1899" spans="1:11">
      <c r="A1899" s="312" t="s">
        <v>4084</v>
      </c>
      <c r="B1899" s="312" t="s">
        <v>4085</v>
      </c>
      <c r="C1899" s="312" t="s">
        <v>105</v>
      </c>
      <c r="D1899" s="312" t="s">
        <v>114</v>
      </c>
      <c r="E1899" s="312" t="s">
        <v>107</v>
      </c>
      <c r="F1899" s="312">
        <v>1825</v>
      </c>
      <c r="G1899" s="312" t="s">
        <v>108</v>
      </c>
      <c r="H1899" s="312">
        <v>1827</v>
      </c>
      <c r="I1899" s="312" t="s">
        <v>107</v>
      </c>
      <c r="J1899" s="312">
        <v>1913</v>
      </c>
      <c r="K1899" s="312" t="s">
        <v>109</v>
      </c>
    </row>
    <row r="1900" spans="1:11">
      <c r="A1900" s="312" t="s">
        <v>4086</v>
      </c>
      <c r="B1900" s="312" t="s">
        <v>4087</v>
      </c>
      <c r="C1900" s="312" t="s">
        <v>105</v>
      </c>
      <c r="D1900" s="312" t="s">
        <v>117</v>
      </c>
      <c r="E1900" s="312" t="s">
        <v>107</v>
      </c>
      <c r="F1900" s="312">
        <v>1825</v>
      </c>
      <c r="G1900" s="312" t="s">
        <v>108</v>
      </c>
      <c r="H1900" s="312">
        <v>1827</v>
      </c>
      <c r="I1900" s="312" t="s">
        <v>107</v>
      </c>
      <c r="J1900" s="312">
        <v>1913</v>
      </c>
      <c r="K1900" s="312" t="s">
        <v>109</v>
      </c>
    </row>
    <row r="1901" spans="1:11">
      <c r="A1901" s="312" t="s">
        <v>4088</v>
      </c>
      <c r="B1901" s="312" t="s">
        <v>4089</v>
      </c>
      <c r="C1901" s="312" t="s">
        <v>105</v>
      </c>
      <c r="D1901" s="312" t="s">
        <v>114</v>
      </c>
      <c r="E1901" s="312" t="s">
        <v>107</v>
      </c>
      <c r="F1901" s="312">
        <v>1825</v>
      </c>
      <c r="G1901" s="312" t="s">
        <v>108</v>
      </c>
      <c r="H1901" s="312">
        <v>1827</v>
      </c>
      <c r="I1901" s="312" t="s">
        <v>107</v>
      </c>
      <c r="J1901" s="312">
        <v>1913</v>
      </c>
      <c r="K1901" s="312" t="s">
        <v>109</v>
      </c>
    </row>
    <row r="1902" spans="1:11">
      <c r="A1902" s="312" t="s">
        <v>4090</v>
      </c>
      <c r="B1902" s="312" t="s">
        <v>4091</v>
      </c>
      <c r="C1902" s="312" t="s">
        <v>105</v>
      </c>
      <c r="D1902" s="312" t="s">
        <v>3299</v>
      </c>
      <c r="E1902" s="312" t="s">
        <v>167</v>
      </c>
      <c r="F1902" s="312">
        <v>1705</v>
      </c>
      <c r="G1902" s="312" t="s">
        <v>168</v>
      </c>
      <c r="H1902" s="312">
        <v>1707</v>
      </c>
      <c r="I1902" s="312" t="s">
        <v>167</v>
      </c>
      <c r="J1902" s="312">
        <v>1899</v>
      </c>
      <c r="K1902" s="312" t="s">
        <v>169</v>
      </c>
    </row>
    <row r="1903" spans="1:11">
      <c r="A1903" s="312" t="s">
        <v>4092</v>
      </c>
      <c r="B1903" s="312" t="s">
        <v>4093</v>
      </c>
      <c r="C1903" s="312" t="s">
        <v>105</v>
      </c>
      <c r="D1903" s="312" t="s">
        <v>4094</v>
      </c>
      <c r="E1903" s="312" t="s">
        <v>167</v>
      </c>
      <c r="F1903" s="312">
        <v>1705</v>
      </c>
      <c r="G1903" s="312" t="s">
        <v>168</v>
      </c>
      <c r="H1903" s="312">
        <v>1707</v>
      </c>
      <c r="I1903" s="312" t="s">
        <v>167</v>
      </c>
      <c r="J1903" s="312">
        <v>1899</v>
      </c>
      <c r="K1903" s="312" t="s">
        <v>169</v>
      </c>
    </row>
    <row r="1904" spans="1:11">
      <c r="A1904" s="312" t="s">
        <v>4095</v>
      </c>
      <c r="B1904" s="312" t="s">
        <v>4096</v>
      </c>
      <c r="C1904" s="312" t="s">
        <v>105</v>
      </c>
      <c r="D1904" s="312" t="s">
        <v>4094</v>
      </c>
      <c r="E1904" s="312" t="s">
        <v>167</v>
      </c>
      <c r="F1904" s="312">
        <v>1705</v>
      </c>
      <c r="G1904" s="312" t="s">
        <v>168</v>
      </c>
      <c r="H1904" s="312">
        <v>1707</v>
      </c>
      <c r="I1904" s="312" t="s">
        <v>167</v>
      </c>
      <c r="J1904" s="312">
        <v>1899</v>
      </c>
      <c r="K1904" s="312" t="s">
        <v>169</v>
      </c>
    </row>
    <row r="1905" spans="1:11">
      <c r="A1905" s="312" t="s">
        <v>4097</v>
      </c>
      <c r="B1905" s="312" t="s">
        <v>4098</v>
      </c>
      <c r="C1905" s="312" t="s">
        <v>105</v>
      </c>
      <c r="D1905" s="312" t="s">
        <v>483</v>
      </c>
      <c r="E1905" s="312" t="s">
        <v>466</v>
      </c>
      <c r="F1905" s="312">
        <v>1796</v>
      </c>
      <c r="G1905" s="312" t="s">
        <v>467</v>
      </c>
      <c r="H1905" s="312">
        <v>1799</v>
      </c>
      <c r="I1905" s="312" t="s">
        <v>466</v>
      </c>
      <c r="J1905" s="312">
        <v>1918</v>
      </c>
      <c r="K1905" s="312" t="s">
        <v>468</v>
      </c>
    </row>
    <row r="1906" spans="1:11">
      <c r="A1906" s="312" t="s">
        <v>4099</v>
      </c>
      <c r="B1906" s="312" t="s">
        <v>4100</v>
      </c>
      <c r="C1906" s="312" t="s">
        <v>105</v>
      </c>
      <c r="D1906" s="312" t="s">
        <v>483</v>
      </c>
      <c r="E1906" s="312" t="s">
        <v>167</v>
      </c>
      <c r="F1906" s="312">
        <v>1705</v>
      </c>
      <c r="G1906" s="312" t="s">
        <v>168</v>
      </c>
      <c r="H1906" s="312">
        <v>1707</v>
      </c>
      <c r="I1906" s="312" t="s">
        <v>167</v>
      </c>
      <c r="J1906" s="312">
        <v>1899</v>
      </c>
      <c r="K1906" s="312" t="s">
        <v>169</v>
      </c>
    </row>
    <row r="1907" spans="1:11">
      <c r="A1907" s="312" t="s">
        <v>4101</v>
      </c>
      <c r="B1907" s="312" t="s">
        <v>4102</v>
      </c>
      <c r="C1907" s="312" t="s">
        <v>105</v>
      </c>
      <c r="D1907" s="312" t="s">
        <v>483</v>
      </c>
      <c r="E1907" s="312" t="s">
        <v>466</v>
      </c>
      <c r="F1907" s="312">
        <v>1796</v>
      </c>
      <c r="G1907" s="312" t="s">
        <v>467</v>
      </c>
      <c r="H1907" s="312">
        <v>1799</v>
      </c>
      <c r="I1907" s="312" t="s">
        <v>466</v>
      </c>
      <c r="J1907" s="312">
        <v>1918</v>
      </c>
      <c r="K1907" s="312" t="s">
        <v>468</v>
      </c>
    </row>
    <row r="1908" spans="1:11">
      <c r="A1908" s="312" t="s">
        <v>4103</v>
      </c>
      <c r="B1908" s="312" t="s">
        <v>4104</v>
      </c>
      <c r="C1908" s="312" t="s">
        <v>105</v>
      </c>
      <c r="D1908" s="312" t="s">
        <v>483</v>
      </c>
      <c r="E1908" s="312" t="s">
        <v>466</v>
      </c>
      <c r="F1908" s="312">
        <v>1796</v>
      </c>
      <c r="G1908" s="312" t="s">
        <v>467</v>
      </c>
      <c r="H1908" s="312">
        <v>1799</v>
      </c>
      <c r="I1908" s="312" t="s">
        <v>466</v>
      </c>
      <c r="J1908" s="312">
        <v>1918</v>
      </c>
      <c r="K1908" s="312" t="s">
        <v>468</v>
      </c>
    </row>
    <row r="1909" spans="1:11">
      <c r="A1909" s="312" t="s">
        <v>4105</v>
      </c>
      <c r="B1909" s="312" t="s">
        <v>4106</v>
      </c>
      <c r="C1909" s="312" t="s">
        <v>105</v>
      </c>
      <c r="D1909" s="312" t="s">
        <v>221</v>
      </c>
      <c r="E1909" s="312" t="s">
        <v>107</v>
      </c>
      <c r="F1909" s="312">
        <v>1825</v>
      </c>
      <c r="G1909" s="312" t="s">
        <v>108</v>
      </c>
      <c r="H1909" s="312">
        <v>1827</v>
      </c>
      <c r="I1909" s="312" t="s">
        <v>107</v>
      </c>
      <c r="J1909" s="312">
        <v>1913</v>
      </c>
      <c r="K1909" s="312" t="s">
        <v>109</v>
      </c>
    </row>
    <row r="1910" spans="1:11">
      <c r="A1910" s="312" t="s">
        <v>4107</v>
      </c>
      <c r="B1910" s="312" t="s">
        <v>4108</v>
      </c>
      <c r="C1910" s="312" t="s">
        <v>105</v>
      </c>
      <c r="D1910" s="312" t="s">
        <v>379</v>
      </c>
      <c r="E1910" s="312" t="s">
        <v>107</v>
      </c>
      <c r="F1910" s="312">
        <v>1825</v>
      </c>
      <c r="G1910" s="312" t="s">
        <v>108</v>
      </c>
      <c r="H1910" s="312">
        <v>1827</v>
      </c>
      <c r="I1910" s="312" t="s">
        <v>107</v>
      </c>
      <c r="J1910" s="312">
        <v>1913</v>
      </c>
      <c r="K1910" s="312" t="s">
        <v>109</v>
      </c>
    </row>
    <row r="1911" spans="1:11">
      <c r="A1911" s="312" t="s">
        <v>4109</v>
      </c>
      <c r="B1911" s="312" t="s">
        <v>4110</v>
      </c>
      <c r="C1911" s="312" t="s">
        <v>105</v>
      </c>
      <c r="D1911" s="312" t="s">
        <v>379</v>
      </c>
      <c r="E1911" s="312" t="s">
        <v>107</v>
      </c>
      <c r="F1911" s="312">
        <v>1825</v>
      </c>
      <c r="G1911" s="312" t="s">
        <v>108</v>
      </c>
      <c r="H1911" s="312">
        <v>1827</v>
      </c>
      <c r="I1911" s="312" t="s">
        <v>107</v>
      </c>
      <c r="J1911" s="312">
        <v>1913</v>
      </c>
      <c r="K1911" s="312" t="s">
        <v>109</v>
      </c>
    </row>
    <row r="1912" spans="1:11">
      <c r="A1912" s="312" t="s">
        <v>4111</v>
      </c>
      <c r="B1912" s="312" t="s">
        <v>4112</v>
      </c>
      <c r="C1912" s="312" t="s">
        <v>105</v>
      </c>
      <c r="D1912" s="312" t="s">
        <v>252</v>
      </c>
      <c r="E1912" s="312" t="s">
        <v>167</v>
      </c>
      <c r="F1912" s="312">
        <v>1705</v>
      </c>
      <c r="G1912" s="312" t="s">
        <v>168</v>
      </c>
      <c r="H1912" s="312">
        <v>1707</v>
      </c>
      <c r="I1912" s="312" t="s">
        <v>167</v>
      </c>
      <c r="J1912" s="312">
        <v>1899</v>
      </c>
      <c r="K1912" s="312" t="s">
        <v>169</v>
      </c>
    </row>
    <row r="1913" spans="1:11">
      <c r="A1913" s="312" t="s">
        <v>4113</v>
      </c>
      <c r="B1913" s="312" t="s">
        <v>4114</v>
      </c>
      <c r="C1913" s="312" t="s">
        <v>105</v>
      </c>
      <c r="D1913" s="312" t="s">
        <v>327</v>
      </c>
      <c r="E1913" s="312" t="s">
        <v>466</v>
      </c>
      <c r="F1913" s="312">
        <v>1796</v>
      </c>
      <c r="G1913" s="312" t="s">
        <v>467</v>
      </c>
      <c r="H1913" s="312">
        <v>1799</v>
      </c>
      <c r="I1913" s="312" t="s">
        <v>466</v>
      </c>
      <c r="J1913" s="312">
        <v>1918</v>
      </c>
      <c r="K1913" s="312" t="s">
        <v>468</v>
      </c>
    </row>
    <row r="1914" spans="1:11">
      <c r="A1914" s="312" t="s">
        <v>4115</v>
      </c>
      <c r="B1914" s="312" t="s">
        <v>4116</v>
      </c>
      <c r="C1914" s="312" t="s">
        <v>105</v>
      </c>
      <c r="D1914" s="312" t="s">
        <v>114</v>
      </c>
      <c r="E1914" s="312" t="s">
        <v>107</v>
      </c>
      <c r="F1914" s="312">
        <v>1825</v>
      </c>
      <c r="G1914" s="312" t="s">
        <v>108</v>
      </c>
      <c r="H1914" s="312">
        <v>1827</v>
      </c>
      <c r="I1914" s="312" t="s">
        <v>107</v>
      </c>
      <c r="J1914" s="312">
        <v>1913</v>
      </c>
      <c r="K1914" s="312" t="s">
        <v>109</v>
      </c>
    </row>
    <row r="1915" spans="1:11">
      <c r="A1915" s="312" t="s">
        <v>4117</v>
      </c>
      <c r="B1915" s="312" t="s">
        <v>4118</v>
      </c>
      <c r="C1915" s="312" t="s">
        <v>105</v>
      </c>
      <c r="D1915" s="312" t="s">
        <v>556</v>
      </c>
      <c r="E1915" s="312" t="s">
        <v>107</v>
      </c>
      <c r="F1915" s="312">
        <v>1825</v>
      </c>
      <c r="G1915" s="312" t="s">
        <v>108</v>
      </c>
      <c r="H1915" s="312">
        <v>1827</v>
      </c>
      <c r="I1915" s="312" t="s">
        <v>107</v>
      </c>
      <c r="J1915" s="312">
        <v>1913</v>
      </c>
      <c r="K1915" s="312" t="s">
        <v>109</v>
      </c>
    </row>
    <row r="1916" spans="1:11">
      <c r="A1916" s="312" t="s">
        <v>4119</v>
      </c>
      <c r="B1916" s="312" t="s">
        <v>4120</v>
      </c>
      <c r="C1916" s="312" t="s">
        <v>105</v>
      </c>
      <c r="D1916" s="312" t="s">
        <v>556</v>
      </c>
      <c r="E1916" s="312" t="s">
        <v>107</v>
      </c>
      <c r="F1916" s="312">
        <v>1825</v>
      </c>
      <c r="G1916" s="312" t="s">
        <v>108</v>
      </c>
      <c r="H1916" s="312">
        <v>1827</v>
      </c>
      <c r="I1916" s="312" t="s">
        <v>107</v>
      </c>
      <c r="J1916" s="312">
        <v>1913</v>
      </c>
      <c r="K1916" s="312" t="s">
        <v>109</v>
      </c>
    </row>
    <row r="1917" spans="1:11">
      <c r="A1917" s="312" t="s">
        <v>4121</v>
      </c>
      <c r="B1917" s="312" t="s">
        <v>4122</v>
      </c>
      <c r="C1917" s="312" t="s">
        <v>105</v>
      </c>
      <c r="D1917" s="312" t="s">
        <v>891</v>
      </c>
      <c r="E1917" s="312" t="s">
        <v>167</v>
      </c>
      <c r="F1917" s="312">
        <v>1705</v>
      </c>
      <c r="G1917" s="312" t="s">
        <v>168</v>
      </c>
      <c r="H1917" s="312">
        <v>1707</v>
      </c>
      <c r="I1917" s="312" t="s">
        <v>167</v>
      </c>
      <c r="J1917" s="312">
        <v>1899</v>
      </c>
      <c r="K1917" s="312" t="s">
        <v>169</v>
      </c>
    </row>
    <row r="1918" spans="1:11">
      <c r="A1918" s="312" t="s">
        <v>4123</v>
      </c>
      <c r="B1918" s="312" t="s">
        <v>4124</v>
      </c>
      <c r="C1918" s="312" t="s">
        <v>105</v>
      </c>
      <c r="D1918" s="312" t="s">
        <v>891</v>
      </c>
      <c r="E1918" s="312" t="s">
        <v>167</v>
      </c>
      <c r="F1918" s="312">
        <v>1705</v>
      </c>
      <c r="G1918" s="312" t="s">
        <v>168</v>
      </c>
      <c r="H1918" s="312">
        <v>1707</v>
      </c>
      <c r="I1918" s="312" t="s">
        <v>167</v>
      </c>
      <c r="J1918" s="312">
        <v>1899</v>
      </c>
      <c r="K1918" s="312" t="s">
        <v>169</v>
      </c>
    </row>
    <row r="1919" spans="1:11">
      <c r="A1919" s="312" t="s">
        <v>4125</v>
      </c>
      <c r="B1919" s="312" t="s">
        <v>4126</v>
      </c>
      <c r="C1919" s="312" t="s">
        <v>105</v>
      </c>
      <c r="D1919" s="312" t="s">
        <v>891</v>
      </c>
      <c r="E1919" s="312" t="s">
        <v>167</v>
      </c>
      <c r="F1919" s="312">
        <v>1705</v>
      </c>
      <c r="G1919" s="312" t="s">
        <v>168</v>
      </c>
      <c r="H1919" s="312">
        <v>1707</v>
      </c>
      <c r="I1919" s="312" t="s">
        <v>167</v>
      </c>
      <c r="J1919" s="312">
        <v>1899</v>
      </c>
      <c r="K1919" s="312" t="s">
        <v>169</v>
      </c>
    </row>
    <row r="1920" spans="1:11">
      <c r="A1920" s="312" t="s">
        <v>4127</v>
      </c>
      <c r="B1920" s="312" t="s">
        <v>4128</v>
      </c>
      <c r="C1920" s="312" t="s">
        <v>105</v>
      </c>
      <c r="D1920" s="312" t="s">
        <v>570</v>
      </c>
      <c r="E1920" s="312" t="s">
        <v>684</v>
      </c>
      <c r="F1920" s="312">
        <v>1750</v>
      </c>
      <c r="G1920" s="312" t="s">
        <v>685</v>
      </c>
      <c r="H1920" s="312">
        <v>1754</v>
      </c>
      <c r="I1920" s="312" t="s">
        <v>684</v>
      </c>
      <c r="J1920" s="312">
        <v>1920</v>
      </c>
      <c r="K1920" s="312" t="s">
        <v>686</v>
      </c>
    </row>
    <row r="1921" spans="1:11">
      <c r="A1921" s="312" t="s">
        <v>4129</v>
      </c>
      <c r="B1921" s="312" t="s">
        <v>4130</v>
      </c>
      <c r="C1921" s="312" t="s">
        <v>105</v>
      </c>
      <c r="D1921" s="312" t="s">
        <v>114</v>
      </c>
      <c r="E1921" s="312" t="s">
        <v>107</v>
      </c>
      <c r="F1921" s="312">
        <v>1825</v>
      </c>
      <c r="G1921" s="312" t="s">
        <v>108</v>
      </c>
      <c r="H1921" s="312">
        <v>1827</v>
      </c>
      <c r="I1921" s="312" t="s">
        <v>107</v>
      </c>
      <c r="J1921" s="312">
        <v>1913</v>
      </c>
      <c r="K1921" s="312" t="s">
        <v>109</v>
      </c>
    </row>
    <row r="1922" spans="1:11">
      <c r="A1922" s="312" t="s">
        <v>4131</v>
      </c>
      <c r="B1922" s="312" t="s">
        <v>4132</v>
      </c>
      <c r="C1922" s="312" t="s">
        <v>105</v>
      </c>
      <c r="D1922" s="312" t="s">
        <v>114</v>
      </c>
      <c r="E1922" s="312" t="s">
        <v>107</v>
      </c>
      <c r="F1922" s="312">
        <v>1825</v>
      </c>
      <c r="G1922" s="312" t="s">
        <v>108</v>
      </c>
      <c r="H1922" s="312">
        <v>1827</v>
      </c>
      <c r="I1922" s="312" t="s">
        <v>107</v>
      </c>
      <c r="J1922" s="312">
        <v>1913</v>
      </c>
      <c r="K1922" s="312" t="s">
        <v>109</v>
      </c>
    </row>
    <row r="1923" spans="1:11">
      <c r="A1923" s="312" t="s">
        <v>4133</v>
      </c>
      <c r="B1923" s="312" t="s">
        <v>4134</v>
      </c>
      <c r="C1923" s="312" t="s">
        <v>105</v>
      </c>
      <c r="D1923" s="312" t="s">
        <v>512</v>
      </c>
      <c r="E1923" s="312" t="s">
        <v>167</v>
      </c>
      <c r="F1923" s="312">
        <v>1705</v>
      </c>
      <c r="G1923" s="312" t="s">
        <v>168</v>
      </c>
      <c r="H1923" s="312">
        <v>1707</v>
      </c>
      <c r="I1923" s="312" t="s">
        <v>167</v>
      </c>
      <c r="J1923" s="312">
        <v>1899</v>
      </c>
      <c r="K1923" s="312" t="s">
        <v>169</v>
      </c>
    </row>
    <row r="1924" spans="1:11">
      <c r="A1924" s="312" t="s">
        <v>4135</v>
      </c>
      <c r="B1924" s="312" t="s">
        <v>4136</v>
      </c>
      <c r="C1924" s="312" t="s">
        <v>105</v>
      </c>
      <c r="D1924" s="312" t="s">
        <v>2068</v>
      </c>
      <c r="E1924" s="312" t="s">
        <v>107</v>
      </c>
      <c r="F1924" s="312">
        <v>1825</v>
      </c>
      <c r="G1924" s="312" t="s">
        <v>108</v>
      </c>
      <c r="H1924" s="312">
        <v>1827</v>
      </c>
      <c r="I1924" s="312" t="s">
        <v>107</v>
      </c>
      <c r="J1924" s="312">
        <v>1913</v>
      </c>
      <c r="K1924" s="312" t="s">
        <v>109</v>
      </c>
    </row>
    <row r="1925" spans="1:11">
      <c r="A1925" s="312" t="s">
        <v>4137</v>
      </c>
      <c r="B1925" s="312" t="s">
        <v>4138</v>
      </c>
      <c r="C1925" s="312" t="s">
        <v>105</v>
      </c>
      <c r="D1925" s="312" t="s">
        <v>891</v>
      </c>
      <c r="E1925" s="312" t="s">
        <v>107</v>
      </c>
      <c r="F1925" s="312">
        <v>1825</v>
      </c>
      <c r="G1925" s="312" t="s">
        <v>108</v>
      </c>
      <c r="H1925" s="312">
        <v>1827</v>
      </c>
      <c r="I1925" s="312" t="s">
        <v>107</v>
      </c>
      <c r="J1925" s="312">
        <v>1913</v>
      </c>
      <c r="K1925" s="312" t="s">
        <v>109</v>
      </c>
    </row>
    <row r="1926" spans="1:11">
      <c r="A1926" s="312" t="s">
        <v>4139</v>
      </c>
      <c r="B1926" s="312" t="s">
        <v>4140</v>
      </c>
      <c r="C1926" s="312" t="s">
        <v>105</v>
      </c>
      <c r="D1926" s="312" t="s">
        <v>114</v>
      </c>
      <c r="E1926" s="312" t="s">
        <v>107</v>
      </c>
      <c r="F1926" s="312">
        <v>1825</v>
      </c>
      <c r="G1926" s="312" t="s">
        <v>108</v>
      </c>
      <c r="H1926" s="312">
        <v>1827</v>
      </c>
      <c r="I1926" s="312" t="s">
        <v>107</v>
      </c>
      <c r="J1926" s="312">
        <v>1913</v>
      </c>
      <c r="K1926" s="312" t="s">
        <v>109</v>
      </c>
    </row>
    <row r="1927" spans="1:11">
      <c r="A1927" s="312" t="s">
        <v>4141</v>
      </c>
      <c r="B1927" s="312" t="s">
        <v>4142</v>
      </c>
      <c r="C1927" s="312" t="s">
        <v>105</v>
      </c>
      <c r="D1927" s="312" t="s">
        <v>114</v>
      </c>
      <c r="E1927" s="312" t="s">
        <v>107</v>
      </c>
      <c r="F1927" s="312">
        <v>1825</v>
      </c>
      <c r="G1927" s="312" t="s">
        <v>108</v>
      </c>
      <c r="H1927" s="312">
        <v>1827</v>
      </c>
      <c r="I1927" s="312" t="s">
        <v>107</v>
      </c>
      <c r="J1927" s="312">
        <v>1913</v>
      </c>
      <c r="K1927" s="312" t="s">
        <v>109</v>
      </c>
    </row>
    <row r="1928" spans="1:11">
      <c r="A1928" s="312" t="s">
        <v>4143</v>
      </c>
      <c r="B1928" s="312" t="s">
        <v>4144</v>
      </c>
      <c r="C1928" s="312" t="s">
        <v>105</v>
      </c>
      <c r="D1928" s="312" t="s">
        <v>184</v>
      </c>
      <c r="E1928" s="312" t="s">
        <v>107</v>
      </c>
      <c r="F1928" s="312">
        <v>1825</v>
      </c>
      <c r="G1928" s="312" t="s">
        <v>108</v>
      </c>
      <c r="H1928" s="312">
        <v>1827</v>
      </c>
      <c r="I1928" s="312" t="s">
        <v>107</v>
      </c>
      <c r="J1928" s="312">
        <v>1913</v>
      </c>
      <c r="K1928" s="312" t="s">
        <v>109</v>
      </c>
    </row>
    <row r="1929" spans="1:11">
      <c r="A1929" s="312" t="s">
        <v>4145</v>
      </c>
      <c r="B1929" s="312" t="s">
        <v>4146</v>
      </c>
      <c r="C1929" s="312" t="s">
        <v>105</v>
      </c>
      <c r="D1929" s="312" t="s">
        <v>184</v>
      </c>
      <c r="E1929" s="312" t="s">
        <v>107</v>
      </c>
      <c r="F1929" s="312">
        <v>1825</v>
      </c>
      <c r="G1929" s="312" t="s">
        <v>108</v>
      </c>
      <c r="H1929" s="312">
        <v>1827</v>
      </c>
      <c r="I1929" s="312" t="s">
        <v>107</v>
      </c>
      <c r="J1929" s="312">
        <v>1913</v>
      </c>
      <c r="K1929" s="312" t="s">
        <v>109</v>
      </c>
    </row>
    <row r="1930" spans="1:11">
      <c r="A1930" s="312" t="s">
        <v>4147</v>
      </c>
      <c r="B1930" s="1" t="s">
        <v>4148</v>
      </c>
      <c r="C1930" s="312" t="s">
        <v>105</v>
      </c>
      <c r="D1930" s="312" t="s">
        <v>294</v>
      </c>
      <c r="E1930" s="312" t="s">
        <v>107</v>
      </c>
      <c r="F1930" s="312">
        <v>1825</v>
      </c>
      <c r="G1930" s="312" t="s">
        <v>108</v>
      </c>
      <c r="H1930" s="312">
        <v>1827</v>
      </c>
      <c r="I1930" s="312" t="s">
        <v>107</v>
      </c>
      <c r="J1930" s="312">
        <v>1913</v>
      </c>
      <c r="K1930" s="312" t="s">
        <v>109</v>
      </c>
    </row>
    <row r="1931" spans="1:11">
      <c r="A1931" s="312" t="s">
        <v>4149</v>
      </c>
      <c r="B1931" s="312" t="s">
        <v>4150</v>
      </c>
      <c r="C1931" s="312" t="s">
        <v>105</v>
      </c>
      <c r="D1931" s="312" t="s">
        <v>114</v>
      </c>
      <c r="E1931" s="312" t="s">
        <v>107</v>
      </c>
      <c r="F1931" s="312">
        <v>1825</v>
      </c>
      <c r="G1931" s="312" t="s">
        <v>108</v>
      </c>
      <c r="H1931" s="312">
        <v>1827</v>
      </c>
      <c r="I1931" s="312" t="s">
        <v>107</v>
      </c>
      <c r="J1931" s="312">
        <v>1913</v>
      </c>
      <c r="K1931" s="312" t="s">
        <v>109</v>
      </c>
    </row>
    <row r="1932" spans="1:11">
      <c r="A1932" s="312" t="s">
        <v>4151</v>
      </c>
      <c r="B1932" s="312" t="s">
        <v>4152</v>
      </c>
      <c r="C1932" s="312" t="s">
        <v>105</v>
      </c>
      <c r="D1932" s="312" t="s">
        <v>184</v>
      </c>
      <c r="E1932" s="312" t="s">
        <v>107</v>
      </c>
      <c r="F1932" s="312">
        <v>1825</v>
      </c>
      <c r="G1932" s="312" t="s">
        <v>108</v>
      </c>
      <c r="H1932" s="312">
        <v>1827</v>
      </c>
      <c r="I1932" s="312" t="s">
        <v>107</v>
      </c>
      <c r="J1932" s="312">
        <v>1913</v>
      </c>
      <c r="K1932" s="312" t="s">
        <v>109</v>
      </c>
    </row>
    <row r="1933" spans="1:11">
      <c r="A1933" s="312" t="s">
        <v>4153</v>
      </c>
      <c r="B1933" s="312" t="s">
        <v>4154</v>
      </c>
      <c r="C1933" s="312" t="s">
        <v>105</v>
      </c>
      <c r="D1933" s="312" t="s">
        <v>2285</v>
      </c>
      <c r="E1933" s="312" t="s">
        <v>107</v>
      </c>
      <c r="F1933" s="312">
        <v>1825</v>
      </c>
      <c r="G1933" s="312" t="s">
        <v>108</v>
      </c>
      <c r="H1933" s="312">
        <v>1827</v>
      </c>
      <c r="I1933" s="312" t="s">
        <v>107</v>
      </c>
      <c r="J1933" s="312">
        <v>1913</v>
      </c>
      <c r="K1933" s="312" t="s">
        <v>109</v>
      </c>
    </row>
    <row r="1934" spans="1:11">
      <c r="A1934" s="312" t="s">
        <v>4155</v>
      </c>
      <c r="B1934" s="312" t="s">
        <v>4156</v>
      </c>
      <c r="C1934" s="312" t="s">
        <v>105</v>
      </c>
      <c r="D1934" s="312" t="s">
        <v>166</v>
      </c>
      <c r="E1934" s="312" t="s">
        <v>320</v>
      </c>
      <c r="F1934" s="312">
        <v>1716</v>
      </c>
      <c r="G1934" s="312" t="s">
        <v>321</v>
      </c>
      <c r="H1934" s="312">
        <v>1725</v>
      </c>
      <c r="I1934" s="312" t="s">
        <v>320</v>
      </c>
      <c r="J1934" s="312">
        <v>1910</v>
      </c>
      <c r="K1934" s="312" t="s">
        <v>322</v>
      </c>
    </row>
    <row r="1935" spans="1:11">
      <c r="A1935" s="312" t="s">
        <v>4157</v>
      </c>
      <c r="B1935" s="312" t="s">
        <v>4158</v>
      </c>
      <c r="C1935" s="312" t="s">
        <v>105</v>
      </c>
      <c r="D1935" s="312" t="s">
        <v>166</v>
      </c>
      <c r="E1935" s="312" t="s">
        <v>320</v>
      </c>
      <c r="F1935" s="312">
        <v>1716</v>
      </c>
      <c r="G1935" s="312" t="s">
        <v>321</v>
      </c>
      <c r="H1935" s="312">
        <v>1725</v>
      </c>
      <c r="I1935" s="312" t="s">
        <v>320</v>
      </c>
      <c r="J1935" s="312">
        <v>1910</v>
      </c>
      <c r="K1935" s="312" t="s">
        <v>322</v>
      </c>
    </row>
    <row r="1936" spans="1:11">
      <c r="A1936" s="312" t="s">
        <v>4159</v>
      </c>
      <c r="B1936" s="312" t="s">
        <v>4160</v>
      </c>
      <c r="C1936" s="312" t="s">
        <v>105</v>
      </c>
      <c r="D1936" s="312" t="s">
        <v>184</v>
      </c>
      <c r="E1936" s="312" t="s">
        <v>107</v>
      </c>
      <c r="F1936" s="312">
        <v>1825</v>
      </c>
      <c r="G1936" s="312" t="s">
        <v>108</v>
      </c>
      <c r="H1936" s="312">
        <v>1827</v>
      </c>
      <c r="I1936" s="312" t="s">
        <v>107</v>
      </c>
      <c r="J1936" s="312">
        <v>1913</v>
      </c>
      <c r="K1936" s="312" t="s">
        <v>109</v>
      </c>
    </row>
    <row r="1937" spans="1:11">
      <c r="A1937" s="312" t="s">
        <v>4161</v>
      </c>
      <c r="B1937" s="312" t="s">
        <v>4162</v>
      </c>
      <c r="C1937" s="312" t="s">
        <v>105</v>
      </c>
      <c r="D1937" s="312" t="s">
        <v>379</v>
      </c>
      <c r="E1937" s="312" t="s">
        <v>107</v>
      </c>
      <c r="F1937" s="312">
        <v>1825</v>
      </c>
      <c r="G1937" s="312" t="s">
        <v>108</v>
      </c>
      <c r="H1937" s="312">
        <v>1827</v>
      </c>
      <c r="I1937" s="312" t="s">
        <v>107</v>
      </c>
      <c r="J1937" s="312">
        <v>1913</v>
      </c>
      <c r="K1937" s="312" t="s">
        <v>109</v>
      </c>
    </row>
    <row r="1938" spans="1:11">
      <c r="A1938" s="312" t="s">
        <v>4163</v>
      </c>
      <c r="B1938" s="312" t="s">
        <v>4164</v>
      </c>
      <c r="C1938" s="312" t="s">
        <v>105</v>
      </c>
      <c r="D1938" s="312" t="s">
        <v>184</v>
      </c>
      <c r="E1938" s="312" t="s">
        <v>107</v>
      </c>
      <c r="F1938" s="312">
        <v>1825</v>
      </c>
      <c r="G1938" s="312" t="s">
        <v>108</v>
      </c>
      <c r="H1938" s="312">
        <v>1827</v>
      </c>
      <c r="I1938" s="312" t="s">
        <v>107</v>
      </c>
      <c r="J1938" s="312">
        <v>1913</v>
      </c>
      <c r="K1938" s="312" t="s">
        <v>109</v>
      </c>
    </row>
    <row r="1939" spans="1:11">
      <c r="A1939" s="312" t="s">
        <v>4165</v>
      </c>
      <c r="B1939" s="312" t="s">
        <v>4166</v>
      </c>
      <c r="C1939" s="312" t="s">
        <v>105</v>
      </c>
      <c r="D1939" s="312" t="s">
        <v>379</v>
      </c>
      <c r="E1939" s="312" t="s">
        <v>107</v>
      </c>
      <c r="F1939" s="312">
        <v>1825</v>
      </c>
      <c r="G1939" s="312" t="s">
        <v>108</v>
      </c>
      <c r="H1939" s="312">
        <v>1827</v>
      </c>
      <c r="I1939" s="312" t="s">
        <v>107</v>
      </c>
      <c r="J1939" s="312">
        <v>1913</v>
      </c>
      <c r="K1939" s="312" t="s">
        <v>109</v>
      </c>
    </row>
    <row r="1940" spans="1:11">
      <c r="A1940" s="312" t="s">
        <v>4167</v>
      </c>
      <c r="B1940" s="312" t="s">
        <v>4168</v>
      </c>
      <c r="C1940" s="312" t="s">
        <v>105</v>
      </c>
      <c r="D1940" s="312" t="s">
        <v>184</v>
      </c>
      <c r="E1940" s="312" t="s">
        <v>107</v>
      </c>
      <c r="F1940" s="312">
        <v>1825</v>
      </c>
      <c r="G1940" s="312" t="s">
        <v>108</v>
      </c>
      <c r="H1940" s="312">
        <v>1827</v>
      </c>
      <c r="I1940" s="312" t="s">
        <v>107</v>
      </c>
      <c r="J1940" s="312">
        <v>1913</v>
      </c>
      <c r="K1940" s="312" t="s">
        <v>109</v>
      </c>
    </row>
    <row r="1941" spans="1:11">
      <c r="A1941" s="312" t="s">
        <v>4169</v>
      </c>
      <c r="B1941" s="312" t="s">
        <v>4170</v>
      </c>
      <c r="C1941" s="312" t="s">
        <v>105</v>
      </c>
      <c r="D1941" s="312" t="s">
        <v>379</v>
      </c>
      <c r="E1941" s="312" t="s">
        <v>107</v>
      </c>
      <c r="F1941" s="312">
        <v>1825</v>
      </c>
      <c r="G1941" s="312" t="s">
        <v>108</v>
      </c>
      <c r="H1941" s="312">
        <v>1827</v>
      </c>
      <c r="I1941" s="312" t="s">
        <v>107</v>
      </c>
      <c r="J1941" s="312">
        <v>1913</v>
      </c>
      <c r="K1941" s="312" t="s">
        <v>109</v>
      </c>
    </row>
    <row r="1942" spans="1:11">
      <c r="A1942" s="312" t="s">
        <v>4171</v>
      </c>
      <c r="B1942" s="312" t="s">
        <v>4172</v>
      </c>
      <c r="C1942" s="312" t="s">
        <v>105</v>
      </c>
      <c r="D1942" s="312" t="s">
        <v>184</v>
      </c>
      <c r="E1942" s="312" t="s">
        <v>107</v>
      </c>
      <c r="F1942" s="312">
        <v>1825</v>
      </c>
      <c r="G1942" s="312" t="s">
        <v>108</v>
      </c>
      <c r="H1942" s="312">
        <v>1827</v>
      </c>
      <c r="I1942" s="312" t="s">
        <v>107</v>
      </c>
      <c r="J1942" s="312">
        <v>1913</v>
      </c>
      <c r="K1942" s="312" t="s">
        <v>109</v>
      </c>
    </row>
    <row r="1943" spans="1:11">
      <c r="A1943" s="312" t="s">
        <v>4173</v>
      </c>
      <c r="B1943" s="312" t="s">
        <v>4174</v>
      </c>
      <c r="C1943" s="312" t="s">
        <v>105</v>
      </c>
      <c r="D1943" s="312" t="s">
        <v>184</v>
      </c>
      <c r="E1943" s="312" t="s">
        <v>107</v>
      </c>
      <c r="F1943" s="312">
        <v>1825</v>
      </c>
      <c r="G1943" s="312" t="s">
        <v>108</v>
      </c>
      <c r="H1943" s="312">
        <v>1827</v>
      </c>
      <c r="I1943" s="312" t="s">
        <v>107</v>
      </c>
      <c r="J1943" s="312">
        <v>1913</v>
      </c>
      <c r="K1943" s="312" t="s">
        <v>109</v>
      </c>
    </row>
    <row r="1944" spans="1:11">
      <c r="A1944" s="312" t="s">
        <v>4175</v>
      </c>
      <c r="B1944" s="312" t="s">
        <v>4176</v>
      </c>
      <c r="C1944" s="312" t="s">
        <v>105</v>
      </c>
      <c r="D1944" s="312" t="s">
        <v>184</v>
      </c>
      <c r="E1944" s="312" t="s">
        <v>107</v>
      </c>
      <c r="F1944" s="312">
        <v>1825</v>
      </c>
      <c r="G1944" s="312" t="s">
        <v>108</v>
      </c>
      <c r="H1944" s="312">
        <v>1827</v>
      </c>
      <c r="I1944" s="312" t="s">
        <v>107</v>
      </c>
      <c r="J1944" s="312">
        <v>1913</v>
      </c>
      <c r="K1944" s="312" t="s">
        <v>109</v>
      </c>
    </row>
    <row r="1945" spans="1:11">
      <c r="A1945" s="312" t="s">
        <v>4177</v>
      </c>
      <c r="B1945" s="312" t="s">
        <v>4178</v>
      </c>
      <c r="C1945" s="312" t="s">
        <v>105</v>
      </c>
      <c r="D1945" s="312" t="s">
        <v>746</v>
      </c>
      <c r="E1945" s="312" t="s">
        <v>107</v>
      </c>
      <c r="F1945" s="312">
        <v>1825</v>
      </c>
      <c r="G1945" s="312" t="s">
        <v>108</v>
      </c>
      <c r="H1945" s="312">
        <v>1827</v>
      </c>
      <c r="I1945" s="312" t="s">
        <v>107</v>
      </c>
      <c r="J1945" s="312">
        <v>1913</v>
      </c>
      <c r="K1945" s="312" t="s">
        <v>109</v>
      </c>
    </row>
    <row r="1946" spans="1:11">
      <c r="A1946" s="312" t="s">
        <v>4179</v>
      </c>
      <c r="B1946" s="312" t="s">
        <v>4180</v>
      </c>
      <c r="C1946" s="312" t="s">
        <v>105</v>
      </c>
      <c r="D1946" s="312" t="s">
        <v>184</v>
      </c>
      <c r="E1946" s="312" t="s">
        <v>107</v>
      </c>
      <c r="F1946" s="312">
        <v>1825</v>
      </c>
      <c r="G1946" s="312" t="s">
        <v>108</v>
      </c>
      <c r="H1946" s="312">
        <v>1827</v>
      </c>
      <c r="I1946" s="312" t="s">
        <v>107</v>
      </c>
      <c r="J1946" s="312">
        <v>1913</v>
      </c>
      <c r="K1946" s="312" t="s">
        <v>109</v>
      </c>
    </row>
    <row r="1947" spans="1:11">
      <c r="A1947" s="312" t="s">
        <v>4181</v>
      </c>
      <c r="B1947" s="312" t="s">
        <v>4182</v>
      </c>
      <c r="C1947" s="312" t="s">
        <v>105</v>
      </c>
      <c r="D1947" s="312" t="s">
        <v>746</v>
      </c>
      <c r="E1947" s="312" t="s">
        <v>107</v>
      </c>
      <c r="F1947" s="312">
        <v>1825</v>
      </c>
      <c r="G1947" s="312" t="s">
        <v>108</v>
      </c>
      <c r="H1947" s="312">
        <v>1827</v>
      </c>
      <c r="I1947" s="312" t="s">
        <v>107</v>
      </c>
      <c r="J1947" s="312">
        <v>1913</v>
      </c>
      <c r="K1947" s="312" t="s">
        <v>109</v>
      </c>
    </row>
    <row r="1948" spans="1:11">
      <c r="A1948" s="312" t="s">
        <v>4183</v>
      </c>
      <c r="B1948" s="312" t="s">
        <v>4184</v>
      </c>
      <c r="C1948" s="312" t="s">
        <v>105</v>
      </c>
      <c r="D1948" s="312" t="s">
        <v>184</v>
      </c>
      <c r="E1948" s="312" t="s">
        <v>107</v>
      </c>
      <c r="F1948" s="312">
        <v>1825</v>
      </c>
      <c r="G1948" s="312" t="s">
        <v>108</v>
      </c>
      <c r="H1948" s="312">
        <v>1827</v>
      </c>
      <c r="I1948" s="312" t="s">
        <v>107</v>
      </c>
      <c r="J1948" s="312">
        <v>1913</v>
      </c>
      <c r="K1948" s="312" t="s">
        <v>109</v>
      </c>
    </row>
    <row r="1949" spans="1:11">
      <c r="A1949" s="312" t="s">
        <v>4185</v>
      </c>
      <c r="B1949" s="312" t="s">
        <v>4186</v>
      </c>
      <c r="C1949" s="312" t="s">
        <v>105</v>
      </c>
      <c r="D1949" s="312" t="s">
        <v>184</v>
      </c>
      <c r="E1949" s="312" t="s">
        <v>107</v>
      </c>
      <c r="F1949" s="312">
        <v>1825</v>
      </c>
      <c r="G1949" s="312" t="s">
        <v>108</v>
      </c>
      <c r="H1949" s="312">
        <v>1827</v>
      </c>
      <c r="I1949" s="312" t="s">
        <v>107</v>
      </c>
      <c r="J1949" s="312">
        <v>1913</v>
      </c>
      <c r="K1949" s="312" t="s">
        <v>109</v>
      </c>
    </row>
    <row r="1950" spans="1:11">
      <c r="A1950" s="312" t="s">
        <v>4187</v>
      </c>
      <c r="B1950" s="312" t="s">
        <v>4188</v>
      </c>
      <c r="C1950" s="312" t="s">
        <v>105</v>
      </c>
      <c r="D1950" s="312" t="s">
        <v>184</v>
      </c>
      <c r="E1950" s="312" t="s">
        <v>107</v>
      </c>
      <c r="F1950" s="312">
        <v>1825</v>
      </c>
      <c r="G1950" s="312" t="s">
        <v>108</v>
      </c>
      <c r="H1950" s="312">
        <v>1827</v>
      </c>
      <c r="I1950" s="312" t="s">
        <v>107</v>
      </c>
      <c r="J1950" s="312">
        <v>1913</v>
      </c>
      <c r="K1950" s="312" t="s">
        <v>109</v>
      </c>
    </row>
    <row r="1951" spans="1:11">
      <c r="A1951" s="312" t="s">
        <v>4189</v>
      </c>
      <c r="B1951" s="312" t="s">
        <v>4190</v>
      </c>
      <c r="C1951" s="312" t="s">
        <v>105</v>
      </c>
      <c r="D1951" s="312" t="s">
        <v>746</v>
      </c>
      <c r="E1951" s="312" t="s">
        <v>107</v>
      </c>
      <c r="F1951" s="312">
        <v>1825</v>
      </c>
      <c r="G1951" s="312" t="s">
        <v>108</v>
      </c>
      <c r="H1951" s="312">
        <v>1827</v>
      </c>
      <c r="I1951" s="312" t="s">
        <v>107</v>
      </c>
      <c r="J1951" s="312">
        <v>1913</v>
      </c>
      <c r="K1951" s="312" t="s">
        <v>109</v>
      </c>
    </row>
    <row r="1952" spans="1:11">
      <c r="A1952" s="312" t="s">
        <v>4191</v>
      </c>
      <c r="B1952" s="312" t="s">
        <v>4192</v>
      </c>
      <c r="C1952" s="312" t="s">
        <v>105</v>
      </c>
      <c r="D1952" s="312" t="s">
        <v>746</v>
      </c>
      <c r="E1952" s="312" t="s">
        <v>107</v>
      </c>
      <c r="F1952" s="312">
        <v>1825</v>
      </c>
      <c r="G1952" s="312" t="s">
        <v>108</v>
      </c>
      <c r="H1952" s="312">
        <v>1827</v>
      </c>
      <c r="I1952" s="312" t="s">
        <v>107</v>
      </c>
      <c r="J1952" s="312">
        <v>1913</v>
      </c>
      <c r="K1952" s="312" t="s">
        <v>109</v>
      </c>
    </row>
    <row r="1953" spans="1:11">
      <c r="A1953" s="312" t="s">
        <v>4193</v>
      </c>
      <c r="B1953" s="312" t="s">
        <v>4194</v>
      </c>
      <c r="C1953" s="312" t="s">
        <v>105</v>
      </c>
      <c r="D1953" s="312" t="s">
        <v>746</v>
      </c>
      <c r="E1953" s="312" t="s">
        <v>107</v>
      </c>
      <c r="F1953" s="312">
        <v>1825</v>
      </c>
      <c r="G1953" s="312" t="s">
        <v>108</v>
      </c>
      <c r="H1953" s="312">
        <v>1827</v>
      </c>
      <c r="I1953" s="312" t="s">
        <v>107</v>
      </c>
      <c r="J1953" s="312">
        <v>1913</v>
      </c>
      <c r="K1953" s="312" t="s">
        <v>109</v>
      </c>
    </row>
    <row r="1954" spans="1:11">
      <c r="A1954" s="312" t="s">
        <v>4195</v>
      </c>
      <c r="B1954" s="312" t="s">
        <v>4196</v>
      </c>
      <c r="C1954" s="312" t="s">
        <v>105</v>
      </c>
      <c r="D1954" s="312" t="s">
        <v>746</v>
      </c>
      <c r="E1954" s="312" t="s">
        <v>107</v>
      </c>
      <c r="F1954" s="312">
        <v>1825</v>
      </c>
      <c r="G1954" s="312" t="s">
        <v>108</v>
      </c>
      <c r="H1954" s="312">
        <v>1827</v>
      </c>
      <c r="I1954" s="312" t="s">
        <v>107</v>
      </c>
      <c r="J1954" s="312">
        <v>1913</v>
      </c>
      <c r="K1954" s="312" t="s">
        <v>109</v>
      </c>
    </row>
    <row r="1955" spans="1:11">
      <c r="A1955" s="312" t="s">
        <v>4197</v>
      </c>
      <c r="B1955" s="312" t="s">
        <v>4198</v>
      </c>
      <c r="C1955" s="312" t="s">
        <v>105</v>
      </c>
      <c r="D1955" s="312" t="s">
        <v>746</v>
      </c>
      <c r="E1955" s="312" t="s">
        <v>107</v>
      </c>
      <c r="F1955" s="312">
        <v>1825</v>
      </c>
      <c r="G1955" s="312" t="s">
        <v>108</v>
      </c>
      <c r="H1955" s="312">
        <v>1827</v>
      </c>
      <c r="I1955" s="312" t="s">
        <v>107</v>
      </c>
      <c r="J1955" s="312">
        <v>1913</v>
      </c>
      <c r="K1955" s="312" t="s">
        <v>109</v>
      </c>
    </row>
    <row r="1956" spans="1:11">
      <c r="A1956" s="312" t="s">
        <v>4199</v>
      </c>
      <c r="B1956" s="312" t="s">
        <v>4200</v>
      </c>
      <c r="C1956" s="312" t="s">
        <v>105</v>
      </c>
      <c r="D1956" s="312" t="s">
        <v>184</v>
      </c>
      <c r="E1956" s="312" t="s">
        <v>107</v>
      </c>
      <c r="F1956" s="312">
        <v>1825</v>
      </c>
      <c r="G1956" s="312" t="s">
        <v>108</v>
      </c>
      <c r="H1956" s="312">
        <v>1827</v>
      </c>
      <c r="I1956" s="312" t="s">
        <v>107</v>
      </c>
      <c r="J1956" s="312">
        <v>1913</v>
      </c>
      <c r="K1956" s="312" t="s">
        <v>109</v>
      </c>
    </row>
    <row r="1957" spans="1:11">
      <c r="A1957" s="312" t="s">
        <v>4201</v>
      </c>
      <c r="B1957" s="312" t="s">
        <v>4202</v>
      </c>
      <c r="C1957" s="312" t="s">
        <v>105</v>
      </c>
      <c r="D1957" s="312" t="s">
        <v>184</v>
      </c>
      <c r="E1957" s="312" t="s">
        <v>107</v>
      </c>
      <c r="F1957" s="312">
        <v>1825</v>
      </c>
      <c r="G1957" s="312" t="s">
        <v>108</v>
      </c>
      <c r="H1957" s="312">
        <v>1827</v>
      </c>
      <c r="I1957" s="312" t="s">
        <v>107</v>
      </c>
      <c r="J1957" s="312">
        <v>1913</v>
      </c>
      <c r="K1957" s="312" t="s">
        <v>109</v>
      </c>
    </row>
    <row r="1958" spans="1:11">
      <c r="A1958" s="312" t="s">
        <v>4203</v>
      </c>
      <c r="B1958" s="312" t="s">
        <v>4204</v>
      </c>
      <c r="C1958" s="312" t="s">
        <v>105</v>
      </c>
      <c r="D1958" s="312" t="s">
        <v>184</v>
      </c>
      <c r="E1958" s="312" t="s">
        <v>107</v>
      </c>
      <c r="F1958" s="312">
        <v>1825</v>
      </c>
      <c r="G1958" s="312" t="s">
        <v>108</v>
      </c>
      <c r="H1958" s="312">
        <v>1827</v>
      </c>
      <c r="I1958" s="312" t="s">
        <v>107</v>
      </c>
      <c r="J1958" s="312">
        <v>1913</v>
      </c>
      <c r="K1958" s="312" t="s">
        <v>109</v>
      </c>
    </row>
    <row r="1959" spans="1:11">
      <c r="A1959" s="312" t="s">
        <v>4205</v>
      </c>
      <c r="B1959" s="312" t="s">
        <v>4206</v>
      </c>
      <c r="C1959" s="312" t="s">
        <v>105</v>
      </c>
      <c r="D1959" s="312" t="s">
        <v>184</v>
      </c>
      <c r="E1959" s="312" t="s">
        <v>107</v>
      </c>
      <c r="F1959" s="312">
        <v>1825</v>
      </c>
      <c r="G1959" s="312" t="s">
        <v>108</v>
      </c>
      <c r="H1959" s="312">
        <v>1827</v>
      </c>
      <c r="I1959" s="312" t="s">
        <v>107</v>
      </c>
      <c r="J1959" s="312">
        <v>1913</v>
      </c>
      <c r="K1959" s="312" t="s">
        <v>109</v>
      </c>
    </row>
    <row r="1960" spans="1:11">
      <c r="A1960" s="312" t="s">
        <v>4207</v>
      </c>
      <c r="B1960" s="312" t="s">
        <v>4208</v>
      </c>
      <c r="C1960" s="312" t="s">
        <v>105</v>
      </c>
      <c r="D1960" s="312" t="s">
        <v>184</v>
      </c>
      <c r="E1960" s="312" t="s">
        <v>107</v>
      </c>
      <c r="F1960" s="312">
        <v>1825</v>
      </c>
      <c r="G1960" s="312" t="s">
        <v>108</v>
      </c>
      <c r="H1960" s="312">
        <v>1827</v>
      </c>
      <c r="I1960" s="312" t="s">
        <v>107</v>
      </c>
      <c r="J1960" s="312">
        <v>1913</v>
      </c>
      <c r="K1960" s="312" t="s">
        <v>109</v>
      </c>
    </row>
    <row r="1961" spans="1:11">
      <c r="A1961" s="312" t="s">
        <v>4209</v>
      </c>
      <c r="B1961" s="312" t="s">
        <v>4210</v>
      </c>
      <c r="C1961" s="312" t="s">
        <v>105</v>
      </c>
      <c r="D1961" s="312" t="s">
        <v>114</v>
      </c>
      <c r="E1961" s="312" t="s">
        <v>107</v>
      </c>
      <c r="F1961" s="312">
        <v>1825</v>
      </c>
      <c r="G1961" s="312" t="s">
        <v>108</v>
      </c>
      <c r="H1961" s="312">
        <v>1827</v>
      </c>
      <c r="I1961" s="312" t="s">
        <v>107</v>
      </c>
      <c r="J1961" s="312">
        <v>1913</v>
      </c>
      <c r="K1961" s="312" t="s">
        <v>109</v>
      </c>
    </row>
    <row r="1962" spans="1:11">
      <c r="A1962" s="312" t="s">
        <v>4211</v>
      </c>
      <c r="B1962" s="312" t="s">
        <v>4212</v>
      </c>
      <c r="C1962" s="312" t="s">
        <v>105</v>
      </c>
      <c r="D1962" s="312" t="s">
        <v>216</v>
      </c>
      <c r="E1962" s="312" t="s">
        <v>107</v>
      </c>
      <c r="F1962" s="312">
        <v>1825</v>
      </c>
      <c r="G1962" s="312" t="s">
        <v>108</v>
      </c>
      <c r="H1962" s="312">
        <v>1827</v>
      </c>
      <c r="I1962" s="312" t="s">
        <v>107</v>
      </c>
      <c r="J1962" s="312">
        <v>1913</v>
      </c>
      <c r="K1962" s="312" t="s">
        <v>109</v>
      </c>
    </row>
    <row r="1963" spans="1:11">
      <c r="A1963" s="312" t="s">
        <v>4213</v>
      </c>
      <c r="B1963" s="312" t="s">
        <v>4214</v>
      </c>
      <c r="C1963" s="312" t="s">
        <v>105</v>
      </c>
      <c r="D1963" s="312" t="s">
        <v>184</v>
      </c>
      <c r="E1963" s="312" t="s">
        <v>107</v>
      </c>
      <c r="F1963" s="312">
        <v>1825</v>
      </c>
      <c r="G1963" s="312" t="s">
        <v>108</v>
      </c>
      <c r="H1963" s="312">
        <v>1827</v>
      </c>
      <c r="I1963" s="312" t="s">
        <v>107</v>
      </c>
      <c r="J1963" s="312">
        <v>1913</v>
      </c>
      <c r="K1963" s="312" t="s">
        <v>109</v>
      </c>
    </row>
    <row r="1964" spans="1:11">
      <c r="A1964" s="312" t="s">
        <v>4215</v>
      </c>
      <c r="B1964" s="312" t="s">
        <v>4216</v>
      </c>
      <c r="C1964" s="312" t="s">
        <v>105</v>
      </c>
      <c r="D1964" s="312" t="s">
        <v>184</v>
      </c>
      <c r="E1964" s="312" t="s">
        <v>107</v>
      </c>
      <c r="F1964" s="312">
        <v>1825</v>
      </c>
      <c r="G1964" s="312" t="s">
        <v>108</v>
      </c>
      <c r="H1964" s="312">
        <v>1827</v>
      </c>
      <c r="I1964" s="312" t="s">
        <v>107</v>
      </c>
      <c r="J1964" s="312">
        <v>1913</v>
      </c>
      <c r="K1964" s="312" t="s">
        <v>109</v>
      </c>
    </row>
    <row r="1965" spans="1:11">
      <c r="A1965" s="312" t="s">
        <v>4217</v>
      </c>
      <c r="B1965" s="312" t="s">
        <v>4218</v>
      </c>
      <c r="C1965" s="312" t="s">
        <v>105</v>
      </c>
      <c r="D1965" s="312" t="s">
        <v>184</v>
      </c>
      <c r="E1965" s="312" t="s">
        <v>107</v>
      </c>
      <c r="F1965" s="312">
        <v>1825</v>
      </c>
      <c r="G1965" s="312" t="s">
        <v>108</v>
      </c>
      <c r="H1965" s="312">
        <v>1827</v>
      </c>
      <c r="I1965" s="312" t="s">
        <v>107</v>
      </c>
      <c r="J1965" s="312">
        <v>1913</v>
      </c>
      <c r="K1965" s="312" t="s">
        <v>109</v>
      </c>
    </row>
    <row r="1966" spans="1:11">
      <c r="A1966" s="312" t="s">
        <v>4219</v>
      </c>
      <c r="B1966" s="312" t="s">
        <v>4220</v>
      </c>
      <c r="C1966" s="312" t="s">
        <v>105</v>
      </c>
      <c r="D1966" s="312" t="s">
        <v>184</v>
      </c>
      <c r="E1966" s="312" t="s">
        <v>107</v>
      </c>
      <c r="F1966" s="312">
        <v>1825</v>
      </c>
      <c r="G1966" s="312" t="s">
        <v>108</v>
      </c>
      <c r="H1966" s="312">
        <v>1827</v>
      </c>
      <c r="I1966" s="312" t="s">
        <v>107</v>
      </c>
      <c r="J1966" s="312">
        <v>1913</v>
      </c>
      <c r="K1966" s="312" t="s">
        <v>109</v>
      </c>
    </row>
    <row r="1967" spans="1:11">
      <c r="A1967" s="312" t="s">
        <v>4221</v>
      </c>
      <c r="B1967" s="312" t="s">
        <v>4222</v>
      </c>
      <c r="C1967" s="312" t="s">
        <v>105</v>
      </c>
      <c r="D1967" s="312" t="s">
        <v>184</v>
      </c>
      <c r="E1967" s="312" t="s">
        <v>107</v>
      </c>
      <c r="F1967" s="312">
        <v>1825</v>
      </c>
      <c r="G1967" s="312" t="s">
        <v>108</v>
      </c>
      <c r="H1967" s="312">
        <v>1827</v>
      </c>
      <c r="I1967" s="312" t="s">
        <v>107</v>
      </c>
      <c r="J1967" s="312">
        <v>1913</v>
      </c>
      <c r="K1967" s="312" t="s">
        <v>109</v>
      </c>
    </row>
    <row r="1968" spans="1:11">
      <c r="A1968" s="312" t="s">
        <v>4223</v>
      </c>
      <c r="B1968" s="312" t="s">
        <v>4224</v>
      </c>
      <c r="C1968" s="312" t="s">
        <v>105</v>
      </c>
      <c r="D1968" s="312" t="s">
        <v>184</v>
      </c>
      <c r="E1968" s="312" t="s">
        <v>107</v>
      </c>
      <c r="F1968" s="312">
        <v>1825</v>
      </c>
      <c r="G1968" s="312" t="s">
        <v>108</v>
      </c>
      <c r="H1968" s="312">
        <v>1827</v>
      </c>
      <c r="I1968" s="312" t="s">
        <v>107</v>
      </c>
      <c r="J1968" s="312">
        <v>1913</v>
      </c>
      <c r="K1968" s="312" t="s">
        <v>109</v>
      </c>
    </row>
    <row r="1969" spans="1:11">
      <c r="A1969" s="312" t="s">
        <v>4225</v>
      </c>
      <c r="B1969" s="312" t="s">
        <v>4226</v>
      </c>
      <c r="C1969" s="312" t="s">
        <v>105</v>
      </c>
      <c r="D1969" s="312" t="s">
        <v>184</v>
      </c>
      <c r="E1969" s="312" t="s">
        <v>107</v>
      </c>
      <c r="F1969" s="312">
        <v>1825</v>
      </c>
      <c r="G1969" s="312" t="s">
        <v>108</v>
      </c>
      <c r="H1969" s="312">
        <v>1827</v>
      </c>
      <c r="I1969" s="312" t="s">
        <v>107</v>
      </c>
      <c r="J1969" s="312">
        <v>1913</v>
      </c>
      <c r="K1969" s="312" t="s">
        <v>109</v>
      </c>
    </row>
    <row r="1970" spans="1:11">
      <c r="A1970" s="312" t="s">
        <v>4227</v>
      </c>
      <c r="B1970" s="312" t="s">
        <v>4228</v>
      </c>
      <c r="C1970" s="312" t="s">
        <v>105</v>
      </c>
      <c r="D1970" s="312" t="s">
        <v>184</v>
      </c>
      <c r="E1970" s="312" t="s">
        <v>107</v>
      </c>
      <c r="F1970" s="312">
        <v>1825</v>
      </c>
      <c r="G1970" s="312" t="s">
        <v>108</v>
      </c>
      <c r="H1970" s="312">
        <v>1827</v>
      </c>
      <c r="I1970" s="312" t="s">
        <v>107</v>
      </c>
      <c r="J1970" s="312">
        <v>1913</v>
      </c>
      <c r="K1970" s="312" t="s">
        <v>109</v>
      </c>
    </row>
    <row r="1971" spans="1:11">
      <c r="A1971" s="312" t="s">
        <v>4229</v>
      </c>
      <c r="B1971" s="312" t="s">
        <v>4230</v>
      </c>
      <c r="C1971" s="312" t="s">
        <v>105</v>
      </c>
      <c r="D1971" s="312" t="s">
        <v>746</v>
      </c>
      <c r="E1971" s="312" t="s">
        <v>107</v>
      </c>
      <c r="F1971" s="312">
        <v>1825</v>
      </c>
      <c r="G1971" s="312" t="s">
        <v>108</v>
      </c>
      <c r="H1971" s="312">
        <v>1827</v>
      </c>
      <c r="I1971" s="312" t="s">
        <v>107</v>
      </c>
      <c r="J1971" s="312">
        <v>1913</v>
      </c>
      <c r="K1971" s="312" t="s">
        <v>109</v>
      </c>
    </row>
    <row r="1972" spans="1:11">
      <c r="A1972" s="312" t="s">
        <v>4231</v>
      </c>
      <c r="B1972" s="312" t="s">
        <v>4232</v>
      </c>
      <c r="C1972" s="312" t="s">
        <v>105</v>
      </c>
      <c r="D1972" s="312" t="s">
        <v>184</v>
      </c>
      <c r="E1972" s="312" t="s">
        <v>107</v>
      </c>
      <c r="F1972" s="312">
        <v>1825</v>
      </c>
      <c r="G1972" s="312" t="s">
        <v>108</v>
      </c>
      <c r="H1972" s="312">
        <v>1827</v>
      </c>
      <c r="I1972" s="312" t="s">
        <v>107</v>
      </c>
      <c r="J1972" s="312">
        <v>1913</v>
      </c>
      <c r="K1972" s="312" t="s">
        <v>109</v>
      </c>
    </row>
    <row r="1973" spans="1:11">
      <c r="A1973" s="312" t="s">
        <v>4233</v>
      </c>
      <c r="B1973" s="312" t="s">
        <v>4234</v>
      </c>
      <c r="C1973" s="312" t="s">
        <v>105</v>
      </c>
      <c r="D1973" s="312" t="s">
        <v>480</v>
      </c>
      <c r="E1973" s="312" t="s">
        <v>107</v>
      </c>
      <c r="F1973" s="312">
        <v>1825</v>
      </c>
      <c r="G1973" s="312" t="s">
        <v>108</v>
      </c>
      <c r="H1973" s="312">
        <v>1827</v>
      </c>
      <c r="I1973" s="312" t="s">
        <v>107</v>
      </c>
      <c r="J1973" s="312">
        <v>1913</v>
      </c>
      <c r="K1973" s="312" t="s">
        <v>109</v>
      </c>
    </row>
    <row r="1974" spans="1:11">
      <c r="A1974" s="312" t="s">
        <v>4235</v>
      </c>
      <c r="B1974" s="312" t="s">
        <v>4236</v>
      </c>
      <c r="C1974" s="312" t="s">
        <v>105</v>
      </c>
      <c r="D1974" s="312" t="s">
        <v>252</v>
      </c>
      <c r="E1974" s="312" t="s">
        <v>167</v>
      </c>
      <c r="F1974" s="312">
        <v>1705</v>
      </c>
      <c r="G1974" s="312" t="s">
        <v>168</v>
      </c>
      <c r="H1974" s="312">
        <v>1707</v>
      </c>
      <c r="I1974" s="312" t="s">
        <v>167</v>
      </c>
      <c r="J1974" s="312">
        <v>1899</v>
      </c>
      <c r="K1974" s="312" t="s">
        <v>169</v>
      </c>
    </row>
    <row r="1975" spans="1:11">
      <c r="A1975" s="312" t="s">
        <v>4237</v>
      </c>
      <c r="B1975" s="312" t="s">
        <v>4238</v>
      </c>
      <c r="C1975" s="312" t="s">
        <v>105</v>
      </c>
      <c r="D1975" s="312" t="s">
        <v>556</v>
      </c>
      <c r="E1975" s="312" t="s">
        <v>107</v>
      </c>
      <c r="F1975" s="312">
        <v>1825</v>
      </c>
      <c r="G1975" s="312" t="s">
        <v>108</v>
      </c>
      <c r="H1975" s="312">
        <v>1827</v>
      </c>
      <c r="I1975" s="312" t="s">
        <v>107</v>
      </c>
      <c r="J1975" s="312">
        <v>1913</v>
      </c>
      <c r="K1975" s="312" t="s">
        <v>109</v>
      </c>
    </row>
    <row r="1976" spans="1:11">
      <c r="A1976" s="312" t="s">
        <v>4239</v>
      </c>
      <c r="B1976" s="312" t="s">
        <v>4240</v>
      </c>
      <c r="C1976" s="312" t="s">
        <v>105</v>
      </c>
      <c r="D1976" s="312" t="s">
        <v>2783</v>
      </c>
      <c r="E1976" s="312" t="s">
        <v>107</v>
      </c>
      <c r="F1976" s="312">
        <v>1825</v>
      </c>
      <c r="G1976" s="312" t="s">
        <v>108</v>
      </c>
      <c r="H1976" s="312">
        <v>1827</v>
      </c>
      <c r="I1976" s="312" t="s">
        <v>107</v>
      </c>
      <c r="J1976" s="312">
        <v>1913</v>
      </c>
      <c r="K1976" s="312" t="s">
        <v>109</v>
      </c>
    </row>
    <row r="1977" spans="1:11">
      <c r="A1977" s="312" t="s">
        <v>4241</v>
      </c>
      <c r="B1977" s="312" t="s">
        <v>4242</v>
      </c>
      <c r="C1977" s="312" t="s">
        <v>105</v>
      </c>
      <c r="D1977" s="312" t="s">
        <v>769</v>
      </c>
      <c r="E1977" s="312" t="s">
        <v>107</v>
      </c>
      <c r="F1977" s="312">
        <v>1825</v>
      </c>
      <c r="G1977" s="312" t="s">
        <v>108</v>
      </c>
      <c r="H1977" s="312">
        <v>1827</v>
      </c>
      <c r="I1977" s="312" t="s">
        <v>107</v>
      </c>
      <c r="J1977" s="312">
        <v>1913</v>
      </c>
      <c r="K1977" s="312" t="s">
        <v>109</v>
      </c>
    </row>
    <row r="1978" spans="1:11">
      <c r="A1978" s="312" t="s">
        <v>4243</v>
      </c>
      <c r="B1978" s="312" t="s">
        <v>4244</v>
      </c>
      <c r="C1978" s="312" t="s">
        <v>105</v>
      </c>
      <c r="D1978" s="312" t="s">
        <v>114</v>
      </c>
      <c r="E1978" s="312" t="s">
        <v>107</v>
      </c>
      <c r="F1978" s="312">
        <v>1825</v>
      </c>
      <c r="G1978" s="312" t="s">
        <v>108</v>
      </c>
      <c r="H1978" s="312">
        <v>1827</v>
      </c>
      <c r="I1978" s="312" t="s">
        <v>107</v>
      </c>
      <c r="J1978" s="312">
        <v>1913</v>
      </c>
      <c r="K1978" s="312" t="s">
        <v>109</v>
      </c>
    </row>
    <row r="1979" spans="1:11">
      <c r="A1979" s="312" t="s">
        <v>4245</v>
      </c>
      <c r="B1979" s="312" t="s">
        <v>4246</v>
      </c>
      <c r="C1979" s="312" t="s">
        <v>105</v>
      </c>
      <c r="D1979" s="312" t="s">
        <v>404</v>
      </c>
      <c r="E1979" s="312" t="s">
        <v>107</v>
      </c>
      <c r="F1979" s="312">
        <v>1825</v>
      </c>
      <c r="G1979" s="312" t="s">
        <v>108</v>
      </c>
      <c r="H1979" s="312">
        <v>1827</v>
      </c>
      <c r="I1979" s="312" t="s">
        <v>107</v>
      </c>
      <c r="J1979" s="312">
        <v>1913</v>
      </c>
      <c r="K1979" s="312" t="s">
        <v>109</v>
      </c>
    </row>
    <row r="1980" spans="1:11">
      <c r="A1980" s="312" t="s">
        <v>4247</v>
      </c>
      <c r="B1980" s="312" t="s">
        <v>4248</v>
      </c>
      <c r="C1980" s="312" t="s">
        <v>105</v>
      </c>
      <c r="D1980" s="312" t="s">
        <v>1288</v>
      </c>
      <c r="E1980" s="312" t="s">
        <v>107</v>
      </c>
      <c r="F1980" s="312">
        <v>1825</v>
      </c>
      <c r="G1980" s="312" t="s">
        <v>108</v>
      </c>
      <c r="H1980" s="312">
        <v>1827</v>
      </c>
      <c r="I1980" s="312" t="s">
        <v>107</v>
      </c>
      <c r="J1980" s="312">
        <v>1913</v>
      </c>
      <c r="K1980" s="312" t="s">
        <v>109</v>
      </c>
    </row>
    <row r="1981" spans="1:11">
      <c r="A1981" s="312" t="s">
        <v>4249</v>
      </c>
      <c r="B1981" s="312" t="s">
        <v>4250</v>
      </c>
      <c r="C1981" s="312" t="s">
        <v>105</v>
      </c>
      <c r="D1981" s="312" t="s">
        <v>404</v>
      </c>
      <c r="E1981" s="312" t="s">
        <v>107</v>
      </c>
      <c r="F1981" s="312">
        <v>1825</v>
      </c>
      <c r="G1981" s="312" t="s">
        <v>108</v>
      </c>
      <c r="H1981" s="312">
        <v>1827</v>
      </c>
      <c r="I1981" s="312" t="s">
        <v>107</v>
      </c>
      <c r="J1981" s="312">
        <v>1913</v>
      </c>
      <c r="K1981" s="312" t="s">
        <v>109</v>
      </c>
    </row>
    <row r="1982" spans="1:11">
      <c r="A1982" s="312" t="s">
        <v>4251</v>
      </c>
      <c r="B1982" s="312" t="s">
        <v>4252</v>
      </c>
      <c r="C1982" s="312" t="s">
        <v>105</v>
      </c>
      <c r="D1982" s="312" t="s">
        <v>114</v>
      </c>
      <c r="E1982" s="312" t="s">
        <v>107</v>
      </c>
      <c r="F1982" s="312">
        <v>1825</v>
      </c>
      <c r="G1982" s="312" t="s">
        <v>108</v>
      </c>
      <c r="H1982" s="312">
        <v>1827</v>
      </c>
      <c r="I1982" s="312" t="s">
        <v>107</v>
      </c>
      <c r="J1982" s="312">
        <v>1913</v>
      </c>
      <c r="K1982" s="312" t="s">
        <v>109</v>
      </c>
    </row>
    <row r="1983" spans="1:11">
      <c r="A1983" s="312" t="s">
        <v>4253</v>
      </c>
      <c r="B1983" s="312" t="s">
        <v>4254</v>
      </c>
      <c r="C1983" s="312" t="s">
        <v>105</v>
      </c>
      <c r="D1983" s="312" t="s">
        <v>404</v>
      </c>
      <c r="E1983" s="312" t="s">
        <v>107</v>
      </c>
      <c r="F1983" s="312">
        <v>1825</v>
      </c>
      <c r="G1983" s="312" t="s">
        <v>108</v>
      </c>
      <c r="H1983" s="312">
        <v>1827</v>
      </c>
      <c r="I1983" s="312" t="s">
        <v>107</v>
      </c>
      <c r="J1983" s="312">
        <v>1913</v>
      </c>
      <c r="K1983" s="312" t="s">
        <v>109</v>
      </c>
    </row>
    <row r="1984" spans="1:11">
      <c r="A1984" s="312" t="s">
        <v>4255</v>
      </c>
      <c r="B1984" s="312" t="s">
        <v>4256</v>
      </c>
      <c r="C1984" s="312" t="s">
        <v>105</v>
      </c>
      <c r="D1984" s="312" t="s">
        <v>404</v>
      </c>
      <c r="E1984" s="312" t="s">
        <v>107</v>
      </c>
      <c r="F1984" s="312">
        <v>1825</v>
      </c>
      <c r="G1984" s="312" t="s">
        <v>108</v>
      </c>
      <c r="H1984" s="312">
        <v>1827</v>
      </c>
      <c r="I1984" s="312" t="s">
        <v>107</v>
      </c>
      <c r="J1984" s="312">
        <v>1913</v>
      </c>
      <c r="K1984" s="312" t="s">
        <v>109</v>
      </c>
    </row>
    <row r="1985" spans="1:11">
      <c r="A1985" s="312" t="s">
        <v>4257</v>
      </c>
      <c r="B1985" s="312" t="s">
        <v>4258</v>
      </c>
      <c r="C1985" s="312" t="s">
        <v>105</v>
      </c>
      <c r="D1985" s="312" t="s">
        <v>404</v>
      </c>
      <c r="E1985" s="312" t="s">
        <v>107</v>
      </c>
      <c r="F1985" s="312">
        <v>1825</v>
      </c>
      <c r="G1985" s="312" t="s">
        <v>108</v>
      </c>
      <c r="H1985" s="312">
        <v>1827</v>
      </c>
      <c r="I1985" s="312" t="s">
        <v>107</v>
      </c>
      <c r="J1985" s="312">
        <v>1913</v>
      </c>
      <c r="K1985" s="312" t="s">
        <v>109</v>
      </c>
    </row>
    <row r="1986" spans="1:11">
      <c r="A1986" s="312" t="s">
        <v>4259</v>
      </c>
      <c r="B1986" s="312" t="s">
        <v>4260</v>
      </c>
      <c r="C1986" s="312" t="s">
        <v>105</v>
      </c>
      <c r="D1986" s="312" t="s">
        <v>404</v>
      </c>
      <c r="E1986" s="312" t="s">
        <v>107</v>
      </c>
      <c r="F1986" s="312">
        <v>1825</v>
      </c>
      <c r="G1986" s="312" t="s">
        <v>108</v>
      </c>
      <c r="H1986" s="312">
        <v>1827</v>
      </c>
      <c r="I1986" s="312" t="s">
        <v>107</v>
      </c>
      <c r="J1986" s="312">
        <v>1913</v>
      </c>
      <c r="K1986" s="312" t="s">
        <v>109</v>
      </c>
    </row>
    <row r="1987" spans="1:11">
      <c r="A1987" s="312" t="s">
        <v>4261</v>
      </c>
      <c r="B1987" s="312" t="s">
        <v>4262</v>
      </c>
      <c r="C1987" s="312" t="s">
        <v>105</v>
      </c>
      <c r="D1987" s="312" t="s">
        <v>114</v>
      </c>
      <c r="E1987" s="312" t="s">
        <v>107</v>
      </c>
      <c r="F1987" s="312">
        <v>1825</v>
      </c>
      <c r="G1987" s="312" t="s">
        <v>108</v>
      </c>
      <c r="H1987" s="312">
        <v>1827</v>
      </c>
      <c r="I1987" s="312" t="s">
        <v>107</v>
      </c>
      <c r="J1987" s="312">
        <v>1913</v>
      </c>
      <c r="K1987" s="312" t="s">
        <v>109</v>
      </c>
    </row>
    <row r="1988" spans="1:11">
      <c r="A1988" s="312" t="s">
        <v>4263</v>
      </c>
      <c r="B1988" s="312" t="s">
        <v>4264</v>
      </c>
      <c r="C1988" s="312" t="s">
        <v>105</v>
      </c>
      <c r="D1988" s="312" t="s">
        <v>114</v>
      </c>
      <c r="E1988" s="312" t="s">
        <v>107</v>
      </c>
      <c r="F1988" s="312">
        <v>1825</v>
      </c>
      <c r="G1988" s="312" t="s">
        <v>108</v>
      </c>
      <c r="H1988" s="312">
        <v>1827</v>
      </c>
      <c r="I1988" s="312" t="s">
        <v>107</v>
      </c>
      <c r="J1988" s="312">
        <v>1913</v>
      </c>
      <c r="K1988" s="312" t="s">
        <v>109</v>
      </c>
    </row>
    <row r="1989" spans="1:11">
      <c r="A1989" s="312" t="s">
        <v>4265</v>
      </c>
      <c r="B1989" s="312" t="s">
        <v>4266</v>
      </c>
      <c r="C1989" s="312" t="s">
        <v>105</v>
      </c>
      <c r="D1989" s="312" t="s">
        <v>404</v>
      </c>
      <c r="E1989" s="312" t="s">
        <v>107</v>
      </c>
      <c r="F1989" s="312">
        <v>1825</v>
      </c>
      <c r="G1989" s="312" t="s">
        <v>108</v>
      </c>
      <c r="H1989" s="312">
        <v>1827</v>
      </c>
      <c r="I1989" s="312" t="s">
        <v>107</v>
      </c>
      <c r="J1989" s="312">
        <v>1913</v>
      </c>
      <c r="K1989" s="312" t="s">
        <v>109</v>
      </c>
    </row>
    <row r="1990" spans="1:11">
      <c r="A1990" s="312" t="s">
        <v>4267</v>
      </c>
      <c r="B1990" s="312" t="s">
        <v>4268</v>
      </c>
      <c r="C1990" s="312" t="s">
        <v>105</v>
      </c>
      <c r="D1990" s="312" t="s">
        <v>517</v>
      </c>
      <c r="E1990" s="312" t="s">
        <v>107</v>
      </c>
      <c r="F1990" s="312">
        <v>1825</v>
      </c>
      <c r="G1990" s="312" t="s">
        <v>108</v>
      </c>
      <c r="H1990" s="312">
        <v>1827</v>
      </c>
      <c r="I1990" s="312" t="s">
        <v>107</v>
      </c>
      <c r="J1990" s="312">
        <v>1913</v>
      </c>
      <c r="K1990" s="312" t="s">
        <v>109</v>
      </c>
    </row>
    <row r="1991" spans="1:11">
      <c r="A1991" s="312" t="s">
        <v>4269</v>
      </c>
      <c r="B1991" s="312" t="s">
        <v>4270</v>
      </c>
      <c r="C1991" s="312" t="s">
        <v>105</v>
      </c>
      <c r="D1991" s="312" t="s">
        <v>536</v>
      </c>
      <c r="E1991" s="312" t="s">
        <v>107</v>
      </c>
      <c r="F1991" s="312">
        <v>1825</v>
      </c>
      <c r="G1991" s="312" t="s">
        <v>108</v>
      </c>
      <c r="H1991" s="312">
        <v>1827</v>
      </c>
      <c r="I1991" s="312" t="s">
        <v>107</v>
      </c>
      <c r="J1991" s="312">
        <v>1913</v>
      </c>
      <c r="K1991" s="312" t="s">
        <v>109</v>
      </c>
    </row>
    <row r="1992" spans="1:11">
      <c r="A1992" s="312" t="s">
        <v>4271</v>
      </c>
      <c r="B1992" s="312" t="s">
        <v>4272</v>
      </c>
      <c r="C1992" s="312" t="s">
        <v>105</v>
      </c>
      <c r="D1992" s="312" t="s">
        <v>483</v>
      </c>
      <c r="E1992" s="312" t="s">
        <v>466</v>
      </c>
      <c r="F1992" s="312">
        <v>1796</v>
      </c>
      <c r="G1992" s="312" t="s">
        <v>467</v>
      </c>
      <c r="H1992" s="312">
        <v>1799</v>
      </c>
      <c r="I1992" s="312" t="s">
        <v>466</v>
      </c>
      <c r="J1992" s="312">
        <v>1918</v>
      </c>
      <c r="K1992" s="312" t="s">
        <v>468</v>
      </c>
    </row>
    <row r="1993" spans="1:11">
      <c r="A1993" s="312" t="s">
        <v>4273</v>
      </c>
      <c r="B1993" s="312" t="s">
        <v>4274</v>
      </c>
      <c r="C1993" s="312" t="s">
        <v>105</v>
      </c>
      <c r="D1993" s="312" t="s">
        <v>483</v>
      </c>
      <c r="E1993" s="312" t="s">
        <v>466</v>
      </c>
      <c r="F1993" s="312">
        <v>1796</v>
      </c>
      <c r="G1993" s="312" t="s">
        <v>467</v>
      </c>
      <c r="H1993" s="312">
        <v>1799</v>
      </c>
      <c r="I1993" s="312" t="s">
        <v>466</v>
      </c>
      <c r="J1993" s="312">
        <v>1918</v>
      </c>
      <c r="K1993" s="312" t="s">
        <v>468</v>
      </c>
    </row>
    <row r="1994" spans="1:11">
      <c r="A1994" s="312" t="s">
        <v>4275</v>
      </c>
      <c r="B1994" s="312" t="s">
        <v>4276</v>
      </c>
      <c r="C1994" s="312" t="s">
        <v>105</v>
      </c>
      <c r="D1994" s="312" t="s">
        <v>517</v>
      </c>
      <c r="E1994" s="312" t="s">
        <v>107</v>
      </c>
      <c r="F1994" s="312">
        <v>1825</v>
      </c>
      <c r="G1994" s="312" t="s">
        <v>108</v>
      </c>
      <c r="H1994" s="312">
        <v>1827</v>
      </c>
      <c r="I1994" s="312" t="s">
        <v>107</v>
      </c>
      <c r="J1994" s="312">
        <v>1913</v>
      </c>
      <c r="K1994" s="312" t="s">
        <v>109</v>
      </c>
    </row>
    <row r="1995" spans="1:11">
      <c r="A1995" s="312" t="s">
        <v>4277</v>
      </c>
      <c r="B1995" s="312" t="s">
        <v>4278</v>
      </c>
      <c r="C1995" s="312" t="s">
        <v>105</v>
      </c>
      <c r="D1995" s="312" t="s">
        <v>587</v>
      </c>
      <c r="E1995" s="312" t="s">
        <v>107</v>
      </c>
      <c r="F1995" s="312">
        <v>1825</v>
      </c>
      <c r="G1995" s="312" t="s">
        <v>108</v>
      </c>
      <c r="H1995" s="312">
        <v>1827</v>
      </c>
      <c r="I1995" s="312" t="s">
        <v>107</v>
      </c>
      <c r="J1995" s="312">
        <v>1913</v>
      </c>
      <c r="K1995" s="312" t="s">
        <v>109</v>
      </c>
    </row>
    <row r="1996" spans="1:11">
      <c r="A1996" s="312" t="s">
        <v>4279</v>
      </c>
      <c r="B1996" s="312" t="s">
        <v>4280</v>
      </c>
      <c r="C1996" s="312" t="s">
        <v>105</v>
      </c>
      <c r="D1996" s="312" t="s">
        <v>517</v>
      </c>
      <c r="E1996" s="312" t="s">
        <v>107</v>
      </c>
      <c r="F1996" s="312">
        <v>1825</v>
      </c>
      <c r="G1996" s="312" t="s">
        <v>108</v>
      </c>
      <c r="H1996" s="312">
        <v>1827</v>
      </c>
      <c r="I1996" s="312" t="s">
        <v>107</v>
      </c>
      <c r="J1996" s="312">
        <v>1913</v>
      </c>
      <c r="K1996" s="312" t="s">
        <v>109</v>
      </c>
    </row>
    <row r="1997" spans="1:11">
      <c r="A1997" s="312" t="s">
        <v>4281</v>
      </c>
      <c r="B1997" s="312" t="s">
        <v>4282</v>
      </c>
      <c r="C1997" s="312" t="s">
        <v>105</v>
      </c>
      <c r="D1997" s="312" t="s">
        <v>587</v>
      </c>
      <c r="E1997" s="312" t="s">
        <v>107</v>
      </c>
      <c r="F1997" s="312">
        <v>1825</v>
      </c>
      <c r="G1997" s="312" t="s">
        <v>108</v>
      </c>
      <c r="H1997" s="312">
        <v>1827</v>
      </c>
      <c r="I1997" s="312" t="s">
        <v>107</v>
      </c>
      <c r="J1997" s="312">
        <v>1913</v>
      </c>
      <c r="K1997" s="312" t="s">
        <v>109</v>
      </c>
    </row>
    <row r="1998" spans="1:11">
      <c r="A1998" s="312" t="s">
        <v>4283</v>
      </c>
      <c r="B1998" s="312" t="s">
        <v>4284</v>
      </c>
      <c r="C1998" s="312" t="s">
        <v>105</v>
      </c>
      <c r="D1998" s="312" t="s">
        <v>517</v>
      </c>
      <c r="E1998" s="312" t="s">
        <v>107</v>
      </c>
      <c r="F1998" s="312">
        <v>1825</v>
      </c>
      <c r="G1998" s="312" t="s">
        <v>108</v>
      </c>
      <c r="H1998" s="312">
        <v>1827</v>
      </c>
      <c r="I1998" s="312" t="s">
        <v>107</v>
      </c>
      <c r="J1998" s="312">
        <v>1913</v>
      </c>
      <c r="K1998" s="312" t="s">
        <v>109</v>
      </c>
    </row>
    <row r="1999" spans="1:11">
      <c r="A1999" s="312" t="s">
        <v>4285</v>
      </c>
      <c r="B1999" s="312" t="s">
        <v>4286</v>
      </c>
      <c r="C1999" s="312" t="s">
        <v>105</v>
      </c>
      <c r="D1999" s="312" t="s">
        <v>587</v>
      </c>
      <c r="E1999" s="312" t="s">
        <v>107</v>
      </c>
      <c r="F1999" s="312">
        <v>1825</v>
      </c>
      <c r="G1999" s="312" t="s">
        <v>108</v>
      </c>
      <c r="H1999" s="312">
        <v>1827</v>
      </c>
      <c r="I1999" s="312" t="s">
        <v>107</v>
      </c>
      <c r="J1999" s="312">
        <v>1913</v>
      </c>
      <c r="K1999" s="312" t="s">
        <v>109</v>
      </c>
    </row>
    <row r="2000" spans="1:11">
      <c r="A2000" s="312" t="s">
        <v>4287</v>
      </c>
      <c r="B2000" s="312" t="s">
        <v>4288</v>
      </c>
      <c r="C2000" s="312" t="s">
        <v>105</v>
      </c>
      <c r="D2000" s="312" t="s">
        <v>2285</v>
      </c>
      <c r="E2000" s="312" t="s">
        <v>107</v>
      </c>
      <c r="F2000" s="312">
        <v>1825</v>
      </c>
      <c r="G2000" s="312" t="s">
        <v>108</v>
      </c>
      <c r="H2000" s="312">
        <v>1827</v>
      </c>
      <c r="I2000" s="312" t="s">
        <v>107</v>
      </c>
      <c r="J2000" s="312">
        <v>1913</v>
      </c>
      <c r="K2000" s="312" t="s">
        <v>109</v>
      </c>
    </row>
    <row r="2001" spans="1:11">
      <c r="A2001" s="312" t="s">
        <v>4289</v>
      </c>
      <c r="B2001" s="312" t="s">
        <v>4290</v>
      </c>
      <c r="C2001" s="312" t="s">
        <v>105</v>
      </c>
      <c r="D2001" s="312" t="s">
        <v>517</v>
      </c>
      <c r="E2001" s="312" t="s">
        <v>107</v>
      </c>
      <c r="F2001" s="312">
        <v>1825</v>
      </c>
      <c r="G2001" s="312" t="s">
        <v>108</v>
      </c>
      <c r="H2001" s="312">
        <v>1827</v>
      </c>
      <c r="I2001" s="312" t="s">
        <v>107</v>
      </c>
      <c r="J2001" s="312">
        <v>1913</v>
      </c>
      <c r="K2001" s="312" t="s">
        <v>109</v>
      </c>
    </row>
    <row r="2002" spans="1:11">
      <c r="A2002" s="312" t="s">
        <v>4291</v>
      </c>
      <c r="B2002" s="312" t="s">
        <v>4292</v>
      </c>
      <c r="C2002" s="312" t="s">
        <v>105</v>
      </c>
      <c r="D2002" s="312" t="s">
        <v>517</v>
      </c>
      <c r="E2002" s="312" t="s">
        <v>107</v>
      </c>
      <c r="F2002" s="312">
        <v>1825</v>
      </c>
      <c r="G2002" s="312" t="s">
        <v>108</v>
      </c>
      <c r="H2002" s="312">
        <v>1827</v>
      </c>
      <c r="I2002" s="312" t="s">
        <v>107</v>
      </c>
      <c r="J2002" s="312">
        <v>1913</v>
      </c>
      <c r="K2002" s="312" t="s">
        <v>109</v>
      </c>
    </row>
    <row r="2003" spans="1:11">
      <c r="A2003" s="312" t="s">
        <v>4293</v>
      </c>
      <c r="B2003" s="312" t="s">
        <v>4294</v>
      </c>
      <c r="C2003" s="312" t="s">
        <v>105</v>
      </c>
      <c r="D2003" s="312" t="s">
        <v>891</v>
      </c>
      <c r="E2003" s="312" t="s">
        <v>107</v>
      </c>
      <c r="F2003" s="312">
        <v>1825</v>
      </c>
      <c r="G2003" s="312" t="s">
        <v>108</v>
      </c>
      <c r="H2003" s="312">
        <v>1827</v>
      </c>
      <c r="I2003" s="312" t="s">
        <v>107</v>
      </c>
      <c r="J2003" s="312">
        <v>1913</v>
      </c>
      <c r="K2003" s="312" t="s">
        <v>109</v>
      </c>
    </row>
    <row r="2004" spans="1:11">
      <c r="A2004" s="312" t="s">
        <v>4295</v>
      </c>
      <c r="B2004" s="312" t="s">
        <v>4296</v>
      </c>
      <c r="C2004" s="312" t="s">
        <v>105</v>
      </c>
      <c r="D2004" s="312" t="s">
        <v>600</v>
      </c>
      <c r="E2004" s="312" t="s">
        <v>107</v>
      </c>
      <c r="F2004" s="312">
        <v>1825</v>
      </c>
      <c r="G2004" s="312" t="s">
        <v>108</v>
      </c>
      <c r="H2004" s="312">
        <v>1827</v>
      </c>
      <c r="I2004" s="312" t="s">
        <v>107</v>
      </c>
      <c r="J2004" s="312">
        <v>1913</v>
      </c>
      <c r="K2004" s="312" t="s">
        <v>109</v>
      </c>
    </row>
    <row r="2005" spans="1:11">
      <c r="A2005" s="312" t="s">
        <v>4297</v>
      </c>
      <c r="B2005" s="312" t="s">
        <v>4298</v>
      </c>
      <c r="C2005" s="312" t="s">
        <v>105</v>
      </c>
      <c r="D2005" s="312" t="s">
        <v>483</v>
      </c>
      <c r="E2005" s="312" t="s">
        <v>107</v>
      </c>
      <c r="F2005" s="312">
        <v>1825</v>
      </c>
      <c r="G2005" s="312" t="s">
        <v>108</v>
      </c>
      <c r="H2005" s="312">
        <v>1827</v>
      </c>
      <c r="I2005" s="312" t="s">
        <v>107</v>
      </c>
      <c r="J2005" s="312">
        <v>1913</v>
      </c>
      <c r="K2005" s="312" t="s">
        <v>109</v>
      </c>
    </row>
    <row r="2006" spans="1:11">
      <c r="A2006" s="312" t="s">
        <v>4299</v>
      </c>
      <c r="B2006" s="312" t="s">
        <v>4300</v>
      </c>
      <c r="C2006" s="312" t="s">
        <v>105</v>
      </c>
      <c r="D2006" s="312" t="s">
        <v>352</v>
      </c>
      <c r="E2006" s="312" t="s">
        <v>466</v>
      </c>
      <c r="F2006" s="312">
        <v>1796</v>
      </c>
      <c r="G2006" s="312" t="s">
        <v>467</v>
      </c>
      <c r="H2006" s="312">
        <v>1799</v>
      </c>
      <c r="I2006" s="312" t="s">
        <v>466</v>
      </c>
      <c r="J2006" s="312">
        <v>1918</v>
      </c>
      <c r="K2006" s="312" t="s">
        <v>468</v>
      </c>
    </row>
    <row r="2007" spans="1:11">
      <c r="A2007" s="312" t="s">
        <v>4301</v>
      </c>
      <c r="B2007" s="312" t="s">
        <v>4302</v>
      </c>
      <c r="C2007" s="312" t="s">
        <v>105</v>
      </c>
      <c r="D2007" s="312" t="s">
        <v>352</v>
      </c>
      <c r="E2007" s="312" t="s">
        <v>466</v>
      </c>
      <c r="F2007" s="312">
        <v>1796</v>
      </c>
      <c r="G2007" s="312" t="s">
        <v>467</v>
      </c>
      <c r="H2007" s="312">
        <v>1799</v>
      </c>
      <c r="I2007" s="312" t="s">
        <v>466</v>
      </c>
      <c r="J2007" s="312">
        <v>1918</v>
      </c>
      <c r="K2007" s="312" t="s">
        <v>468</v>
      </c>
    </row>
    <row r="2008" spans="1:11">
      <c r="A2008" s="312" t="s">
        <v>4303</v>
      </c>
      <c r="B2008" s="312" t="s">
        <v>4304</v>
      </c>
      <c r="C2008" s="312" t="s">
        <v>105</v>
      </c>
      <c r="D2008" s="312" t="s">
        <v>1402</v>
      </c>
      <c r="E2008" s="312" t="s">
        <v>167</v>
      </c>
      <c r="F2008" s="312">
        <v>1705</v>
      </c>
      <c r="G2008" s="312" t="s">
        <v>168</v>
      </c>
      <c r="H2008" s="312">
        <v>1707</v>
      </c>
      <c r="I2008" s="312" t="s">
        <v>167</v>
      </c>
      <c r="J2008" s="312">
        <v>1899</v>
      </c>
      <c r="K2008" s="312" t="s">
        <v>169</v>
      </c>
    </row>
    <row r="2009" spans="1:11">
      <c r="A2009" s="312" t="s">
        <v>4305</v>
      </c>
      <c r="B2009" s="312" t="s">
        <v>4306</v>
      </c>
      <c r="C2009" s="312" t="s">
        <v>105</v>
      </c>
      <c r="D2009" s="312" t="s">
        <v>1402</v>
      </c>
      <c r="E2009" s="312" t="s">
        <v>167</v>
      </c>
      <c r="F2009" s="312">
        <v>1705</v>
      </c>
      <c r="G2009" s="312" t="s">
        <v>168</v>
      </c>
      <c r="H2009" s="312">
        <v>1707</v>
      </c>
      <c r="I2009" s="312" t="s">
        <v>167</v>
      </c>
      <c r="J2009" s="312">
        <v>1899</v>
      </c>
      <c r="K2009" s="312" t="s">
        <v>169</v>
      </c>
    </row>
    <row r="2010" spans="1:11">
      <c r="A2010" s="312" t="s">
        <v>4307</v>
      </c>
      <c r="B2010" s="312" t="s">
        <v>4308</v>
      </c>
      <c r="C2010" s="312" t="s">
        <v>105</v>
      </c>
      <c r="D2010" s="312" t="s">
        <v>1307</v>
      </c>
      <c r="E2010" s="312" t="s">
        <v>167</v>
      </c>
      <c r="F2010" s="312">
        <v>1705</v>
      </c>
      <c r="G2010" s="312" t="s">
        <v>168</v>
      </c>
      <c r="H2010" s="312">
        <v>1707</v>
      </c>
      <c r="I2010" s="312" t="s">
        <v>167</v>
      </c>
      <c r="J2010" s="312">
        <v>1899</v>
      </c>
      <c r="K2010" s="312" t="s">
        <v>169</v>
      </c>
    </row>
    <row r="2011" spans="1:11">
      <c r="A2011" s="312" t="s">
        <v>4309</v>
      </c>
      <c r="B2011" s="312" t="s">
        <v>4310</v>
      </c>
      <c r="C2011" s="312" t="s">
        <v>105</v>
      </c>
      <c r="D2011" s="312" t="s">
        <v>1307</v>
      </c>
      <c r="E2011" s="312" t="s">
        <v>167</v>
      </c>
      <c r="F2011" s="312">
        <v>1705</v>
      </c>
      <c r="G2011" s="312" t="s">
        <v>168</v>
      </c>
      <c r="H2011" s="312">
        <v>1707</v>
      </c>
      <c r="I2011" s="312" t="s">
        <v>167</v>
      </c>
      <c r="J2011" s="312">
        <v>1899</v>
      </c>
      <c r="K2011" s="312" t="s">
        <v>169</v>
      </c>
    </row>
    <row r="2012" spans="1:11">
      <c r="A2012" s="312" t="s">
        <v>4311</v>
      </c>
      <c r="B2012" s="312" t="s">
        <v>4312</v>
      </c>
      <c r="C2012" s="312" t="s">
        <v>105</v>
      </c>
      <c r="D2012" s="312" t="s">
        <v>1402</v>
      </c>
      <c r="E2012" s="312" t="s">
        <v>107</v>
      </c>
      <c r="F2012" s="312">
        <v>1825</v>
      </c>
      <c r="G2012" s="312" t="s">
        <v>108</v>
      </c>
      <c r="H2012" s="312">
        <v>1827</v>
      </c>
      <c r="I2012" s="312" t="s">
        <v>107</v>
      </c>
      <c r="J2012" s="312">
        <v>1913</v>
      </c>
      <c r="K2012" s="312" t="s">
        <v>109</v>
      </c>
    </row>
    <row r="2013" spans="1:11">
      <c r="A2013" s="312" t="s">
        <v>4313</v>
      </c>
      <c r="B2013" s="312" t="s">
        <v>4314</v>
      </c>
      <c r="C2013" s="312" t="s">
        <v>105</v>
      </c>
      <c r="D2013" s="312" t="s">
        <v>4315</v>
      </c>
      <c r="E2013" s="312" t="s">
        <v>167</v>
      </c>
      <c r="F2013" s="312">
        <v>1705</v>
      </c>
      <c r="G2013" s="312" t="s">
        <v>168</v>
      </c>
      <c r="H2013" s="312">
        <v>1707</v>
      </c>
      <c r="I2013" s="312" t="s">
        <v>167</v>
      </c>
      <c r="J2013" s="312">
        <v>1899</v>
      </c>
      <c r="K2013" s="312" t="s">
        <v>169</v>
      </c>
    </row>
    <row r="2014" spans="1:11">
      <c r="A2014" s="312" t="s">
        <v>4316</v>
      </c>
      <c r="B2014" s="1" t="s">
        <v>4317</v>
      </c>
      <c r="C2014" s="312" t="s">
        <v>105</v>
      </c>
      <c r="D2014" s="312" t="s">
        <v>4315</v>
      </c>
      <c r="E2014" s="312" t="s">
        <v>167</v>
      </c>
      <c r="F2014" s="312">
        <v>1705</v>
      </c>
      <c r="G2014" s="312" t="s">
        <v>168</v>
      </c>
      <c r="H2014" s="312">
        <v>1707</v>
      </c>
      <c r="I2014" s="312" t="s">
        <v>167</v>
      </c>
      <c r="J2014" s="312">
        <v>1899</v>
      </c>
      <c r="K2014" s="312" t="s">
        <v>169</v>
      </c>
    </row>
    <row r="2015" spans="1:11">
      <c r="A2015" s="312" t="s">
        <v>4318</v>
      </c>
      <c r="B2015" s="312" t="s">
        <v>4319</v>
      </c>
      <c r="C2015" s="312" t="s">
        <v>105</v>
      </c>
      <c r="D2015" s="312" t="s">
        <v>567</v>
      </c>
      <c r="E2015" s="312" t="s">
        <v>886</v>
      </c>
      <c r="F2015" s="312">
        <v>1857</v>
      </c>
      <c r="G2015" s="312" t="s">
        <v>887</v>
      </c>
      <c r="H2015" s="312">
        <v>1858</v>
      </c>
      <c r="I2015" s="312" t="s">
        <v>886</v>
      </c>
      <c r="J2015" s="312">
        <v>1924</v>
      </c>
      <c r="K2015" s="312" t="s">
        <v>888</v>
      </c>
    </row>
    <row r="2016" spans="1:11">
      <c r="A2016" s="312" t="s">
        <v>4320</v>
      </c>
      <c r="B2016" s="312" t="s">
        <v>4321</v>
      </c>
      <c r="C2016" s="312" t="s">
        <v>105</v>
      </c>
      <c r="D2016" s="312" t="s">
        <v>567</v>
      </c>
      <c r="E2016" s="312" t="s">
        <v>886</v>
      </c>
      <c r="F2016" s="312">
        <v>1857</v>
      </c>
      <c r="G2016" s="312" t="s">
        <v>887</v>
      </c>
      <c r="H2016" s="312">
        <v>1858</v>
      </c>
      <c r="I2016" s="312" t="s">
        <v>886</v>
      </c>
      <c r="J2016" s="312">
        <v>1924</v>
      </c>
      <c r="K2016" s="312" t="s">
        <v>888</v>
      </c>
    </row>
    <row r="2017" spans="1:11">
      <c r="A2017" s="312" t="s">
        <v>4322</v>
      </c>
      <c r="B2017" s="312" t="s">
        <v>4323</v>
      </c>
      <c r="C2017" s="312" t="s">
        <v>105</v>
      </c>
      <c r="D2017" s="312" t="s">
        <v>1402</v>
      </c>
      <c r="E2017" s="312" t="s">
        <v>167</v>
      </c>
      <c r="F2017" s="312">
        <v>1705</v>
      </c>
      <c r="G2017" s="312" t="s">
        <v>168</v>
      </c>
      <c r="H2017" s="312">
        <v>1707</v>
      </c>
      <c r="I2017" s="312" t="s">
        <v>167</v>
      </c>
      <c r="J2017" s="312">
        <v>1899</v>
      </c>
      <c r="K2017" s="312" t="s">
        <v>169</v>
      </c>
    </row>
    <row r="2018" spans="1:11">
      <c r="A2018" s="312" t="s">
        <v>4324</v>
      </c>
      <c r="B2018" s="312" t="s">
        <v>4325</v>
      </c>
      <c r="C2018" s="312" t="s">
        <v>105</v>
      </c>
      <c r="D2018" s="312" t="s">
        <v>1402</v>
      </c>
      <c r="E2018" s="312" t="s">
        <v>107</v>
      </c>
      <c r="F2018" s="312">
        <v>1825</v>
      </c>
      <c r="G2018" s="312" t="s">
        <v>108</v>
      </c>
      <c r="H2018" s="312">
        <v>1827</v>
      </c>
      <c r="I2018" s="312" t="s">
        <v>107</v>
      </c>
      <c r="J2018" s="312">
        <v>1913</v>
      </c>
      <c r="K2018" s="312" t="s">
        <v>109</v>
      </c>
    </row>
    <row r="2019" spans="1:11">
      <c r="A2019" s="312" t="s">
        <v>4326</v>
      </c>
      <c r="B2019" s="312" t="s">
        <v>4327</v>
      </c>
      <c r="C2019" s="312" t="s">
        <v>105</v>
      </c>
      <c r="D2019" s="312" t="s">
        <v>1402</v>
      </c>
      <c r="E2019" s="312" t="s">
        <v>107</v>
      </c>
      <c r="F2019" s="312">
        <v>1825</v>
      </c>
      <c r="G2019" s="312" t="s">
        <v>108</v>
      </c>
      <c r="H2019" s="312">
        <v>1827</v>
      </c>
      <c r="I2019" s="312" t="s">
        <v>107</v>
      </c>
      <c r="J2019" s="312">
        <v>1913</v>
      </c>
      <c r="K2019" s="312" t="s">
        <v>109</v>
      </c>
    </row>
    <row r="2020" spans="1:11">
      <c r="A2020" s="312" t="s">
        <v>4328</v>
      </c>
      <c r="B2020" s="312" t="s">
        <v>4329</v>
      </c>
      <c r="C2020" s="312" t="s">
        <v>105</v>
      </c>
      <c r="D2020" s="312" t="s">
        <v>556</v>
      </c>
      <c r="E2020" s="312" t="s">
        <v>107</v>
      </c>
      <c r="F2020" s="312">
        <v>1825</v>
      </c>
      <c r="G2020" s="312" t="s">
        <v>108</v>
      </c>
      <c r="H2020" s="312">
        <v>1827</v>
      </c>
      <c r="I2020" s="312" t="s">
        <v>107</v>
      </c>
      <c r="J2020" s="312">
        <v>1913</v>
      </c>
      <c r="K2020" s="312" t="s">
        <v>109</v>
      </c>
    </row>
    <row r="2021" spans="1:11">
      <c r="A2021" s="312" t="s">
        <v>4330</v>
      </c>
      <c r="B2021" s="312" t="s">
        <v>4331</v>
      </c>
      <c r="C2021" s="312" t="s">
        <v>105</v>
      </c>
      <c r="D2021" s="312" t="s">
        <v>556</v>
      </c>
      <c r="E2021" s="312" t="s">
        <v>107</v>
      </c>
      <c r="F2021" s="312">
        <v>1825</v>
      </c>
      <c r="G2021" s="312" t="s">
        <v>108</v>
      </c>
      <c r="H2021" s="312">
        <v>1827</v>
      </c>
      <c r="I2021" s="312" t="s">
        <v>107</v>
      </c>
      <c r="J2021" s="312">
        <v>1913</v>
      </c>
      <c r="K2021" s="312" t="s">
        <v>109</v>
      </c>
    </row>
    <row r="2022" spans="1:11">
      <c r="A2022" s="312" t="s">
        <v>4332</v>
      </c>
      <c r="B2022" s="312" t="s">
        <v>4333</v>
      </c>
      <c r="C2022" s="312" t="s">
        <v>105</v>
      </c>
      <c r="D2022" s="312" t="s">
        <v>312</v>
      </c>
      <c r="E2022" s="312" t="s">
        <v>107</v>
      </c>
      <c r="F2022" s="312">
        <v>1825</v>
      </c>
      <c r="G2022" s="312" t="s">
        <v>108</v>
      </c>
      <c r="H2022" s="312">
        <v>1827</v>
      </c>
      <c r="I2022" s="312" t="s">
        <v>107</v>
      </c>
      <c r="J2022" s="312">
        <v>1913</v>
      </c>
      <c r="K2022" s="312" t="s">
        <v>109</v>
      </c>
    </row>
    <row r="2023" spans="1:11">
      <c r="A2023" s="312" t="s">
        <v>4334</v>
      </c>
      <c r="B2023" s="312" t="s">
        <v>4335</v>
      </c>
      <c r="C2023" s="312" t="s">
        <v>105</v>
      </c>
      <c r="D2023" s="312" t="s">
        <v>327</v>
      </c>
      <c r="E2023" s="312" t="s">
        <v>167</v>
      </c>
      <c r="F2023" s="312">
        <v>1705</v>
      </c>
      <c r="G2023" s="312" t="s">
        <v>168</v>
      </c>
      <c r="H2023" s="312">
        <v>1707</v>
      </c>
      <c r="I2023" s="312" t="s">
        <v>167</v>
      </c>
      <c r="J2023" s="312">
        <v>1899</v>
      </c>
      <c r="K2023" s="312" t="s">
        <v>169</v>
      </c>
    </row>
    <row r="2024" spans="1:11">
      <c r="A2024" s="312" t="s">
        <v>4336</v>
      </c>
      <c r="B2024" s="312" t="s">
        <v>4337</v>
      </c>
      <c r="C2024" s="312" t="s">
        <v>105</v>
      </c>
      <c r="D2024" s="312" t="s">
        <v>3679</v>
      </c>
      <c r="E2024" s="312" t="s">
        <v>107</v>
      </c>
      <c r="F2024" s="312">
        <v>1825</v>
      </c>
      <c r="G2024" s="312" t="s">
        <v>108</v>
      </c>
      <c r="H2024" s="312">
        <v>1827</v>
      </c>
      <c r="I2024" s="312" t="s">
        <v>107</v>
      </c>
      <c r="J2024" s="312">
        <v>1913</v>
      </c>
      <c r="K2024" s="312" t="s">
        <v>109</v>
      </c>
    </row>
    <row r="2025" spans="1:11">
      <c r="A2025" s="312" t="s">
        <v>4338</v>
      </c>
      <c r="B2025" s="312" t="s">
        <v>4339</v>
      </c>
      <c r="C2025" s="312" t="s">
        <v>105</v>
      </c>
      <c r="D2025" s="312" t="s">
        <v>4340</v>
      </c>
      <c r="E2025" s="312" t="s">
        <v>107</v>
      </c>
      <c r="F2025" s="312">
        <v>1825</v>
      </c>
      <c r="G2025" s="312" t="s">
        <v>108</v>
      </c>
      <c r="H2025" s="312">
        <v>1827</v>
      </c>
      <c r="I2025" s="312" t="s">
        <v>107</v>
      </c>
      <c r="J2025" s="312">
        <v>1913</v>
      </c>
      <c r="K2025" s="312" t="s">
        <v>109</v>
      </c>
    </row>
    <row r="2026" spans="1:11">
      <c r="A2026" s="312" t="s">
        <v>4341</v>
      </c>
      <c r="B2026" s="312" t="s">
        <v>4342</v>
      </c>
      <c r="C2026" s="312" t="s">
        <v>105</v>
      </c>
      <c r="D2026" s="312" t="s">
        <v>252</v>
      </c>
      <c r="E2026" s="312" t="s">
        <v>167</v>
      </c>
      <c r="F2026" s="312">
        <v>1705</v>
      </c>
      <c r="G2026" s="312" t="s">
        <v>168</v>
      </c>
      <c r="H2026" s="312">
        <v>1707</v>
      </c>
      <c r="I2026" s="312" t="s">
        <v>167</v>
      </c>
      <c r="J2026" s="312">
        <v>1899</v>
      </c>
      <c r="K2026" s="312" t="s">
        <v>169</v>
      </c>
    </row>
    <row r="2027" spans="1:11">
      <c r="A2027" s="312" t="s">
        <v>4343</v>
      </c>
      <c r="B2027" s="312" t="s">
        <v>4344</v>
      </c>
      <c r="C2027" s="312" t="s">
        <v>105</v>
      </c>
      <c r="D2027" s="312" t="s">
        <v>252</v>
      </c>
      <c r="E2027" s="312" t="s">
        <v>167</v>
      </c>
      <c r="F2027" s="312">
        <v>1705</v>
      </c>
      <c r="G2027" s="312" t="s">
        <v>168</v>
      </c>
      <c r="H2027" s="312">
        <v>1707</v>
      </c>
      <c r="I2027" s="312" t="s">
        <v>167</v>
      </c>
      <c r="J2027" s="312">
        <v>1899</v>
      </c>
      <c r="K2027" s="312" t="s">
        <v>169</v>
      </c>
    </row>
    <row r="2028" spans="1:11">
      <c r="A2028" s="312" t="s">
        <v>4345</v>
      </c>
      <c r="B2028" s="312" t="s">
        <v>4346</v>
      </c>
      <c r="C2028" s="312" t="s">
        <v>105</v>
      </c>
      <c r="D2028" s="312" t="s">
        <v>252</v>
      </c>
      <c r="E2028" s="312" t="s">
        <v>167</v>
      </c>
      <c r="F2028" s="312">
        <v>1705</v>
      </c>
      <c r="G2028" s="312" t="s">
        <v>168</v>
      </c>
      <c r="H2028" s="312">
        <v>1707</v>
      </c>
      <c r="I2028" s="312" t="s">
        <v>167</v>
      </c>
      <c r="J2028" s="312">
        <v>1899</v>
      </c>
      <c r="K2028" s="312" t="s">
        <v>169</v>
      </c>
    </row>
    <row r="2029" spans="1:11">
      <c r="A2029" s="312" t="s">
        <v>4347</v>
      </c>
      <c r="B2029" s="312" t="s">
        <v>4348</v>
      </c>
      <c r="C2029" s="312" t="s">
        <v>105</v>
      </c>
      <c r="D2029" s="312" t="s">
        <v>891</v>
      </c>
      <c r="E2029" s="312" t="s">
        <v>107</v>
      </c>
      <c r="F2029" s="312">
        <v>1825</v>
      </c>
      <c r="G2029" s="312" t="s">
        <v>108</v>
      </c>
      <c r="H2029" s="312">
        <v>1827</v>
      </c>
      <c r="I2029" s="312" t="s">
        <v>107</v>
      </c>
      <c r="J2029" s="312">
        <v>1913</v>
      </c>
      <c r="K2029" s="312" t="s">
        <v>109</v>
      </c>
    </row>
    <row r="2030" spans="1:11">
      <c r="A2030" s="312" t="s">
        <v>4349</v>
      </c>
      <c r="B2030" s="312" t="s">
        <v>4350</v>
      </c>
      <c r="C2030" s="312" t="s">
        <v>105</v>
      </c>
      <c r="D2030" s="312" t="s">
        <v>891</v>
      </c>
      <c r="E2030" s="312" t="s">
        <v>107</v>
      </c>
      <c r="F2030" s="312">
        <v>1825</v>
      </c>
      <c r="G2030" s="312" t="s">
        <v>108</v>
      </c>
      <c r="H2030" s="312">
        <v>1827</v>
      </c>
      <c r="I2030" s="312" t="s">
        <v>107</v>
      </c>
      <c r="J2030" s="312">
        <v>1913</v>
      </c>
      <c r="K2030" s="312" t="s">
        <v>109</v>
      </c>
    </row>
    <row r="2031" spans="1:11">
      <c r="A2031" s="312" t="s">
        <v>4351</v>
      </c>
      <c r="B2031" s="312" t="s">
        <v>4352</v>
      </c>
      <c r="C2031" s="312" t="s">
        <v>105</v>
      </c>
      <c r="D2031" s="312" t="s">
        <v>891</v>
      </c>
      <c r="E2031" s="312" t="s">
        <v>466</v>
      </c>
      <c r="F2031" s="312">
        <v>1796</v>
      </c>
      <c r="G2031" s="312" t="s">
        <v>467</v>
      </c>
      <c r="H2031" s="312">
        <v>1799</v>
      </c>
      <c r="I2031" s="312" t="s">
        <v>466</v>
      </c>
      <c r="J2031" s="312">
        <v>1918</v>
      </c>
      <c r="K2031" s="312" t="s">
        <v>468</v>
      </c>
    </row>
    <row r="2032" spans="1:11">
      <c r="A2032" s="312" t="s">
        <v>4353</v>
      </c>
      <c r="B2032" s="312" t="s">
        <v>4354</v>
      </c>
      <c r="C2032" s="312" t="s">
        <v>105</v>
      </c>
      <c r="D2032" s="312" t="s">
        <v>891</v>
      </c>
      <c r="E2032" s="312" t="s">
        <v>466</v>
      </c>
      <c r="F2032" s="312">
        <v>1796</v>
      </c>
      <c r="G2032" s="312" t="s">
        <v>467</v>
      </c>
      <c r="H2032" s="312">
        <v>1799</v>
      </c>
      <c r="I2032" s="312" t="s">
        <v>466</v>
      </c>
      <c r="J2032" s="312">
        <v>1918</v>
      </c>
      <c r="K2032" s="312" t="s">
        <v>468</v>
      </c>
    </row>
    <row r="2033" spans="1:11">
      <c r="A2033" s="312" t="s">
        <v>4355</v>
      </c>
      <c r="B2033" s="312" t="s">
        <v>4356</v>
      </c>
      <c r="C2033" s="312" t="s">
        <v>105</v>
      </c>
      <c r="D2033" s="312" t="s">
        <v>891</v>
      </c>
      <c r="E2033" s="312" t="s">
        <v>466</v>
      </c>
      <c r="F2033" s="312">
        <v>1796</v>
      </c>
      <c r="G2033" s="312" t="s">
        <v>467</v>
      </c>
      <c r="H2033" s="312">
        <v>1799</v>
      </c>
      <c r="I2033" s="312" t="s">
        <v>466</v>
      </c>
      <c r="J2033" s="312">
        <v>1918</v>
      </c>
      <c r="K2033" s="312" t="s">
        <v>468</v>
      </c>
    </row>
    <row r="2034" spans="1:11">
      <c r="A2034" s="312" t="s">
        <v>4357</v>
      </c>
      <c r="B2034" s="312" t="s">
        <v>4358</v>
      </c>
      <c r="C2034" s="312" t="s">
        <v>105</v>
      </c>
      <c r="D2034" s="312" t="s">
        <v>891</v>
      </c>
      <c r="E2034" s="312" t="s">
        <v>466</v>
      </c>
      <c r="F2034" s="312">
        <v>1796</v>
      </c>
      <c r="G2034" s="312" t="s">
        <v>467</v>
      </c>
      <c r="H2034" s="312">
        <v>1799</v>
      </c>
      <c r="I2034" s="312" t="s">
        <v>466</v>
      </c>
      <c r="J2034" s="312">
        <v>1918</v>
      </c>
      <c r="K2034" s="312" t="s">
        <v>468</v>
      </c>
    </row>
    <row r="2035" spans="1:11">
      <c r="A2035" s="312" t="s">
        <v>4359</v>
      </c>
      <c r="B2035" s="312" t="s">
        <v>4360</v>
      </c>
      <c r="C2035" s="312" t="s">
        <v>105</v>
      </c>
      <c r="D2035" s="312" t="s">
        <v>891</v>
      </c>
      <c r="E2035" s="312" t="s">
        <v>107</v>
      </c>
      <c r="F2035" s="312">
        <v>1825</v>
      </c>
      <c r="G2035" s="312" t="s">
        <v>108</v>
      </c>
      <c r="H2035" s="312">
        <v>1827</v>
      </c>
      <c r="I2035" s="312" t="s">
        <v>107</v>
      </c>
      <c r="J2035" s="312">
        <v>1913</v>
      </c>
      <c r="K2035" s="312" t="s">
        <v>109</v>
      </c>
    </row>
    <row r="2036" spans="1:11">
      <c r="A2036" s="312" t="s">
        <v>4361</v>
      </c>
      <c r="B2036" s="312" t="s">
        <v>4362</v>
      </c>
      <c r="C2036" s="312" t="s">
        <v>105</v>
      </c>
      <c r="D2036" s="312" t="s">
        <v>891</v>
      </c>
      <c r="E2036" s="312" t="s">
        <v>107</v>
      </c>
      <c r="F2036" s="312">
        <v>1825</v>
      </c>
      <c r="G2036" s="312" t="s">
        <v>108</v>
      </c>
      <c r="H2036" s="312">
        <v>1827</v>
      </c>
      <c r="I2036" s="312" t="s">
        <v>107</v>
      </c>
      <c r="J2036" s="312">
        <v>1913</v>
      </c>
      <c r="K2036" s="312" t="s">
        <v>109</v>
      </c>
    </row>
    <row r="2037" spans="1:11">
      <c r="A2037" s="312" t="s">
        <v>4363</v>
      </c>
      <c r="B2037" s="312" t="s">
        <v>4364</v>
      </c>
      <c r="C2037" s="312" t="s">
        <v>105</v>
      </c>
      <c r="D2037" s="312" t="s">
        <v>891</v>
      </c>
      <c r="E2037" s="312" t="s">
        <v>107</v>
      </c>
      <c r="F2037" s="312">
        <v>1825</v>
      </c>
      <c r="G2037" s="312" t="s">
        <v>108</v>
      </c>
      <c r="H2037" s="312">
        <v>1827</v>
      </c>
      <c r="I2037" s="312" t="s">
        <v>107</v>
      </c>
      <c r="J2037" s="312">
        <v>1913</v>
      </c>
      <c r="K2037" s="312" t="s">
        <v>109</v>
      </c>
    </row>
    <row r="2038" spans="1:11">
      <c r="A2038" s="312" t="s">
        <v>4365</v>
      </c>
      <c r="B2038" s="312" t="s">
        <v>4366</v>
      </c>
      <c r="C2038" s="312" t="s">
        <v>105</v>
      </c>
      <c r="D2038" s="312" t="s">
        <v>891</v>
      </c>
      <c r="E2038" s="312" t="s">
        <v>107</v>
      </c>
      <c r="F2038" s="312">
        <v>1825</v>
      </c>
      <c r="G2038" s="312" t="s">
        <v>108</v>
      </c>
      <c r="H2038" s="312">
        <v>1827</v>
      </c>
      <c r="I2038" s="312" t="s">
        <v>107</v>
      </c>
      <c r="J2038" s="312">
        <v>1913</v>
      </c>
      <c r="K2038" s="312" t="s">
        <v>109</v>
      </c>
    </row>
    <row r="2039" spans="1:11">
      <c r="A2039" s="312" t="s">
        <v>4367</v>
      </c>
      <c r="B2039" s="312" t="s">
        <v>4368</v>
      </c>
      <c r="C2039" s="312" t="s">
        <v>105</v>
      </c>
      <c r="D2039" s="312" t="s">
        <v>891</v>
      </c>
      <c r="E2039" s="312" t="s">
        <v>466</v>
      </c>
      <c r="F2039" s="312">
        <v>1796</v>
      </c>
      <c r="G2039" s="312" t="s">
        <v>467</v>
      </c>
      <c r="H2039" s="312">
        <v>1799</v>
      </c>
      <c r="I2039" s="312" t="s">
        <v>466</v>
      </c>
      <c r="J2039" s="312">
        <v>1918</v>
      </c>
      <c r="K2039" s="312" t="s">
        <v>468</v>
      </c>
    </row>
    <row r="2040" spans="1:11">
      <c r="A2040" s="312" t="s">
        <v>4369</v>
      </c>
      <c r="B2040" s="312" t="s">
        <v>4370</v>
      </c>
      <c r="C2040" s="312" t="s">
        <v>105</v>
      </c>
      <c r="D2040" s="312" t="s">
        <v>891</v>
      </c>
      <c r="E2040" s="312" t="s">
        <v>107</v>
      </c>
      <c r="F2040" s="312">
        <v>1825</v>
      </c>
      <c r="G2040" s="312" t="s">
        <v>108</v>
      </c>
      <c r="H2040" s="312">
        <v>1827</v>
      </c>
      <c r="I2040" s="312" t="s">
        <v>107</v>
      </c>
      <c r="J2040" s="312">
        <v>1913</v>
      </c>
      <c r="K2040" s="312" t="s">
        <v>109</v>
      </c>
    </row>
    <row r="2041" spans="1:11">
      <c r="A2041" s="312" t="s">
        <v>4371</v>
      </c>
      <c r="B2041" s="312" t="s">
        <v>4372</v>
      </c>
      <c r="C2041" s="312" t="s">
        <v>105</v>
      </c>
      <c r="D2041" s="312" t="s">
        <v>891</v>
      </c>
      <c r="E2041" s="312" t="s">
        <v>107</v>
      </c>
      <c r="F2041" s="312">
        <v>1825</v>
      </c>
      <c r="G2041" s="312" t="s">
        <v>108</v>
      </c>
      <c r="H2041" s="312">
        <v>1827</v>
      </c>
      <c r="I2041" s="312" t="s">
        <v>107</v>
      </c>
      <c r="J2041" s="312">
        <v>1913</v>
      </c>
      <c r="K2041" s="312" t="s">
        <v>109</v>
      </c>
    </row>
    <row r="2042" spans="1:11">
      <c r="A2042" s="312" t="s">
        <v>4373</v>
      </c>
      <c r="B2042" s="312" t="s">
        <v>4374</v>
      </c>
      <c r="C2042" s="312" t="s">
        <v>105</v>
      </c>
      <c r="D2042" s="312" t="s">
        <v>891</v>
      </c>
      <c r="E2042" s="312" t="s">
        <v>107</v>
      </c>
      <c r="F2042" s="312">
        <v>1825</v>
      </c>
      <c r="G2042" s="312" t="s">
        <v>108</v>
      </c>
      <c r="H2042" s="312">
        <v>1827</v>
      </c>
      <c r="I2042" s="312" t="s">
        <v>107</v>
      </c>
      <c r="J2042" s="312">
        <v>1913</v>
      </c>
      <c r="K2042" s="312" t="s">
        <v>109</v>
      </c>
    </row>
    <row r="2043" spans="1:11">
      <c r="A2043" s="312" t="s">
        <v>4375</v>
      </c>
      <c r="B2043" s="312" t="s">
        <v>4376</v>
      </c>
      <c r="C2043" s="312" t="s">
        <v>105</v>
      </c>
      <c r="D2043" s="312" t="s">
        <v>891</v>
      </c>
      <c r="E2043" s="312" t="s">
        <v>107</v>
      </c>
      <c r="F2043" s="312">
        <v>1825</v>
      </c>
      <c r="G2043" s="312" t="s">
        <v>108</v>
      </c>
      <c r="H2043" s="312">
        <v>1827</v>
      </c>
      <c r="I2043" s="312" t="s">
        <v>107</v>
      </c>
      <c r="J2043" s="312">
        <v>1913</v>
      </c>
      <c r="K2043" s="312" t="s">
        <v>109</v>
      </c>
    </row>
    <row r="2044" spans="1:11">
      <c r="A2044" s="312" t="s">
        <v>4377</v>
      </c>
      <c r="B2044" s="312" t="s">
        <v>4378</v>
      </c>
      <c r="C2044" s="312" t="s">
        <v>105</v>
      </c>
      <c r="D2044" s="312" t="s">
        <v>512</v>
      </c>
      <c r="E2044" s="312" t="s">
        <v>167</v>
      </c>
      <c r="F2044" s="312">
        <v>1705</v>
      </c>
      <c r="G2044" s="312" t="s">
        <v>168</v>
      </c>
      <c r="H2044" s="312">
        <v>1707</v>
      </c>
      <c r="I2044" s="312" t="s">
        <v>167</v>
      </c>
      <c r="J2044" s="312">
        <v>1899</v>
      </c>
      <c r="K2044" s="312" t="s">
        <v>169</v>
      </c>
    </row>
    <row r="2045" spans="1:11">
      <c r="A2045" s="312" t="s">
        <v>4379</v>
      </c>
      <c r="B2045" s="312" t="s">
        <v>4380</v>
      </c>
      <c r="C2045" s="312" t="s">
        <v>105</v>
      </c>
      <c r="D2045" s="312" t="s">
        <v>512</v>
      </c>
      <c r="E2045" s="312" t="s">
        <v>167</v>
      </c>
      <c r="F2045" s="312">
        <v>1705</v>
      </c>
      <c r="G2045" s="312" t="s">
        <v>168</v>
      </c>
      <c r="H2045" s="312">
        <v>1707</v>
      </c>
      <c r="I2045" s="312" t="s">
        <v>167</v>
      </c>
      <c r="J2045" s="312">
        <v>1899</v>
      </c>
      <c r="K2045" s="312" t="s">
        <v>169</v>
      </c>
    </row>
    <row r="2046" spans="1:11">
      <c r="A2046" s="312" t="s">
        <v>4381</v>
      </c>
      <c r="B2046" s="312" t="s">
        <v>4382</v>
      </c>
      <c r="C2046" s="312" t="s">
        <v>105</v>
      </c>
      <c r="D2046" s="312" t="s">
        <v>201</v>
      </c>
      <c r="E2046" s="312" t="s">
        <v>107</v>
      </c>
      <c r="F2046" s="312">
        <v>1825</v>
      </c>
      <c r="G2046" s="312" t="s">
        <v>108</v>
      </c>
      <c r="H2046" s="312">
        <v>1827</v>
      </c>
      <c r="I2046" s="312" t="s">
        <v>107</v>
      </c>
      <c r="J2046" s="312">
        <v>1913</v>
      </c>
      <c r="K2046" s="312" t="s">
        <v>109</v>
      </c>
    </row>
    <row r="2047" spans="1:11">
      <c r="A2047" s="312" t="s">
        <v>4383</v>
      </c>
      <c r="B2047" s="312" t="s">
        <v>4384</v>
      </c>
      <c r="C2047" s="312" t="s">
        <v>105</v>
      </c>
      <c r="D2047" s="312" t="s">
        <v>201</v>
      </c>
      <c r="E2047" s="312" t="s">
        <v>107</v>
      </c>
      <c r="F2047" s="312">
        <v>1825</v>
      </c>
      <c r="G2047" s="312" t="s">
        <v>108</v>
      </c>
      <c r="H2047" s="312">
        <v>1827</v>
      </c>
      <c r="I2047" s="312" t="s">
        <v>107</v>
      </c>
      <c r="J2047" s="312">
        <v>1913</v>
      </c>
      <c r="K2047" s="312" t="s">
        <v>109</v>
      </c>
    </row>
    <row r="2048" spans="1:11">
      <c r="A2048" s="312" t="s">
        <v>4385</v>
      </c>
      <c r="B2048" s="312" t="s">
        <v>4386</v>
      </c>
      <c r="C2048" s="312" t="s">
        <v>105</v>
      </c>
      <c r="D2048" s="312" t="s">
        <v>4387</v>
      </c>
      <c r="E2048" s="312" t="s">
        <v>107</v>
      </c>
      <c r="F2048" s="312">
        <v>1825</v>
      </c>
      <c r="G2048" s="312" t="s">
        <v>108</v>
      </c>
      <c r="H2048" s="312">
        <v>1827</v>
      </c>
      <c r="I2048" s="312" t="s">
        <v>107</v>
      </c>
      <c r="J2048" s="312">
        <v>1913</v>
      </c>
      <c r="K2048" s="312" t="s">
        <v>109</v>
      </c>
    </row>
    <row r="2049" spans="1:11">
      <c r="A2049" s="312" t="s">
        <v>4388</v>
      </c>
      <c r="B2049" s="312" t="s">
        <v>4389</v>
      </c>
      <c r="C2049" s="312" t="s">
        <v>105</v>
      </c>
      <c r="D2049" s="312" t="s">
        <v>312</v>
      </c>
      <c r="E2049" s="312" t="s">
        <v>107</v>
      </c>
      <c r="F2049" s="312">
        <v>1825</v>
      </c>
      <c r="G2049" s="312" t="s">
        <v>108</v>
      </c>
      <c r="H2049" s="312">
        <v>1827</v>
      </c>
      <c r="I2049" s="312" t="s">
        <v>107</v>
      </c>
      <c r="J2049" s="312">
        <v>1913</v>
      </c>
      <c r="K2049" s="312" t="s">
        <v>109</v>
      </c>
    </row>
    <row r="2050" spans="1:11">
      <c r="A2050" s="312" t="s">
        <v>4390</v>
      </c>
      <c r="B2050" s="312" t="s">
        <v>4391</v>
      </c>
      <c r="C2050" s="312" t="s">
        <v>105</v>
      </c>
      <c r="D2050" s="312" t="s">
        <v>600</v>
      </c>
      <c r="E2050" s="312" t="s">
        <v>107</v>
      </c>
      <c r="F2050" s="312">
        <v>1825</v>
      </c>
      <c r="G2050" s="312" t="s">
        <v>108</v>
      </c>
      <c r="H2050" s="312">
        <v>1827</v>
      </c>
      <c r="I2050" s="312" t="s">
        <v>107</v>
      </c>
      <c r="J2050" s="312">
        <v>1913</v>
      </c>
      <c r="K2050" s="312" t="s">
        <v>109</v>
      </c>
    </row>
    <row r="2051" spans="1:11">
      <c r="A2051" s="312" t="s">
        <v>4392</v>
      </c>
      <c r="B2051" s="312" t="s">
        <v>4393</v>
      </c>
      <c r="C2051" s="312" t="s">
        <v>105</v>
      </c>
      <c r="D2051" s="312" t="s">
        <v>600</v>
      </c>
      <c r="E2051" s="312" t="s">
        <v>107</v>
      </c>
      <c r="F2051" s="312">
        <v>1825</v>
      </c>
      <c r="G2051" s="312" t="s">
        <v>108</v>
      </c>
      <c r="H2051" s="312">
        <v>1827</v>
      </c>
      <c r="I2051" s="312" t="s">
        <v>107</v>
      </c>
      <c r="J2051" s="312">
        <v>1913</v>
      </c>
      <c r="K2051" s="312" t="s">
        <v>109</v>
      </c>
    </row>
    <row r="2052" spans="1:11">
      <c r="A2052" s="312" t="s">
        <v>4394</v>
      </c>
      <c r="B2052" s="312" t="s">
        <v>4395</v>
      </c>
      <c r="C2052" s="312" t="s">
        <v>105</v>
      </c>
      <c r="D2052" s="312" t="s">
        <v>4387</v>
      </c>
      <c r="E2052" s="312" t="s">
        <v>107</v>
      </c>
      <c r="F2052" s="312">
        <v>1825</v>
      </c>
      <c r="G2052" s="312" t="s">
        <v>108</v>
      </c>
      <c r="H2052" s="312">
        <v>1827</v>
      </c>
      <c r="I2052" s="312" t="s">
        <v>107</v>
      </c>
      <c r="J2052" s="312">
        <v>1913</v>
      </c>
      <c r="K2052" s="312" t="s">
        <v>109</v>
      </c>
    </row>
    <row r="2053" spans="1:11">
      <c r="A2053" s="312" t="s">
        <v>4396</v>
      </c>
      <c r="B2053" s="312" t="s">
        <v>4397</v>
      </c>
      <c r="C2053" s="312" t="s">
        <v>105</v>
      </c>
      <c r="D2053" s="312" t="s">
        <v>600</v>
      </c>
      <c r="E2053" s="312" t="s">
        <v>107</v>
      </c>
      <c r="F2053" s="312">
        <v>1825</v>
      </c>
      <c r="G2053" s="312" t="s">
        <v>108</v>
      </c>
      <c r="H2053" s="312">
        <v>1827</v>
      </c>
      <c r="I2053" s="312" t="s">
        <v>107</v>
      </c>
      <c r="J2053" s="312">
        <v>1913</v>
      </c>
      <c r="K2053" s="312" t="s">
        <v>109</v>
      </c>
    </row>
    <row r="2054" spans="1:11">
      <c r="A2054" s="312" t="s">
        <v>4398</v>
      </c>
      <c r="B2054" s="312" t="s">
        <v>4399</v>
      </c>
      <c r="C2054" s="312" t="s">
        <v>105</v>
      </c>
      <c r="D2054" s="312" t="s">
        <v>600</v>
      </c>
      <c r="E2054" s="312" t="s">
        <v>107</v>
      </c>
      <c r="F2054" s="312">
        <v>1825</v>
      </c>
      <c r="G2054" s="312" t="s">
        <v>108</v>
      </c>
      <c r="H2054" s="312">
        <v>1827</v>
      </c>
      <c r="I2054" s="312" t="s">
        <v>107</v>
      </c>
      <c r="J2054" s="312">
        <v>1913</v>
      </c>
      <c r="K2054" s="312" t="s">
        <v>109</v>
      </c>
    </row>
    <row r="2055" spans="1:11">
      <c r="A2055" s="312" t="s">
        <v>4400</v>
      </c>
      <c r="B2055" s="312" t="s">
        <v>4401</v>
      </c>
      <c r="C2055" s="312" t="s">
        <v>105</v>
      </c>
      <c r="D2055" s="312" t="s">
        <v>114</v>
      </c>
      <c r="E2055" s="312" t="s">
        <v>107</v>
      </c>
      <c r="F2055" s="312">
        <v>1825</v>
      </c>
      <c r="G2055" s="312" t="s">
        <v>108</v>
      </c>
      <c r="H2055" s="312">
        <v>1827</v>
      </c>
      <c r="I2055" s="312" t="s">
        <v>107</v>
      </c>
      <c r="J2055" s="312">
        <v>1913</v>
      </c>
      <c r="K2055" s="312" t="s">
        <v>109</v>
      </c>
    </row>
    <row r="2056" spans="1:11">
      <c r="A2056" s="312" t="s">
        <v>4402</v>
      </c>
      <c r="B2056" s="312" t="s">
        <v>4403</v>
      </c>
      <c r="C2056" s="312" t="s">
        <v>105</v>
      </c>
      <c r="D2056" s="312" t="s">
        <v>858</v>
      </c>
      <c r="E2056" s="312" t="s">
        <v>107</v>
      </c>
      <c r="F2056" s="312">
        <v>1825</v>
      </c>
      <c r="G2056" s="312" t="s">
        <v>108</v>
      </c>
      <c r="H2056" s="312">
        <v>1827</v>
      </c>
      <c r="I2056" s="312" t="s">
        <v>107</v>
      </c>
      <c r="J2056" s="312">
        <v>1913</v>
      </c>
      <c r="K2056" s="312" t="s">
        <v>109</v>
      </c>
    </row>
    <row r="2057" spans="1:11">
      <c r="A2057" s="312" t="s">
        <v>4404</v>
      </c>
      <c r="B2057" s="312" t="s">
        <v>4405</v>
      </c>
      <c r="C2057" s="312" t="s">
        <v>105</v>
      </c>
      <c r="D2057" s="312" t="s">
        <v>739</v>
      </c>
      <c r="E2057" s="312" t="s">
        <v>696</v>
      </c>
      <c r="F2057" s="312">
        <v>1736</v>
      </c>
      <c r="G2057" s="312" t="s">
        <v>697</v>
      </c>
      <c r="H2057" s="312">
        <v>1741</v>
      </c>
      <c r="I2057" s="312" t="s">
        <v>696</v>
      </c>
      <c r="J2057" s="312">
        <v>1929</v>
      </c>
      <c r="K2057" s="312" t="s">
        <v>698</v>
      </c>
    </row>
    <row r="2058" spans="1:11">
      <c r="A2058" s="312" t="s">
        <v>4406</v>
      </c>
      <c r="B2058" s="312" t="s">
        <v>4407</v>
      </c>
      <c r="C2058" s="312" t="s">
        <v>105</v>
      </c>
      <c r="D2058" s="312" t="s">
        <v>114</v>
      </c>
      <c r="E2058" s="312" t="s">
        <v>107</v>
      </c>
      <c r="F2058" s="312">
        <v>1825</v>
      </c>
      <c r="G2058" s="312" t="s">
        <v>108</v>
      </c>
      <c r="H2058" s="312">
        <v>1827</v>
      </c>
      <c r="I2058" s="312" t="s">
        <v>107</v>
      </c>
      <c r="J2058" s="312">
        <v>1913</v>
      </c>
      <c r="K2058" s="312" t="s">
        <v>109</v>
      </c>
    </row>
    <row r="2059" spans="1:11">
      <c r="A2059" s="312" t="s">
        <v>4408</v>
      </c>
      <c r="B2059" s="312" t="s">
        <v>4409</v>
      </c>
      <c r="C2059" s="312" t="s">
        <v>105</v>
      </c>
      <c r="D2059" s="312" t="s">
        <v>114</v>
      </c>
      <c r="E2059" s="312" t="s">
        <v>107</v>
      </c>
      <c r="F2059" s="312">
        <v>1825</v>
      </c>
      <c r="G2059" s="312" t="s">
        <v>108</v>
      </c>
      <c r="H2059" s="312">
        <v>1827</v>
      </c>
      <c r="I2059" s="312" t="s">
        <v>107</v>
      </c>
      <c r="J2059" s="312">
        <v>1913</v>
      </c>
      <c r="K2059" s="312" t="s">
        <v>109</v>
      </c>
    </row>
    <row r="2060" spans="1:11">
      <c r="A2060" s="312" t="s">
        <v>4410</v>
      </c>
      <c r="B2060" s="312" t="s">
        <v>4411</v>
      </c>
      <c r="C2060" s="312" t="s">
        <v>105</v>
      </c>
      <c r="D2060" s="312" t="s">
        <v>117</v>
      </c>
      <c r="E2060" s="312" t="s">
        <v>107</v>
      </c>
      <c r="F2060" s="312">
        <v>1825</v>
      </c>
      <c r="G2060" s="312" t="s">
        <v>108</v>
      </c>
      <c r="H2060" s="312">
        <v>1827</v>
      </c>
      <c r="I2060" s="312" t="s">
        <v>107</v>
      </c>
      <c r="J2060" s="312">
        <v>1913</v>
      </c>
      <c r="K2060" s="312" t="s">
        <v>109</v>
      </c>
    </row>
    <row r="2061" spans="1:11">
      <c r="A2061" s="312" t="s">
        <v>4412</v>
      </c>
      <c r="B2061" s="312" t="s">
        <v>4413</v>
      </c>
      <c r="C2061" s="312" t="s">
        <v>105</v>
      </c>
      <c r="D2061" s="312" t="s">
        <v>114</v>
      </c>
      <c r="E2061" s="312" t="s">
        <v>107</v>
      </c>
      <c r="F2061" s="312">
        <v>1825</v>
      </c>
      <c r="G2061" s="312" t="s">
        <v>108</v>
      </c>
      <c r="H2061" s="312">
        <v>1827</v>
      </c>
      <c r="I2061" s="312" t="s">
        <v>107</v>
      </c>
      <c r="J2061" s="312">
        <v>1913</v>
      </c>
      <c r="K2061" s="312" t="s">
        <v>109</v>
      </c>
    </row>
    <row r="2062" spans="1:11">
      <c r="A2062" s="312" t="s">
        <v>4414</v>
      </c>
      <c r="B2062" s="312" t="s">
        <v>4415</v>
      </c>
      <c r="C2062" s="312" t="s">
        <v>105</v>
      </c>
      <c r="D2062" s="312" t="s">
        <v>114</v>
      </c>
      <c r="E2062" s="312" t="s">
        <v>107</v>
      </c>
      <c r="F2062" s="312">
        <v>1825</v>
      </c>
      <c r="G2062" s="312" t="s">
        <v>108</v>
      </c>
      <c r="H2062" s="312">
        <v>1827</v>
      </c>
      <c r="I2062" s="312" t="s">
        <v>107</v>
      </c>
      <c r="J2062" s="312">
        <v>1913</v>
      </c>
      <c r="K2062" s="312" t="s">
        <v>109</v>
      </c>
    </row>
    <row r="2063" spans="1:11">
      <c r="A2063" s="312" t="s">
        <v>4416</v>
      </c>
      <c r="B2063" s="312" t="s">
        <v>4417</v>
      </c>
      <c r="C2063" s="312" t="s">
        <v>105</v>
      </c>
      <c r="D2063" s="312" t="s">
        <v>117</v>
      </c>
      <c r="E2063" s="312" t="s">
        <v>107</v>
      </c>
      <c r="F2063" s="312">
        <v>1825</v>
      </c>
      <c r="G2063" s="312" t="s">
        <v>108</v>
      </c>
      <c r="H2063" s="312">
        <v>1827</v>
      </c>
      <c r="I2063" s="312" t="s">
        <v>107</v>
      </c>
      <c r="J2063" s="312">
        <v>1913</v>
      </c>
      <c r="K2063" s="312" t="s">
        <v>109</v>
      </c>
    </row>
    <row r="2064" spans="1:11">
      <c r="A2064" s="312" t="s">
        <v>4418</v>
      </c>
      <c r="B2064" s="312" t="s">
        <v>4419</v>
      </c>
      <c r="C2064" s="312" t="s">
        <v>105</v>
      </c>
      <c r="D2064" s="312" t="s">
        <v>106</v>
      </c>
      <c r="E2064" s="312" t="s">
        <v>107</v>
      </c>
      <c r="F2064" s="312">
        <v>1825</v>
      </c>
      <c r="G2064" s="312" t="s">
        <v>108</v>
      </c>
      <c r="H2064" s="312">
        <v>1827</v>
      </c>
      <c r="I2064" s="312" t="s">
        <v>107</v>
      </c>
      <c r="J2064" s="312">
        <v>1913</v>
      </c>
      <c r="K2064" s="312" t="s">
        <v>109</v>
      </c>
    </row>
    <row r="2065" spans="1:11">
      <c r="A2065" s="312" t="s">
        <v>4420</v>
      </c>
      <c r="B2065" s="312" t="s">
        <v>4421</v>
      </c>
      <c r="C2065" s="312" t="s">
        <v>105</v>
      </c>
      <c r="D2065" s="312" t="s">
        <v>576</v>
      </c>
      <c r="E2065" s="312" t="s">
        <v>107</v>
      </c>
      <c r="F2065" s="312">
        <v>1825</v>
      </c>
      <c r="G2065" s="312" t="s">
        <v>108</v>
      </c>
      <c r="H2065" s="312">
        <v>1827</v>
      </c>
      <c r="I2065" s="312" t="s">
        <v>107</v>
      </c>
      <c r="J2065" s="312">
        <v>1913</v>
      </c>
      <c r="K2065" s="312" t="s">
        <v>109</v>
      </c>
    </row>
    <row r="2066" spans="1:11">
      <c r="A2066" s="312" t="s">
        <v>4422</v>
      </c>
      <c r="B2066" s="312" t="s">
        <v>4423</v>
      </c>
      <c r="C2066" s="312" t="s">
        <v>105</v>
      </c>
      <c r="D2066" s="312" t="s">
        <v>573</v>
      </c>
      <c r="E2066" s="312" t="s">
        <v>107</v>
      </c>
      <c r="F2066" s="312">
        <v>1825</v>
      </c>
      <c r="G2066" s="312" t="s">
        <v>108</v>
      </c>
      <c r="H2066" s="312">
        <v>1827</v>
      </c>
      <c r="I2066" s="312" t="s">
        <v>107</v>
      </c>
      <c r="J2066" s="312">
        <v>1913</v>
      </c>
      <c r="K2066" s="312" t="s">
        <v>109</v>
      </c>
    </row>
    <row r="2067" spans="1:11">
      <c r="A2067" s="312" t="s">
        <v>4424</v>
      </c>
      <c r="B2067" s="312" t="s">
        <v>4425</v>
      </c>
      <c r="C2067" s="312" t="s">
        <v>105</v>
      </c>
      <c r="D2067" s="312" t="s">
        <v>576</v>
      </c>
      <c r="E2067" s="312" t="s">
        <v>107</v>
      </c>
      <c r="F2067" s="312">
        <v>1825</v>
      </c>
      <c r="G2067" s="312" t="s">
        <v>108</v>
      </c>
      <c r="H2067" s="312">
        <v>1827</v>
      </c>
      <c r="I2067" s="312" t="s">
        <v>107</v>
      </c>
      <c r="J2067" s="312">
        <v>1913</v>
      </c>
      <c r="K2067" s="312" t="s">
        <v>109</v>
      </c>
    </row>
    <row r="2068" spans="1:11">
      <c r="A2068" s="312" t="s">
        <v>4426</v>
      </c>
      <c r="B2068" s="312" t="s">
        <v>4427</v>
      </c>
      <c r="C2068" s="312" t="s">
        <v>105</v>
      </c>
      <c r="D2068" s="312" t="s">
        <v>573</v>
      </c>
      <c r="E2068" s="312" t="s">
        <v>107</v>
      </c>
      <c r="F2068" s="312">
        <v>1825</v>
      </c>
      <c r="G2068" s="312" t="s">
        <v>108</v>
      </c>
      <c r="H2068" s="312">
        <v>1827</v>
      </c>
      <c r="I2068" s="312" t="s">
        <v>107</v>
      </c>
      <c r="J2068" s="312">
        <v>1913</v>
      </c>
      <c r="K2068" s="312" t="s">
        <v>109</v>
      </c>
    </row>
    <row r="2069" spans="1:11">
      <c r="A2069" s="312" t="s">
        <v>4428</v>
      </c>
      <c r="B2069" s="312" t="s">
        <v>4429</v>
      </c>
      <c r="C2069" s="312" t="s">
        <v>105</v>
      </c>
      <c r="D2069" s="312" t="s">
        <v>573</v>
      </c>
      <c r="E2069" s="312" t="s">
        <v>107</v>
      </c>
      <c r="F2069" s="312">
        <v>1825</v>
      </c>
      <c r="G2069" s="312" t="s">
        <v>108</v>
      </c>
      <c r="H2069" s="312">
        <v>1827</v>
      </c>
      <c r="I2069" s="312" t="s">
        <v>107</v>
      </c>
      <c r="J2069" s="312">
        <v>1913</v>
      </c>
      <c r="K2069" s="312" t="s">
        <v>109</v>
      </c>
    </row>
    <row r="2070" spans="1:11">
      <c r="A2070" s="312" t="s">
        <v>4430</v>
      </c>
      <c r="B2070" s="312" t="s">
        <v>4431</v>
      </c>
      <c r="C2070" s="312" t="s">
        <v>105</v>
      </c>
      <c r="D2070" s="312" t="s">
        <v>252</v>
      </c>
      <c r="E2070" s="312" t="s">
        <v>167</v>
      </c>
      <c r="F2070" s="312">
        <v>1705</v>
      </c>
      <c r="G2070" s="312" t="s">
        <v>168</v>
      </c>
      <c r="H2070" s="312">
        <v>1707</v>
      </c>
      <c r="I2070" s="312" t="s">
        <v>167</v>
      </c>
      <c r="J2070" s="312">
        <v>1899</v>
      </c>
      <c r="K2070" s="312" t="s">
        <v>169</v>
      </c>
    </row>
    <row r="2071" spans="1:11">
      <c r="A2071" s="312" t="s">
        <v>4432</v>
      </c>
      <c r="B2071" s="312" t="s">
        <v>4433</v>
      </c>
      <c r="C2071" s="312" t="s">
        <v>105</v>
      </c>
      <c r="D2071" s="312" t="s">
        <v>848</v>
      </c>
      <c r="E2071" s="312" t="s">
        <v>684</v>
      </c>
      <c r="F2071" s="312">
        <v>1750</v>
      </c>
      <c r="G2071" s="312" t="s">
        <v>685</v>
      </c>
      <c r="H2071" s="312">
        <v>1754</v>
      </c>
      <c r="I2071" s="312" t="s">
        <v>684</v>
      </c>
      <c r="J2071" s="312">
        <v>1920</v>
      </c>
      <c r="K2071" s="312" t="s">
        <v>686</v>
      </c>
    </row>
    <row r="2072" spans="1:11">
      <c r="A2072" s="312" t="s">
        <v>4434</v>
      </c>
      <c r="B2072" s="312" t="s">
        <v>4435</v>
      </c>
      <c r="C2072" s="312" t="s">
        <v>105</v>
      </c>
      <c r="D2072" s="312" t="s">
        <v>848</v>
      </c>
      <c r="E2072" s="312" t="s">
        <v>684</v>
      </c>
      <c r="F2072" s="312">
        <v>1750</v>
      </c>
      <c r="G2072" s="312" t="s">
        <v>685</v>
      </c>
      <c r="H2072" s="312">
        <v>1754</v>
      </c>
      <c r="I2072" s="312" t="s">
        <v>684</v>
      </c>
      <c r="J2072" s="312">
        <v>1920</v>
      </c>
      <c r="K2072" s="312" t="s">
        <v>686</v>
      </c>
    </row>
    <row r="2073" spans="1:11">
      <c r="A2073" s="312" t="s">
        <v>4436</v>
      </c>
      <c r="B2073" s="312" t="s">
        <v>4437</v>
      </c>
      <c r="C2073" s="312" t="s">
        <v>105</v>
      </c>
      <c r="D2073" s="312" t="s">
        <v>117</v>
      </c>
      <c r="E2073" s="312" t="s">
        <v>696</v>
      </c>
      <c r="F2073" s="312">
        <v>1736</v>
      </c>
      <c r="G2073" s="312" t="s">
        <v>697</v>
      </c>
      <c r="H2073" s="312">
        <v>1741</v>
      </c>
      <c r="I2073" s="312" t="s">
        <v>696</v>
      </c>
      <c r="J2073" s="312">
        <v>1929</v>
      </c>
      <c r="K2073" s="312" t="s">
        <v>698</v>
      </c>
    </row>
    <row r="2074" spans="1:11">
      <c r="A2074" s="312" t="s">
        <v>4438</v>
      </c>
      <c r="B2074" s="312" t="s">
        <v>4439</v>
      </c>
      <c r="C2074" s="312" t="s">
        <v>105</v>
      </c>
      <c r="D2074" s="312" t="s">
        <v>438</v>
      </c>
      <c r="E2074" s="312" t="s">
        <v>107</v>
      </c>
      <c r="F2074" s="312">
        <v>1825</v>
      </c>
      <c r="G2074" s="312" t="s">
        <v>108</v>
      </c>
      <c r="H2074" s="312">
        <v>1827</v>
      </c>
      <c r="I2074" s="312" t="s">
        <v>107</v>
      </c>
      <c r="J2074" s="312">
        <v>1913</v>
      </c>
      <c r="K2074" s="312" t="s">
        <v>109</v>
      </c>
    </row>
    <row r="2075" spans="1:11">
      <c r="A2075" s="312" t="s">
        <v>4440</v>
      </c>
      <c r="B2075" s="312" t="s">
        <v>4441</v>
      </c>
      <c r="C2075" s="312" t="s">
        <v>105</v>
      </c>
      <c r="D2075" s="312" t="s">
        <v>1307</v>
      </c>
      <c r="E2075" s="312" t="s">
        <v>167</v>
      </c>
      <c r="F2075" s="312">
        <v>1705</v>
      </c>
      <c r="G2075" s="312" t="s">
        <v>168</v>
      </c>
      <c r="H2075" s="312">
        <v>1707</v>
      </c>
      <c r="I2075" s="312" t="s">
        <v>167</v>
      </c>
      <c r="J2075" s="312">
        <v>1899</v>
      </c>
      <c r="K2075" s="312" t="s">
        <v>169</v>
      </c>
    </row>
    <row r="2076" spans="1:11">
      <c r="A2076" s="312" t="s">
        <v>4442</v>
      </c>
      <c r="B2076" s="312" t="s">
        <v>4443</v>
      </c>
      <c r="C2076" s="312" t="s">
        <v>105</v>
      </c>
      <c r="D2076" s="312" t="s">
        <v>4444</v>
      </c>
      <c r="E2076" s="312" t="s">
        <v>167</v>
      </c>
      <c r="F2076" s="312">
        <v>1705</v>
      </c>
      <c r="G2076" s="312" t="s">
        <v>168</v>
      </c>
      <c r="H2076" s="312">
        <v>1707</v>
      </c>
      <c r="I2076" s="312" t="s">
        <v>167</v>
      </c>
      <c r="J2076" s="312">
        <v>1899</v>
      </c>
      <c r="K2076" s="312" t="s">
        <v>169</v>
      </c>
    </row>
    <row r="2077" spans="1:11">
      <c r="A2077" s="312" t="s">
        <v>4445</v>
      </c>
      <c r="B2077" s="312" t="s">
        <v>4446</v>
      </c>
      <c r="C2077" s="312" t="s">
        <v>105</v>
      </c>
      <c r="D2077" s="312" t="s">
        <v>769</v>
      </c>
      <c r="E2077" s="312" t="s">
        <v>107</v>
      </c>
      <c r="F2077" s="312">
        <v>1825</v>
      </c>
      <c r="G2077" s="312" t="s">
        <v>108</v>
      </c>
      <c r="H2077" s="312">
        <v>1827</v>
      </c>
      <c r="I2077" s="312" t="s">
        <v>107</v>
      </c>
      <c r="J2077" s="312">
        <v>1913</v>
      </c>
      <c r="K2077" s="312" t="s">
        <v>109</v>
      </c>
    </row>
    <row r="2078" spans="1:11">
      <c r="A2078" s="312" t="s">
        <v>4447</v>
      </c>
      <c r="B2078" s="312" t="s">
        <v>4448</v>
      </c>
      <c r="C2078" s="312" t="s">
        <v>105</v>
      </c>
      <c r="D2078" s="312" t="s">
        <v>184</v>
      </c>
      <c r="E2078" s="312" t="s">
        <v>107</v>
      </c>
      <c r="F2078" s="312">
        <v>1825</v>
      </c>
      <c r="G2078" s="312" t="s">
        <v>108</v>
      </c>
      <c r="H2078" s="312">
        <v>1827</v>
      </c>
      <c r="I2078" s="312" t="s">
        <v>107</v>
      </c>
      <c r="J2078" s="312">
        <v>1913</v>
      </c>
      <c r="K2078" s="312" t="s">
        <v>109</v>
      </c>
    </row>
    <row r="2079" spans="1:11">
      <c r="A2079" s="312" t="s">
        <v>4449</v>
      </c>
      <c r="B2079" s="312" t="s">
        <v>4450</v>
      </c>
      <c r="C2079" s="312" t="s">
        <v>105</v>
      </c>
      <c r="D2079" s="312" t="s">
        <v>1533</v>
      </c>
      <c r="E2079" s="312" t="s">
        <v>107</v>
      </c>
      <c r="F2079" s="312">
        <v>1825</v>
      </c>
      <c r="G2079" s="312" t="s">
        <v>108</v>
      </c>
      <c r="H2079" s="312">
        <v>1827</v>
      </c>
      <c r="I2079" s="312" t="s">
        <v>107</v>
      </c>
      <c r="J2079" s="312">
        <v>1913</v>
      </c>
      <c r="K2079" s="312" t="s">
        <v>109</v>
      </c>
    </row>
    <row r="2080" spans="1:11">
      <c r="A2080" s="312" t="s">
        <v>4451</v>
      </c>
      <c r="B2080" s="312" t="s">
        <v>4452</v>
      </c>
      <c r="C2080" s="312" t="s">
        <v>105</v>
      </c>
      <c r="D2080" s="312" t="s">
        <v>1533</v>
      </c>
      <c r="E2080" s="312" t="s">
        <v>107</v>
      </c>
      <c r="F2080" s="312">
        <v>1825</v>
      </c>
      <c r="G2080" s="312" t="s">
        <v>108</v>
      </c>
      <c r="H2080" s="312">
        <v>1827</v>
      </c>
      <c r="I2080" s="312" t="s">
        <v>107</v>
      </c>
      <c r="J2080" s="312">
        <v>1913</v>
      </c>
      <c r="K2080" s="312" t="s">
        <v>109</v>
      </c>
    </row>
    <row r="2081" spans="1:11">
      <c r="A2081" s="312" t="s">
        <v>4453</v>
      </c>
      <c r="B2081" s="312" t="s">
        <v>4454</v>
      </c>
      <c r="C2081" s="312" t="s">
        <v>105</v>
      </c>
      <c r="D2081" s="312" t="s">
        <v>1533</v>
      </c>
      <c r="E2081" s="312" t="s">
        <v>107</v>
      </c>
      <c r="F2081" s="312">
        <v>1825</v>
      </c>
      <c r="G2081" s="312" t="s">
        <v>108</v>
      </c>
      <c r="H2081" s="312">
        <v>1827</v>
      </c>
      <c r="I2081" s="312" t="s">
        <v>107</v>
      </c>
      <c r="J2081" s="312">
        <v>1913</v>
      </c>
      <c r="K2081" s="312" t="s">
        <v>109</v>
      </c>
    </row>
    <row r="2082" spans="1:11">
      <c r="A2082" s="312" t="s">
        <v>4455</v>
      </c>
      <c r="B2082" s="312" t="s">
        <v>4456</v>
      </c>
      <c r="C2082" s="312" t="s">
        <v>105</v>
      </c>
      <c r="D2082" s="312" t="s">
        <v>1533</v>
      </c>
      <c r="E2082" s="312" t="s">
        <v>107</v>
      </c>
      <c r="F2082" s="312">
        <v>1825</v>
      </c>
      <c r="G2082" s="312" t="s">
        <v>108</v>
      </c>
      <c r="H2082" s="312">
        <v>1827</v>
      </c>
      <c r="I2082" s="312" t="s">
        <v>107</v>
      </c>
      <c r="J2082" s="312">
        <v>1913</v>
      </c>
      <c r="K2082" s="312" t="s">
        <v>109</v>
      </c>
    </row>
    <row r="2083" spans="1:11">
      <c r="A2083" s="312" t="s">
        <v>4457</v>
      </c>
      <c r="B2083" s="312" t="s">
        <v>4458</v>
      </c>
      <c r="C2083" s="312" t="s">
        <v>105</v>
      </c>
      <c r="D2083" s="312" t="s">
        <v>114</v>
      </c>
      <c r="E2083" s="312" t="s">
        <v>107</v>
      </c>
      <c r="F2083" s="312">
        <v>1825</v>
      </c>
      <c r="G2083" s="312" t="s">
        <v>108</v>
      </c>
      <c r="H2083" s="312">
        <v>1827</v>
      </c>
      <c r="I2083" s="312" t="s">
        <v>107</v>
      </c>
      <c r="J2083" s="312">
        <v>1913</v>
      </c>
      <c r="K2083" s="312" t="s">
        <v>109</v>
      </c>
    </row>
    <row r="2084" spans="1:11">
      <c r="A2084" s="312" t="s">
        <v>4459</v>
      </c>
      <c r="B2084" s="312" t="s">
        <v>4460</v>
      </c>
      <c r="C2084" s="312" t="s">
        <v>105</v>
      </c>
      <c r="D2084" s="312" t="s">
        <v>106</v>
      </c>
      <c r="E2084" s="312" t="s">
        <v>107</v>
      </c>
      <c r="F2084" s="312">
        <v>1825</v>
      </c>
      <c r="G2084" s="312" t="s">
        <v>108</v>
      </c>
      <c r="H2084" s="312">
        <v>1827</v>
      </c>
      <c r="I2084" s="312" t="s">
        <v>107</v>
      </c>
      <c r="J2084" s="312">
        <v>1913</v>
      </c>
      <c r="K2084" s="312" t="s">
        <v>109</v>
      </c>
    </row>
    <row r="2085" spans="1:11">
      <c r="A2085" s="312" t="s">
        <v>4461</v>
      </c>
      <c r="B2085" s="312" t="s">
        <v>4462</v>
      </c>
      <c r="C2085" s="312" t="s">
        <v>105</v>
      </c>
      <c r="D2085" s="312" t="s">
        <v>106</v>
      </c>
      <c r="E2085" s="312" t="s">
        <v>107</v>
      </c>
      <c r="F2085" s="312">
        <v>1825</v>
      </c>
      <c r="G2085" s="312" t="s">
        <v>108</v>
      </c>
      <c r="H2085" s="312">
        <v>1827</v>
      </c>
      <c r="I2085" s="312" t="s">
        <v>107</v>
      </c>
      <c r="J2085" s="312">
        <v>1913</v>
      </c>
      <c r="K2085" s="312" t="s">
        <v>109</v>
      </c>
    </row>
    <row r="2086" spans="1:11">
      <c r="A2086" s="312" t="s">
        <v>4463</v>
      </c>
      <c r="B2086" s="312" t="s">
        <v>4464</v>
      </c>
      <c r="C2086" s="312" t="s">
        <v>105</v>
      </c>
      <c r="D2086" s="312" t="s">
        <v>114</v>
      </c>
      <c r="E2086" s="312" t="s">
        <v>107</v>
      </c>
      <c r="F2086" s="312">
        <v>1825</v>
      </c>
      <c r="G2086" s="312" t="s">
        <v>108</v>
      </c>
      <c r="H2086" s="312">
        <v>1827</v>
      </c>
      <c r="I2086" s="312" t="s">
        <v>107</v>
      </c>
      <c r="J2086" s="312">
        <v>1913</v>
      </c>
      <c r="K2086" s="312" t="s">
        <v>109</v>
      </c>
    </row>
    <row r="2087" spans="1:11">
      <c r="A2087" s="312" t="s">
        <v>4465</v>
      </c>
      <c r="B2087" s="312" t="s">
        <v>4466</v>
      </c>
      <c r="C2087" s="312" t="s">
        <v>105</v>
      </c>
      <c r="D2087" s="312" t="s">
        <v>106</v>
      </c>
      <c r="E2087" s="312" t="s">
        <v>107</v>
      </c>
      <c r="F2087" s="312">
        <v>1825</v>
      </c>
      <c r="G2087" s="312" t="s">
        <v>108</v>
      </c>
      <c r="H2087" s="312">
        <v>1827</v>
      </c>
      <c r="I2087" s="312" t="s">
        <v>107</v>
      </c>
      <c r="J2087" s="312">
        <v>1913</v>
      </c>
      <c r="K2087" s="312" t="s">
        <v>109</v>
      </c>
    </row>
    <row r="2088" spans="1:11">
      <c r="A2088" s="312" t="s">
        <v>4467</v>
      </c>
      <c r="B2088" s="312" t="s">
        <v>4468</v>
      </c>
      <c r="C2088" s="312" t="s">
        <v>105</v>
      </c>
      <c r="D2088" s="312" t="s">
        <v>556</v>
      </c>
      <c r="E2088" s="312" t="s">
        <v>107</v>
      </c>
      <c r="F2088" s="312">
        <v>1825</v>
      </c>
      <c r="G2088" s="312" t="s">
        <v>108</v>
      </c>
      <c r="H2088" s="312">
        <v>1827</v>
      </c>
      <c r="I2088" s="312" t="s">
        <v>107</v>
      </c>
      <c r="J2088" s="312">
        <v>1913</v>
      </c>
      <c r="K2088" s="312" t="s">
        <v>109</v>
      </c>
    </row>
    <row r="2089" spans="1:11">
      <c r="A2089" s="312" t="s">
        <v>4469</v>
      </c>
      <c r="B2089" s="312" t="s">
        <v>4470</v>
      </c>
      <c r="C2089" s="312" t="s">
        <v>105</v>
      </c>
      <c r="D2089" s="312" t="s">
        <v>221</v>
      </c>
      <c r="E2089" s="312" t="s">
        <v>107</v>
      </c>
      <c r="F2089" s="312">
        <v>1825</v>
      </c>
      <c r="G2089" s="312" t="s">
        <v>108</v>
      </c>
      <c r="H2089" s="312">
        <v>1827</v>
      </c>
      <c r="I2089" s="312" t="s">
        <v>107</v>
      </c>
      <c r="J2089" s="312">
        <v>1913</v>
      </c>
      <c r="K2089" s="312" t="s">
        <v>109</v>
      </c>
    </row>
    <row r="2090" spans="1:11">
      <c r="A2090" s="312" t="s">
        <v>4471</v>
      </c>
      <c r="B2090" s="312" t="s">
        <v>4472</v>
      </c>
      <c r="C2090" s="312" t="s">
        <v>105</v>
      </c>
      <c r="D2090" s="312" t="s">
        <v>221</v>
      </c>
      <c r="E2090" s="312" t="s">
        <v>107</v>
      </c>
      <c r="F2090" s="312">
        <v>1825</v>
      </c>
      <c r="G2090" s="312" t="s">
        <v>108</v>
      </c>
      <c r="H2090" s="312">
        <v>1827</v>
      </c>
      <c r="I2090" s="312" t="s">
        <v>107</v>
      </c>
      <c r="J2090" s="312">
        <v>1913</v>
      </c>
      <c r="K2090" s="312" t="s">
        <v>109</v>
      </c>
    </row>
    <row r="2091" spans="1:11">
      <c r="A2091" s="312" t="s">
        <v>4473</v>
      </c>
      <c r="B2091" s="312" t="s">
        <v>4474</v>
      </c>
      <c r="C2091" s="312" t="s">
        <v>105</v>
      </c>
      <c r="D2091" s="312" t="s">
        <v>221</v>
      </c>
      <c r="E2091" s="312" t="s">
        <v>107</v>
      </c>
      <c r="F2091" s="312">
        <v>1825</v>
      </c>
      <c r="G2091" s="312" t="s">
        <v>108</v>
      </c>
      <c r="H2091" s="312">
        <v>1827</v>
      </c>
      <c r="I2091" s="312" t="s">
        <v>107</v>
      </c>
      <c r="J2091" s="312">
        <v>1913</v>
      </c>
      <c r="K2091" s="312" t="s">
        <v>109</v>
      </c>
    </row>
    <row r="2092" spans="1:11">
      <c r="A2092" s="312" t="s">
        <v>4475</v>
      </c>
      <c r="B2092" s="312" t="s">
        <v>4476</v>
      </c>
      <c r="C2092" s="312" t="s">
        <v>105</v>
      </c>
      <c r="D2092" s="312" t="s">
        <v>517</v>
      </c>
      <c r="E2092" s="312" t="s">
        <v>107</v>
      </c>
      <c r="F2092" s="312">
        <v>1825</v>
      </c>
      <c r="G2092" s="312" t="s">
        <v>108</v>
      </c>
      <c r="H2092" s="312">
        <v>1827</v>
      </c>
      <c r="I2092" s="312" t="s">
        <v>107</v>
      </c>
      <c r="J2092" s="312">
        <v>1913</v>
      </c>
      <c r="K2092" s="312" t="s">
        <v>109</v>
      </c>
    </row>
    <row r="2093" spans="1:11">
      <c r="A2093" s="312" t="s">
        <v>4477</v>
      </c>
      <c r="B2093" s="312" t="s">
        <v>4478</v>
      </c>
      <c r="C2093" s="312" t="s">
        <v>105</v>
      </c>
      <c r="D2093" s="312" t="s">
        <v>280</v>
      </c>
      <c r="E2093" s="312" t="s">
        <v>939</v>
      </c>
      <c r="F2093" s="312">
        <v>1685</v>
      </c>
      <c r="G2093" s="312" t="s">
        <v>940</v>
      </c>
      <c r="H2093" s="312">
        <v>1688</v>
      </c>
      <c r="I2093" s="312" t="s">
        <v>939</v>
      </c>
      <c r="J2093" s="312">
        <v>1923</v>
      </c>
      <c r="K2093" s="312" t="s">
        <v>941</v>
      </c>
    </row>
    <row r="2094" spans="1:11">
      <c r="A2094" s="312" t="s">
        <v>4479</v>
      </c>
      <c r="B2094" s="312" t="s">
        <v>4480</v>
      </c>
      <c r="C2094" s="312" t="s">
        <v>105</v>
      </c>
      <c r="D2094" s="312" t="s">
        <v>280</v>
      </c>
      <c r="E2094" s="312" t="s">
        <v>939</v>
      </c>
      <c r="F2094" s="312">
        <v>1685</v>
      </c>
      <c r="G2094" s="312" t="s">
        <v>940</v>
      </c>
      <c r="H2094" s="312">
        <v>1688</v>
      </c>
      <c r="I2094" s="312" t="s">
        <v>939</v>
      </c>
      <c r="J2094" s="312">
        <v>1923</v>
      </c>
      <c r="K2094" s="312" t="s">
        <v>941</v>
      </c>
    </row>
    <row r="2095" spans="1:11">
      <c r="A2095" s="312" t="s">
        <v>4481</v>
      </c>
      <c r="B2095" s="312" t="s">
        <v>4482</v>
      </c>
      <c r="C2095" s="312" t="s">
        <v>105</v>
      </c>
      <c r="D2095" s="312" t="s">
        <v>1291</v>
      </c>
      <c r="E2095" s="312" t="s">
        <v>107</v>
      </c>
      <c r="F2095" s="312">
        <v>1825</v>
      </c>
      <c r="G2095" s="312" t="s">
        <v>108</v>
      </c>
      <c r="H2095" s="312">
        <v>1827</v>
      </c>
      <c r="I2095" s="312" t="s">
        <v>107</v>
      </c>
      <c r="J2095" s="312">
        <v>1913</v>
      </c>
      <c r="K2095" s="312" t="s">
        <v>109</v>
      </c>
    </row>
    <row r="2096" spans="1:11">
      <c r="A2096" s="312" t="s">
        <v>4483</v>
      </c>
      <c r="B2096" s="312" t="s">
        <v>4484</v>
      </c>
      <c r="C2096" s="312" t="s">
        <v>105</v>
      </c>
      <c r="D2096" s="312" t="s">
        <v>1291</v>
      </c>
      <c r="E2096" s="312" t="s">
        <v>107</v>
      </c>
      <c r="F2096" s="312">
        <v>1825</v>
      </c>
      <c r="G2096" s="312" t="s">
        <v>108</v>
      </c>
      <c r="H2096" s="312">
        <v>1827</v>
      </c>
      <c r="I2096" s="312" t="s">
        <v>107</v>
      </c>
      <c r="J2096" s="312">
        <v>1913</v>
      </c>
      <c r="K2096" s="312" t="s">
        <v>109</v>
      </c>
    </row>
    <row r="2097" spans="1:11">
      <c r="A2097" s="312" t="s">
        <v>4485</v>
      </c>
      <c r="B2097" s="312" t="s">
        <v>4486</v>
      </c>
      <c r="C2097" s="312" t="s">
        <v>105</v>
      </c>
      <c r="D2097" s="312" t="s">
        <v>573</v>
      </c>
      <c r="E2097" s="312" t="s">
        <v>107</v>
      </c>
      <c r="F2097" s="312">
        <v>1825</v>
      </c>
      <c r="G2097" s="312" t="s">
        <v>108</v>
      </c>
      <c r="H2097" s="312">
        <v>1827</v>
      </c>
      <c r="I2097" s="312" t="s">
        <v>107</v>
      </c>
      <c r="J2097" s="312">
        <v>1913</v>
      </c>
      <c r="K2097" s="312" t="s">
        <v>109</v>
      </c>
    </row>
    <row r="2098" spans="1:11">
      <c r="A2098" s="312" t="s">
        <v>4487</v>
      </c>
      <c r="B2098" s="312" t="s">
        <v>4488</v>
      </c>
      <c r="C2098" s="312" t="s">
        <v>105</v>
      </c>
      <c r="D2098" s="312" t="s">
        <v>587</v>
      </c>
      <c r="E2098" s="312" t="s">
        <v>107</v>
      </c>
      <c r="F2098" s="312">
        <v>1825</v>
      </c>
      <c r="G2098" s="312" t="s">
        <v>108</v>
      </c>
      <c r="H2098" s="312">
        <v>1827</v>
      </c>
      <c r="I2098" s="312" t="s">
        <v>107</v>
      </c>
      <c r="J2098" s="312">
        <v>1913</v>
      </c>
      <c r="K2098" s="312" t="s">
        <v>109</v>
      </c>
    </row>
    <row r="2099" spans="1:11">
      <c r="A2099" s="312" t="s">
        <v>4489</v>
      </c>
      <c r="B2099" s="312" t="s">
        <v>4490</v>
      </c>
      <c r="C2099" s="312" t="s">
        <v>105</v>
      </c>
      <c r="D2099" s="312" t="s">
        <v>573</v>
      </c>
      <c r="E2099" s="312" t="s">
        <v>107</v>
      </c>
      <c r="F2099" s="312">
        <v>1825</v>
      </c>
      <c r="G2099" s="312" t="s">
        <v>108</v>
      </c>
      <c r="H2099" s="312">
        <v>1827</v>
      </c>
      <c r="I2099" s="312" t="s">
        <v>107</v>
      </c>
      <c r="J2099" s="312">
        <v>1913</v>
      </c>
      <c r="K2099" s="312" t="s">
        <v>109</v>
      </c>
    </row>
    <row r="2100" spans="1:11">
      <c r="A2100" s="312" t="s">
        <v>4491</v>
      </c>
      <c r="B2100" s="312" t="s">
        <v>4492</v>
      </c>
      <c r="C2100" s="312" t="s">
        <v>105</v>
      </c>
      <c r="D2100" s="312" t="s">
        <v>587</v>
      </c>
      <c r="E2100" s="312" t="s">
        <v>107</v>
      </c>
      <c r="F2100" s="312">
        <v>1825</v>
      </c>
      <c r="G2100" s="312" t="s">
        <v>108</v>
      </c>
      <c r="H2100" s="312">
        <v>1827</v>
      </c>
      <c r="I2100" s="312" t="s">
        <v>107</v>
      </c>
      <c r="J2100" s="312">
        <v>1913</v>
      </c>
      <c r="K2100" s="312" t="s">
        <v>109</v>
      </c>
    </row>
    <row r="2101" spans="1:11">
      <c r="A2101" s="312" t="s">
        <v>4493</v>
      </c>
      <c r="B2101" s="312" t="s">
        <v>4494</v>
      </c>
      <c r="C2101" s="312" t="s">
        <v>105</v>
      </c>
      <c r="D2101" s="312" t="s">
        <v>573</v>
      </c>
      <c r="E2101" s="312" t="s">
        <v>107</v>
      </c>
      <c r="F2101" s="312">
        <v>1825</v>
      </c>
      <c r="G2101" s="312" t="s">
        <v>108</v>
      </c>
      <c r="H2101" s="312">
        <v>1827</v>
      </c>
      <c r="I2101" s="312" t="s">
        <v>107</v>
      </c>
      <c r="J2101" s="312">
        <v>1913</v>
      </c>
      <c r="K2101" s="312" t="s">
        <v>109</v>
      </c>
    </row>
    <row r="2102" spans="1:11">
      <c r="A2102" s="312" t="s">
        <v>4495</v>
      </c>
      <c r="B2102" s="312" t="s">
        <v>4496</v>
      </c>
      <c r="C2102" s="312" t="s">
        <v>105</v>
      </c>
      <c r="D2102" s="312" t="s">
        <v>556</v>
      </c>
      <c r="E2102" s="312" t="s">
        <v>107</v>
      </c>
      <c r="F2102" s="312">
        <v>1825</v>
      </c>
      <c r="G2102" s="312" t="s">
        <v>108</v>
      </c>
      <c r="H2102" s="312">
        <v>1827</v>
      </c>
      <c r="I2102" s="312" t="s">
        <v>107</v>
      </c>
      <c r="J2102" s="312">
        <v>1913</v>
      </c>
      <c r="K2102" s="312" t="s">
        <v>109</v>
      </c>
    </row>
    <row r="2103" spans="1:11">
      <c r="A2103" s="312" t="s">
        <v>4497</v>
      </c>
      <c r="B2103" s="312" t="s">
        <v>4498</v>
      </c>
      <c r="C2103" s="312" t="s">
        <v>105</v>
      </c>
      <c r="D2103" s="312" t="s">
        <v>312</v>
      </c>
      <c r="E2103" s="312" t="s">
        <v>107</v>
      </c>
      <c r="F2103" s="312">
        <v>1825</v>
      </c>
      <c r="G2103" s="312" t="s">
        <v>108</v>
      </c>
      <c r="H2103" s="312">
        <v>1827</v>
      </c>
      <c r="I2103" s="312" t="s">
        <v>107</v>
      </c>
      <c r="J2103" s="312">
        <v>1913</v>
      </c>
      <c r="K2103" s="312" t="s">
        <v>109</v>
      </c>
    </row>
    <row r="2104" spans="1:11">
      <c r="A2104" s="312" t="s">
        <v>4499</v>
      </c>
      <c r="B2104" s="312" t="s">
        <v>4500</v>
      </c>
      <c r="C2104" s="312" t="s">
        <v>105</v>
      </c>
      <c r="D2104" s="312" t="s">
        <v>556</v>
      </c>
      <c r="E2104" s="312" t="s">
        <v>107</v>
      </c>
      <c r="F2104" s="312">
        <v>1825</v>
      </c>
      <c r="G2104" s="312" t="s">
        <v>108</v>
      </c>
      <c r="H2104" s="312">
        <v>1827</v>
      </c>
      <c r="I2104" s="312" t="s">
        <v>107</v>
      </c>
      <c r="J2104" s="312">
        <v>1913</v>
      </c>
      <c r="K2104" s="312" t="s">
        <v>109</v>
      </c>
    </row>
    <row r="2105" spans="1:11">
      <c r="A2105" s="312" t="s">
        <v>4501</v>
      </c>
      <c r="B2105" s="312" t="s">
        <v>4502</v>
      </c>
      <c r="C2105" s="312" t="s">
        <v>105</v>
      </c>
      <c r="D2105" s="312" t="s">
        <v>379</v>
      </c>
      <c r="E2105" s="312" t="s">
        <v>107</v>
      </c>
      <c r="F2105" s="312">
        <v>1825</v>
      </c>
      <c r="G2105" s="312" t="s">
        <v>108</v>
      </c>
      <c r="H2105" s="312">
        <v>1827</v>
      </c>
      <c r="I2105" s="312" t="s">
        <v>107</v>
      </c>
      <c r="J2105" s="312">
        <v>1913</v>
      </c>
      <c r="K2105" s="312" t="s">
        <v>109</v>
      </c>
    </row>
    <row r="2106" spans="1:11">
      <c r="A2106" s="312" t="s">
        <v>4503</v>
      </c>
      <c r="B2106" s="312" t="s">
        <v>4504</v>
      </c>
      <c r="C2106" s="312" t="s">
        <v>105</v>
      </c>
      <c r="D2106" s="312" t="s">
        <v>1307</v>
      </c>
      <c r="E2106" s="312" t="s">
        <v>167</v>
      </c>
      <c r="F2106" s="312">
        <v>1705</v>
      </c>
      <c r="G2106" s="312" t="s">
        <v>168</v>
      </c>
      <c r="H2106" s="312">
        <v>1707</v>
      </c>
      <c r="I2106" s="312" t="s">
        <v>167</v>
      </c>
      <c r="J2106" s="312">
        <v>1899</v>
      </c>
      <c r="K2106" s="312" t="s">
        <v>169</v>
      </c>
    </row>
    <row r="2107" spans="1:11">
      <c r="A2107" s="312" t="s">
        <v>4505</v>
      </c>
      <c r="B2107" s="312" t="s">
        <v>4506</v>
      </c>
      <c r="C2107" s="312" t="s">
        <v>105</v>
      </c>
      <c r="D2107" s="312" t="s">
        <v>4507</v>
      </c>
      <c r="E2107" s="312" t="s">
        <v>466</v>
      </c>
      <c r="F2107" s="312">
        <v>1796</v>
      </c>
      <c r="G2107" s="312" t="s">
        <v>467</v>
      </c>
      <c r="H2107" s="312">
        <v>1799</v>
      </c>
      <c r="I2107" s="312" t="s">
        <v>466</v>
      </c>
      <c r="J2107" s="312">
        <v>1918</v>
      </c>
      <c r="K2107" s="312" t="s">
        <v>468</v>
      </c>
    </row>
    <row r="2108" spans="1:11">
      <c r="A2108" s="312" t="s">
        <v>4508</v>
      </c>
      <c r="B2108" s="312" t="s">
        <v>4509</v>
      </c>
      <c r="C2108" s="312" t="s">
        <v>105</v>
      </c>
      <c r="D2108" s="312" t="s">
        <v>4507</v>
      </c>
      <c r="E2108" s="312" t="s">
        <v>466</v>
      </c>
      <c r="F2108" s="312">
        <v>1796</v>
      </c>
      <c r="G2108" s="312" t="s">
        <v>467</v>
      </c>
      <c r="H2108" s="312">
        <v>1799</v>
      </c>
      <c r="I2108" s="312" t="s">
        <v>466</v>
      </c>
      <c r="J2108" s="312">
        <v>1918</v>
      </c>
      <c r="K2108" s="312" t="s">
        <v>468</v>
      </c>
    </row>
    <row r="2109" spans="1:11">
      <c r="A2109" s="312" t="s">
        <v>4510</v>
      </c>
      <c r="B2109" s="312" t="s">
        <v>4511</v>
      </c>
      <c r="C2109" s="312" t="s">
        <v>105</v>
      </c>
      <c r="D2109" s="312" t="s">
        <v>4507</v>
      </c>
      <c r="E2109" s="312" t="s">
        <v>466</v>
      </c>
      <c r="F2109" s="312">
        <v>1796</v>
      </c>
      <c r="G2109" s="312" t="s">
        <v>467</v>
      </c>
      <c r="H2109" s="312">
        <v>1799</v>
      </c>
      <c r="I2109" s="312" t="s">
        <v>466</v>
      </c>
      <c r="J2109" s="312">
        <v>1918</v>
      </c>
      <c r="K2109" s="312" t="s">
        <v>468</v>
      </c>
    </row>
    <row r="2110" spans="1:11">
      <c r="A2110" s="312" t="s">
        <v>4512</v>
      </c>
      <c r="B2110" s="312" t="s">
        <v>4513</v>
      </c>
      <c r="C2110" s="312" t="s">
        <v>105</v>
      </c>
      <c r="D2110" s="312" t="s">
        <v>4507</v>
      </c>
      <c r="E2110" s="312" t="s">
        <v>466</v>
      </c>
      <c r="F2110" s="312">
        <v>1796</v>
      </c>
      <c r="G2110" s="312" t="s">
        <v>467</v>
      </c>
      <c r="H2110" s="312">
        <v>1799</v>
      </c>
      <c r="I2110" s="312" t="s">
        <v>466</v>
      </c>
      <c r="J2110" s="312">
        <v>1918</v>
      </c>
      <c r="K2110" s="312" t="s">
        <v>468</v>
      </c>
    </row>
    <row r="2111" spans="1:11">
      <c r="A2111" s="312" t="s">
        <v>4514</v>
      </c>
      <c r="B2111" s="312" t="s">
        <v>4515</v>
      </c>
      <c r="C2111" s="312" t="s">
        <v>105</v>
      </c>
      <c r="D2111" s="312" t="s">
        <v>4507</v>
      </c>
      <c r="E2111" s="312" t="s">
        <v>466</v>
      </c>
      <c r="F2111" s="312">
        <v>1796</v>
      </c>
      <c r="G2111" s="312" t="s">
        <v>467</v>
      </c>
      <c r="H2111" s="312">
        <v>1799</v>
      </c>
      <c r="I2111" s="312" t="s">
        <v>466</v>
      </c>
      <c r="J2111" s="312">
        <v>1918</v>
      </c>
      <c r="K2111" s="312" t="s">
        <v>468</v>
      </c>
    </row>
    <row r="2112" spans="1:11">
      <c r="A2112" s="312" t="s">
        <v>4516</v>
      </c>
      <c r="B2112" s="312" t="s">
        <v>4517</v>
      </c>
      <c r="C2112" s="312" t="s">
        <v>105</v>
      </c>
      <c r="D2112" s="312" t="s">
        <v>4507</v>
      </c>
      <c r="E2112" s="312" t="s">
        <v>466</v>
      </c>
      <c r="F2112" s="312">
        <v>1796</v>
      </c>
      <c r="G2112" s="312" t="s">
        <v>467</v>
      </c>
      <c r="H2112" s="312">
        <v>1799</v>
      </c>
      <c r="I2112" s="312" t="s">
        <v>466</v>
      </c>
      <c r="J2112" s="312">
        <v>1918</v>
      </c>
      <c r="K2112" s="312" t="s">
        <v>468</v>
      </c>
    </row>
    <row r="2113" spans="1:11">
      <c r="A2113" s="312" t="s">
        <v>4518</v>
      </c>
      <c r="B2113" s="312" t="s">
        <v>4519</v>
      </c>
      <c r="C2113" s="312" t="s">
        <v>105</v>
      </c>
      <c r="D2113" s="312" t="s">
        <v>4507</v>
      </c>
      <c r="E2113" s="312" t="s">
        <v>466</v>
      </c>
      <c r="F2113" s="312">
        <v>1796</v>
      </c>
      <c r="G2113" s="312" t="s">
        <v>467</v>
      </c>
      <c r="H2113" s="312">
        <v>1799</v>
      </c>
      <c r="I2113" s="312" t="s">
        <v>466</v>
      </c>
      <c r="J2113" s="312">
        <v>1918</v>
      </c>
      <c r="K2113" s="312" t="s">
        <v>468</v>
      </c>
    </row>
    <row r="2114" spans="1:11">
      <c r="A2114" s="312" t="s">
        <v>4520</v>
      </c>
      <c r="B2114" s="312" t="s">
        <v>4521</v>
      </c>
      <c r="C2114" s="312" t="s">
        <v>105</v>
      </c>
      <c r="D2114" s="312" t="s">
        <v>4507</v>
      </c>
      <c r="E2114" s="312" t="s">
        <v>466</v>
      </c>
      <c r="F2114" s="312">
        <v>1796</v>
      </c>
      <c r="G2114" s="312" t="s">
        <v>467</v>
      </c>
      <c r="H2114" s="312">
        <v>1799</v>
      </c>
      <c r="I2114" s="312" t="s">
        <v>466</v>
      </c>
      <c r="J2114" s="312">
        <v>1918</v>
      </c>
      <c r="K2114" s="312" t="s">
        <v>468</v>
      </c>
    </row>
    <row r="2115" spans="1:11">
      <c r="A2115" s="312" t="s">
        <v>4522</v>
      </c>
      <c r="B2115" s="312" t="s">
        <v>4523</v>
      </c>
      <c r="C2115" s="312" t="s">
        <v>105</v>
      </c>
      <c r="D2115" s="312" t="s">
        <v>1047</v>
      </c>
      <c r="E2115" s="312" t="s">
        <v>107</v>
      </c>
      <c r="F2115" s="312">
        <v>1825</v>
      </c>
      <c r="G2115" s="312" t="s">
        <v>108</v>
      </c>
      <c r="H2115" s="312">
        <v>1827</v>
      </c>
      <c r="I2115" s="312" t="s">
        <v>107</v>
      </c>
      <c r="J2115" s="312">
        <v>1913</v>
      </c>
      <c r="K2115" s="312" t="s">
        <v>109</v>
      </c>
    </row>
    <row r="2116" spans="1:11">
      <c r="A2116" s="312" t="s">
        <v>4524</v>
      </c>
      <c r="B2116" s="312" t="s">
        <v>4525</v>
      </c>
      <c r="C2116" s="312" t="s">
        <v>105</v>
      </c>
      <c r="D2116" s="312" t="s">
        <v>2747</v>
      </c>
      <c r="E2116" s="312" t="s">
        <v>167</v>
      </c>
      <c r="F2116" s="312">
        <v>1705</v>
      </c>
      <c r="G2116" s="312" t="s">
        <v>168</v>
      </c>
      <c r="H2116" s="312">
        <v>1707</v>
      </c>
      <c r="I2116" s="312" t="s">
        <v>167</v>
      </c>
      <c r="J2116" s="312">
        <v>1899</v>
      </c>
      <c r="K2116" s="312" t="s">
        <v>169</v>
      </c>
    </row>
    <row r="2117" spans="1:11">
      <c r="A2117" s="312" t="s">
        <v>4526</v>
      </c>
      <c r="B2117" s="312" t="s">
        <v>4527</v>
      </c>
      <c r="C2117" s="312" t="s">
        <v>105</v>
      </c>
      <c r="D2117" s="312" t="s">
        <v>2747</v>
      </c>
      <c r="E2117" s="312" t="s">
        <v>167</v>
      </c>
      <c r="F2117" s="312">
        <v>1705</v>
      </c>
      <c r="G2117" s="312" t="s">
        <v>168</v>
      </c>
      <c r="H2117" s="312">
        <v>1707</v>
      </c>
      <c r="I2117" s="312" t="s">
        <v>167</v>
      </c>
      <c r="J2117" s="312">
        <v>1899</v>
      </c>
      <c r="K2117" s="312" t="s">
        <v>169</v>
      </c>
    </row>
    <row r="2118" spans="1:11">
      <c r="A2118" s="312" t="s">
        <v>4528</v>
      </c>
      <c r="B2118" s="312" t="s">
        <v>4529</v>
      </c>
      <c r="C2118" s="312" t="s">
        <v>105</v>
      </c>
      <c r="D2118" s="312" t="s">
        <v>1994</v>
      </c>
      <c r="E2118" s="312" t="s">
        <v>107</v>
      </c>
      <c r="F2118" s="312">
        <v>1825</v>
      </c>
      <c r="G2118" s="312" t="s">
        <v>108</v>
      </c>
      <c r="H2118" s="312">
        <v>1827</v>
      </c>
      <c r="I2118" s="312" t="s">
        <v>107</v>
      </c>
      <c r="J2118" s="312">
        <v>1913</v>
      </c>
      <c r="K2118" s="312" t="s">
        <v>109</v>
      </c>
    </row>
    <row r="2119" spans="1:11">
      <c r="A2119" s="312" t="s">
        <v>4530</v>
      </c>
      <c r="B2119" s="312" t="s">
        <v>4531</v>
      </c>
      <c r="C2119" s="312" t="s">
        <v>105</v>
      </c>
      <c r="D2119" s="312" t="s">
        <v>117</v>
      </c>
      <c r="E2119" s="312" t="s">
        <v>107</v>
      </c>
      <c r="F2119" s="312">
        <v>1825</v>
      </c>
      <c r="G2119" s="312" t="s">
        <v>108</v>
      </c>
      <c r="H2119" s="312">
        <v>1827</v>
      </c>
      <c r="I2119" s="312" t="s">
        <v>107</v>
      </c>
      <c r="J2119" s="312">
        <v>1913</v>
      </c>
      <c r="K2119" s="312" t="s">
        <v>109</v>
      </c>
    </row>
    <row r="2120" spans="1:11">
      <c r="A2120" s="312" t="s">
        <v>4532</v>
      </c>
      <c r="B2120" s="312" t="s">
        <v>4533</v>
      </c>
      <c r="C2120" s="312" t="s">
        <v>105</v>
      </c>
      <c r="D2120" s="312" t="s">
        <v>117</v>
      </c>
      <c r="E2120" s="312" t="s">
        <v>107</v>
      </c>
      <c r="F2120" s="312">
        <v>1825</v>
      </c>
      <c r="G2120" s="312" t="s">
        <v>108</v>
      </c>
      <c r="H2120" s="312">
        <v>1827</v>
      </c>
      <c r="I2120" s="312" t="s">
        <v>107</v>
      </c>
      <c r="J2120" s="312">
        <v>1913</v>
      </c>
      <c r="K2120" s="312" t="s">
        <v>109</v>
      </c>
    </row>
    <row r="2121" spans="1:11">
      <c r="A2121" s="312" t="s">
        <v>4534</v>
      </c>
      <c r="B2121" s="312" t="s">
        <v>4535</v>
      </c>
      <c r="C2121" s="312" t="s">
        <v>105</v>
      </c>
      <c r="D2121" s="312" t="s">
        <v>4536</v>
      </c>
      <c r="E2121" s="312" t="s">
        <v>107</v>
      </c>
      <c r="F2121" s="312">
        <v>1825</v>
      </c>
      <c r="G2121" s="312" t="s">
        <v>108</v>
      </c>
      <c r="H2121" s="312">
        <v>1827</v>
      </c>
      <c r="I2121" s="312" t="s">
        <v>107</v>
      </c>
      <c r="J2121" s="312">
        <v>1913</v>
      </c>
      <c r="K2121" s="312" t="s">
        <v>109</v>
      </c>
    </row>
    <row r="2122" spans="1:11">
      <c r="A2122" s="312" t="s">
        <v>4537</v>
      </c>
      <c r="B2122" s="312" t="s">
        <v>4538</v>
      </c>
      <c r="C2122" s="312" t="s">
        <v>105</v>
      </c>
      <c r="D2122" s="312" t="s">
        <v>4536</v>
      </c>
      <c r="E2122" s="312" t="s">
        <v>107</v>
      </c>
      <c r="F2122" s="312">
        <v>1825</v>
      </c>
      <c r="G2122" s="312" t="s">
        <v>108</v>
      </c>
      <c r="H2122" s="312">
        <v>1827</v>
      </c>
      <c r="I2122" s="312" t="s">
        <v>107</v>
      </c>
      <c r="J2122" s="312">
        <v>1913</v>
      </c>
      <c r="K2122" s="312" t="s">
        <v>109</v>
      </c>
    </row>
    <row r="2123" spans="1:11">
      <c r="A2123" s="312" t="s">
        <v>4539</v>
      </c>
      <c r="B2123" s="312" t="s">
        <v>4540</v>
      </c>
      <c r="C2123" s="312" t="s">
        <v>105</v>
      </c>
      <c r="D2123" s="312" t="s">
        <v>4536</v>
      </c>
      <c r="E2123" s="312" t="s">
        <v>107</v>
      </c>
      <c r="F2123" s="312">
        <v>1825</v>
      </c>
      <c r="G2123" s="312" t="s">
        <v>108</v>
      </c>
      <c r="H2123" s="312">
        <v>1827</v>
      </c>
      <c r="I2123" s="312" t="s">
        <v>107</v>
      </c>
      <c r="J2123" s="312">
        <v>1913</v>
      </c>
      <c r="K2123" s="312" t="s">
        <v>109</v>
      </c>
    </row>
    <row r="2124" spans="1:11">
      <c r="A2124" s="312" t="s">
        <v>4541</v>
      </c>
      <c r="B2124" s="312" t="s">
        <v>4542</v>
      </c>
      <c r="C2124" s="312" t="s">
        <v>105</v>
      </c>
      <c r="D2124" s="312" t="s">
        <v>4536</v>
      </c>
      <c r="E2124" s="312" t="s">
        <v>107</v>
      </c>
      <c r="F2124" s="312">
        <v>1825</v>
      </c>
      <c r="G2124" s="312" t="s">
        <v>108</v>
      </c>
      <c r="H2124" s="312">
        <v>1827</v>
      </c>
      <c r="I2124" s="312" t="s">
        <v>107</v>
      </c>
      <c r="J2124" s="312">
        <v>1913</v>
      </c>
      <c r="K2124" s="312" t="s">
        <v>109</v>
      </c>
    </row>
    <row r="2125" spans="1:11">
      <c r="A2125" s="312" t="s">
        <v>4543</v>
      </c>
      <c r="B2125" s="312" t="s">
        <v>4544</v>
      </c>
      <c r="C2125" s="312" t="s">
        <v>105</v>
      </c>
      <c r="D2125" s="312" t="s">
        <v>4387</v>
      </c>
      <c r="E2125" s="312" t="s">
        <v>107</v>
      </c>
      <c r="F2125" s="312">
        <v>1825</v>
      </c>
      <c r="G2125" s="312" t="s">
        <v>108</v>
      </c>
      <c r="H2125" s="312">
        <v>1827</v>
      </c>
      <c r="I2125" s="312" t="s">
        <v>107</v>
      </c>
      <c r="J2125" s="312">
        <v>1913</v>
      </c>
      <c r="K2125" s="312" t="s">
        <v>109</v>
      </c>
    </row>
    <row r="2126" spans="1:11">
      <c r="A2126" s="312" t="s">
        <v>4545</v>
      </c>
      <c r="B2126" s="312" t="s">
        <v>4546</v>
      </c>
      <c r="C2126" s="312" t="s">
        <v>105</v>
      </c>
      <c r="D2126" s="312" t="s">
        <v>2747</v>
      </c>
      <c r="E2126" s="312" t="s">
        <v>167</v>
      </c>
      <c r="F2126" s="312">
        <v>1705</v>
      </c>
      <c r="G2126" s="312" t="s">
        <v>168</v>
      </c>
      <c r="H2126" s="312">
        <v>1707</v>
      </c>
      <c r="I2126" s="312" t="s">
        <v>167</v>
      </c>
      <c r="J2126" s="312">
        <v>1899</v>
      </c>
      <c r="K2126" s="312" t="s">
        <v>169</v>
      </c>
    </row>
    <row r="2127" spans="1:11">
      <c r="A2127" s="312" t="s">
        <v>4547</v>
      </c>
      <c r="B2127" s="312" t="s">
        <v>4548</v>
      </c>
      <c r="C2127" s="312" t="s">
        <v>105</v>
      </c>
      <c r="D2127" s="312" t="s">
        <v>2747</v>
      </c>
      <c r="E2127" s="312" t="s">
        <v>167</v>
      </c>
      <c r="F2127" s="312">
        <v>1705</v>
      </c>
      <c r="G2127" s="312" t="s">
        <v>168</v>
      </c>
      <c r="H2127" s="312">
        <v>1707</v>
      </c>
      <c r="I2127" s="312" t="s">
        <v>167</v>
      </c>
      <c r="J2127" s="312">
        <v>1899</v>
      </c>
      <c r="K2127" s="312" t="s">
        <v>169</v>
      </c>
    </row>
    <row r="2128" spans="1:11">
      <c r="A2128" s="312" t="s">
        <v>4549</v>
      </c>
      <c r="B2128" s="312" t="s">
        <v>4550</v>
      </c>
      <c r="C2128" s="312" t="s">
        <v>105</v>
      </c>
      <c r="D2128" s="312" t="s">
        <v>1300</v>
      </c>
      <c r="E2128" s="312" t="s">
        <v>167</v>
      </c>
      <c r="F2128" s="312">
        <v>1705</v>
      </c>
      <c r="G2128" s="312" t="s">
        <v>168</v>
      </c>
      <c r="H2128" s="312">
        <v>1707</v>
      </c>
      <c r="I2128" s="312" t="s">
        <v>167</v>
      </c>
      <c r="J2128" s="312">
        <v>1899</v>
      </c>
      <c r="K2128" s="312" t="s">
        <v>169</v>
      </c>
    </row>
    <row r="2129" spans="1:11">
      <c r="A2129" s="312" t="s">
        <v>4551</v>
      </c>
      <c r="B2129" s="312" t="s">
        <v>4552</v>
      </c>
      <c r="C2129" s="312" t="s">
        <v>105</v>
      </c>
      <c r="D2129" s="312" t="s">
        <v>603</v>
      </c>
      <c r="E2129" s="312" t="s">
        <v>107</v>
      </c>
      <c r="F2129" s="312">
        <v>1825</v>
      </c>
      <c r="G2129" s="312" t="s">
        <v>108</v>
      </c>
      <c r="H2129" s="312">
        <v>1827</v>
      </c>
      <c r="I2129" s="312" t="s">
        <v>107</v>
      </c>
      <c r="J2129" s="312">
        <v>1913</v>
      </c>
      <c r="K2129" s="312" t="s">
        <v>109</v>
      </c>
    </row>
    <row r="2130" spans="1:11">
      <c r="A2130" s="312" t="s">
        <v>4553</v>
      </c>
      <c r="B2130" s="312" t="s">
        <v>4554</v>
      </c>
      <c r="C2130" s="312" t="s">
        <v>105</v>
      </c>
      <c r="D2130" s="312" t="s">
        <v>1307</v>
      </c>
      <c r="E2130" s="312" t="s">
        <v>320</v>
      </c>
      <c r="F2130" s="312">
        <v>1716</v>
      </c>
      <c r="G2130" s="312" t="s">
        <v>321</v>
      </c>
      <c r="H2130" s="312">
        <v>1725</v>
      </c>
      <c r="I2130" s="312" t="s">
        <v>320</v>
      </c>
      <c r="J2130" s="312">
        <v>1910</v>
      </c>
      <c r="K2130" s="312" t="s">
        <v>322</v>
      </c>
    </row>
    <row r="2131" spans="1:11">
      <c r="A2131" s="312" t="s">
        <v>4555</v>
      </c>
      <c r="B2131" s="312" t="s">
        <v>4556</v>
      </c>
      <c r="C2131" s="312" t="s">
        <v>105</v>
      </c>
      <c r="D2131" s="312" t="s">
        <v>567</v>
      </c>
      <c r="E2131" s="312" t="s">
        <v>684</v>
      </c>
      <c r="F2131" s="312">
        <v>1750</v>
      </c>
      <c r="G2131" s="312" t="s">
        <v>685</v>
      </c>
      <c r="H2131" s="312">
        <v>1754</v>
      </c>
      <c r="I2131" s="312" t="s">
        <v>684</v>
      </c>
      <c r="J2131" s="312">
        <v>1920</v>
      </c>
      <c r="K2131" s="312" t="s">
        <v>686</v>
      </c>
    </row>
    <row r="2132" spans="1:11">
      <c r="A2132" s="312" t="s">
        <v>4557</v>
      </c>
      <c r="B2132" s="312" t="s">
        <v>4558</v>
      </c>
      <c r="C2132" s="312" t="s">
        <v>105</v>
      </c>
      <c r="D2132" s="312" t="s">
        <v>252</v>
      </c>
      <c r="E2132" s="312" t="s">
        <v>167</v>
      </c>
      <c r="F2132" s="312">
        <v>1705</v>
      </c>
      <c r="G2132" s="312" t="s">
        <v>168</v>
      </c>
      <c r="H2132" s="312">
        <v>1707</v>
      </c>
      <c r="I2132" s="312" t="s">
        <v>167</v>
      </c>
      <c r="J2132" s="312">
        <v>1899</v>
      </c>
      <c r="K2132" s="312" t="s">
        <v>169</v>
      </c>
    </row>
    <row r="2133" spans="1:11">
      <c r="A2133" s="312" t="s">
        <v>4559</v>
      </c>
      <c r="B2133" s="312" t="s">
        <v>4560</v>
      </c>
      <c r="C2133" s="312" t="s">
        <v>105</v>
      </c>
      <c r="D2133" s="312" t="s">
        <v>567</v>
      </c>
      <c r="E2133" s="312" t="s">
        <v>684</v>
      </c>
      <c r="F2133" s="312">
        <v>1750</v>
      </c>
      <c r="G2133" s="312" t="s">
        <v>685</v>
      </c>
      <c r="H2133" s="312">
        <v>1754</v>
      </c>
      <c r="I2133" s="312" t="s">
        <v>684</v>
      </c>
      <c r="J2133" s="312">
        <v>1920</v>
      </c>
      <c r="K2133" s="312" t="s">
        <v>686</v>
      </c>
    </row>
    <row r="2134" spans="1:11">
      <c r="A2134" s="312" t="s">
        <v>4561</v>
      </c>
      <c r="B2134" s="312" t="s">
        <v>4562</v>
      </c>
      <c r="C2134" s="312" t="s">
        <v>105</v>
      </c>
      <c r="D2134" s="312" t="s">
        <v>570</v>
      </c>
      <c r="E2134" s="312" t="s">
        <v>684</v>
      </c>
      <c r="F2134" s="312">
        <v>1750</v>
      </c>
      <c r="G2134" s="312" t="s">
        <v>685</v>
      </c>
      <c r="H2134" s="312">
        <v>1754</v>
      </c>
      <c r="I2134" s="312" t="s">
        <v>684</v>
      </c>
      <c r="J2134" s="312">
        <v>1920</v>
      </c>
      <c r="K2134" s="312" t="s">
        <v>686</v>
      </c>
    </row>
    <row r="2135" spans="1:11">
      <c r="A2135" s="312" t="s">
        <v>4563</v>
      </c>
      <c r="B2135" s="312" t="s">
        <v>4564</v>
      </c>
      <c r="C2135" s="312" t="s">
        <v>105</v>
      </c>
      <c r="D2135" s="312" t="s">
        <v>891</v>
      </c>
      <c r="E2135" s="312" t="s">
        <v>107</v>
      </c>
      <c r="F2135" s="312">
        <v>1825</v>
      </c>
      <c r="G2135" s="312" t="s">
        <v>108</v>
      </c>
      <c r="H2135" s="312">
        <v>1827</v>
      </c>
      <c r="I2135" s="312" t="s">
        <v>107</v>
      </c>
      <c r="J2135" s="312">
        <v>1913</v>
      </c>
      <c r="K2135" s="312" t="s">
        <v>109</v>
      </c>
    </row>
    <row r="2136" spans="1:11">
      <c r="A2136" s="312" t="s">
        <v>4565</v>
      </c>
      <c r="B2136" s="312" t="s">
        <v>4566</v>
      </c>
      <c r="C2136" s="312" t="s">
        <v>105</v>
      </c>
      <c r="D2136" s="312" t="s">
        <v>891</v>
      </c>
      <c r="E2136" s="312" t="s">
        <v>107</v>
      </c>
      <c r="F2136" s="312">
        <v>1825</v>
      </c>
      <c r="G2136" s="312" t="s">
        <v>108</v>
      </c>
      <c r="H2136" s="312">
        <v>1827</v>
      </c>
      <c r="I2136" s="312" t="s">
        <v>107</v>
      </c>
      <c r="J2136" s="312">
        <v>1913</v>
      </c>
      <c r="K2136" s="312" t="s">
        <v>109</v>
      </c>
    </row>
    <row r="2137" spans="1:11">
      <c r="A2137" s="312" t="s">
        <v>4567</v>
      </c>
      <c r="B2137" s="312" t="s">
        <v>4568</v>
      </c>
      <c r="C2137" s="312" t="s">
        <v>105</v>
      </c>
      <c r="D2137" s="312" t="s">
        <v>891</v>
      </c>
      <c r="E2137" s="312" t="s">
        <v>107</v>
      </c>
      <c r="F2137" s="312">
        <v>1825</v>
      </c>
      <c r="G2137" s="312" t="s">
        <v>108</v>
      </c>
      <c r="H2137" s="312">
        <v>1827</v>
      </c>
      <c r="I2137" s="312" t="s">
        <v>107</v>
      </c>
      <c r="J2137" s="312">
        <v>1913</v>
      </c>
      <c r="K2137" s="312" t="s">
        <v>109</v>
      </c>
    </row>
    <row r="2138" spans="1:11">
      <c r="A2138" s="312" t="s">
        <v>4569</v>
      </c>
      <c r="B2138" s="312" t="s">
        <v>4570</v>
      </c>
      <c r="C2138" s="312" t="s">
        <v>105</v>
      </c>
      <c r="D2138" s="312" t="s">
        <v>891</v>
      </c>
      <c r="E2138" s="312" t="s">
        <v>107</v>
      </c>
      <c r="F2138" s="312">
        <v>1825</v>
      </c>
      <c r="G2138" s="312" t="s">
        <v>108</v>
      </c>
      <c r="H2138" s="312">
        <v>1827</v>
      </c>
      <c r="I2138" s="312" t="s">
        <v>107</v>
      </c>
      <c r="J2138" s="312">
        <v>1913</v>
      </c>
      <c r="K2138" s="312" t="s">
        <v>109</v>
      </c>
    </row>
    <row r="2139" spans="1:11">
      <c r="A2139" s="312" t="s">
        <v>4571</v>
      </c>
      <c r="B2139" s="312" t="s">
        <v>4572</v>
      </c>
      <c r="C2139" s="312" t="s">
        <v>105</v>
      </c>
      <c r="D2139" s="312" t="s">
        <v>114</v>
      </c>
      <c r="E2139" s="312" t="s">
        <v>107</v>
      </c>
      <c r="F2139" s="312">
        <v>1825</v>
      </c>
      <c r="G2139" s="312" t="s">
        <v>108</v>
      </c>
      <c r="H2139" s="312">
        <v>1827</v>
      </c>
      <c r="I2139" s="312" t="s">
        <v>107</v>
      </c>
      <c r="J2139" s="312">
        <v>1913</v>
      </c>
      <c r="K2139" s="312" t="s">
        <v>109</v>
      </c>
    </row>
    <row r="2140" spans="1:11">
      <c r="A2140" s="312" t="s">
        <v>4573</v>
      </c>
      <c r="B2140" s="312" t="s">
        <v>4574</v>
      </c>
      <c r="C2140" s="312" t="s">
        <v>105</v>
      </c>
      <c r="D2140" s="312" t="s">
        <v>312</v>
      </c>
      <c r="E2140" s="312" t="s">
        <v>107</v>
      </c>
      <c r="F2140" s="312">
        <v>1825</v>
      </c>
      <c r="G2140" s="312" t="s">
        <v>108</v>
      </c>
      <c r="H2140" s="312">
        <v>1827</v>
      </c>
      <c r="I2140" s="312" t="s">
        <v>107</v>
      </c>
      <c r="J2140" s="312">
        <v>1913</v>
      </c>
      <c r="K2140" s="312" t="s">
        <v>109</v>
      </c>
    </row>
    <row r="2141" spans="1:11">
      <c r="A2141" s="312" t="s">
        <v>4575</v>
      </c>
      <c r="B2141" s="312" t="s">
        <v>4576</v>
      </c>
      <c r="C2141" s="312" t="s">
        <v>105</v>
      </c>
      <c r="D2141" s="312" t="s">
        <v>587</v>
      </c>
      <c r="E2141" s="312" t="s">
        <v>107</v>
      </c>
      <c r="F2141" s="312">
        <v>1825</v>
      </c>
      <c r="G2141" s="312" t="s">
        <v>108</v>
      </c>
      <c r="H2141" s="312">
        <v>1827</v>
      </c>
      <c r="I2141" s="312" t="s">
        <v>107</v>
      </c>
      <c r="J2141" s="312">
        <v>1913</v>
      </c>
      <c r="K2141" s="312" t="s">
        <v>109</v>
      </c>
    </row>
    <row r="2142" spans="1:11">
      <c r="A2142" s="312" t="s">
        <v>4577</v>
      </c>
      <c r="B2142" s="312" t="s">
        <v>4578</v>
      </c>
      <c r="C2142" s="312" t="s">
        <v>105</v>
      </c>
      <c r="D2142" s="312" t="s">
        <v>4579</v>
      </c>
      <c r="E2142" s="312" t="s">
        <v>107</v>
      </c>
      <c r="F2142" s="312">
        <v>1825</v>
      </c>
      <c r="G2142" s="312" t="s">
        <v>108</v>
      </c>
      <c r="H2142" s="312">
        <v>1827</v>
      </c>
      <c r="I2142" s="312" t="s">
        <v>107</v>
      </c>
      <c r="J2142" s="312">
        <v>1913</v>
      </c>
      <c r="K2142" s="312" t="s">
        <v>109</v>
      </c>
    </row>
    <row r="2143" spans="1:11">
      <c r="A2143" s="312" t="s">
        <v>4580</v>
      </c>
      <c r="B2143" s="312" t="s">
        <v>4581</v>
      </c>
      <c r="C2143" s="312" t="s">
        <v>105</v>
      </c>
      <c r="D2143" s="312" t="s">
        <v>4579</v>
      </c>
      <c r="E2143" s="312" t="s">
        <v>107</v>
      </c>
      <c r="F2143" s="312">
        <v>1825</v>
      </c>
      <c r="G2143" s="312" t="s">
        <v>108</v>
      </c>
      <c r="H2143" s="312">
        <v>1827</v>
      </c>
      <c r="I2143" s="312" t="s">
        <v>107</v>
      </c>
      <c r="J2143" s="312">
        <v>1913</v>
      </c>
      <c r="K2143" s="312" t="s">
        <v>109</v>
      </c>
    </row>
    <row r="2144" spans="1:11">
      <c r="A2144" s="312" t="s">
        <v>4582</v>
      </c>
      <c r="B2144" s="312" t="s">
        <v>4583</v>
      </c>
      <c r="C2144" s="312" t="s">
        <v>105</v>
      </c>
      <c r="D2144" s="312" t="s">
        <v>280</v>
      </c>
      <c r="E2144" s="312" t="s">
        <v>939</v>
      </c>
      <c r="F2144" s="312">
        <v>1685</v>
      </c>
      <c r="G2144" s="312" t="s">
        <v>940</v>
      </c>
      <c r="H2144" s="312">
        <v>1688</v>
      </c>
      <c r="I2144" s="312" t="s">
        <v>939</v>
      </c>
      <c r="J2144" s="312">
        <v>1923</v>
      </c>
      <c r="K2144" s="312" t="s">
        <v>941</v>
      </c>
    </row>
    <row r="2145" spans="1:11">
      <c r="A2145" s="312" t="s">
        <v>4584</v>
      </c>
      <c r="B2145" s="312" t="s">
        <v>4585</v>
      </c>
      <c r="C2145" s="312" t="s">
        <v>105</v>
      </c>
      <c r="D2145" s="312" t="s">
        <v>280</v>
      </c>
      <c r="E2145" s="312" t="s">
        <v>939</v>
      </c>
      <c r="F2145" s="312">
        <v>1685</v>
      </c>
      <c r="G2145" s="312" t="s">
        <v>940</v>
      </c>
      <c r="H2145" s="312">
        <v>1688</v>
      </c>
      <c r="I2145" s="312" t="s">
        <v>939</v>
      </c>
      <c r="J2145" s="312">
        <v>1923</v>
      </c>
      <c r="K2145" s="312" t="s">
        <v>941</v>
      </c>
    </row>
    <row r="2146" spans="1:11">
      <c r="A2146" s="312" t="s">
        <v>4586</v>
      </c>
      <c r="B2146" s="312" t="s">
        <v>4587</v>
      </c>
      <c r="C2146" s="312" t="s">
        <v>105</v>
      </c>
      <c r="D2146" s="312" t="s">
        <v>327</v>
      </c>
      <c r="E2146" s="312" t="s">
        <v>167</v>
      </c>
      <c r="F2146" s="312">
        <v>1705</v>
      </c>
      <c r="G2146" s="312" t="s">
        <v>168</v>
      </c>
      <c r="H2146" s="312">
        <v>1707</v>
      </c>
      <c r="I2146" s="312" t="s">
        <v>167</v>
      </c>
      <c r="J2146" s="312">
        <v>1899</v>
      </c>
      <c r="K2146" s="312" t="s">
        <v>169</v>
      </c>
    </row>
    <row r="2147" spans="1:11">
      <c r="A2147" s="312" t="s">
        <v>4588</v>
      </c>
      <c r="B2147" s="312" t="s">
        <v>4589</v>
      </c>
      <c r="C2147" s="312" t="s">
        <v>105</v>
      </c>
      <c r="D2147" s="312" t="s">
        <v>280</v>
      </c>
      <c r="E2147" s="312" t="s">
        <v>2368</v>
      </c>
      <c r="F2147" s="312">
        <v>1810</v>
      </c>
      <c r="G2147" s="312" t="s">
        <v>2369</v>
      </c>
      <c r="H2147" s="312">
        <v>1816</v>
      </c>
      <c r="I2147" s="312" t="s">
        <v>2368</v>
      </c>
      <c r="J2147" s="312">
        <v>1919</v>
      </c>
      <c r="K2147" s="312" t="s">
        <v>2370</v>
      </c>
    </row>
    <row r="2148" spans="1:11">
      <c r="A2148" s="312" t="s">
        <v>4590</v>
      </c>
      <c r="B2148" s="312" t="s">
        <v>4591</v>
      </c>
      <c r="C2148" s="312" t="s">
        <v>105</v>
      </c>
      <c r="D2148" s="312" t="s">
        <v>813</v>
      </c>
      <c r="E2148" s="312" t="s">
        <v>107</v>
      </c>
      <c r="F2148" s="312">
        <v>1825</v>
      </c>
      <c r="G2148" s="312" t="s">
        <v>108</v>
      </c>
      <c r="H2148" s="312">
        <v>1827</v>
      </c>
      <c r="I2148" s="312" t="s">
        <v>107</v>
      </c>
      <c r="J2148" s="312">
        <v>1913</v>
      </c>
      <c r="K2148" s="312" t="s">
        <v>109</v>
      </c>
    </row>
    <row r="2149" spans="1:11">
      <c r="A2149" s="312" t="s">
        <v>4592</v>
      </c>
      <c r="B2149" s="312" t="s">
        <v>4593</v>
      </c>
      <c r="C2149" s="312" t="s">
        <v>105</v>
      </c>
      <c r="D2149" s="312" t="s">
        <v>3577</v>
      </c>
      <c r="E2149" s="312" t="s">
        <v>167</v>
      </c>
      <c r="F2149" s="312">
        <v>1705</v>
      </c>
      <c r="G2149" s="312" t="s">
        <v>168</v>
      </c>
      <c r="H2149" s="312">
        <v>1707</v>
      </c>
      <c r="I2149" s="312" t="s">
        <v>167</v>
      </c>
      <c r="J2149" s="312">
        <v>1899</v>
      </c>
      <c r="K2149" s="312" t="s">
        <v>169</v>
      </c>
    </row>
    <row r="2150" spans="1:11">
      <c r="A2150" s="312" t="s">
        <v>4594</v>
      </c>
      <c r="B2150" s="312" t="s">
        <v>4595</v>
      </c>
      <c r="C2150" s="312" t="s">
        <v>105</v>
      </c>
      <c r="D2150" s="312" t="s">
        <v>1131</v>
      </c>
      <c r="E2150" s="312" t="s">
        <v>107</v>
      </c>
      <c r="F2150" s="312">
        <v>1825</v>
      </c>
      <c r="G2150" s="312" t="s">
        <v>108</v>
      </c>
      <c r="H2150" s="312">
        <v>1827</v>
      </c>
      <c r="I2150" s="312" t="s">
        <v>107</v>
      </c>
      <c r="J2150" s="312">
        <v>1913</v>
      </c>
      <c r="K2150" s="312" t="s">
        <v>109</v>
      </c>
    </row>
    <row r="2151" spans="1:11">
      <c r="A2151" s="312" t="s">
        <v>4596</v>
      </c>
      <c r="B2151" s="312" t="s">
        <v>4597</v>
      </c>
      <c r="C2151" s="312" t="s">
        <v>105</v>
      </c>
      <c r="D2151" s="312" t="s">
        <v>166</v>
      </c>
      <c r="E2151" s="312" t="s">
        <v>167</v>
      </c>
      <c r="F2151" s="312">
        <v>1705</v>
      </c>
      <c r="G2151" s="312" t="s">
        <v>168</v>
      </c>
      <c r="H2151" s="312">
        <v>1707</v>
      </c>
      <c r="I2151" s="312" t="s">
        <v>167</v>
      </c>
      <c r="J2151" s="312">
        <v>1899</v>
      </c>
      <c r="K2151" s="312" t="s">
        <v>169</v>
      </c>
    </row>
    <row r="2152" spans="1:11">
      <c r="A2152" s="312" t="s">
        <v>4598</v>
      </c>
      <c r="B2152" s="312" t="s">
        <v>4599</v>
      </c>
      <c r="C2152" s="312" t="s">
        <v>105</v>
      </c>
      <c r="D2152" s="312" t="s">
        <v>216</v>
      </c>
      <c r="E2152" s="312" t="s">
        <v>107</v>
      </c>
      <c r="F2152" s="312">
        <v>1825</v>
      </c>
      <c r="G2152" s="312" t="s">
        <v>108</v>
      </c>
      <c r="H2152" s="312">
        <v>1827</v>
      </c>
      <c r="I2152" s="312" t="s">
        <v>107</v>
      </c>
      <c r="J2152" s="312">
        <v>1913</v>
      </c>
      <c r="K2152" s="312" t="s">
        <v>109</v>
      </c>
    </row>
    <row r="2153" spans="1:11">
      <c r="A2153" s="312" t="s">
        <v>4600</v>
      </c>
      <c r="B2153" s="312" t="s">
        <v>4601</v>
      </c>
      <c r="C2153" s="312" t="s">
        <v>105</v>
      </c>
      <c r="D2153" s="312" t="s">
        <v>1142</v>
      </c>
      <c r="E2153" s="312" t="s">
        <v>167</v>
      </c>
      <c r="F2153" s="312">
        <v>1705</v>
      </c>
      <c r="G2153" s="312" t="s">
        <v>168</v>
      </c>
      <c r="H2153" s="312">
        <v>1707</v>
      </c>
      <c r="I2153" s="312" t="s">
        <v>167</v>
      </c>
      <c r="J2153" s="312">
        <v>1899</v>
      </c>
      <c r="K2153" s="312" t="s">
        <v>169</v>
      </c>
    </row>
    <row r="2154" spans="1:11">
      <c r="A2154" s="312" t="s">
        <v>4602</v>
      </c>
      <c r="B2154" s="312" t="s">
        <v>4603</v>
      </c>
      <c r="C2154" s="312" t="s">
        <v>105</v>
      </c>
      <c r="D2154" s="312" t="s">
        <v>556</v>
      </c>
      <c r="E2154" s="312" t="s">
        <v>107</v>
      </c>
      <c r="F2154" s="312">
        <v>1825</v>
      </c>
      <c r="G2154" s="312" t="s">
        <v>108</v>
      </c>
      <c r="H2154" s="312">
        <v>1827</v>
      </c>
      <c r="I2154" s="312" t="s">
        <v>107</v>
      </c>
      <c r="J2154" s="312">
        <v>1913</v>
      </c>
      <c r="K2154" s="312" t="s">
        <v>109</v>
      </c>
    </row>
    <row r="2155" spans="1:11">
      <c r="A2155" s="312" t="s">
        <v>4604</v>
      </c>
      <c r="B2155" s="312" t="s">
        <v>4605</v>
      </c>
      <c r="C2155" s="312" t="s">
        <v>105</v>
      </c>
      <c r="D2155" s="312" t="s">
        <v>573</v>
      </c>
      <c r="E2155" s="312" t="s">
        <v>107</v>
      </c>
      <c r="F2155" s="312">
        <v>1825</v>
      </c>
      <c r="G2155" s="312" t="s">
        <v>108</v>
      </c>
      <c r="H2155" s="312">
        <v>1827</v>
      </c>
      <c r="I2155" s="312" t="s">
        <v>107</v>
      </c>
      <c r="J2155" s="312">
        <v>1913</v>
      </c>
      <c r="K2155" s="312" t="s">
        <v>109</v>
      </c>
    </row>
    <row r="2156" spans="1:11">
      <c r="A2156" s="312" t="s">
        <v>4606</v>
      </c>
      <c r="B2156" s="312" t="s">
        <v>4607</v>
      </c>
      <c r="C2156" s="312" t="s">
        <v>105</v>
      </c>
      <c r="D2156" s="312" t="s">
        <v>576</v>
      </c>
      <c r="E2156" s="312" t="s">
        <v>107</v>
      </c>
      <c r="F2156" s="312">
        <v>1825</v>
      </c>
      <c r="G2156" s="312" t="s">
        <v>108</v>
      </c>
      <c r="H2156" s="312">
        <v>1827</v>
      </c>
      <c r="I2156" s="312" t="s">
        <v>107</v>
      </c>
      <c r="J2156" s="312">
        <v>1913</v>
      </c>
      <c r="K2156" s="312" t="s">
        <v>109</v>
      </c>
    </row>
    <row r="2157" spans="1:11">
      <c r="A2157" s="312" t="s">
        <v>4608</v>
      </c>
      <c r="B2157" s="312" t="s">
        <v>4609</v>
      </c>
      <c r="C2157" s="312" t="s">
        <v>105</v>
      </c>
      <c r="D2157" s="312" t="s">
        <v>576</v>
      </c>
      <c r="E2157" s="312" t="s">
        <v>107</v>
      </c>
      <c r="F2157" s="312">
        <v>1825</v>
      </c>
      <c r="G2157" s="312" t="s">
        <v>108</v>
      </c>
      <c r="H2157" s="312">
        <v>1827</v>
      </c>
      <c r="I2157" s="312" t="s">
        <v>107</v>
      </c>
      <c r="J2157" s="312">
        <v>1913</v>
      </c>
      <c r="K2157" s="312" t="s">
        <v>109</v>
      </c>
    </row>
    <row r="2158" spans="1:11">
      <c r="A2158" s="312" t="s">
        <v>4610</v>
      </c>
      <c r="B2158" s="312" t="s">
        <v>4611</v>
      </c>
      <c r="C2158" s="312" t="s">
        <v>105</v>
      </c>
      <c r="D2158" s="312" t="s">
        <v>573</v>
      </c>
      <c r="E2158" s="312" t="s">
        <v>107</v>
      </c>
      <c r="F2158" s="312">
        <v>1825</v>
      </c>
      <c r="G2158" s="312" t="s">
        <v>108</v>
      </c>
      <c r="H2158" s="312">
        <v>1827</v>
      </c>
      <c r="I2158" s="312" t="s">
        <v>107</v>
      </c>
      <c r="J2158" s="312">
        <v>1913</v>
      </c>
      <c r="K2158" s="312" t="s">
        <v>109</v>
      </c>
    </row>
    <row r="2159" spans="1:11">
      <c r="A2159" s="312" t="s">
        <v>4612</v>
      </c>
      <c r="B2159" s="312" t="s">
        <v>4613</v>
      </c>
      <c r="C2159" s="312" t="s">
        <v>105</v>
      </c>
      <c r="D2159" s="312" t="s">
        <v>573</v>
      </c>
      <c r="E2159" s="312" t="s">
        <v>107</v>
      </c>
      <c r="F2159" s="312">
        <v>1825</v>
      </c>
      <c r="G2159" s="312" t="s">
        <v>108</v>
      </c>
      <c r="H2159" s="312">
        <v>1827</v>
      </c>
      <c r="I2159" s="312" t="s">
        <v>107</v>
      </c>
      <c r="J2159" s="312">
        <v>1913</v>
      </c>
      <c r="K2159" s="312" t="s">
        <v>109</v>
      </c>
    </row>
    <row r="2160" spans="1:11">
      <c r="A2160" s="312" t="s">
        <v>4614</v>
      </c>
      <c r="B2160" s="312" t="s">
        <v>4615</v>
      </c>
      <c r="C2160" s="312" t="s">
        <v>105</v>
      </c>
      <c r="D2160" s="312" t="s">
        <v>587</v>
      </c>
      <c r="E2160" s="312" t="s">
        <v>107</v>
      </c>
      <c r="F2160" s="312">
        <v>1825</v>
      </c>
      <c r="G2160" s="312" t="s">
        <v>108</v>
      </c>
      <c r="H2160" s="312">
        <v>1827</v>
      </c>
      <c r="I2160" s="312" t="s">
        <v>107</v>
      </c>
      <c r="J2160" s="312">
        <v>1913</v>
      </c>
      <c r="K2160" s="312" t="s">
        <v>109</v>
      </c>
    </row>
    <row r="2161" spans="1:11">
      <c r="A2161" s="312" t="s">
        <v>4616</v>
      </c>
      <c r="B2161" s="312" t="s">
        <v>4617</v>
      </c>
      <c r="C2161" s="312" t="s">
        <v>105</v>
      </c>
      <c r="D2161" s="312" t="s">
        <v>587</v>
      </c>
      <c r="E2161" s="312" t="s">
        <v>107</v>
      </c>
      <c r="F2161" s="312">
        <v>1825</v>
      </c>
      <c r="G2161" s="312" t="s">
        <v>108</v>
      </c>
      <c r="H2161" s="312">
        <v>1827</v>
      </c>
      <c r="I2161" s="312" t="s">
        <v>107</v>
      </c>
      <c r="J2161" s="312">
        <v>1913</v>
      </c>
      <c r="K2161" s="312" t="s">
        <v>109</v>
      </c>
    </row>
    <row r="2162" spans="1:11">
      <c r="A2162" s="312" t="s">
        <v>4618</v>
      </c>
      <c r="B2162" s="312" t="s">
        <v>4619</v>
      </c>
      <c r="C2162" s="312" t="s">
        <v>105</v>
      </c>
      <c r="D2162" s="312" t="s">
        <v>587</v>
      </c>
      <c r="E2162" s="312" t="s">
        <v>107</v>
      </c>
      <c r="F2162" s="312">
        <v>1825</v>
      </c>
      <c r="G2162" s="312" t="s">
        <v>108</v>
      </c>
      <c r="H2162" s="312">
        <v>1827</v>
      </c>
      <c r="I2162" s="312" t="s">
        <v>107</v>
      </c>
      <c r="J2162" s="312">
        <v>1913</v>
      </c>
      <c r="K2162" s="312" t="s">
        <v>109</v>
      </c>
    </row>
    <row r="2163" spans="1:11">
      <c r="A2163" s="312" t="s">
        <v>4620</v>
      </c>
      <c r="B2163" s="312" t="s">
        <v>4621</v>
      </c>
      <c r="C2163" s="312" t="s">
        <v>105</v>
      </c>
      <c r="D2163" s="312" t="s">
        <v>483</v>
      </c>
      <c r="E2163" s="312" t="s">
        <v>107</v>
      </c>
      <c r="F2163" s="312">
        <v>1825</v>
      </c>
      <c r="G2163" s="312" t="s">
        <v>108</v>
      </c>
      <c r="H2163" s="312">
        <v>1827</v>
      </c>
      <c r="I2163" s="312" t="s">
        <v>107</v>
      </c>
      <c r="J2163" s="312">
        <v>1913</v>
      </c>
      <c r="K2163" s="312" t="s">
        <v>109</v>
      </c>
    </row>
    <row r="2164" spans="1:11">
      <c r="A2164" s="312" t="s">
        <v>4622</v>
      </c>
      <c r="B2164" s="312" t="s">
        <v>4623</v>
      </c>
      <c r="C2164" s="312" t="s">
        <v>105</v>
      </c>
      <c r="D2164" s="312" t="s">
        <v>483</v>
      </c>
      <c r="E2164" s="312" t="s">
        <v>107</v>
      </c>
      <c r="F2164" s="312">
        <v>1825</v>
      </c>
      <c r="G2164" s="312" t="s">
        <v>108</v>
      </c>
      <c r="H2164" s="312">
        <v>1827</v>
      </c>
      <c r="I2164" s="312" t="s">
        <v>107</v>
      </c>
      <c r="J2164" s="312">
        <v>1913</v>
      </c>
      <c r="K2164" s="312" t="s">
        <v>109</v>
      </c>
    </row>
    <row r="2165" spans="1:11">
      <c r="A2165" s="312" t="s">
        <v>4624</v>
      </c>
      <c r="B2165" s="312" t="s">
        <v>4625</v>
      </c>
      <c r="C2165" s="312" t="s">
        <v>105</v>
      </c>
      <c r="D2165" s="312" t="s">
        <v>483</v>
      </c>
      <c r="E2165" s="312" t="s">
        <v>107</v>
      </c>
      <c r="F2165" s="312">
        <v>1825</v>
      </c>
      <c r="G2165" s="312" t="s">
        <v>108</v>
      </c>
      <c r="H2165" s="312">
        <v>1827</v>
      </c>
      <c r="I2165" s="312" t="s">
        <v>107</v>
      </c>
      <c r="J2165" s="312">
        <v>1913</v>
      </c>
      <c r="K2165" s="312" t="s">
        <v>109</v>
      </c>
    </row>
    <row r="2166" spans="1:11">
      <c r="A2166" s="312" t="s">
        <v>4626</v>
      </c>
      <c r="B2166" s="312" t="s">
        <v>4627</v>
      </c>
      <c r="C2166" s="312" t="s">
        <v>105</v>
      </c>
      <c r="D2166" s="312" t="s">
        <v>114</v>
      </c>
      <c r="E2166" s="312" t="s">
        <v>107</v>
      </c>
      <c r="F2166" s="312">
        <v>1825</v>
      </c>
      <c r="G2166" s="312" t="s">
        <v>108</v>
      </c>
      <c r="H2166" s="312">
        <v>1827</v>
      </c>
      <c r="I2166" s="312" t="s">
        <v>107</v>
      </c>
      <c r="J2166" s="312">
        <v>1913</v>
      </c>
      <c r="K2166" s="312" t="s">
        <v>109</v>
      </c>
    </row>
    <row r="2167" spans="1:11">
      <c r="A2167" s="312" t="s">
        <v>4628</v>
      </c>
      <c r="B2167" s="312" t="s">
        <v>4629</v>
      </c>
      <c r="C2167" s="312" t="s">
        <v>105</v>
      </c>
      <c r="D2167" s="312" t="s">
        <v>4630</v>
      </c>
      <c r="E2167" s="312" t="s">
        <v>107</v>
      </c>
      <c r="F2167" s="312">
        <v>1825</v>
      </c>
      <c r="G2167" s="312" t="s">
        <v>108</v>
      </c>
      <c r="H2167" s="312">
        <v>1827</v>
      </c>
      <c r="I2167" s="312" t="s">
        <v>107</v>
      </c>
      <c r="J2167" s="312">
        <v>1913</v>
      </c>
      <c r="K2167" s="312" t="s">
        <v>109</v>
      </c>
    </row>
    <row r="2168" spans="1:11">
      <c r="A2168" s="312" t="s">
        <v>4631</v>
      </c>
      <c r="B2168" s="312" t="s">
        <v>4632</v>
      </c>
      <c r="C2168" s="312" t="s">
        <v>105</v>
      </c>
      <c r="D2168" s="312" t="s">
        <v>556</v>
      </c>
      <c r="E2168" s="312" t="s">
        <v>107</v>
      </c>
      <c r="F2168" s="312">
        <v>1825</v>
      </c>
      <c r="G2168" s="312" t="s">
        <v>108</v>
      </c>
      <c r="H2168" s="312">
        <v>1827</v>
      </c>
      <c r="I2168" s="312" t="s">
        <v>107</v>
      </c>
      <c r="J2168" s="312">
        <v>1913</v>
      </c>
      <c r="K2168" s="312" t="s">
        <v>109</v>
      </c>
    </row>
    <row r="2169" spans="1:11">
      <c r="A2169" s="312" t="s">
        <v>4633</v>
      </c>
      <c r="B2169" s="312" t="s">
        <v>4634</v>
      </c>
      <c r="C2169" s="312" t="s">
        <v>105</v>
      </c>
      <c r="D2169" s="312" t="s">
        <v>556</v>
      </c>
      <c r="E2169" s="312" t="s">
        <v>107</v>
      </c>
      <c r="F2169" s="312">
        <v>1825</v>
      </c>
      <c r="G2169" s="312" t="s">
        <v>108</v>
      </c>
      <c r="H2169" s="312">
        <v>1827</v>
      </c>
      <c r="I2169" s="312" t="s">
        <v>107</v>
      </c>
      <c r="J2169" s="312">
        <v>1913</v>
      </c>
      <c r="K2169" s="312" t="s">
        <v>109</v>
      </c>
    </row>
    <row r="2170" spans="1:11">
      <c r="A2170" s="312" t="s">
        <v>4635</v>
      </c>
      <c r="B2170" s="312" t="s">
        <v>4636</v>
      </c>
      <c r="C2170" s="312" t="s">
        <v>105</v>
      </c>
      <c r="D2170" s="312" t="s">
        <v>438</v>
      </c>
      <c r="E2170" s="312" t="s">
        <v>107</v>
      </c>
      <c r="F2170" s="312">
        <v>1825</v>
      </c>
      <c r="G2170" s="312" t="s">
        <v>108</v>
      </c>
      <c r="H2170" s="312">
        <v>1827</v>
      </c>
      <c r="I2170" s="312" t="s">
        <v>107</v>
      </c>
      <c r="J2170" s="312">
        <v>1913</v>
      </c>
      <c r="K2170" s="312" t="s">
        <v>109</v>
      </c>
    </row>
    <row r="2171" spans="1:11">
      <c r="A2171" s="312" t="s">
        <v>4637</v>
      </c>
      <c r="B2171" s="312" t="s">
        <v>4638</v>
      </c>
      <c r="C2171" s="312" t="s">
        <v>105</v>
      </c>
      <c r="D2171" s="312" t="s">
        <v>435</v>
      </c>
      <c r="E2171" s="312" t="s">
        <v>107</v>
      </c>
      <c r="F2171" s="312">
        <v>1825</v>
      </c>
      <c r="G2171" s="312" t="s">
        <v>108</v>
      </c>
      <c r="H2171" s="312">
        <v>1827</v>
      </c>
      <c r="I2171" s="312" t="s">
        <v>107</v>
      </c>
      <c r="J2171" s="312">
        <v>1913</v>
      </c>
      <c r="K2171" s="312" t="s">
        <v>109</v>
      </c>
    </row>
    <row r="2172" spans="1:11">
      <c r="A2172" s="312" t="s">
        <v>4639</v>
      </c>
      <c r="B2172" s="312" t="s">
        <v>4640</v>
      </c>
      <c r="C2172" s="312" t="s">
        <v>105</v>
      </c>
      <c r="D2172" s="312" t="s">
        <v>610</v>
      </c>
      <c r="E2172" s="312" t="s">
        <v>107</v>
      </c>
      <c r="F2172" s="312">
        <v>1825</v>
      </c>
      <c r="G2172" s="312" t="s">
        <v>108</v>
      </c>
      <c r="H2172" s="312">
        <v>1827</v>
      </c>
      <c r="I2172" s="312" t="s">
        <v>107</v>
      </c>
      <c r="J2172" s="312">
        <v>1913</v>
      </c>
      <c r="K2172" s="312" t="s">
        <v>109</v>
      </c>
    </row>
    <row r="2173" spans="1:11">
      <c r="A2173" s="312" t="s">
        <v>4641</v>
      </c>
      <c r="B2173" s="312" t="s">
        <v>4642</v>
      </c>
      <c r="C2173" s="312" t="s">
        <v>105</v>
      </c>
      <c r="D2173" s="312" t="s">
        <v>1131</v>
      </c>
      <c r="E2173" s="312" t="s">
        <v>107</v>
      </c>
      <c r="F2173" s="312">
        <v>1825</v>
      </c>
      <c r="G2173" s="312" t="s">
        <v>108</v>
      </c>
      <c r="H2173" s="312">
        <v>1827</v>
      </c>
      <c r="I2173" s="312" t="s">
        <v>107</v>
      </c>
      <c r="J2173" s="312">
        <v>1913</v>
      </c>
      <c r="K2173" s="312" t="s">
        <v>109</v>
      </c>
    </row>
    <row r="2174" spans="1:11">
      <c r="A2174" s="312" t="s">
        <v>4643</v>
      </c>
      <c r="B2174" s="312" t="s">
        <v>4644</v>
      </c>
      <c r="C2174" s="312" t="s">
        <v>105</v>
      </c>
      <c r="D2174" s="312" t="s">
        <v>252</v>
      </c>
      <c r="E2174" s="312" t="s">
        <v>167</v>
      </c>
      <c r="F2174" s="312">
        <v>1705</v>
      </c>
      <c r="G2174" s="312" t="s">
        <v>168</v>
      </c>
      <c r="H2174" s="312">
        <v>1707</v>
      </c>
      <c r="I2174" s="312" t="s">
        <v>167</v>
      </c>
      <c r="J2174" s="312">
        <v>1899</v>
      </c>
      <c r="K2174" s="312" t="s">
        <v>169</v>
      </c>
    </row>
    <row r="2175" spans="1:11">
      <c r="A2175" s="312" t="s">
        <v>4645</v>
      </c>
      <c r="B2175" s="312" t="s">
        <v>4646</v>
      </c>
      <c r="C2175" s="312" t="s">
        <v>105</v>
      </c>
      <c r="D2175" s="312" t="s">
        <v>567</v>
      </c>
      <c r="E2175" s="312" t="s">
        <v>107</v>
      </c>
      <c r="F2175" s="312">
        <v>1825</v>
      </c>
      <c r="G2175" s="312" t="s">
        <v>108</v>
      </c>
      <c r="H2175" s="312">
        <v>1827</v>
      </c>
      <c r="I2175" s="312" t="s">
        <v>107</v>
      </c>
      <c r="J2175" s="312">
        <v>1913</v>
      </c>
      <c r="K2175" s="312" t="s">
        <v>109</v>
      </c>
    </row>
    <row r="2176" spans="1:11">
      <c r="A2176" s="312" t="s">
        <v>4647</v>
      </c>
      <c r="B2176" s="312" t="s">
        <v>4648</v>
      </c>
      <c r="C2176" s="312" t="s">
        <v>105</v>
      </c>
      <c r="D2176" s="312" t="s">
        <v>567</v>
      </c>
      <c r="E2176" s="312" t="s">
        <v>107</v>
      </c>
      <c r="F2176" s="312">
        <v>1825</v>
      </c>
      <c r="G2176" s="312" t="s">
        <v>108</v>
      </c>
      <c r="H2176" s="312">
        <v>1827</v>
      </c>
      <c r="I2176" s="312" t="s">
        <v>107</v>
      </c>
      <c r="J2176" s="312">
        <v>1913</v>
      </c>
      <c r="K2176" s="312" t="s">
        <v>109</v>
      </c>
    </row>
    <row r="2177" spans="1:11">
      <c r="A2177" s="312" t="s">
        <v>4649</v>
      </c>
      <c r="B2177" s="312" t="s">
        <v>4650</v>
      </c>
      <c r="C2177" s="312" t="s">
        <v>105</v>
      </c>
      <c r="D2177" s="312" t="s">
        <v>848</v>
      </c>
      <c r="E2177" s="312" t="s">
        <v>684</v>
      </c>
      <c r="F2177" s="312">
        <v>1750</v>
      </c>
      <c r="G2177" s="312" t="s">
        <v>685</v>
      </c>
      <c r="H2177" s="312">
        <v>1754</v>
      </c>
      <c r="I2177" s="312" t="s">
        <v>684</v>
      </c>
      <c r="J2177" s="312">
        <v>1920</v>
      </c>
      <c r="K2177" s="312" t="s">
        <v>686</v>
      </c>
    </row>
    <row r="2178" spans="1:11">
      <c r="A2178" s="312" t="s">
        <v>4651</v>
      </c>
      <c r="B2178" s="312" t="s">
        <v>4652</v>
      </c>
      <c r="C2178" s="312" t="s">
        <v>105</v>
      </c>
      <c r="D2178" s="312" t="s">
        <v>848</v>
      </c>
      <c r="E2178" s="312" t="s">
        <v>684</v>
      </c>
      <c r="F2178" s="312">
        <v>1750</v>
      </c>
      <c r="G2178" s="312" t="s">
        <v>685</v>
      </c>
      <c r="H2178" s="312">
        <v>1754</v>
      </c>
      <c r="I2178" s="312" t="s">
        <v>684</v>
      </c>
      <c r="J2178" s="312">
        <v>1920</v>
      </c>
      <c r="K2178" s="312" t="s">
        <v>686</v>
      </c>
    </row>
    <row r="2179" spans="1:11">
      <c r="A2179" s="312" t="s">
        <v>4653</v>
      </c>
      <c r="B2179" s="312" t="s">
        <v>4654</v>
      </c>
      <c r="C2179" s="312" t="s">
        <v>105</v>
      </c>
      <c r="D2179" s="312" t="s">
        <v>848</v>
      </c>
      <c r="E2179" s="312" t="s">
        <v>684</v>
      </c>
      <c r="F2179" s="312">
        <v>1750</v>
      </c>
      <c r="G2179" s="312" t="s">
        <v>685</v>
      </c>
      <c r="H2179" s="312">
        <v>1754</v>
      </c>
      <c r="I2179" s="312" t="s">
        <v>684</v>
      </c>
      <c r="J2179" s="312">
        <v>1920</v>
      </c>
      <c r="K2179" s="312" t="s">
        <v>686</v>
      </c>
    </row>
    <row r="2180" spans="1:11">
      <c r="A2180" s="312" t="s">
        <v>4655</v>
      </c>
      <c r="B2180" s="312" t="s">
        <v>4656</v>
      </c>
      <c r="C2180" s="312" t="s">
        <v>105</v>
      </c>
      <c r="D2180" s="312" t="s">
        <v>848</v>
      </c>
      <c r="E2180" s="312" t="s">
        <v>684</v>
      </c>
      <c r="F2180" s="312">
        <v>1750</v>
      </c>
      <c r="G2180" s="312" t="s">
        <v>685</v>
      </c>
      <c r="H2180" s="312">
        <v>1754</v>
      </c>
      <c r="I2180" s="312" t="s">
        <v>684</v>
      </c>
      <c r="J2180" s="312">
        <v>1920</v>
      </c>
      <c r="K2180" s="312" t="s">
        <v>686</v>
      </c>
    </row>
    <row r="2181" spans="1:11">
      <c r="A2181" s="312" t="s">
        <v>4657</v>
      </c>
      <c r="B2181" s="312" t="s">
        <v>4658</v>
      </c>
      <c r="C2181" s="312" t="s">
        <v>105</v>
      </c>
      <c r="D2181" s="312" t="s">
        <v>848</v>
      </c>
      <c r="E2181" s="312" t="s">
        <v>684</v>
      </c>
      <c r="F2181" s="312">
        <v>1750</v>
      </c>
      <c r="G2181" s="312" t="s">
        <v>685</v>
      </c>
      <c r="H2181" s="312">
        <v>1754</v>
      </c>
      <c r="I2181" s="312" t="s">
        <v>684</v>
      </c>
      <c r="J2181" s="312">
        <v>1920</v>
      </c>
      <c r="K2181" s="312" t="s">
        <v>686</v>
      </c>
    </row>
    <row r="2182" spans="1:11">
      <c r="A2182" s="312" t="s">
        <v>4659</v>
      </c>
      <c r="B2182" s="312" t="s">
        <v>4660</v>
      </c>
      <c r="C2182" s="312" t="s">
        <v>105</v>
      </c>
      <c r="D2182" s="312" t="s">
        <v>848</v>
      </c>
      <c r="E2182" s="312" t="s">
        <v>684</v>
      </c>
      <c r="F2182" s="312">
        <v>1750</v>
      </c>
      <c r="G2182" s="312" t="s">
        <v>685</v>
      </c>
      <c r="H2182" s="312">
        <v>1754</v>
      </c>
      <c r="I2182" s="312" t="s">
        <v>684</v>
      </c>
      <c r="J2182" s="312">
        <v>1920</v>
      </c>
      <c r="K2182" s="312" t="s">
        <v>686</v>
      </c>
    </row>
    <row r="2183" spans="1:11">
      <c r="A2183" s="312" t="s">
        <v>4661</v>
      </c>
      <c r="B2183" s="312" t="s">
        <v>4662</v>
      </c>
      <c r="C2183" s="312" t="s">
        <v>105</v>
      </c>
      <c r="D2183" s="312" t="s">
        <v>848</v>
      </c>
      <c r="E2183" s="312" t="s">
        <v>684</v>
      </c>
      <c r="F2183" s="312">
        <v>1750</v>
      </c>
      <c r="G2183" s="312" t="s">
        <v>685</v>
      </c>
      <c r="H2183" s="312">
        <v>1754</v>
      </c>
      <c r="I2183" s="312" t="s">
        <v>684</v>
      </c>
      <c r="J2183" s="312">
        <v>1920</v>
      </c>
      <c r="K2183" s="312" t="s">
        <v>686</v>
      </c>
    </row>
    <row r="2184" spans="1:11">
      <c r="A2184" s="312" t="s">
        <v>4663</v>
      </c>
      <c r="B2184" s="312" t="s">
        <v>4664</v>
      </c>
      <c r="C2184" s="312" t="s">
        <v>105</v>
      </c>
      <c r="D2184" s="312" t="s">
        <v>848</v>
      </c>
      <c r="E2184" s="312" t="s">
        <v>684</v>
      </c>
      <c r="F2184" s="312">
        <v>1750</v>
      </c>
      <c r="G2184" s="312" t="s">
        <v>685</v>
      </c>
      <c r="H2184" s="312">
        <v>1754</v>
      </c>
      <c r="I2184" s="312" t="s">
        <v>684</v>
      </c>
      <c r="J2184" s="312">
        <v>1920</v>
      </c>
      <c r="K2184" s="312" t="s">
        <v>686</v>
      </c>
    </row>
    <row r="2185" spans="1:11">
      <c r="A2185" s="312" t="s">
        <v>4665</v>
      </c>
      <c r="B2185" s="312" t="s">
        <v>4666</v>
      </c>
      <c r="C2185" s="312" t="s">
        <v>105</v>
      </c>
      <c r="D2185" s="312" t="s">
        <v>848</v>
      </c>
      <c r="E2185" s="312" t="s">
        <v>684</v>
      </c>
      <c r="F2185" s="312">
        <v>1750</v>
      </c>
      <c r="G2185" s="312" t="s">
        <v>685</v>
      </c>
      <c r="H2185" s="312">
        <v>1754</v>
      </c>
      <c r="I2185" s="312" t="s">
        <v>684</v>
      </c>
      <c r="J2185" s="312">
        <v>1920</v>
      </c>
      <c r="K2185" s="312" t="s">
        <v>686</v>
      </c>
    </row>
    <row r="2186" spans="1:11">
      <c r="A2186" s="312" t="s">
        <v>4667</v>
      </c>
      <c r="B2186" s="312" t="s">
        <v>4668</v>
      </c>
      <c r="C2186" s="312" t="s">
        <v>105</v>
      </c>
      <c r="D2186" s="312" t="s">
        <v>252</v>
      </c>
      <c r="E2186" s="312" t="s">
        <v>167</v>
      </c>
      <c r="F2186" s="312">
        <v>1705</v>
      </c>
      <c r="G2186" s="312" t="s">
        <v>168</v>
      </c>
      <c r="H2186" s="312">
        <v>1707</v>
      </c>
      <c r="I2186" s="312" t="s">
        <v>167</v>
      </c>
      <c r="J2186" s="312">
        <v>1899</v>
      </c>
      <c r="K2186" s="312" t="s">
        <v>169</v>
      </c>
    </row>
    <row r="2187" spans="1:11">
      <c r="A2187" s="312" t="s">
        <v>4669</v>
      </c>
      <c r="B2187" s="312" t="s">
        <v>4670</v>
      </c>
      <c r="C2187" s="312" t="s">
        <v>105</v>
      </c>
      <c r="D2187" s="312" t="s">
        <v>567</v>
      </c>
      <c r="E2187" s="312" t="s">
        <v>684</v>
      </c>
      <c r="F2187" s="312">
        <v>1750</v>
      </c>
      <c r="G2187" s="312" t="s">
        <v>685</v>
      </c>
      <c r="H2187" s="312">
        <v>1754</v>
      </c>
      <c r="I2187" s="312" t="s">
        <v>684</v>
      </c>
      <c r="J2187" s="312">
        <v>1920</v>
      </c>
      <c r="K2187" s="312" t="s">
        <v>686</v>
      </c>
    </row>
    <row r="2188" spans="1:11">
      <c r="A2188" s="312" t="s">
        <v>4671</v>
      </c>
      <c r="B2188" s="312" t="s">
        <v>4672</v>
      </c>
      <c r="C2188" s="312" t="s">
        <v>105</v>
      </c>
      <c r="D2188" s="312" t="s">
        <v>567</v>
      </c>
      <c r="E2188" s="312" t="s">
        <v>684</v>
      </c>
      <c r="F2188" s="312">
        <v>1750</v>
      </c>
      <c r="G2188" s="312" t="s">
        <v>685</v>
      </c>
      <c r="H2188" s="312">
        <v>1754</v>
      </c>
      <c r="I2188" s="312" t="s">
        <v>684</v>
      </c>
      <c r="J2188" s="312">
        <v>1920</v>
      </c>
      <c r="K2188" s="312" t="s">
        <v>686</v>
      </c>
    </row>
    <row r="2189" spans="1:11">
      <c r="A2189" s="312" t="s">
        <v>4673</v>
      </c>
      <c r="B2189" s="312" t="s">
        <v>4674</v>
      </c>
      <c r="C2189" s="312" t="s">
        <v>105</v>
      </c>
      <c r="D2189" s="312" t="s">
        <v>567</v>
      </c>
      <c r="E2189" s="312" t="s">
        <v>684</v>
      </c>
      <c r="F2189" s="312">
        <v>1750</v>
      </c>
      <c r="G2189" s="312" t="s">
        <v>685</v>
      </c>
      <c r="H2189" s="312">
        <v>1754</v>
      </c>
      <c r="I2189" s="312" t="s">
        <v>684</v>
      </c>
      <c r="J2189" s="312">
        <v>1920</v>
      </c>
      <c r="K2189" s="312" t="s">
        <v>686</v>
      </c>
    </row>
    <row r="2190" spans="1:11">
      <c r="A2190" s="312" t="s">
        <v>4675</v>
      </c>
      <c r="B2190" s="312" t="s">
        <v>4676</v>
      </c>
      <c r="C2190" s="312" t="s">
        <v>105</v>
      </c>
      <c r="D2190" s="312" t="s">
        <v>567</v>
      </c>
      <c r="E2190" s="312" t="s">
        <v>684</v>
      </c>
      <c r="F2190" s="312">
        <v>1750</v>
      </c>
      <c r="G2190" s="312" t="s">
        <v>685</v>
      </c>
      <c r="H2190" s="312">
        <v>1754</v>
      </c>
      <c r="I2190" s="312" t="s">
        <v>684</v>
      </c>
      <c r="J2190" s="312">
        <v>1920</v>
      </c>
      <c r="K2190" s="312" t="s">
        <v>686</v>
      </c>
    </row>
    <row r="2191" spans="1:11">
      <c r="A2191" s="312" t="s">
        <v>4677</v>
      </c>
      <c r="B2191" s="312" t="s">
        <v>4678</v>
      </c>
      <c r="C2191" s="312" t="s">
        <v>105</v>
      </c>
      <c r="D2191" s="312" t="s">
        <v>567</v>
      </c>
      <c r="E2191" s="312" t="s">
        <v>684</v>
      </c>
      <c r="F2191" s="312">
        <v>1750</v>
      </c>
      <c r="G2191" s="312" t="s">
        <v>685</v>
      </c>
      <c r="H2191" s="312">
        <v>1754</v>
      </c>
      <c r="I2191" s="312" t="s">
        <v>684</v>
      </c>
      <c r="J2191" s="312">
        <v>1920</v>
      </c>
      <c r="K2191" s="312" t="s">
        <v>686</v>
      </c>
    </row>
    <row r="2192" spans="1:11">
      <c r="A2192" s="312" t="s">
        <v>4679</v>
      </c>
      <c r="B2192" s="312" t="s">
        <v>4680</v>
      </c>
      <c r="C2192" s="312" t="s">
        <v>105</v>
      </c>
      <c r="D2192" s="312" t="s">
        <v>567</v>
      </c>
      <c r="E2192" s="312" t="s">
        <v>684</v>
      </c>
      <c r="F2192" s="312">
        <v>1750</v>
      </c>
      <c r="G2192" s="312" t="s">
        <v>685</v>
      </c>
      <c r="H2192" s="312">
        <v>1754</v>
      </c>
      <c r="I2192" s="312" t="s">
        <v>684</v>
      </c>
      <c r="J2192" s="312">
        <v>1920</v>
      </c>
      <c r="K2192" s="312" t="s">
        <v>686</v>
      </c>
    </row>
    <row r="2193" spans="1:11">
      <c r="A2193" s="312" t="s">
        <v>4681</v>
      </c>
      <c r="B2193" s="312" t="s">
        <v>4682</v>
      </c>
      <c r="C2193" s="312" t="s">
        <v>105</v>
      </c>
      <c r="D2193" s="312" t="s">
        <v>567</v>
      </c>
      <c r="E2193" s="312" t="s">
        <v>684</v>
      </c>
      <c r="F2193" s="312">
        <v>1750</v>
      </c>
      <c r="G2193" s="312" t="s">
        <v>685</v>
      </c>
      <c r="H2193" s="312">
        <v>1754</v>
      </c>
      <c r="I2193" s="312" t="s">
        <v>684</v>
      </c>
      <c r="J2193" s="312">
        <v>1920</v>
      </c>
      <c r="K2193" s="312" t="s">
        <v>686</v>
      </c>
    </row>
    <row r="2194" spans="1:11">
      <c r="A2194" s="312" t="s">
        <v>4683</v>
      </c>
      <c r="B2194" s="312" t="s">
        <v>4684</v>
      </c>
      <c r="C2194" s="312" t="s">
        <v>105</v>
      </c>
      <c r="D2194" s="312" t="s">
        <v>567</v>
      </c>
      <c r="E2194" s="312" t="s">
        <v>684</v>
      </c>
      <c r="F2194" s="312">
        <v>1750</v>
      </c>
      <c r="G2194" s="312" t="s">
        <v>685</v>
      </c>
      <c r="H2194" s="312">
        <v>1754</v>
      </c>
      <c r="I2194" s="312" t="s">
        <v>684</v>
      </c>
      <c r="J2194" s="312">
        <v>1920</v>
      </c>
      <c r="K2194" s="312" t="s">
        <v>686</v>
      </c>
    </row>
    <row r="2195" spans="1:11">
      <c r="A2195" s="312" t="s">
        <v>4685</v>
      </c>
      <c r="B2195" s="312" t="s">
        <v>4686</v>
      </c>
      <c r="C2195" s="312" t="s">
        <v>105</v>
      </c>
      <c r="D2195" s="312" t="s">
        <v>567</v>
      </c>
      <c r="E2195" s="312" t="s">
        <v>684</v>
      </c>
      <c r="F2195" s="312">
        <v>1750</v>
      </c>
      <c r="G2195" s="312" t="s">
        <v>685</v>
      </c>
      <c r="H2195" s="312">
        <v>1754</v>
      </c>
      <c r="I2195" s="312" t="s">
        <v>684</v>
      </c>
      <c r="J2195" s="312">
        <v>1920</v>
      </c>
      <c r="K2195" s="312" t="s">
        <v>686</v>
      </c>
    </row>
    <row r="2196" spans="1:11">
      <c r="A2196" s="312" t="s">
        <v>4687</v>
      </c>
      <c r="B2196" s="312" t="s">
        <v>4688</v>
      </c>
      <c r="C2196" s="312" t="s">
        <v>105</v>
      </c>
      <c r="D2196" s="312" t="s">
        <v>567</v>
      </c>
      <c r="E2196" s="312" t="s">
        <v>684</v>
      </c>
      <c r="F2196" s="312">
        <v>1750</v>
      </c>
      <c r="G2196" s="312" t="s">
        <v>685</v>
      </c>
      <c r="H2196" s="312">
        <v>1754</v>
      </c>
      <c r="I2196" s="312" t="s">
        <v>684</v>
      </c>
      <c r="J2196" s="312">
        <v>1920</v>
      </c>
      <c r="K2196" s="312" t="s">
        <v>686</v>
      </c>
    </row>
    <row r="2197" spans="1:11">
      <c r="A2197" s="312" t="s">
        <v>4689</v>
      </c>
      <c r="B2197" s="312" t="s">
        <v>4690</v>
      </c>
      <c r="C2197" s="312" t="s">
        <v>105</v>
      </c>
      <c r="D2197" s="312" t="s">
        <v>567</v>
      </c>
      <c r="E2197" s="312" t="s">
        <v>684</v>
      </c>
      <c r="F2197" s="312">
        <v>1750</v>
      </c>
      <c r="G2197" s="312" t="s">
        <v>685</v>
      </c>
      <c r="H2197" s="312">
        <v>1754</v>
      </c>
      <c r="I2197" s="312" t="s">
        <v>684</v>
      </c>
      <c r="J2197" s="312">
        <v>1920</v>
      </c>
      <c r="K2197" s="312" t="s">
        <v>686</v>
      </c>
    </row>
    <row r="2198" spans="1:11">
      <c r="A2198" s="312" t="s">
        <v>4691</v>
      </c>
      <c r="B2198" s="312" t="s">
        <v>4692</v>
      </c>
      <c r="C2198" s="312" t="s">
        <v>105</v>
      </c>
      <c r="D2198" s="312" t="s">
        <v>567</v>
      </c>
      <c r="E2198" s="312" t="s">
        <v>684</v>
      </c>
      <c r="F2198" s="312">
        <v>1750</v>
      </c>
      <c r="G2198" s="312" t="s">
        <v>685</v>
      </c>
      <c r="H2198" s="312">
        <v>1754</v>
      </c>
      <c r="I2198" s="312" t="s">
        <v>684</v>
      </c>
      <c r="J2198" s="312">
        <v>1920</v>
      </c>
      <c r="K2198" s="312" t="s">
        <v>686</v>
      </c>
    </row>
    <row r="2199" spans="1:11">
      <c r="A2199" s="312" t="s">
        <v>4693</v>
      </c>
      <c r="B2199" s="312" t="s">
        <v>4694</v>
      </c>
      <c r="C2199" s="312" t="s">
        <v>105</v>
      </c>
      <c r="D2199" s="312" t="s">
        <v>567</v>
      </c>
      <c r="E2199" s="312" t="s">
        <v>684</v>
      </c>
      <c r="F2199" s="312">
        <v>1750</v>
      </c>
      <c r="G2199" s="312" t="s">
        <v>685</v>
      </c>
      <c r="H2199" s="312">
        <v>1754</v>
      </c>
      <c r="I2199" s="312" t="s">
        <v>684</v>
      </c>
      <c r="J2199" s="312">
        <v>1920</v>
      </c>
      <c r="K2199" s="312" t="s">
        <v>686</v>
      </c>
    </row>
    <row r="2200" spans="1:11">
      <c r="A2200" s="312" t="s">
        <v>4695</v>
      </c>
      <c r="B2200" s="312" t="s">
        <v>4696</v>
      </c>
      <c r="C2200" s="312" t="s">
        <v>105</v>
      </c>
      <c r="D2200" s="312" t="s">
        <v>567</v>
      </c>
      <c r="E2200" s="312" t="s">
        <v>684</v>
      </c>
      <c r="F2200" s="312">
        <v>1750</v>
      </c>
      <c r="G2200" s="312" t="s">
        <v>685</v>
      </c>
      <c r="H2200" s="312">
        <v>1754</v>
      </c>
      <c r="I2200" s="312" t="s">
        <v>684</v>
      </c>
      <c r="J2200" s="312">
        <v>1920</v>
      </c>
      <c r="K2200" s="312" t="s">
        <v>686</v>
      </c>
    </row>
    <row r="2201" spans="1:11">
      <c r="A2201" s="312" t="s">
        <v>4697</v>
      </c>
      <c r="B2201" s="312" t="s">
        <v>4698</v>
      </c>
      <c r="C2201" s="312" t="s">
        <v>105</v>
      </c>
      <c r="D2201" s="312" t="s">
        <v>567</v>
      </c>
      <c r="E2201" s="312" t="s">
        <v>684</v>
      </c>
      <c r="F2201" s="312">
        <v>1750</v>
      </c>
      <c r="G2201" s="312" t="s">
        <v>685</v>
      </c>
      <c r="H2201" s="312">
        <v>1754</v>
      </c>
      <c r="I2201" s="312" t="s">
        <v>684</v>
      </c>
      <c r="J2201" s="312">
        <v>1920</v>
      </c>
      <c r="K2201" s="312" t="s">
        <v>686</v>
      </c>
    </row>
    <row r="2202" spans="1:11">
      <c r="A2202" s="312" t="s">
        <v>4699</v>
      </c>
      <c r="B2202" s="312" t="s">
        <v>4700</v>
      </c>
      <c r="C2202" s="312" t="s">
        <v>105</v>
      </c>
      <c r="D2202" s="312" t="s">
        <v>567</v>
      </c>
      <c r="E2202" s="312" t="s">
        <v>684</v>
      </c>
      <c r="F2202" s="312">
        <v>1750</v>
      </c>
      <c r="G2202" s="312" t="s">
        <v>685</v>
      </c>
      <c r="H2202" s="312">
        <v>1754</v>
      </c>
      <c r="I2202" s="312" t="s">
        <v>684</v>
      </c>
      <c r="J2202" s="312">
        <v>1920</v>
      </c>
      <c r="K2202" s="312" t="s">
        <v>686</v>
      </c>
    </row>
    <row r="2203" spans="1:11">
      <c r="A2203" s="312" t="s">
        <v>4701</v>
      </c>
      <c r="B2203" s="312" t="s">
        <v>4702</v>
      </c>
      <c r="C2203" s="312" t="s">
        <v>105</v>
      </c>
      <c r="D2203" s="312" t="s">
        <v>567</v>
      </c>
      <c r="E2203" s="312" t="s">
        <v>684</v>
      </c>
      <c r="F2203" s="312">
        <v>1750</v>
      </c>
      <c r="G2203" s="312" t="s">
        <v>685</v>
      </c>
      <c r="H2203" s="312">
        <v>1754</v>
      </c>
      <c r="I2203" s="312" t="s">
        <v>684</v>
      </c>
      <c r="J2203" s="312">
        <v>1920</v>
      </c>
      <c r="K2203" s="312" t="s">
        <v>686</v>
      </c>
    </row>
    <row r="2204" spans="1:11">
      <c r="A2204" s="312" t="s">
        <v>4703</v>
      </c>
      <c r="B2204" s="312" t="s">
        <v>4704</v>
      </c>
      <c r="C2204" s="312" t="s">
        <v>105</v>
      </c>
      <c r="D2204" s="312" t="s">
        <v>567</v>
      </c>
      <c r="E2204" s="312" t="s">
        <v>684</v>
      </c>
      <c r="F2204" s="312">
        <v>1750</v>
      </c>
      <c r="G2204" s="312" t="s">
        <v>685</v>
      </c>
      <c r="H2204" s="312">
        <v>1754</v>
      </c>
      <c r="I2204" s="312" t="s">
        <v>684</v>
      </c>
      <c r="J2204" s="312">
        <v>1920</v>
      </c>
      <c r="K2204" s="312" t="s">
        <v>686</v>
      </c>
    </row>
    <row r="2205" spans="1:11">
      <c r="A2205" s="312" t="s">
        <v>4705</v>
      </c>
      <c r="B2205" s="312" t="s">
        <v>4706</v>
      </c>
      <c r="C2205" s="312" t="s">
        <v>105</v>
      </c>
      <c r="D2205" s="312" t="s">
        <v>567</v>
      </c>
      <c r="E2205" s="312" t="s">
        <v>684</v>
      </c>
      <c r="F2205" s="312">
        <v>1750</v>
      </c>
      <c r="G2205" s="312" t="s">
        <v>685</v>
      </c>
      <c r="H2205" s="312">
        <v>1754</v>
      </c>
      <c r="I2205" s="312" t="s">
        <v>684</v>
      </c>
      <c r="J2205" s="312">
        <v>1920</v>
      </c>
      <c r="K2205" s="312" t="s">
        <v>686</v>
      </c>
    </row>
    <row r="2206" spans="1:11">
      <c r="A2206" s="312" t="s">
        <v>4707</v>
      </c>
      <c r="B2206" s="312" t="s">
        <v>4708</v>
      </c>
      <c r="C2206" s="312" t="s">
        <v>105</v>
      </c>
      <c r="D2206" s="312" t="s">
        <v>567</v>
      </c>
      <c r="E2206" s="312" t="s">
        <v>684</v>
      </c>
      <c r="F2206" s="312">
        <v>1750</v>
      </c>
      <c r="G2206" s="312" t="s">
        <v>685</v>
      </c>
      <c r="H2206" s="312">
        <v>1754</v>
      </c>
      <c r="I2206" s="312" t="s">
        <v>684</v>
      </c>
      <c r="J2206" s="312">
        <v>1920</v>
      </c>
      <c r="K2206" s="312" t="s">
        <v>686</v>
      </c>
    </row>
    <row r="2207" spans="1:11">
      <c r="A2207" s="312" t="s">
        <v>4709</v>
      </c>
      <c r="B2207" s="312" t="s">
        <v>4710</v>
      </c>
      <c r="C2207" s="312" t="s">
        <v>105</v>
      </c>
      <c r="D2207" s="312" t="s">
        <v>567</v>
      </c>
      <c r="E2207" s="312" t="s">
        <v>684</v>
      </c>
      <c r="F2207" s="312">
        <v>1750</v>
      </c>
      <c r="G2207" s="312" t="s">
        <v>685</v>
      </c>
      <c r="H2207" s="312">
        <v>1754</v>
      </c>
      <c r="I2207" s="312" t="s">
        <v>684</v>
      </c>
      <c r="J2207" s="312">
        <v>1920</v>
      </c>
      <c r="K2207" s="312" t="s">
        <v>686</v>
      </c>
    </row>
    <row r="2208" spans="1:11">
      <c r="A2208" s="312" t="s">
        <v>4711</v>
      </c>
      <c r="B2208" s="312" t="s">
        <v>4712</v>
      </c>
      <c r="C2208" s="312" t="s">
        <v>105</v>
      </c>
      <c r="D2208" s="312" t="s">
        <v>567</v>
      </c>
      <c r="E2208" s="312" t="s">
        <v>684</v>
      </c>
      <c r="F2208" s="312">
        <v>1750</v>
      </c>
      <c r="G2208" s="312" t="s">
        <v>685</v>
      </c>
      <c r="H2208" s="312">
        <v>1754</v>
      </c>
      <c r="I2208" s="312" t="s">
        <v>684</v>
      </c>
      <c r="J2208" s="312">
        <v>1920</v>
      </c>
      <c r="K2208" s="312" t="s">
        <v>686</v>
      </c>
    </row>
    <row r="2209" spans="1:11">
      <c r="A2209" s="312" t="s">
        <v>4713</v>
      </c>
      <c r="B2209" s="312" t="s">
        <v>4714</v>
      </c>
      <c r="C2209" s="312" t="s">
        <v>105</v>
      </c>
      <c r="D2209" s="312" t="s">
        <v>567</v>
      </c>
      <c r="E2209" s="312" t="s">
        <v>684</v>
      </c>
      <c r="F2209" s="312">
        <v>1750</v>
      </c>
      <c r="G2209" s="312" t="s">
        <v>685</v>
      </c>
      <c r="H2209" s="312">
        <v>1754</v>
      </c>
      <c r="I2209" s="312" t="s">
        <v>684</v>
      </c>
      <c r="J2209" s="312">
        <v>1920</v>
      </c>
      <c r="K2209" s="312" t="s">
        <v>686</v>
      </c>
    </row>
    <row r="2210" spans="1:11">
      <c r="A2210" s="312" t="s">
        <v>4715</v>
      </c>
      <c r="B2210" s="312" t="s">
        <v>4716</v>
      </c>
      <c r="C2210" s="312" t="s">
        <v>105</v>
      </c>
      <c r="D2210" s="312" t="s">
        <v>567</v>
      </c>
      <c r="E2210" s="312" t="s">
        <v>684</v>
      </c>
      <c r="F2210" s="312">
        <v>1750</v>
      </c>
      <c r="G2210" s="312" t="s">
        <v>685</v>
      </c>
      <c r="H2210" s="312">
        <v>1754</v>
      </c>
      <c r="I2210" s="312" t="s">
        <v>684</v>
      </c>
      <c r="J2210" s="312">
        <v>1920</v>
      </c>
      <c r="K2210" s="312" t="s">
        <v>686</v>
      </c>
    </row>
    <row r="2211" spans="1:11">
      <c r="A2211" s="312" t="s">
        <v>4717</v>
      </c>
      <c r="B2211" s="312" t="s">
        <v>4718</v>
      </c>
      <c r="C2211" s="312" t="s">
        <v>105</v>
      </c>
      <c r="D2211" s="312" t="s">
        <v>567</v>
      </c>
      <c r="E2211" s="312" t="s">
        <v>684</v>
      </c>
      <c r="F2211" s="312">
        <v>1750</v>
      </c>
      <c r="G2211" s="312" t="s">
        <v>685</v>
      </c>
      <c r="H2211" s="312">
        <v>1754</v>
      </c>
      <c r="I2211" s="312" t="s">
        <v>684</v>
      </c>
      <c r="J2211" s="312">
        <v>1920</v>
      </c>
      <c r="K2211" s="312" t="s">
        <v>686</v>
      </c>
    </row>
    <row r="2212" spans="1:11">
      <c r="A2212" s="312" t="s">
        <v>4719</v>
      </c>
      <c r="B2212" s="312" t="s">
        <v>4720</v>
      </c>
      <c r="C2212" s="312" t="s">
        <v>105</v>
      </c>
      <c r="D2212" s="312" t="s">
        <v>567</v>
      </c>
      <c r="E2212" s="312" t="s">
        <v>684</v>
      </c>
      <c r="F2212" s="312">
        <v>1750</v>
      </c>
      <c r="G2212" s="312" t="s">
        <v>685</v>
      </c>
      <c r="H2212" s="312">
        <v>1754</v>
      </c>
      <c r="I2212" s="312" t="s">
        <v>684</v>
      </c>
      <c r="J2212" s="312">
        <v>1920</v>
      </c>
      <c r="K2212" s="312" t="s">
        <v>686</v>
      </c>
    </row>
    <row r="2213" spans="1:11">
      <c r="A2213" s="312" t="s">
        <v>4721</v>
      </c>
      <c r="B2213" s="312" t="s">
        <v>4722</v>
      </c>
      <c r="C2213" s="312" t="s">
        <v>105</v>
      </c>
      <c r="D2213" s="312" t="s">
        <v>567</v>
      </c>
      <c r="E2213" s="312" t="s">
        <v>684</v>
      </c>
      <c r="F2213" s="312">
        <v>1750</v>
      </c>
      <c r="G2213" s="312" t="s">
        <v>685</v>
      </c>
      <c r="H2213" s="312">
        <v>1754</v>
      </c>
      <c r="I2213" s="312" t="s">
        <v>684</v>
      </c>
      <c r="J2213" s="312">
        <v>1920</v>
      </c>
      <c r="K2213" s="312" t="s">
        <v>686</v>
      </c>
    </row>
    <row r="2214" spans="1:11">
      <c r="A2214" s="312" t="s">
        <v>4723</v>
      </c>
      <c r="B2214" s="312" t="s">
        <v>4724</v>
      </c>
      <c r="C2214" s="312" t="s">
        <v>105</v>
      </c>
      <c r="D2214" s="312" t="s">
        <v>567</v>
      </c>
      <c r="E2214" s="312" t="s">
        <v>684</v>
      </c>
      <c r="F2214" s="312">
        <v>1750</v>
      </c>
      <c r="G2214" s="312" t="s">
        <v>685</v>
      </c>
      <c r="H2214" s="312">
        <v>1754</v>
      </c>
      <c r="I2214" s="312" t="s">
        <v>684</v>
      </c>
      <c r="J2214" s="312">
        <v>1920</v>
      </c>
      <c r="K2214" s="312" t="s">
        <v>686</v>
      </c>
    </row>
    <row r="2215" spans="1:11">
      <c r="A2215" s="312" t="s">
        <v>4725</v>
      </c>
      <c r="B2215" s="312" t="s">
        <v>4726</v>
      </c>
      <c r="C2215" s="312" t="s">
        <v>105</v>
      </c>
      <c r="D2215" s="312" t="s">
        <v>567</v>
      </c>
      <c r="E2215" s="312" t="s">
        <v>684</v>
      </c>
      <c r="F2215" s="312">
        <v>1750</v>
      </c>
      <c r="G2215" s="312" t="s">
        <v>685</v>
      </c>
      <c r="H2215" s="312">
        <v>1754</v>
      </c>
      <c r="I2215" s="312" t="s">
        <v>684</v>
      </c>
      <c r="J2215" s="312">
        <v>1920</v>
      </c>
      <c r="K2215" s="312" t="s">
        <v>686</v>
      </c>
    </row>
    <row r="2216" spans="1:11">
      <c r="A2216" s="312" t="s">
        <v>4727</v>
      </c>
      <c r="B2216" s="312" t="s">
        <v>4728</v>
      </c>
      <c r="C2216" s="312" t="s">
        <v>105</v>
      </c>
      <c r="D2216" s="312" t="s">
        <v>567</v>
      </c>
      <c r="E2216" s="312" t="s">
        <v>684</v>
      </c>
      <c r="F2216" s="312">
        <v>1750</v>
      </c>
      <c r="G2216" s="312" t="s">
        <v>685</v>
      </c>
      <c r="H2216" s="312">
        <v>1754</v>
      </c>
      <c r="I2216" s="312" t="s">
        <v>684</v>
      </c>
      <c r="J2216" s="312">
        <v>1920</v>
      </c>
      <c r="K2216" s="312" t="s">
        <v>686</v>
      </c>
    </row>
    <row r="2217" spans="1:11">
      <c r="A2217" s="312" t="s">
        <v>4729</v>
      </c>
      <c r="B2217" s="312" t="s">
        <v>4730</v>
      </c>
      <c r="C2217" s="312" t="s">
        <v>105</v>
      </c>
      <c r="D2217" s="312" t="s">
        <v>567</v>
      </c>
      <c r="E2217" s="312" t="s">
        <v>684</v>
      </c>
      <c r="F2217" s="312">
        <v>1750</v>
      </c>
      <c r="G2217" s="312" t="s">
        <v>685</v>
      </c>
      <c r="H2217" s="312">
        <v>1754</v>
      </c>
      <c r="I2217" s="312" t="s">
        <v>684</v>
      </c>
      <c r="J2217" s="312">
        <v>1920</v>
      </c>
      <c r="K2217" s="312" t="s">
        <v>686</v>
      </c>
    </row>
    <row r="2218" spans="1:11">
      <c r="A2218" s="312" t="s">
        <v>4731</v>
      </c>
      <c r="B2218" s="312" t="s">
        <v>4732</v>
      </c>
      <c r="C2218" s="312" t="s">
        <v>105</v>
      </c>
      <c r="D2218" s="312" t="s">
        <v>567</v>
      </c>
      <c r="E2218" s="312" t="s">
        <v>684</v>
      </c>
      <c r="F2218" s="312">
        <v>1750</v>
      </c>
      <c r="G2218" s="312" t="s">
        <v>685</v>
      </c>
      <c r="H2218" s="312">
        <v>1754</v>
      </c>
      <c r="I2218" s="312" t="s">
        <v>684</v>
      </c>
      <c r="J2218" s="312">
        <v>1920</v>
      </c>
      <c r="K2218" s="312" t="s">
        <v>686</v>
      </c>
    </row>
    <row r="2219" spans="1:11">
      <c r="A2219" s="312" t="s">
        <v>4733</v>
      </c>
      <c r="B2219" s="312" t="s">
        <v>4734</v>
      </c>
      <c r="C2219" s="312" t="s">
        <v>105</v>
      </c>
      <c r="D2219" s="312" t="s">
        <v>567</v>
      </c>
      <c r="E2219" s="312" t="s">
        <v>684</v>
      </c>
      <c r="F2219" s="312">
        <v>1750</v>
      </c>
      <c r="G2219" s="312" t="s">
        <v>685</v>
      </c>
      <c r="H2219" s="312">
        <v>1754</v>
      </c>
      <c r="I2219" s="312" t="s">
        <v>684</v>
      </c>
      <c r="J2219" s="312">
        <v>1920</v>
      </c>
      <c r="K2219" s="312" t="s">
        <v>686</v>
      </c>
    </row>
    <row r="2220" spans="1:11">
      <c r="A2220" s="312" t="s">
        <v>4735</v>
      </c>
      <c r="B2220" s="312" t="s">
        <v>4736</v>
      </c>
      <c r="C2220" s="312" t="s">
        <v>105</v>
      </c>
      <c r="D2220" s="312" t="s">
        <v>567</v>
      </c>
      <c r="E2220" s="312" t="s">
        <v>684</v>
      </c>
      <c r="F2220" s="312">
        <v>1750</v>
      </c>
      <c r="G2220" s="312" t="s">
        <v>685</v>
      </c>
      <c r="H2220" s="312">
        <v>1754</v>
      </c>
      <c r="I2220" s="312" t="s">
        <v>684</v>
      </c>
      <c r="J2220" s="312">
        <v>1920</v>
      </c>
      <c r="K2220" s="312" t="s">
        <v>686</v>
      </c>
    </row>
    <row r="2221" spans="1:11">
      <c r="A2221" s="312" t="s">
        <v>4737</v>
      </c>
      <c r="B2221" s="312" t="s">
        <v>4738</v>
      </c>
      <c r="C2221" s="312" t="s">
        <v>105</v>
      </c>
      <c r="D2221" s="312" t="s">
        <v>567</v>
      </c>
      <c r="E2221" s="312" t="s">
        <v>684</v>
      </c>
      <c r="F2221" s="312">
        <v>1750</v>
      </c>
      <c r="G2221" s="312" t="s">
        <v>685</v>
      </c>
      <c r="H2221" s="312">
        <v>1754</v>
      </c>
      <c r="I2221" s="312" t="s">
        <v>684</v>
      </c>
      <c r="J2221" s="312">
        <v>1920</v>
      </c>
      <c r="K2221" s="312" t="s">
        <v>686</v>
      </c>
    </row>
    <row r="2222" spans="1:11">
      <c r="A2222" s="312" t="s">
        <v>4739</v>
      </c>
      <c r="B2222" s="312" t="s">
        <v>4740</v>
      </c>
      <c r="C2222" s="312" t="s">
        <v>105</v>
      </c>
      <c r="D2222" s="312" t="s">
        <v>567</v>
      </c>
      <c r="E2222" s="312" t="s">
        <v>684</v>
      </c>
      <c r="F2222" s="312">
        <v>1750</v>
      </c>
      <c r="G2222" s="312" t="s">
        <v>685</v>
      </c>
      <c r="H2222" s="312">
        <v>1754</v>
      </c>
      <c r="I2222" s="312" t="s">
        <v>684</v>
      </c>
      <c r="J2222" s="312">
        <v>1920</v>
      </c>
      <c r="K2222" s="312" t="s">
        <v>686</v>
      </c>
    </row>
    <row r="2223" spans="1:11">
      <c r="A2223" s="312" t="s">
        <v>4741</v>
      </c>
      <c r="B2223" s="312" t="s">
        <v>4742</v>
      </c>
      <c r="C2223" s="312" t="s">
        <v>105</v>
      </c>
      <c r="D2223" s="312" t="s">
        <v>312</v>
      </c>
      <c r="E2223" s="312" t="s">
        <v>107</v>
      </c>
      <c r="F2223" s="312">
        <v>1825</v>
      </c>
      <c r="G2223" s="312" t="s">
        <v>108</v>
      </c>
      <c r="H2223" s="312">
        <v>1827</v>
      </c>
      <c r="I2223" s="312" t="s">
        <v>107</v>
      </c>
      <c r="J2223" s="312">
        <v>1913</v>
      </c>
      <c r="K2223" s="312" t="s">
        <v>109</v>
      </c>
    </row>
    <row r="2224" spans="1:11">
      <c r="A2224" s="312" t="s">
        <v>4743</v>
      </c>
      <c r="B2224" s="312" t="s">
        <v>4744</v>
      </c>
      <c r="C2224" s="312" t="s">
        <v>105</v>
      </c>
      <c r="D2224" s="312" t="s">
        <v>312</v>
      </c>
      <c r="E2224" s="312" t="s">
        <v>107</v>
      </c>
      <c r="F2224" s="312">
        <v>1825</v>
      </c>
      <c r="G2224" s="312" t="s">
        <v>108</v>
      </c>
      <c r="H2224" s="312">
        <v>1827</v>
      </c>
      <c r="I2224" s="312" t="s">
        <v>107</v>
      </c>
      <c r="J2224" s="312">
        <v>1913</v>
      </c>
      <c r="K2224" s="312" t="s">
        <v>109</v>
      </c>
    </row>
    <row r="2225" spans="1:11">
      <c r="A2225" s="312" t="s">
        <v>4745</v>
      </c>
      <c r="B2225" s="312" t="s">
        <v>4746</v>
      </c>
      <c r="C2225" s="312" t="s">
        <v>105</v>
      </c>
      <c r="D2225" s="312" t="s">
        <v>252</v>
      </c>
      <c r="E2225" s="312" t="s">
        <v>167</v>
      </c>
      <c r="F2225" s="312">
        <v>1705</v>
      </c>
      <c r="G2225" s="312" t="s">
        <v>168</v>
      </c>
      <c r="H2225" s="312">
        <v>1707</v>
      </c>
      <c r="I2225" s="312" t="s">
        <v>167</v>
      </c>
      <c r="J2225" s="312">
        <v>1899</v>
      </c>
      <c r="K2225" s="312" t="s">
        <v>169</v>
      </c>
    </row>
    <row r="2226" spans="1:11">
      <c r="A2226" s="312" t="s">
        <v>4747</v>
      </c>
      <c r="B2226" s="312" t="s">
        <v>4748</v>
      </c>
      <c r="C2226" s="312" t="s">
        <v>105</v>
      </c>
      <c r="D2226" s="312" t="s">
        <v>216</v>
      </c>
      <c r="E2226" s="312" t="s">
        <v>107</v>
      </c>
      <c r="F2226" s="312">
        <v>1825</v>
      </c>
      <c r="G2226" s="312" t="s">
        <v>108</v>
      </c>
      <c r="H2226" s="312">
        <v>1827</v>
      </c>
      <c r="I2226" s="312" t="s">
        <v>107</v>
      </c>
      <c r="J2226" s="312">
        <v>1913</v>
      </c>
      <c r="K2226" s="312" t="s">
        <v>109</v>
      </c>
    </row>
    <row r="2227" spans="1:11">
      <c r="A2227" s="312" t="s">
        <v>4749</v>
      </c>
      <c r="B2227" s="1" t="s">
        <v>4750</v>
      </c>
      <c r="C2227" s="312" t="s">
        <v>105</v>
      </c>
      <c r="D2227" s="312" t="s">
        <v>746</v>
      </c>
      <c r="E2227" s="312" t="s">
        <v>320</v>
      </c>
      <c r="F2227" s="312">
        <v>1716</v>
      </c>
      <c r="G2227" s="312" t="s">
        <v>321</v>
      </c>
      <c r="H2227" s="312">
        <v>1725</v>
      </c>
      <c r="I2227" s="312" t="s">
        <v>320</v>
      </c>
      <c r="J2227" s="312">
        <v>1910</v>
      </c>
      <c r="K2227" s="312" t="s">
        <v>322</v>
      </c>
    </row>
    <row r="2228" spans="1:11">
      <c r="A2228" s="312" t="s">
        <v>4751</v>
      </c>
      <c r="B2228" s="312" t="s">
        <v>4752</v>
      </c>
      <c r="C2228" s="312" t="s">
        <v>105</v>
      </c>
      <c r="D2228" s="312" t="s">
        <v>4753</v>
      </c>
      <c r="E2228" s="312" t="s">
        <v>466</v>
      </c>
      <c r="F2228" s="312">
        <v>1796</v>
      </c>
      <c r="G2228" s="312" t="s">
        <v>467</v>
      </c>
      <c r="H2228" s="312">
        <v>1799</v>
      </c>
      <c r="I2228" s="312" t="s">
        <v>466</v>
      </c>
      <c r="J2228" s="312">
        <v>1918</v>
      </c>
      <c r="K2228" s="312" t="s">
        <v>468</v>
      </c>
    </row>
    <row r="2229" spans="1:11">
      <c r="A2229" s="312" t="s">
        <v>4754</v>
      </c>
      <c r="B2229" s="312" t="s">
        <v>4755</v>
      </c>
      <c r="C2229" s="312" t="s">
        <v>105</v>
      </c>
      <c r="D2229" s="312" t="s">
        <v>312</v>
      </c>
      <c r="E2229" s="312" t="s">
        <v>107</v>
      </c>
      <c r="F2229" s="312">
        <v>1825</v>
      </c>
      <c r="G2229" s="312" t="s">
        <v>108</v>
      </c>
      <c r="H2229" s="312">
        <v>1827</v>
      </c>
      <c r="I2229" s="312" t="s">
        <v>107</v>
      </c>
      <c r="J2229" s="312">
        <v>1913</v>
      </c>
      <c r="K2229" s="312" t="s">
        <v>109</v>
      </c>
    </row>
    <row r="2230" spans="1:11">
      <c r="A2230" s="312" t="s">
        <v>4756</v>
      </c>
      <c r="B2230" s="312" t="s">
        <v>4757</v>
      </c>
      <c r="C2230" s="312" t="s">
        <v>105</v>
      </c>
      <c r="D2230" s="312" t="s">
        <v>603</v>
      </c>
      <c r="E2230" s="312" t="s">
        <v>107</v>
      </c>
      <c r="F2230" s="312">
        <v>1825</v>
      </c>
      <c r="G2230" s="312" t="s">
        <v>108</v>
      </c>
      <c r="H2230" s="312">
        <v>1827</v>
      </c>
      <c r="I2230" s="312" t="s">
        <v>107</v>
      </c>
      <c r="J2230" s="312">
        <v>1913</v>
      </c>
      <c r="K2230" s="312" t="s">
        <v>109</v>
      </c>
    </row>
    <row r="2231" spans="1:11">
      <c r="A2231" s="312" t="s">
        <v>4758</v>
      </c>
      <c r="B2231" s="312" t="s">
        <v>4759</v>
      </c>
      <c r="C2231" s="312" t="s">
        <v>105</v>
      </c>
      <c r="D2231" s="312" t="s">
        <v>2065</v>
      </c>
      <c r="E2231" s="312" t="s">
        <v>107</v>
      </c>
      <c r="F2231" s="312">
        <v>1825</v>
      </c>
      <c r="G2231" s="312" t="s">
        <v>108</v>
      </c>
      <c r="H2231" s="312">
        <v>1827</v>
      </c>
      <c r="I2231" s="312" t="s">
        <v>107</v>
      </c>
      <c r="J2231" s="312">
        <v>1913</v>
      </c>
      <c r="K2231" s="312" t="s">
        <v>109</v>
      </c>
    </row>
    <row r="2232" spans="1:11">
      <c r="A2232" s="312" t="s">
        <v>4760</v>
      </c>
      <c r="B2232" s="312" t="s">
        <v>4761</v>
      </c>
      <c r="C2232" s="312" t="s">
        <v>105</v>
      </c>
      <c r="D2232" s="312" t="s">
        <v>2065</v>
      </c>
      <c r="E2232" s="312" t="s">
        <v>107</v>
      </c>
      <c r="F2232" s="312">
        <v>1825</v>
      </c>
      <c r="G2232" s="312" t="s">
        <v>108</v>
      </c>
      <c r="H2232" s="312">
        <v>1827</v>
      </c>
      <c r="I2232" s="312" t="s">
        <v>107</v>
      </c>
      <c r="J2232" s="312">
        <v>1913</v>
      </c>
      <c r="K2232" s="312" t="s">
        <v>109</v>
      </c>
    </row>
    <row r="2233" spans="1:11">
      <c r="A2233" s="312" t="s">
        <v>4762</v>
      </c>
      <c r="B2233" s="312" t="s">
        <v>4763</v>
      </c>
      <c r="C2233" s="312" t="s">
        <v>105</v>
      </c>
      <c r="D2233" s="312" t="s">
        <v>352</v>
      </c>
      <c r="E2233" s="312" t="s">
        <v>466</v>
      </c>
      <c r="F2233" s="312">
        <v>1796</v>
      </c>
      <c r="G2233" s="312" t="s">
        <v>467</v>
      </c>
      <c r="H2233" s="312">
        <v>1799</v>
      </c>
      <c r="I2233" s="312" t="s">
        <v>466</v>
      </c>
      <c r="J2233" s="312">
        <v>1918</v>
      </c>
      <c r="K2233" s="312" t="s">
        <v>468</v>
      </c>
    </row>
    <row r="2234" spans="1:11">
      <c r="A2234" s="312" t="s">
        <v>4764</v>
      </c>
      <c r="B2234" s="312" t="s">
        <v>4765</v>
      </c>
      <c r="C2234" s="312" t="s">
        <v>105</v>
      </c>
      <c r="D2234" s="312" t="s">
        <v>352</v>
      </c>
      <c r="E2234" s="312" t="s">
        <v>466</v>
      </c>
      <c r="F2234" s="312">
        <v>1796</v>
      </c>
      <c r="G2234" s="312" t="s">
        <v>467</v>
      </c>
      <c r="H2234" s="312">
        <v>1799</v>
      </c>
      <c r="I2234" s="312" t="s">
        <v>466</v>
      </c>
      <c r="J2234" s="312">
        <v>1918</v>
      </c>
      <c r="K2234" s="312" t="s">
        <v>468</v>
      </c>
    </row>
    <row r="2235" spans="1:11">
      <c r="A2235" s="312" t="s">
        <v>4766</v>
      </c>
      <c r="B2235" s="312" t="s">
        <v>4767</v>
      </c>
      <c r="C2235" s="312" t="s">
        <v>105</v>
      </c>
      <c r="D2235" s="312" t="s">
        <v>352</v>
      </c>
      <c r="E2235" s="312" t="s">
        <v>466</v>
      </c>
      <c r="F2235" s="312">
        <v>1796</v>
      </c>
      <c r="G2235" s="312" t="s">
        <v>467</v>
      </c>
      <c r="H2235" s="312">
        <v>1799</v>
      </c>
      <c r="I2235" s="312" t="s">
        <v>466</v>
      </c>
      <c r="J2235" s="312">
        <v>1918</v>
      </c>
      <c r="K2235" s="312" t="s">
        <v>468</v>
      </c>
    </row>
    <row r="2236" spans="1:11">
      <c r="A2236" s="312" t="s">
        <v>4768</v>
      </c>
      <c r="B2236" s="312" t="s">
        <v>4769</v>
      </c>
      <c r="C2236" s="312" t="s">
        <v>105</v>
      </c>
      <c r="D2236" s="312" t="s">
        <v>352</v>
      </c>
      <c r="E2236" s="312" t="s">
        <v>466</v>
      </c>
      <c r="F2236" s="312">
        <v>1796</v>
      </c>
      <c r="G2236" s="312" t="s">
        <v>467</v>
      </c>
      <c r="H2236" s="312">
        <v>1799</v>
      </c>
      <c r="I2236" s="312" t="s">
        <v>466</v>
      </c>
      <c r="J2236" s="312">
        <v>1918</v>
      </c>
      <c r="K2236" s="312" t="s">
        <v>468</v>
      </c>
    </row>
    <row r="2237" spans="1:11">
      <c r="A2237" s="312" t="s">
        <v>4770</v>
      </c>
      <c r="B2237" s="312" t="s">
        <v>4771</v>
      </c>
      <c r="C2237" s="312" t="s">
        <v>105</v>
      </c>
      <c r="D2237" s="312" t="s">
        <v>352</v>
      </c>
      <c r="E2237" s="312" t="s">
        <v>466</v>
      </c>
      <c r="F2237" s="312">
        <v>1796</v>
      </c>
      <c r="G2237" s="312" t="s">
        <v>467</v>
      </c>
      <c r="H2237" s="312">
        <v>1799</v>
      </c>
      <c r="I2237" s="312" t="s">
        <v>466</v>
      </c>
      <c r="J2237" s="312">
        <v>1918</v>
      </c>
      <c r="K2237" s="312" t="s">
        <v>468</v>
      </c>
    </row>
    <row r="2238" spans="1:11">
      <c r="A2238" s="312" t="s">
        <v>4772</v>
      </c>
      <c r="B2238" s="312" t="s">
        <v>4773</v>
      </c>
      <c r="C2238" s="312" t="s">
        <v>105</v>
      </c>
      <c r="D2238" s="312" t="s">
        <v>352</v>
      </c>
      <c r="E2238" s="312" t="s">
        <v>466</v>
      </c>
      <c r="F2238" s="312">
        <v>1796</v>
      </c>
      <c r="G2238" s="312" t="s">
        <v>467</v>
      </c>
      <c r="H2238" s="312">
        <v>1799</v>
      </c>
      <c r="I2238" s="312" t="s">
        <v>466</v>
      </c>
      <c r="J2238" s="312">
        <v>1918</v>
      </c>
      <c r="K2238" s="312" t="s">
        <v>468</v>
      </c>
    </row>
    <row r="2239" spans="1:11">
      <c r="A2239" s="312" t="s">
        <v>4774</v>
      </c>
      <c r="B2239" s="312" t="s">
        <v>4775</v>
      </c>
      <c r="C2239" s="312" t="s">
        <v>105</v>
      </c>
      <c r="D2239" s="312" t="s">
        <v>312</v>
      </c>
      <c r="E2239" s="312" t="s">
        <v>107</v>
      </c>
      <c r="F2239" s="312">
        <v>1825</v>
      </c>
      <c r="G2239" s="312" t="s">
        <v>108</v>
      </c>
      <c r="H2239" s="312">
        <v>1827</v>
      </c>
      <c r="I2239" s="312" t="s">
        <v>107</v>
      </c>
      <c r="J2239" s="312">
        <v>1913</v>
      </c>
      <c r="K2239" s="312" t="s">
        <v>109</v>
      </c>
    </row>
    <row r="2240" spans="1:11">
      <c r="A2240" s="312" t="s">
        <v>4776</v>
      </c>
      <c r="B2240" s="312" t="s">
        <v>4777</v>
      </c>
      <c r="C2240" s="312" t="s">
        <v>105</v>
      </c>
      <c r="D2240" s="312" t="s">
        <v>573</v>
      </c>
      <c r="E2240" s="312" t="s">
        <v>107</v>
      </c>
      <c r="F2240" s="312">
        <v>1825</v>
      </c>
      <c r="G2240" s="312" t="s">
        <v>108</v>
      </c>
      <c r="H2240" s="312">
        <v>1827</v>
      </c>
      <c r="I2240" s="312" t="s">
        <v>107</v>
      </c>
      <c r="J2240" s="312">
        <v>1913</v>
      </c>
      <c r="K2240" s="312" t="s">
        <v>109</v>
      </c>
    </row>
    <row r="2241" spans="1:11">
      <c r="A2241" s="312" t="s">
        <v>4778</v>
      </c>
      <c r="B2241" s="312" t="s">
        <v>4779</v>
      </c>
      <c r="C2241" s="312" t="s">
        <v>105</v>
      </c>
      <c r="D2241" s="312" t="s">
        <v>1307</v>
      </c>
      <c r="E2241" s="312" t="s">
        <v>320</v>
      </c>
      <c r="F2241" s="312">
        <v>1716</v>
      </c>
      <c r="G2241" s="312" t="s">
        <v>321</v>
      </c>
      <c r="H2241" s="312">
        <v>1725</v>
      </c>
      <c r="I2241" s="312" t="s">
        <v>320</v>
      </c>
      <c r="J2241" s="312">
        <v>1910</v>
      </c>
      <c r="K2241" s="312" t="s">
        <v>322</v>
      </c>
    </row>
    <row r="2242" spans="1:11">
      <c r="A2242" s="312" t="s">
        <v>4780</v>
      </c>
      <c r="B2242" s="312" t="s">
        <v>4781</v>
      </c>
      <c r="C2242" s="312" t="s">
        <v>105</v>
      </c>
      <c r="D2242" s="312" t="s">
        <v>1307</v>
      </c>
      <c r="E2242" s="312" t="s">
        <v>320</v>
      </c>
      <c r="F2242" s="312">
        <v>1716</v>
      </c>
      <c r="G2242" s="312" t="s">
        <v>321</v>
      </c>
      <c r="H2242" s="312">
        <v>1725</v>
      </c>
      <c r="I2242" s="312" t="s">
        <v>320</v>
      </c>
      <c r="J2242" s="312">
        <v>1910</v>
      </c>
      <c r="K2242" s="312" t="s">
        <v>322</v>
      </c>
    </row>
    <row r="2243" spans="1:11">
      <c r="A2243" s="312" t="s">
        <v>4782</v>
      </c>
      <c r="B2243" s="312" t="s">
        <v>4783</v>
      </c>
      <c r="C2243" s="312" t="s">
        <v>105</v>
      </c>
      <c r="D2243" s="312" t="s">
        <v>1307</v>
      </c>
      <c r="E2243" s="312" t="s">
        <v>320</v>
      </c>
      <c r="F2243" s="312">
        <v>1716</v>
      </c>
      <c r="G2243" s="312" t="s">
        <v>321</v>
      </c>
      <c r="H2243" s="312">
        <v>1725</v>
      </c>
      <c r="I2243" s="312" t="s">
        <v>320</v>
      </c>
      <c r="J2243" s="312">
        <v>1910</v>
      </c>
      <c r="K2243" s="312" t="s">
        <v>322</v>
      </c>
    </row>
    <row r="2244" spans="1:11">
      <c r="A2244" s="312" t="s">
        <v>4784</v>
      </c>
      <c r="B2244" s="312" t="s">
        <v>4785</v>
      </c>
      <c r="C2244" s="312" t="s">
        <v>105</v>
      </c>
      <c r="D2244" s="312" t="s">
        <v>1307</v>
      </c>
      <c r="E2244" s="312" t="s">
        <v>320</v>
      </c>
      <c r="F2244" s="312">
        <v>1716</v>
      </c>
      <c r="G2244" s="312" t="s">
        <v>321</v>
      </c>
      <c r="H2244" s="312">
        <v>1725</v>
      </c>
      <c r="I2244" s="312" t="s">
        <v>320</v>
      </c>
      <c r="J2244" s="312">
        <v>1910</v>
      </c>
      <c r="K2244" s="312" t="s">
        <v>322</v>
      </c>
    </row>
    <row r="2245" spans="1:11">
      <c r="A2245" s="312" t="s">
        <v>4786</v>
      </c>
      <c r="B2245" s="312" t="s">
        <v>4787</v>
      </c>
      <c r="C2245" s="312" t="s">
        <v>105</v>
      </c>
      <c r="D2245" s="312" t="s">
        <v>1307</v>
      </c>
      <c r="E2245" s="312" t="s">
        <v>320</v>
      </c>
      <c r="F2245" s="312">
        <v>1716</v>
      </c>
      <c r="G2245" s="312" t="s">
        <v>321</v>
      </c>
      <c r="H2245" s="312">
        <v>1725</v>
      </c>
      <c r="I2245" s="312" t="s">
        <v>320</v>
      </c>
      <c r="J2245" s="312">
        <v>1910</v>
      </c>
      <c r="K2245" s="312" t="s">
        <v>322</v>
      </c>
    </row>
    <row r="2246" spans="1:11">
      <c r="A2246" s="312" t="s">
        <v>4788</v>
      </c>
      <c r="B2246" s="312" t="s">
        <v>4789</v>
      </c>
      <c r="C2246" s="312" t="s">
        <v>105</v>
      </c>
      <c r="D2246" s="312" t="s">
        <v>438</v>
      </c>
      <c r="E2246" s="312" t="s">
        <v>107</v>
      </c>
      <c r="F2246" s="312">
        <v>1825</v>
      </c>
      <c r="G2246" s="312" t="s">
        <v>108</v>
      </c>
      <c r="H2246" s="312">
        <v>1827</v>
      </c>
      <c r="I2246" s="312" t="s">
        <v>107</v>
      </c>
      <c r="J2246" s="312">
        <v>1913</v>
      </c>
      <c r="K2246" s="312" t="s">
        <v>109</v>
      </c>
    </row>
    <row r="2247" spans="1:11">
      <c r="A2247" s="312" t="s">
        <v>4790</v>
      </c>
      <c r="B2247" s="312" t="s">
        <v>4791</v>
      </c>
      <c r="C2247" s="312" t="s">
        <v>105</v>
      </c>
      <c r="D2247" s="312" t="s">
        <v>1131</v>
      </c>
      <c r="E2247" s="312" t="s">
        <v>107</v>
      </c>
      <c r="F2247" s="312">
        <v>1825</v>
      </c>
      <c r="G2247" s="312" t="s">
        <v>108</v>
      </c>
      <c r="H2247" s="312">
        <v>1827</v>
      </c>
      <c r="I2247" s="312" t="s">
        <v>107</v>
      </c>
      <c r="J2247" s="312">
        <v>1913</v>
      </c>
      <c r="K2247" s="312" t="s">
        <v>109</v>
      </c>
    </row>
    <row r="2248" spans="1:11">
      <c r="A2248" s="312" t="s">
        <v>4792</v>
      </c>
      <c r="B2248" s="312" t="s">
        <v>4793</v>
      </c>
      <c r="C2248" s="312" t="s">
        <v>105</v>
      </c>
      <c r="D2248" s="312" t="s">
        <v>567</v>
      </c>
      <c r="E2248" s="312" t="s">
        <v>107</v>
      </c>
      <c r="F2248" s="312">
        <v>1825</v>
      </c>
      <c r="G2248" s="312" t="s">
        <v>108</v>
      </c>
      <c r="H2248" s="312">
        <v>1827</v>
      </c>
      <c r="I2248" s="312" t="s">
        <v>107</v>
      </c>
      <c r="J2248" s="312">
        <v>1913</v>
      </c>
      <c r="K2248" s="312" t="s">
        <v>109</v>
      </c>
    </row>
    <row r="2249" spans="1:11">
      <c r="A2249" s="312" t="s">
        <v>4794</v>
      </c>
      <c r="B2249" s="312" t="s">
        <v>4795</v>
      </c>
      <c r="C2249" s="312" t="s">
        <v>105</v>
      </c>
      <c r="D2249" s="312" t="s">
        <v>567</v>
      </c>
      <c r="E2249" s="312" t="s">
        <v>107</v>
      </c>
      <c r="F2249" s="312">
        <v>1825</v>
      </c>
      <c r="G2249" s="312" t="s">
        <v>108</v>
      </c>
      <c r="H2249" s="312">
        <v>1827</v>
      </c>
      <c r="I2249" s="312" t="s">
        <v>107</v>
      </c>
      <c r="J2249" s="312">
        <v>1913</v>
      </c>
      <c r="K2249" s="312" t="s">
        <v>109</v>
      </c>
    </row>
    <row r="2250" spans="1:11">
      <c r="A2250" s="312" t="s">
        <v>4796</v>
      </c>
      <c r="B2250" s="312" t="s">
        <v>4797</v>
      </c>
      <c r="C2250" s="312" t="s">
        <v>105</v>
      </c>
      <c r="D2250" s="312" t="s">
        <v>567</v>
      </c>
      <c r="E2250" s="312" t="s">
        <v>107</v>
      </c>
      <c r="F2250" s="312">
        <v>1825</v>
      </c>
      <c r="G2250" s="312" t="s">
        <v>108</v>
      </c>
      <c r="H2250" s="312">
        <v>1827</v>
      </c>
      <c r="I2250" s="312" t="s">
        <v>107</v>
      </c>
      <c r="J2250" s="312">
        <v>1913</v>
      </c>
      <c r="K2250" s="312" t="s">
        <v>109</v>
      </c>
    </row>
    <row r="2251" spans="1:11">
      <c r="A2251" s="312" t="s">
        <v>4798</v>
      </c>
      <c r="B2251" s="312" t="s">
        <v>4799</v>
      </c>
      <c r="C2251" s="312" t="s">
        <v>105</v>
      </c>
      <c r="D2251" s="312" t="s">
        <v>567</v>
      </c>
      <c r="E2251" s="312" t="s">
        <v>107</v>
      </c>
      <c r="F2251" s="312">
        <v>1825</v>
      </c>
      <c r="G2251" s="312" t="s">
        <v>108</v>
      </c>
      <c r="H2251" s="312">
        <v>1827</v>
      </c>
      <c r="I2251" s="312" t="s">
        <v>107</v>
      </c>
      <c r="J2251" s="312">
        <v>1913</v>
      </c>
      <c r="K2251" s="312" t="s">
        <v>109</v>
      </c>
    </row>
    <row r="2252" spans="1:11">
      <c r="A2252" s="312" t="s">
        <v>4800</v>
      </c>
      <c r="B2252" s="312" t="s">
        <v>4801</v>
      </c>
      <c r="C2252" s="312" t="s">
        <v>105</v>
      </c>
      <c r="D2252" s="312" t="s">
        <v>327</v>
      </c>
      <c r="E2252" s="312" t="s">
        <v>466</v>
      </c>
      <c r="F2252" s="312">
        <v>1796</v>
      </c>
      <c r="G2252" s="312" t="s">
        <v>467</v>
      </c>
      <c r="H2252" s="312">
        <v>1799</v>
      </c>
      <c r="I2252" s="312" t="s">
        <v>466</v>
      </c>
      <c r="J2252" s="312">
        <v>1918</v>
      </c>
      <c r="K2252" s="312" t="s">
        <v>468</v>
      </c>
    </row>
    <row r="2253" spans="1:11">
      <c r="A2253" s="312" t="s">
        <v>4802</v>
      </c>
      <c r="B2253" s="312" t="s">
        <v>4803</v>
      </c>
      <c r="C2253" s="312" t="s">
        <v>105</v>
      </c>
      <c r="D2253" s="312" t="s">
        <v>327</v>
      </c>
      <c r="E2253" s="312" t="s">
        <v>466</v>
      </c>
      <c r="F2253" s="312">
        <v>1796</v>
      </c>
      <c r="G2253" s="312" t="s">
        <v>467</v>
      </c>
      <c r="H2253" s="312">
        <v>1799</v>
      </c>
      <c r="I2253" s="312" t="s">
        <v>466</v>
      </c>
      <c r="J2253" s="312">
        <v>1918</v>
      </c>
      <c r="K2253" s="312" t="s">
        <v>468</v>
      </c>
    </row>
    <row r="2254" spans="1:11">
      <c r="A2254" s="312" t="s">
        <v>4804</v>
      </c>
      <c r="B2254" s="312" t="s">
        <v>4805</v>
      </c>
      <c r="C2254" s="312" t="s">
        <v>105</v>
      </c>
      <c r="D2254" s="312" t="s">
        <v>4806</v>
      </c>
      <c r="E2254" s="312" t="s">
        <v>107</v>
      </c>
      <c r="F2254" s="312">
        <v>1825</v>
      </c>
      <c r="G2254" s="312" t="s">
        <v>108</v>
      </c>
      <c r="H2254" s="312">
        <v>1827</v>
      </c>
      <c r="I2254" s="312" t="s">
        <v>107</v>
      </c>
      <c r="J2254" s="312">
        <v>1913</v>
      </c>
      <c r="K2254" s="312" t="s">
        <v>109</v>
      </c>
    </row>
    <row r="2255" spans="1:11">
      <c r="A2255" s="312" t="s">
        <v>4807</v>
      </c>
      <c r="B2255" s="312" t="s">
        <v>4808</v>
      </c>
      <c r="C2255" s="312" t="s">
        <v>105</v>
      </c>
      <c r="D2255" s="312" t="s">
        <v>4806</v>
      </c>
      <c r="E2255" s="312" t="s">
        <v>107</v>
      </c>
      <c r="F2255" s="312">
        <v>1825</v>
      </c>
      <c r="G2255" s="312" t="s">
        <v>108</v>
      </c>
      <c r="H2255" s="312">
        <v>1827</v>
      </c>
      <c r="I2255" s="312" t="s">
        <v>107</v>
      </c>
      <c r="J2255" s="312">
        <v>1913</v>
      </c>
      <c r="K2255" s="312" t="s">
        <v>109</v>
      </c>
    </row>
    <row r="2256" spans="1:11">
      <c r="A2256" s="312" t="s">
        <v>4809</v>
      </c>
      <c r="B2256" s="312" t="s">
        <v>4810</v>
      </c>
      <c r="C2256" s="312" t="s">
        <v>105</v>
      </c>
      <c r="D2256" s="312" t="s">
        <v>312</v>
      </c>
      <c r="E2256" s="312" t="s">
        <v>107</v>
      </c>
      <c r="F2256" s="312">
        <v>1825</v>
      </c>
      <c r="G2256" s="312" t="s">
        <v>108</v>
      </c>
      <c r="H2256" s="312">
        <v>1827</v>
      </c>
      <c r="I2256" s="312" t="s">
        <v>107</v>
      </c>
      <c r="J2256" s="312">
        <v>1913</v>
      </c>
      <c r="K2256" s="312" t="s">
        <v>109</v>
      </c>
    </row>
    <row r="2257" spans="1:11">
      <c r="A2257" s="312" t="s">
        <v>4811</v>
      </c>
      <c r="B2257" s="312" t="s">
        <v>4812</v>
      </c>
      <c r="C2257" s="312" t="s">
        <v>105</v>
      </c>
      <c r="D2257" s="312" t="s">
        <v>603</v>
      </c>
      <c r="E2257" s="312" t="s">
        <v>107</v>
      </c>
      <c r="F2257" s="312">
        <v>1825</v>
      </c>
      <c r="G2257" s="312" t="s">
        <v>108</v>
      </c>
      <c r="H2257" s="312">
        <v>1827</v>
      </c>
      <c r="I2257" s="312" t="s">
        <v>107</v>
      </c>
      <c r="J2257" s="312">
        <v>1913</v>
      </c>
      <c r="K2257" s="312" t="s">
        <v>109</v>
      </c>
    </row>
    <row r="2258" spans="1:11">
      <c r="A2258" s="312" t="s">
        <v>4813</v>
      </c>
      <c r="B2258" s="312" t="s">
        <v>4814</v>
      </c>
      <c r="C2258" s="312" t="s">
        <v>105</v>
      </c>
      <c r="D2258" s="312" t="s">
        <v>312</v>
      </c>
      <c r="E2258" s="312" t="s">
        <v>107</v>
      </c>
      <c r="F2258" s="312">
        <v>1825</v>
      </c>
      <c r="G2258" s="312" t="s">
        <v>108</v>
      </c>
      <c r="H2258" s="312">
        <v>1827</v>
      </c>
      <c r="I2258" s="312" t="s">
        <v>107</v>
      </c>
      <c r="J2258" s="312">
        <v>1913</v>
      </c>
      <c r="K2258" s="312" t="s">
        <v>109</v>
      </c>
    </row>
    <row r="2259" spans="1:11">
      <c r="A2259" s="312" t="s">
        <v>4815</v>
      </c>
      <c r="B2259" s="312" t="s">
        <v>4816</v>
      </c>
      <c r="C2259" s="312" t="s">
        <v>105</v>
      </c>
      <c r="D2259" s="312" t="s">
        <v>603</v>
      </c>
      <c r="E2259" s="312" t="s">
        <v>107</v>
      </c>
      <c r="F2259" s="312">
        <v>1825</v>
      </c>
      <c r="G2259" s="312" t="s">
        <v>108</v>
      </c>
      <c r="H2259" s="312">
        <v>1827</v>
      </c>
      <c r="I2259" s="312" t="s">
        <v>107</v>
      </c>
      <c r="J2259" s="312">
        <v>1913</v>
      </c>
      <c r="K2259" s="312" t="s">
        <v>109</v>
      </c>
    </row>
    <row r="2260" spans="1:11">
      <c r="A2260" s="312" t="s">
        <v>4817</v>
      </c>
      <c r="B2260" s="312" t="s">
        <v>4818</v>
      </c>
      <c r="C2260" s="312" t="s">
        <v>105</v>
      </c>
      <c r="D2260" s="312" t="s">
        <v>166</v>
      </c>
      <c r="E2260" s="312" t="s">
        <v>167</v>
      </c>
      <c r="F2260" s="312">
        <v>1705</v>
      </c>
      <c r="G2260" s="312" t="s">
        <v>168</v>
      </c>
      <c r="H2260" s="312">
        <v>1707</v>
      </c>
      <c r="I2260" s="312" t="s">
        <v>167</v>
      </c>
      <c r="J2260" s="312">
        <v>1899</v>
      </c>
      <c r="K2260" s="312" t="s">
        <v>169</v>
      </c>
    </row>
    <row r="2261" spans="1:11">
      <c r="A2261" s="312" t="s">
        <v>4819</v>
      </c>
      <c r="B2261" s="312" t="s">
        <v>4820</v>
      </c>
      <c r="C2261" s="312" t="s">
        <v>105</v>
      </c>
      <c r="D2261" s="312" t="s">
        <v>166</v>
      </c>
      <c r="E2261" s="312" t="s">
        <v>167</v>
      </c>
      <c r="F2261" s="312">
        <v>1705</v>
      </c>
      <c r="G2261" s="312" t="s">
        <v>168</v>
      </c>
      <c r="H2261" s="312">
        <v>1707</v>
      </c>
      <c r="I2261" s="312" t="s">
        <v>167</v>
      </c>
      <c r="J2261" s="312">
        <v>1899</v>
      </c>
      <c r="K2261" s="312" t="s">
        <v>169</v>
      </c>
    </row>
    <row r="2262" spans="1:11">
      <c r="A2262" s="312" t="s">
        <v>4821</v>
      </c>
      <c r="B2262" s="312" t="s">
        <v>4822</v>
      </c>
      <c r="C2262" s="312" t="s">
        <v>105</v>
      </c>
      <c r="D2262" s="312" t="s">
        <v>221</v>
      </c>
      <c r="E2262" s="312" t="s">
        <v>107</v>
      </c>
      <c r="F2262" s="312">
        <v>1825</v>
      </c>
      <c r="G2262" s="312" t="s">
        <v>108</v>
      </c>
      <c r="H2262" s="312">
        <v>1827</v>
      </c>
      <c r="I2262" s="312" t="s">
        <v>107</v>
      </c>
      <c r="J2262" s="312">
        <v>1913</v>
      </c>
      <c r="K2262" s="312" t="s">
        <v>109</v>
      </c>
    </row>
    <row r="2263" spans="1:11">
      <c r="A2263" s="312" t="s">
        <v>4823</v>
      </c>
      <c r="B2263" s="312" t="s">
        <v>4824</v>
      </c>
      <c r="C2263" s="312" t="s">
        <v>105</v>
      </c>
      <c r="D2263" s="312" t="s">
        <v>114</v>
      </c>
      <c r="E2263" s="312" t="s">
        <v>107</v>
      </c>
      <c r="F2263" s="312">
        <v>1825</v>
      </c>
      <c r="G2263" s="312" t="s">
        <v>108</v>
      </c>
      <c r="H2263" s="312">
        <v>1827</v>
      </c>
      <c r="I2263" s="312" t="s">
        <v>107</v>
      </c>
      <c r="J2263" s="312">
        <v>1913</v>
      </c>
      <c r="K2263" s="312" t="s">
        <v>109</v>
      </c>
    </row>
    <row r="2264" spans="1:11">
      <c r="A2264" s="312" t="s">
        <v>4825</v>
      </c>
      <c r="B2264" s="312" t="s">
        <v>4826</v>
      </c>
      <c r="C2264" s="312" t="s">
        <v>105</v>
      </c>
      <c r="D2264" s="312" t="s">
        <v>379</v>
      </c>
      <c r="E2264" s="312" t="s">
        <v>107</v>
      </c>
      <c r="F2264" s="312">
        <v>1825</v>
      </c>
      <c r="G2264" s="312" t="s">
        <v>108</v>
      </c>
      <c r="H2264" s="312">
        <v>1827</v>
      </c>
      <c r="I2264" s="312" t="s">
        <v>107</v>
      </c>
      <c r="J2264" s="312">
        <v>1913</v>
      </c>
      <c r="K2264" s="312" t="s">
        <v>109</v>
      </c>
    </row>
    <row r="2265" spans="1:11">
      <c r="A2265" s="312" t="s">
        <v>4827</v>
      </c>
      <c r="B2265" s="312" t="s">
        <v>4828</v>
      </c>
      <c r="C2265" s="312" t="s">
        <v>105</v>
      </c>
      <c r="D2265" s="312" t="s">
        <v>114</v>
      </c>
      <c r="E2265" s="312" t="s">
        <v>107</v>
      </c>
      <c r="F2265" s="312">
        <v>1825</v>
      </c>
      <c r="G2265" s="312" t="s">
        <v>108</v>
      </c>
      <c r="H2265" s="312">
        <v>1827</v>
      </c>
      <c r="I2265" s="312" t="s">
        <v>107</v>
      </c>
      <c r="J2265" s="312">
        <v>1913</v>
      </c>
      <c r="K2265" s="312" t="s">
        <v>109</v>
      </c>
    </row>
    <row r="2266" spans="1:11">
      <c r="A2266" s="312" t="s">
        <v>4829</v>
      </c>
      <c r="B2266" s="312" t="s">
        <v>4830</v>
      </c>
      <c r="C2266" s="312" t="s">
        <v>105</v>
      </c>
      <c r="D2266" s="312" t="s">
        <v>114</v>
      </c>
      <c r="E2266" s="312" t="s">
        <v>107</v>
      </c>
      <c r="F2266" s="312">
        <v>1825</v>
      </c>
      <c r="G2266" s="312" t="s">
        <v>108</v>
      </c>
      <c r="H2266" s="312">
        <v>1827</v>
      </c>
      <c r="I2266" s="312" t="s">
        <v>107</v>
      </c>
      <c r="J2266" s="312">
        <v>1913</v>
      </c>
      <c r="K2266" s="312" t="s">
        <v>109</v>
      </c>
    </row>
    <row r="2267" spans="1:11">
      <c r="A2267" s="312" t="s">
        <v>4831</v>
      </c>
      <c r="B2267" s="312" t="s">
        <v>4832</v>
      </c>
      <c r="C2267" s="312" t="s">
        <v>105</v>
      </c>
      <c r="D2267" s="312" t="s">
        <v>114</v>
      </c>
      <c r="E2267" s="312" t="s">
        <v>107</v>
      </c>
      <c r="F2267" s="312">
        <v>1825</v>
      </c>
      <c r="G2267" s="312" t="s">
        <v>108</v>
      </c>
      <c r="H2267" s="312">
        <v>1827</v>
      </c>
      <c r="I2267" s="312" t="s">
        <v>107</v>
      </c>
      <c r="J2267" s="312">
        <v>1913</v>
      </c>
      <c r="K2267" s="312" t="s">
        <v>109</v>
      </c>
    </row>
    <row r="2268" spans="1:11">
      <c r="A2268" s="312" t="s">
        <v>4833</v>
      </c>
      <c r="B2268" s="312" t="s">
        <v>4834</v>
      </c>
      <c r="C2268" s="312" t="s">
        <v>105</v>
      </c>
      <c r="D2268" s="312" t="s">
        <v>312</v>
      </c>
      <c r="E2268" s="312" t="s">
        <v>107</v>
      </c>
      <c r="F2268" s="312">
        <v>1825</v>
      </c>
      <c r="G2268" s="312" t="s">
        <v>108</v>
      </c>
      <c r="H2268" s="312">
        <v>1827</v>
      </c>
      <c r="I2268" s="312" t="s">
        <v>107</v>
      </c>
      <c r="J2268" s="312">
        <v>1913</v>
      </c>
      <c r="K2268" s="312" t="s">
        <v>109</v>
      </c>
    </row>
    <row r="2269" spans="1:11">
      <c r="A2269" s="312" t="s">
        <v>4835</v>
      </c>
      <c r="B2269" s="312" t="s">
        <v>4836</v>
      </c>
      <c r="C2269" s="312" t="s">
        <v>105</v>
      </c>
      <c r="D2269" s="312" t="s">
        <v>114</v>
      </c>
      <c r="E2269" s="312" t="s">
        <v>107</v>
      </c>
      <c r="F2269" s="312">
        <v>1825</v>
      </c>
      <c r="G2269" s="312" t="s">
        <v>108</v>
      </c>
      <c r="H2269" s="312">
        <v>1827</v>
      </c>
      <c r="I2269" s="312" t="s">
        <v>107</v>
      </c>
      <c r="J2269" s="312">
        <v>1913</v>
      </c>
      <c r="K2269" s="312" t="s">
        <v>109</v>
      </c>
    </row>
    <row r="2270" spans="1:11">
      <c r="A2270" s="312" t="s">
        <v>4837</v>
      </c>
      <c r="B2270" s="312" t="s">
        <v>4838</v>
      </c>
      <c r="C2270" s="312" t="s">
        <v>105</v>
      </c>
      <c r="D2270" s="312" t="s">
        <v>114</v>
      </c>
      <c r="E2270" s="312" t="s">
        <v>107</v>
      </c>
      <c r="F2270" s="312">
        <v>1825</v>
      </c>
      <c r="G2270" s="312" t="s">
        <v>108</v>
      </c>
      <c r="H2270" s="312">
        <v>1827</v>
      </c>
      <c r="I2270" s="312" t="s">
        <v>107</v>
      </c>
      <c r="J2270" s="312">
        <v>1913</v>
      </c>
      <c r="K2270" s="312" t="s">
        <v>109</v>
      </c>
    </row>
    <row r="2271" spans="1:11">
      <c r="A2271" s="312" t="s">
        <v>4839</v>
      </c>
      <c r="B2271" s="312" t="s">
        <v>4840</v>
      </c>
      <c r="C2271" s="312" t="s">
        <v>105</v>
      </c>
      <c r="D2271" s="312" t="s">
        <v>114</v>
      </c>
      <c r="E2271" s="312" t="s">
        <v>107</v>
      </c>
      <c r="F2271" s="312">
        <v>1825</v>
      </c>
      <c r="G2271" s="312" t="s">
        <v>108</v>
      </c>
      <c r="H2271" s="312">
        <v>1827</v>
      </c>
      <c r="I2271" s="312" t="s">
        <v>107</v>
      </c>
      <c r="J2271" s="312">
        <v>1913</v>
      </c>
      <c r="K2271" s="312" t="s">
        <v>109</v>
      </c>
    </row>
    <row r="2272" spans="1:11">
      <c r="A2272" s="312" t="s">
        <v>4841</v>
      </c>
      <c r="B2272" s="312" t="s">
        <v>4842</v>
      </c>
      <c r="C2272" s="312" t="s">
        <v>105</v>
      </c>
      <c r="D2272" s="312" t="s">
        <v>114</v>
      </c>
      <c r="E2272" s="312" t="s">
        <v>107</v>
      </c>
      <c r="F2272" s="312">
        <v>1825</v>
      </c>
      <c r="G2272" s="312" t="s">
        <v>108</v>
      </c>
      <c r="H2272" s="312">
        <v>1827</v>
      </c>
      <c r="I2272" s="312" t="s">
        <v>107</v>
      </c>
      <c r="J2272" s="312">
        <v>1913</v>
      </c>
      <c r="K2272" s="312" t="s">
        <v>109</v>
      </c>
    </row>
    <row r="2273" spans="1:11">
      <c r="A2273" s="312" t="s">
        <v>4843</v>
      </c>
      <c r="B2273" s="1" t="s">
        <v>4844</v>
      </c>
      <c r="C2273" s="312" t="s">
        <v>105</v>
      </c>
      <c r="D2273" s="312" t="s">
        <v>252</v>
      </c>
      <c r="E2273" s="312" t="s">
        <v>167</v>
      </c>
      <c r="F2273" s="312">
        <v>1705</v>
      </c>
      <c r="G2273" s="312" t="s">
        <v>168</v>
      </c>
      <c r="H2273" s="312">
        <v>1707</v>
      </c>
      <c r="I2273" s="312" t="s">
        <v>167</v>
      </c>
      <c r="J2273" s="312">
        <v>1899</v>
      </c>
      <c r="K2273" s="312" t="s">
        <v>169</v>
      </c>
    </row>
    <row r="2274" spans="1:11">
      <c r="A2274" s="312" t="s">
        <v>4845</v>
      </c>
      <c r="B2274" s="312" t="s">
        <v>4846</v>
      </c>
      <c r="C2274" s="312" t="s">
        <v>105</v>
      </c>
      <c r="D2274" s="312" t="s">
        <v>184</v>
      </c>
      <c r="E2274" s="312" t="s">
        <v>107</v>
      </c>
      <c r="F2274" s="312">
        <v>1825</v>
      </c>
      <c r="G2274" s="312" t="s">
        <v>108</v>
      </c>
      <c r="H2274" s="312">
        <v>1827</v>
      </c>
      <c r="I2274" s="312" t="s">
        <v>107</v>
      </c>
      <c r="J2274" s="312">
        <v>1913</v>
      </c>
      <c r="K2274" s="312" t="s">
        <v>109</v>
      </c>
    </row>
    <row r="2275" spans="1:11">
      <c r="A2275" s="312" t="s">
        <v>4847</v>
      </c>
      <c r="B2275" s="312" t="s">
        <v>4848</v>
      </c>
      <c r="C2275" s="312" t="s">
        <v>105</v>
      </c>
      <c r="D2275" s="312" t="s">
        <v>2001</v>
      </c>
      <c r="E2275" s="312" t="s">
        <v>107</v>
      </c>
      <c r="F2275" s="312">
        <v>1825</v>
      </c>
      <c r="G2275" s="312" t="s">
        <v>108</v>
      </c>
      <c r="H2275" s="312">
        <v>1827</v>
      </c>
      <c r="I2275" s="312" t="s">
        <v>107</v>
      </c>
      <c r="J2275" s="312">
        <v>1913</v>
      </c>
      <c r="K2275" s="312" t="s">
        <v>109</v>
      </c>
    </row>
    <row r="2276" spans="1:11">
      <c r="A2276" s="312" t="s">
        <v>4849</v>
      </c>
      <c r="B2276" s="312" t="s">
        <v>4850</v>
      </c>
      <c r="C2276" s="312" t="s">
        <v>105</v>
      </c>
      <c r="D2276" s="312" t="s">
        <v>312</v>
      </c>
      <c r="E2276" s="312" t="s">
        <v>107</v>
      </c>
      <c r="F2276" s="312">
        <v>1825</v>
      </c>
      <c r="G2276" s="312" t="s">
        <v>108</v>
      </c>
      <c r="H2276" s="312">
        <v>1827</v>
      </c>
      <c r="I2276" s="312" t="s">
        <v>107</v>
      </c>
      <c r="J2276" s="312">
        <v>1913</v>
      </c>
      <c r="K2276" s="312" t="s">
        <v>109</v>
      </c>
    </row>
    <row r="2277" spans="1:11">
      <c r="A2277" s="312" t="s">
        <v>4851</v>
      </c>
      <c r="B2277" s="312" t="s">
        <v>4852</v>
      </c>
      <c r="C2277" s="312" t="s">
        <v>105</v>
      </c>
      <c r="D2277" s="312" t="s">
        <v>556</v>
      </c>
      <c r="E2277" s="312" t="s">
        <v>107</v>
      </c>
      <c r="F2277" s="312">
        <v>1825</v>
      </c>
      <c r="G2277" s="312" t="s">
        <v>108</v>
      </c>
      <c r="H2277" s="312">
        <v>1827</v>
      </c>
      <c r="I2277" s="312" t="s">
        <v>107</v>
      </c>
      <c r="J2277" s="312">
        <v>1913</v>
      </c>
      <c r="K2277" s="312" t="s">
        <v>109</v>
      </c>
    </row>
    <row r="2278" spans="1:11">
      <c r="A2278" s="312" t="s">
        <v>4853</v>
      </c>
      <c r="B2278" s="312" t="s">
        <v>4854</v>
      </c>
      <c r="C2278" s="312" t="s">
        <v>105</v>
      </c>
      <c r="D2278" s="312" t="s">
        <v>404</v>
      </c>
      <c r="E2278" s="312" t="s">
        <v>107</v>
      </c>
      <c r="F2278" s="312">
        <v>1825</v>
      </c>
      <c r="G2278" s="312" t="s">
        <v>108</v>
      </c>
      <c r="H2278" s="312">
        <v>1827</v>
      </c>
      <c r="I2278" s="312" t="s">
        <v>107</v>
      </c>
      <c r="J2278" s="312">
        <v>1913</v>
      </c>
      <c r="K2278" s="312" t="s">
        <v>109</v>
      </c>
    </row>
    <row r="2279" spans="1:11">
      <c r="A2279" s="312" t="s">
        <v>4855</v>
      </c>
      <c r="B2279" s="1" t="s">
        <v>4856</v>
      </c>
      <c r="C2279" s="312" t="s">
        <v>105</v>
      </c>
      <c r="D2279" s="312" t="s">
        <v>891</v>
      </c>
      <c r="E2279" s="312" t="s">
        <v>466</v>
      </c>
      <c r="F2279" s="312">
        <v>1796</v>
      </c>
      <c r="G2279" s="312" t="s">
        <v>467</v>
      </c>
      <c r="H2279" s="312">
        <v>1799</v>
      </c>
      <c r="I2279" s="312" t="s">
        <v>466</v>
      </c>
      <c r="J2279" s="312">
        <v>1918</v>
      </c>
      <c r="K2279" s="312" t="s">
        <v>468</v>
      </c>
    </row>
    <row r="2280" spans="1:11">
      <c r="A2280" s="312" t="s">
        <v>4857</v>
      </c>
      <c r="B2280" s="312" t="s">
        <v>4858</v>
      </c>
      <c r="C2280" s="312" t="s">
        <v>105</v>
      </c>
      <c r="D2280" s="312" t="s">
        <v>891</v>
      </c>
      <c r="E2280" s="312" t="s">
        <v>466</v>
      </c>
      <c r="F2280" s="312">
        <v>1796</v>
      </c>
      <c r="G2280" s="312" t="s">
        <v>467</v>
      </c>
      <c r="H2280" s="312">
        <v>1799</v>
      </c>
      <c r="I2280" s="312" t="s">
        <v>466</v>
      </c>
      <c r="J2280" s="312">
        <v>1918</v>
      </c>
      <c r="K2280" s="312" t="s">
        <v>468</v>
      </c>
    </row>
    <row r="2281" spans="1:11">
      <c r="A2281" s="312" t="s">
        <v>4859</v>
      </c>
      <c r="B2281" s="312" t="s">
        <v>4860</v>
      </c>
      <c r="C2281" s="312" t="s">
        <v>105</v>
      </c>
      <c r="D2281" s="312" t="s">
        <v>228</v>
      </c>
      <c r="E2281" s="312" t="s">
        <v>167</v>
      </c>
      <c r="F2281" s="312">
        <v>1705</v>
      </c>
      <c r="G2281" s="312" t="s">
        <v>168</v>
      </c>
      <c r="H2281" s="312">
        <v>1707</v>
      </c>
      <c r="I2281" s="312" t="s">
        <v>167</v>
      </c>
      <c r="J2281" s="312">
        <v>1899</v>
      </c>
      <c r="K2281" s="312" t="s">
        <v>169</v>
      </c>
    </row>
    <row r="2282" spans="1:11">
      <c r="A2282" s="312" t="s">
        <v>4861</v>
      </c>
      <c r="B2282" s="312" t="s">
        <v>4862</v>
      </c>
      <c r="C2282" s="312" t="s">
        <v>105</v>
      </c>
      <c r="D2282" s="312" t="s">
        <v>848</v>
      </c>
      <c r="E2282" s="312" t="s">
        <v>886</v>
      </c>
      <c r="F2282" s="312">
        <v>1857</v>
      </c>
      <c r="G2282" s="312" t="s">
        <v>887</v>
      </c>
      <c r="H2282" s="312">
        <v>1858</v>
      </c>
      <c r="I2282" s="312" t="s">
        <v>886</v>
      </c>
      <c r="J2282" s="312">
        <v>1924</v>
      </c>
      <c r="K2282" s="312" t="s">
        <v>888</v>
      </c>
    </row>
    <row r="2283" spans="1:11">
      <c r="A2283" s="312" t="s">
        <v>4863</v>
      </c>
      <c r="B2283" s="312" t="s">
        <v>4864</v>
      </c>
      <c r="C2283" s="312" t="s">
        <v>105</v>
      </c>
      <c r="D2283" s="312" t="s">
        <v>865</v>
      </c>
      <c r="E2283" s="312" t="s">
        <v>107</v>
      </c>
      <c r="F2283" s="312">
        <v>1825</v>
      </c>
      <c r="G2283" s="312" t="s">
        <v>108</v>
      </c>
      <c r="H2283" s="312">
        <v>1827</v>
      </c>
      <c r="I2283" s="312" t="s">
        <v>107</v>
      </c>
      <c r="J2283" s="312">
        <v>1913</v>
      </c>
      <c r="K2283" s="312" t="s">
        <v>109</v>
      </c>
    </row>
    <row r="2284" spans="1:11">
      <c r="A2284" s="312" t="s">
        <v>4865</v>
      </c>
      <c r="B2284" s="312" t="s">
        <v>4866</v>
      </c>
      <c r="C2284" s="312" t="s">
        <v>105</v>
      </c>
      <c r="D2284" s="312" t="s">
        <v>567</v>
      </c>
      <c r="E2284" s="312" t="s">
        <v>107</v>
      </c>
      <c r="F2284" s="312">
        <v>1825</v>
      </c>
      <c r="G2284" s="312" t="s">
        <v>108</v>
      </c>
      <c r="H2284" s="312">
        <v>1827</v>
      </c>
      <c r="I2284" s="312" t="s">
        <v>107</v>
      </c>
      <c r="J2284" s="312">
        <v>1913</v>
      </c>
      <c r="K2284" s="312" t="s">
        <v>109</v>
      </c>
    </row>
    <row r="2285" spans="1:11">
      <c r="A2285" s="312" t="s">
        <v>4867</v>
      </c>
      <c r="B2285" s="312" t="s">
        <v>4868</v>
      </c>
      <c r="C2285" s="312" t="s">
        <v>105</v>
      </c>
      <c r="D2285" s="312" t="s">
        <v>567</v>
      </c>
      <c r="E2285" s="312" t="s">
        <v>107</v>
      </c>
      <c r="F2285" s="312">
        <v>1825</v>
      </c>
      <c r="G2285" s="312" t="s">
        <v>108</v>
      </c>
      <c r="H2285" s="312">
        <v>1827</v>
      </c>
      <c r="I2285" s="312" t="s">
        <v>107</v>
      </c>
      <c r="J2285" s="312">
        <v>1913</v>
      </c>
      <c r="K2285" s="312" t="s">
        <v>109</v>
      </c>
    </row>
    <row r="2286" spans="1:11">
      <c r="A2286" s="312" t="s">
        <v>4869</v>
      </c>
      <c r="B2286" s="312" t="s">
        <v>4870</v>
      </c>
      <c r="C2286" s="312" t="s">
        <v>105</v>
      </c>
      <c r="D2286" s="312" t="s">
        <v>252</v>
      </c>
      <c r="E2286" s="312" t="s">
        <v>167</v>
      </c>
      <c r="F2286" s="312">
        <v>1705</v>
      </c>
      <c r="G2286" s="312" t="s">
        <v>168</v>
      </c>
      <c r="H2286" s="312">
        <v>1707</v>
      </c>
      <c r="I2286" s="312" t="s">
        <v>167</v>
      </c>
      <c r="J2286" s="312">
        <v>1899</v>
      </c>
      <c r="K2286" s="312" t="s">
        <v>169</v>
      </c>
    </row>
    <row r="2287" spans="1:11">
      <c r="A2287" s="312" t="s">
        <v>4871</v>
      </c>
      <c r="B2287" s="312" t="s">
        <v>4872</v>
      </c>
      <c r="C2287" s="312" t="s">
        <v>105</v>
      </c>
      <c r="D2287" s="312" t="s">
        <v>1533</v>
      </c>
      <c r="E2287" s="312" t="s">
        <v>107</v>
      </c>
      <c r="F2287" s="312">
        <v>1825</v>
      </c>
      <c r="G2287" s="312" t="s">
        <v>108</v>
      </c>
      <c r="H2287" s="312">
        <v>1827</v>
      </c>
      <c r="I2287" s="312" t="s">
        <v>107</v>
      </c>
      <c r="J2287" s="312">
        <v>1913</v>
      </c>
      <c r="K2287" s="312" t="s">
        <v>109</v>
      </c>
    </row>
    <row r="2288" spans="1:11">
      <c r="A2288" s="312" t="s">
        <v>4873</v>
      </c>
      <c r="B2288" s="312" t="s">
        <v>4874</v>
      </c>
      <c r="C2288" s="312" t="s">
        <v>105</v>
      </c>
      <c r="D2288" s="312" t="s">
        <v>1291</v>
      </c>
      <c r="E2288" s="312" t="s">
        <v>107</v>
      </c>
      <c r="F2288" s="312">
        <v>1825</v>
      </c>
      <c r="G2288" s="312" t="s">
        <v>108</v>
      </c>
      <c r="H2288" s="312">
        <v>1827</v>
      </c>
      <c r="I2288" s="312" t="s">
        <v>107</v>
      </c>
      <c r="J2288" s="312">
        <v>1913</v>
      </c>
      <c r="K2288" s="312" t="s">
        <v>109</v>
      </c>
    </row>
    <row r="2289" spans="1:11">
      <c r="A2289" s="312" t="s">
        <v>4875</v>
      </c>
      <c r="B2289" s="312" t="s">
        <v>4876</v>
      </c>
      <c r="C2289" s="312" t="s">
        <v>105</v>
      </c>
      <c r="D2289" s="312" t="s">
        <v>114</v>
      </c>
      <c r="E2289" s="312" t="s">
        <v>107</v>
      </c>
      <c r="F2289" s="312">
        <v>1825</v>
      </c>
      <c r="G2289" s="312" t="s">
        <v>108</v>
      </c>
      <c r="H2289" s="312">
        <v>1827</v>
      </c>
      <c r="I2289" s="312" t="s">
        <v>107</v>
      </c>
      <c r="J2289" s="312">
        <v>1913</v>
      </c>
      <c r="K2289" s="312" t="s">
        <v>109</v>
      </c>
    </row>
    <row r="2290" spans="1:11">
      <c r="A2290" s="312" t="s">
        <v>4877</v>
      </c>
      <c r="B2290" s="312" t="s">
        <v>4878</v>
      </c>
      <c r="C2290" s="312" t="s">
        <v>105</v>
      </c>
      <c r="D2290" s="312" t="s">
        <v>114</v>
      </c>
      <c r="E2290" s="312" t="s">
        <v>107</v>
      </c>
      <c r="F2290" s="312">
        <v>1825</v>
      </c>
      <c r="G2290" s="312" t="s">
        <v>108</v>
      </c>
      <c r="H2290" s="312">
        <v>1827</v>
      </c>
      <c r="I2290" s="312" t="s">
        <v>107</v>
      </c>
      <c r="J2290" s="312">
        <v>1913</v>
      </c>
      <c r="K2290" s="312" t="s">
        <v>109</v>
      </c>
    </row>
    <row r="2291" spans="1:11">
      <c r="A2291" s="312" t="s">
        <v>4879</v>
      </c>
      <c r="B2291" s="312" t="s">
        <v>4880</v>
      </c>
      <c r="C2291" s="312" t="s">
        <v>105</v>
      </c>
      <c r="D2291" s="312" t="s">
        <v>114</v>
      </c>
      <c r="E2291" s="312" t="s">
        <v>107</v>
      </c>
      <c r="F2291" s="312">
        <v>1825</v>
      </c>
      <c r="G2291" s="312" t="s">
        <v>108</v>
      </c>
      <c r="H2291" s="312">
        <v>1827</v>
      </c>
      <c r="I2291" s="312" t="s">
        <v>107</v>
      </c>
      <c r="J2291" s="312">
        <v>1913</v>
      </c>
      <c r="K2291" s="312" t="s">
        <v>109</v>
      </c>
    </row>
    <row r="2292" spans="1:11">
      <c r="A2292" s="312" t="s">
        <v>4881</v>
      </c>
      <c r="B2292" s="312" t="s">
        <v>4882</v>
      </c>
      <c r="C2292" s="312" t="s">
        <v>105</v>
      </c>
      <c r="D2292" s="312" t="s">
        <v>114</v>
      </c>
      <c r="E2292" s="312" t="s">
        <v>107</v>
      </c>
      <c r="F2292" s="312">
        <v>1825</v>
      </c>
      <c r="G2292" s="312" t="s">
        <v>108</v>
      </c>
      <c r="H2292" s="312">
        <v>1827</v>
      </c>
      <c r="I2292" s="312" t="s">
        <v>107</v>
      </c>
      <c r="J2292" s="312">
        <v>1913</v>
      </c>
      <c r="K2292" s="312" t="s">
        <v>109</v>
      </c>
    </row>
    <row r="2293" spans="1:11">
      <c r="A2293" s="312" t="s">
        <v>4883</v>
      </c>
      <c r="B2293" s="312" t="s">
        <v>4884</v>
      </c>
      <c r="C2293" s="312" t="s">
        <v>105</v>
      </c>
      <c r="D2293" s="312" t="s">
        <v>114</v>
      </c>
      <c r="E2293" s="312" t="s">
        <v>107</v>
      </c>
      <c r="F2293" s="312">
        <v>1825</v>
      </c>
      <c r="G2293" s="312" t="s">
        <v>108</v>
      </c>
      <c r="H2293" s="312">
        <v>1827</v>
      </c>
      <c r="I2293" s="312" t="s">
        <v>107</v>
      </c>
      <c r="J2293" s="312">
        <v>1913</v>
      </c>
      <c r="K2293" s="312" t="s">
        <v>109</v>
      </c>
    </row>
    <row r="2294" spans="1:11">
      <c r="A2294" s="312" t="s">
        <v>4885</v>
      </c>
      <c r="B2294" s="312" t="s">
        <v>4886</v>
      </c>
      <c r="C2294" s="312" t="s">
        <v>105</v>
      </c>
      <c r="D2294" s="312" t="s">
        <v>114</v>
      </c>
      <c r="E2294" s="312" t="s">
        <v>107</v>
      </c>
      <c r="F2294" s="312">
        <v>1825</v>
      </c>
      <c r="G2294" s="312" t="s">
        <v>108</v>
      </c>
      <c r="H2294" s="312">
        <v>1827</v>
      </c>
      <c r="I2294" s="312" t="s">
        <v>107</v>
      </c>
      <c r="J2294" s="312">
        <v>1913</v>
      </c>
      <c r="K2294" s="312" t="s">
        <v>109</v>
      </c>
    </row>
    <row r="2295" spans="1:11">
      <c r="A2295" s="312" t="s">
        <v>4887</v>
      </c>
      <c r="B2295" s="312" t="s">
        <v>4888</v>
      </c>
      <c r="C2295" s="312" t="s">
        <v>105</v>
      </c>
      <c r="D2295" s="312" t="s">
        <v>114</v>
      </c>
      <c r="E2295" s="312" t="s">
        <v>107</v>
      </c>
      <c r="F2295" s="312">
        <v>1825</v>
      </c>
      <c r="G2295" s="312" t="s">
        <v>108</v>
      </c>
      <c r="H2295" s="312">
        <v>1827</v>
      </c>
      <c r="I2295" s="312" t="s">
        <v>107</v>
      </c>
      <c r="J2295" s="312">
        <v>1913</v>
      </c>
      <c r="K2295" s="312" t="s">
        <v>109</v>
      </c>
    </row>
    <row r="2296" spans="1:11">
      <c r="A2296" s="312" t="s">
        <v>4889</v>
      </c>
      <c r="B2296" s="312" t="s">
        <v>4890</v>
      </c>
      <c r="C2296" s="312" t="s">
        <v>105</v>
      </c>
      <c r="D2296" s="312" t="s">
        <v>769</v>
      </c>
      <c r="E2296" s="312" t="s">
        <v>107</v>
      </c>
      <c r="F2296" s="312">
        <v>1825</v>
      </c>
      <c r="G2296" s="312" t="s">
        <v>108</v>
      </c>
      <c r="H2296" s="312">
        <v>1827</v>
      </c>
      <c r="I2296" s="312" t="s">
        <v>107</v>
      </c>
      <c r="J2296" s="312">
        <v>1913</v>
      </c>
      <c r="K2296" s="312" t="s">
        <v>109</v>
      </c>
    </row>
    <row r="2297" spans="1:11">
      <c r="A2297" s="312" t="s">
        <v>4891</v>
      </c>
      <c r="B2297" s="312" t="s">
        <v>4892</v>
      </c>
      <c r="C2297" s="312" t="s">
        <v>105</v>
      </c>
      <c r="D2297" s="312" t="s">
        <v>114</v>
      </c>
      <c r="E2297" s="312" t="s">
        <v>107</v>
      </c>
      <c r="F2297" s="312">
        <v>1825</v>
      </c>
      <c r="G2297" s="312" t="s">
        <v>108</v>
      </c>
      <c r="H2297" s="312">
        <v>1827</v>
      </c>
      <c r="I2297" s="312" t="s">
        <v>107</v>
      </c>
      <c r="J2297" s="312">
        <v>1913</v>
      </c>
      <c r="K2297" s="312" t="s">
        <v>109</v>
      </c>
    </row>
    <row r="2298" spans="1:11">
      <c r="A2298" s="312" t="s">
        <v>4893</v>
      </c>
      <c r="B2298" s="312" t="s">
        <v>4894</v>
      </c>
      <c r="C2298" s="312" t="s">
        <v>105</v>
      </c>
      <c r="D2298" s="312" t="s">
        <v>4630</v>
      </c>
      <c r="E2298" s="312" t="s">
        <v>107</v>
      </c>
      <c r="F2298" s="312">
        <v>1825</v>
      </c>
      <c r="G2298" s="312" t="s">
        <v>108</v>
      </c>
      <c r="H2298" s="312">
        <v>1827</v>
      </c>
      <c r="I2298" s="312" t="s">
        <v>107</v>
      </c>
      <c r="J2298" s="312">
        <v>1913</v>
      </c>
      <c r="K2298" s="312" t="s">
        <v>109</v>
      </c>
    </row>
    <row r="2299" spans="1:11">
      <c r="A2299" s="312" t="s">
        <v>4895</v>
      </c>
      <c r="B2299" s="312" t="s">
        <v>4896</v>
      </c>
      <c r="C2299" s="312" t="s">
        <v>105</v>
      </c>
      <c r="D2299" s="312" t="s">
        <v>4630</v>
      </c>
      <c r="E2299" s="312" t="s">
        <v>107</v>
      </c>
      <c r="F2299" s="312">
        <v>1825</v>
      </c>
      <c r="G2299" s="312" t="s">
        <v>108</v>
      </c>
      <c r="H2299" s="312">
        <v>1827</v>
      </c>
      <c r="I2299" s="312" t="s">
        <v>107</v>
      </c>
      <c r="J2299" s="312">
        <v>1913</v>
      </c>
      <c r="K2299" s="312" t="s">
        <v>109</v>
      </c>
    </row>
    <row r="2300" spans="1:11">
      <c r="A2300" s="312" t="s">
        <v>4897</v>
      </c>
      <c r="B2300" s="312" t="s">
        <v>4898</v>
      </c>
      <c r="C2300" s="312" t="s">
        <v>105</v>
      </c>
      <c r="D2300" s="312" t="s">
        <v>114</v>
      </c>
      <c r="E2300" s="312" t="s">
        <v>107</v>
      </c>
      <c r="F2300" s="312">
        <v>1825</v>
      </c>
      <c r="G2300" s="312" t="s">
        <v>108</v>
      </c>
      <c r="H2300" s="312">
        <v>1827</v>
      </c>
      <c r="I2300" s="312" t="s">
        <v>107</v>
      </c>
      <c r="J2300" s="312">
        <v>1913</v>
      </c>
      <c r="K2300" s="312" t="s">
        <v>109</v>
      </c>
    </row>
    <row r="2301" spans="1:11">
      <c r="A2301" s="312" t="s">
        <v>4899</v>
      </c>
      <c r="B2301" s="312" t="s">
        <v>4900</v>
      </c>
      <c r="C2301" s="312" t="s">
        <v>105</v>
      </c>
      <c r="D2301" s="312" t="s">
        <v>114</v>
      </c>
      <c r="E2301" s="312" t="s">
        <v>107</v>
      </c>
      <c r="F2301" s="312">
        <v>1825</v>
      </c>
      <c r="G2301" s="312" t="s">
        <v>108</v>
      </c>
      <c r="H2301" s="312">
        <v>1827</v>
      </c>
      <c r="I2301" s="312" t="s">
        <v>107</v>
      </c>
      <c r="J2301" s="312">
        <v>1913</v>
      </c>
      <c r="K2301" s="312" t="s">
        <v>109</v>
      </c>
    </row>
    <row r="2302" spans="1:11">
      <c r="A2302" s="312" t="s">
        <v>4901</v>
      </c>
      <c r="B2302" s="312" t="s">
        <v>4902</v>
      </c>
      <c r="C2302" s="312" t="s">
        <v>105</v>
      </c>
      <c r="D2302" s="312" t="s">
        <v>114</v>
      </c>
      <c r="E2302" s="312" t="s">
        <v>107</v>
      </c>
      <c r="F2302" s="312">
        <v>1825</v>
      </c>
      <c r="G2302" s="312" t="s">
        <v>108</v>
      </c>
      <c r="H2302" s="312">
        <v>1827</v>
      </c>
      <c r="I2302" s="312" t="s">
        <v>107</v>
      </c>
      <c r="J2302" s="312">
        <v>1913</v>
      </c>
      <c r="K2302" s="312" t="s">
        <v>109</v>
      </c>
    </row>
    <row r="2303" spans="1:11">
      <c r="A2303" s="312" t="s">
        <v>4903</v>
      </c>
      <c r="B2303" s="312" t="s">
        <v>4904</v>
      </c>
      <c r="C2303" s="312" t="s">
        <v>105</v>
      </c>
      <c r="D2303" s="312" t="s">
        <v>114</v>
      </c>
      <c r="E2303" s="312" t="s">
        <v>107</v>
      </c>
      <c r="F2303" s="312">
        <v>1825</v>
      </c>
      <c r="G2303" s="312" t="s">
        <v>108</v>
      </c>
      <c r="H2303" s="312">
        <v>1827</v>
      </c>
      <c r="I2303" s="312" t="s">
        <v>107</v>
      </c>
      <c r="J2303" s="312">
        <v>1913</v>
      </c>
      <c r="K2303" s="312" t="s">
        <v>109</v>
      </c>
    </row>
    <row r="2304" spans="1:11">
      <c r="A2304" s="312" t="s">
        <v>4905</v>
      </c>
      <c r="B2304" s="312" t="s">
        <v>4906</v>
      </c>
      <c r="C2304" s="312" t="s">
        <v>105</v>
      </c>
      <c r="D2304" s="312" t="s">
        <v>114</v>
      </c>
      <c r="E2304" s="312" t="s">
        <v>107</v>
      </c>
      <c r="F2304" s="312">
        <v>1825</v>
      </c>
      <c r="G2304" s="312" t="s">
        <v>108</v>
      </c>
      <c r="H2304" s="312">
        <v>1827</v>
      </c>
      <c r="I2304" s="312" t="s">
        <v>107</v>
      </c>
      <c r="J2304" s="312">
        <v>1913</v>
      </c>
      <c r="K2304" s="312" t="s">
        <v>109</v>
      </c>
    </row>
    <row r="2305" spans="1:11">
      <c r="A2305" s="312" t="s">
        <v>4907</v>
      </c>
      <c r="B2305" s="312" t="s">
        <v>4908</v>
      </c>
      <c r="C2305" s="312" t="s">
        <v>105</v>
      </c>
      <c r="D2305" s="312" t="s">
        <v>114</v>
      </c>
      <c r="E2305" s="312" t="s">
        <v>107</v>
      </c>
      <c r="F2305" s="312">
        <v>1825</v>
      </c>
      <c r="G2305" s="312" t="s">
        <v>108</v>
      </c>
      <c r="H2305" s="312">
        <v>1827</v>
      </c>
      <c r="I2305" s="312" t="s">
        <v>107</v>
      </c>
      <c r="J2305" s="312">
        <v>1913</v>
      </c>
      <c r="K2305" s="312" t="s">
        <v>109</v>
      </c>
    </row>
    <row r="2306" spans="1:11">
      <c r="A2306" s="312" t="s">
        <v>4909</v>
      </c>
      <c r="B2306" s="312" t="s">
        <v>4910</v>
      </c>
      <c r="C2306" s="312" t="s">
        <v>105</v>
      </c>
      <c r="D2306" s="312" t="s">
        <v>114</v>
      </c>
      <c r="E2306" s="312" t="s">
        <v>107</v>
      </c>
      <c r="F2306" s="312">
        <v>1825</v>
      </c>
      <c r="G2306" s="312" t="s">
        <v>108</v>
      </c>
      <c r="H2306" s="312">
        <v>1827</v>
      </c>
      <c r="I2306" s="312" t="s">
        <v>107</v>
      </c>
      <c r="J2306" s="312">
        <v>1913</v>
      </c>
      <c r="K2306" s="312" t="s">
        <v>109</v>
      </c>
    </row>
    <row r="2307" spans="1:11">
      <c r="A2307" s="312" t="s">
        <v>4911</v>
      </c>
      <c r="B2307" s="312" t="s">
        <v>4912</v>
      </c>
      <c r="C2307" s="312" t="s">
        <v>105</v>
      </c>
      <c r="D2307" s="312" t="s">
        <v>114</v>
      </c>
      <c r="E2307" s="312" t="s">
        <v>107</v>
      </c>
      <c r="F2307" s="312">
        <v>1825</v>
      </c>
      <c r="G2307" s="312" t="s">
        <v>108</v>
      </c>
      <c r="H2307" s="312">
        <v>1827</v>
      </c>
      <c r="I2307" s="312" t="s">
        <v>107</v>
      </c>
      <c r="J2307" s="312">
        <v>1913</v>
      </c>
      <c r="K2307" s="312" t="s">
        <v>109</v>
      </c>
    </row>
    <row r="2308" spans="1:11">
      <c r="A2308" s="312" t="s">
        <v>4913</v>
      </c>
      <c r="B2308" s="312" t="s">
        <v>4914</v>
      </c>
      <c r="C2308" s="312" t="s">
        <v>105</v>
      </c>
      <c r="D2308" s="312" t="s">
        <v>114</v>
      </c>
      <c r="E2308" s="312" t="s">
        <v>107</v>
      </c>
      <c r="F2308" s="312">
        <v>1825</v>
      </c>
      <c r="G2308" s="312" t="s">
        <v>108</v>
      </c>
      <c r="H2308" s="312">
        <v>1827</v>
      </c>
      <c r="I2308" s="312" t="s">
        <v>107</v>
      </c>
      <c r="J2308" s="312">
        <v>1913</v>
      </c>
      <c r="K2308" s="312" t="s">
        <v>109</v>
      </c>
    </row>
    <row r="2309" spans="1:11">
      <c r="A2309" s="312" t="s">
        <v>4915</v>
      </c>
      <c r="B2309" s="312" t="s">
        <v>4916</v>
      </c>
      <c r="C2309" s="312" t="s">
        <v>105</v>
      </c>
      <c r="D2309" s="312" t="s">
        <v>114</v>
      </c>
      <c r="E2309" s="312" t="s">
        <v>107</v>
      </c>
      <c r="F2309" s="312">
        <v>1825</v>
      </c>
      <c r="G2309" s="312" t="s">
        <v>108</v>
      </c>
      <c r="H2309" s="312">
        <v>1827</v>
      </c>
      <c r="I2309" s="312" t="s">
        <v>107</v>
      </c>
      <c r="J2309" s="312">
        <v>1913</v>
      </c>
      <c r="K2309" s="312" t="s">
        <v>109</v>
      </c>
    </row>
    <row r="2310" spans="1:11">
      <c r="A2310" s="312" t="s">
        <v>4917</v>
      </c>
      <c r="B2310" s="312" t="s">
        <v>4918</v>
      </c>
      <c r="C2310" s="312" t="s">
        <v>105</v>
      </c>
      <c r="D2310" s="312" t="s">
        <v>114</v>
      </c>
      <c r="E2310" s="312" t="s">
        <v>107</v>
      </c>
      <c r="F2310" s="312">
        <v>1825</v>
      </c>
      <c r="G2310" s="312" t="s">
        <v>108</v>
      </c>
      <c r="H2310" s="312">
        <v>1827</v>
      </c>
      <c r="I2310" s="312" t="s">
        <v>107</v>
      </c>
      <c r="J2310" s="312">
        <v>1913</v>
      </c>
      <c r="K2310" s="312" t="s">
        <v>109</v>
      </c>
    </row>
    <row r="2311" spans="1:11">
      <c r="A2311" s="312" t="s">
        <v>4919</v>
      </c>
      <c r="B2311" s="312" t="s">
        <v>4920</v>
      </c>
      <c r="C2311" s="312" t="s">
        <v>105</v>
      </c>
      <c r="D2311" s="312" t="s">
        <v>114</v>
      </c>
      <c r="E2311" s="312" t="s">
        <v>107</v>
      </c>
      <c r="F2311" s="312">
        <v>1825</v>
      </c>
      <c r="G2311" s="312" t="s">
        <v>108</v>
      </c>
      <c r="H2311" s="312">
        <v>1827</v>
      </c>
      <c r="I2311" s="312" t="s">
        <v>107</v>
      </c>
      <c r="J2311" s="312">
        <v>1913</v>
      </c>
      <c r="K2311" s="312" t="s">
        <v>109</v>
      </c>
    </row>
    <row r="2312" spans="1:11">
      <c r="A2312" s="312" t="s">
        <v>4921</v>
      </c>
      <c r="B2312" s="312" t="s">
        <v>4922</v>
      </c>
      <c r="C2312" s="312" t="s">
        <v>105</v>
      </c>
      <c r="D2312" s="312" t="s">
        <v>114</v>
      </c>
      <c r="E2312" s="312" t="s">
        <v>107</v>
      </c>
      <c r="F2312" s="312">
        <v>1825</v>
      </c>
      <c r="G2312" s="312" t="s">
        <v>108</v>
      </c>
      <c r="H2312" s="312">
        <v>1827</v>
      </c>
      <c r="I2312" s="312" t="s">
        <v>107</v>
      </c>
      <c r="J2312" s="312">
        <v>1913</v>
      </c>
      <c r="K2312" s="312" t="s">
        <v>109</v>
      </c>
    </row>
    <row r="2313" spans="1:11">
      <c r="A2313" s="312" t="s">
        <v>4923</v>
      </c>
      <c r="B2313" s="312" t="s">
        <v>4924</v>
      </c>
      <c r="C2313" s="312" t="s">
        <v>105</v>
      </c>
      <c r="D2313" s="312" t="s">
        <v>294</v>
      </c>
      <c r="E2313" s="312" t="s">
        <v>107</v>
      </c>
      <c r="F2313" s="312">
        <v>1825</v>
      </c>
      <c r="G2313" s="312" t="s">
        <v>108</v>
      </c>
      <c r="H2313" s="312">
        <v>1827</v>
      </c>
      <c r="I2313" s="312" t="s">
        <v>107</v>
      </c>
      <c r="J2313" s="312">
        <v>1913</v>
      </c>
      <c r="K2313" s="312" t="s">
        <v>109</v>
      </c>
    </row>
    <row r="2314" spans="1:11">
      <c r="A2314" s="312" t="s">
        <v>4925</v>
      </c>
      <c r="B2314" s="312" t="s">
        <v>4926</v>
      </c>
      <c r="C2314" s="312" t="s">
        <v>105</v>
      </c>
      <c r="D2314" s="312" t="s">
        <v>114</v>
      </c>
      <c r="E2314" s="312" t="s">
        <v>107</v>
      </c>
      <c r="F2314" s="312">
        <v>1825</v>
      </c>
      <c r="G2314" s="312" t="s">
        <v>108</v>
      </c>
      <c r="H2314" s="312">
        <v>1827</v>
      </c>
      <c r="I2314" s="312" t="s">
        <v>107</v>
      </c>
      <c r="J2314" s="312">
        <v>1913</v>
      </c>
      <c r="K2314" s="312" t="s">
        <v>109</v>
      </c>
    </row>
    <row r="2315" spans="1:11">
      <c r="A2315" s="312" t="s">
        <v>4927</v>
      </c>
      <c r="B2315" s="312" t="s">
        <v>4928</v>
      </c>
      <c r="C2315" s="312" t="s">
        <v>105</v>
      </c>
      <c r="D2315" s="312" t="s">
        <v>114</v>
      </c>
      <c r="E2315" s="312" t="s">
        <v>107</v>
      </c>
      <c r="F2315" s="312">
        <v>1825</v>
      </c>
      <c r="G2315" s="312" t="s">
        <v>108</v>
      </c>
      <c r="H2315" s="312">
        <v>1827</v>
      </c>
      <c r="I2315" s="312" t="s">
        <v>107</v>
      </c>
      <c r="J2315" s="312">
        <v>1913</v>
      </c>
      <c r="K2315" s="312" t="s">
        <v>109</v>
      </c>
    </row>
    <row r="2316" spans="1:11">
      <c r="A2316" s="312" t="s">
        <v>4929</v>
      </c>
      <c r="B2316" s="312" t="s">
        <v>4930</v>
      </c>
      <c r="C2316" s="312" t="s">
        <v>105</v>
      </c>
      <c r="D2316" s="312" t="s">
        <v>404</v>
      </c>
      <c r="E2316" s="312" t="s">
        <v>107</v>
      </c>
      <c r="F2316" s="312">
        <v>1825</v>
      </c>
      <c r="G2316" s="312" t="s">
        <v>108</v>
      </c>
      <c r="H2316" s="312">
        <v>1827</v>
      </c>
      <c r="I2316" s="312" t="s">
        <v>107</v>
      </c>
      <c r="J2316" s="312">
        <v>1913</v>
      </c>
      <c r="K2316" s="312" t="s">
        <v>109</v>
      </c>
    </row>
    <row r="2317" spans="1:11">
      <c r="A2317" s="312" t="s">
        <v>4931</v>
      </c>
      <c r="B2317" s="312" t="s">
        <v>4932</v>
      </c>
      <c r="C2317" s="312" t="s">
        <v>105</v>
      </c>
      <c r="D2317" s="312" t="s">
        <v>404</v>
      </c>
      <c r="E2317" s="312" t="s">
        <v>107</v>
      </c>
      <c r="F2317" s="312">
        <v>1825</v>
      </c>
      <c r="G2317" s="312" t="s">
        <v>108</v>
      </c>
      <c r="H2317" s="312">
        <v>1827</v>
      </c>
      <c r="I2317" s="312" t="s">
        <v>107</v>
      </c>
      <c r="J2317" s="312">
        <v>1913</v>
      </c>
      <c r="K2317" s="312" t="s">
        <v>109</v>
      </c>
    </row>
    <row r="2318" spans="1:11">
      <c r="A2318" s="312" t="s">
        <v>4933</v>
      </c>
      <c r="B2318" s="312" t="s">
        <v>4934</v>
      </c>
      <c r="C2318" s="312" t="s">
        <v>105</v>
      </c>
      <c r="D2318" s="312" t="s">
        <v>114</v>
      </c>
      <c r="E2318" s="312" t="s">
        <v>107</v>
      </c>
      <c r="F2318" s="312">
        <v>1825</v>
      </c>
      <c r="G2318" s="312" t="s">
        <v>108</v>
      </c>
      <c r="H2318" s="312">
        <v>1827</v>
      </c>
      <c r="I2318" s="312" t="s">
        <v>107</v>
      </c>
      <c r="J2318" s="312">
        <v>1913</v>
      </c>
      <c r="K2318" s="312" t="s">
        <v>109</v>
      </c>
    </row>
    <row r="2319" spans="1:11">
      <c r="A2319" s="312" t="s">
        <v>4935</v>
      </c>
      <c r="B2319" s="312" t="s">
        <v>4936</v>
      </c>
      <c r="C2319" s="312" t="s">
        <v>105</v>
      </c>
      <c r="D2319" s="312" t="s">
        <v>114</v>
      </c>
      <c r="E2319" s="312" t="s">
        <v>107</v>
      </c>
      <c r="F2319" s="312">
        <v>1825</v>
      </c>
      <c r="G2319" s="312" t="s">
        <v>108</v>
      </c>
      <c r="H2319" s="312">
        <v>1827</v>
      </c>
      <c r="I2319" s="312" t="s">
        <v>107</v>
      </c>
      <c r="J2319" s="312">
        <v>1913</v>
      </c>
      <c r="K2319" s="312" t="s">
        <v>109</v>
      </c>
    </row>
    <row r="2320" spans="1:11">
      <c r="A2320" s="312" t="s">
        <v>4937</v>
      </c>
      <c r="B2320" s="312" t="s">
        <v>4938</v>
      </c>
      <c r="C2320" s="312" t="s">
        <v>105</v>
      </c>
      <c r="D2320" s="312" t="s">
        <v>294</v>
      </c>
      <c r="E2320" s="312" t="s">
        <v>107</v>
      </c>
      <c r="F2320" s="312">
        <v>1825</v>
      </c>
      <c r="G2320" s="312" t="s">
        <v>108</v>
      </c>
      <c r="H2320" s="312">
        <v>1827</v>
      </c>
      <c r="I2320" s="312" t="s">
        <v>107</v>
      </c>
      <c r="J2320" s="312">
        <v>1913</v>
      </c>
      <c r="K2320" s="312" t="s">
        <v>109</v>
      </c>
    </row>
    <row r="2321" spans="1:11">
      <c r="A2321" s="312" t="s">
        <v>4939</v>
      </c>
      <c r="B2321" s="312" t="s">
        <v>4940</v>
      </c>
      <c r="C2321" s="312" t="s">
        <v>105</v>
      </c>
      <c r="D2321" s="312" t="s">
        <v>294</v>
      </c>
      <c r="E2321" s="312" t="s">
        <v>107</v>
      </c>
      <c r="F2321" s="312">
        <v>1825</v>
      </c>
      <c r="G2321" s="312" t="s">
        <v>108</v>
      </c>
      <c r="H2321" s="312">
        <v>1827</v>
      </c>
      <c r="I2321" s="312" t="s">
        <v>107</v>
      </c>
      <c r="J2321" s="312">
        <v>1913</v>
      </c>
      <c r="K2321" s="312" t="s">
        <v>109</v>
      </c>
    </row>
    <row r="2322" spans="1:11">
      <c r="A2322" s="312" t="s">
        <v>4941</v>
      </c>
      <c r="B2322" s="312" t="s">
        <v>4942</v>
      </c>
      <c r="C2322" s="312" t="s">
        <v>105</v>
      </c>
      <c r="D2322" s="312" t="s">
        <v>294</v>
      </c>
      <c r="E2322" s="312" t="s">
        <v>107</v>
      </c>
      <c r="F2322" s="312">
        <v>1825</v>
      </c>
      <c r="G2322" s="312" t="s">
        <v>108</v>
      </c>
      <c r="H2322" s="312">
        <v>1827</v>
      </c>
      <c r="I2322" s="312" t="s">
        <v>107</v>
      </c>
      <c r="J2322" s="312">
        <v>1913</v>
      </c>
      <c r="K2322" s="312" t="s">
        <v>109</v>
      </c>
    </row>
    <row r="2323" spans="1:11">
      <c r="A2323" s="312" t="s">
        <v>4943</v>
      </c>
      <c r="B2323" s="312" t="s">
        <v>4944</v>
      </c>
      <c r="C2323" s="312" t="s">
        <v>105</v>
      </c>
      <c r="D2323" s="312" t="s">
        <v>114</v>
      </c>
      <c r="E2323" s="312" t="s">
        <v>107</v>
      </c>
      <c r="F2323" s="312">
        <v>1825</v>
      </c>
      <c r="G2323" s="312" t="s">
        <v>108</v>
      </c>
      <c r="H2323" s="312">
        <v>1827</v>
      </c>
      <c r="I2323" s="312" t="s">
        <v>107</v>
      </c>
      <c r="J2323" s="312">
        <v>1913</v>
      </c>
      <c r="K2323" s="312" t="s">
        <v>109</v>
      </c>
    </row>
    <row r="2324" spans="1:11">
      <c r="A2324" s="312" t="s">
        <v>4945</v>
      </c>
      <c r="B2324" s="312" t="s">
        <v>4946</v>
      </c>
      <c r="C2324" s="312" t="s">
        <v>105</v>
      </c>
      <c r="D2324" s="312" t="s">
        <v>114</v>
      </c>
      <c r="E2324" s="312" t="s">
        <v>107</v>
      </c>
      <c r="F2324" s="312">
        <v>1825</v>
      </c>
      <c r="G2324" s="312" t="s">
        <v>108</v>
      </c>
      <c r="H2324" s="312">
        <v>1827</v>
      </c>
      <c r="I2324" s="312" t="s">
        <v>107</v>
      </c>
      <c r="J2324" s="312">
        <v>1913</v>
      </c>
      <c r="K2324" s="312" t="s">
        <v>109</v>
      </c>
    </row>
    <row r="2325" spans="1:11">
      <c r="A2325" s="312" t="s">
        <v>4947</v>
      </c>
      <c r="B2325" s="312" t="s">
        <v>4948</v>
      </c>
      <c r="C2325" s="312" t="s">
        <v>105</v>
      </c>
      <c r="D2325" s="312" t="s">
        <v>114</v>
      </c>
      <c r="E2325" s="312" t="s">
        <v>107</v>
      </c>
      <c r="F2325" s="312">
        <v>1825</v>
      </c>
      <c r="G2325" s="312" t="s">
        <v>108</v>
      </c>
      <c r="H2325" s="312">
        <v>1827</v>
      </c>
      <c r="I2325" s="312" t="s">
        <v>107</v>
      </c>
      <c r="J2325" s="312">
        <v>1913</v>
      </c>
      <c r="K2325" s="312" t="s">
        <v>109</v>
      </c>
    </row>
    <row r="2326" spans="1:11">
      <c r="A2326" s="312" t="s">
        <v>4949</v>
      </c>
      <c r="B2326" s="312" t="s">
        <v>4950</v>
      </c>
      <c r="C2326" s="312" t="s">
        <v>105</v>
      </c>
      <c r="D2326" s="312" t="s">
        <v>114</v>
      </c>
      <c r="E2326" s="312" t="s">
        <v>107</v>
      </c>
      <c r="F2326" s="312">
        <v>1825</v>
      </c>
      <c r="G2326" s="312" t="s">
        <v>108</v>
      </c>
      <c r="H2326" s="312">
        <v>1827</v>
      </c>
      <c r="I2326" s="312" t="s">
        <v>107</v>
      </c>
      <c r="J2326" s="312">
        <v>1913</v>
      </c>
      <c r="K2326" s="312" t="s">
        <v>109</v>
      </c>
    </row>
    <row r="2327" spans="1:11">
      <c r="A2327" s="312" t="s">
        <v>4951</v>
      </c>
      <c r="B2327" s="312" t="s">
        <v>4952</v>
      </c>
      <c r="C2327" s="312" t="s">
        <v>105</v>
      </c>
      <c r="D2327" s="312" t="s">
        <v>114</v>
      </c>
      <c r="E2327" s="312" t="s">
        <v>107</v>
      </c>
      <c r="F2327" s="312">
        <v>1825</v>
      </c>
      <c r="G2327" s="312" t="s">
        <v>108</v>
      </c>
      <c r="H2327" s="312">
        <v>1827</v>
      </c>
      <c r="I2327" s="312" t="s">
        <v>107</v>
      </c>
      <c r="J2327" s="312">
        <v>1913</v>
      </c>
      <c r="K2327" s="312" t="s">
        <v>109</v>
      </c>
    </row>
    <row r="2328" spans="1:11">
      <c r="A2328" s="312" t="s">
        <v>4953</v>
      </c>
      <c r="B2328" s="312" t="s">
        <v>4954</v>
      </c>
      <c r="C2328" s="312" t="s">
        <v>105</v>
      </c>
      <c r="D2328" s="312" t="s">
        <v>114</v>
      </c>
      <c r="E2328" s="312" t="s">
        <v>107</v>
      </c>
      <c r="F2328" s="312">
        <v>1825</v>
      </c>
      <c r="G2328" s="312" t="s">
        <v>108</v>
      </c>
      <c r="H2328" s="312">
        <v>1827</v>
      </c>
      <c r="I2328" s="312" t="s">
        <v>107</v>
      </c>
      <c r="J2328" s="312">
        <v>1913</v>
      </c>
      <c r="K2328" s="312" t="s">
        <v>109</v>
      </c>
    </row>
    <row r="2329" spans="1:11">
      <c r="A2329" s="312" t="s">
        <v>4955</v>
      </c>
      <c r="B2329" s="312" t="s">
        <v>4956</v>
      </c>
      <c r="C2329" s="312" t="s">
        <v>105</v>
      </c>
      <c r="D2329" s="312" t="s">
        <v>114</v>
      </c>
      <c r="E2329" s="312" t="s">
        <v>107</v>
      </c>
      <c r="F2329" s="312">
        <v>1825</v>
      </c>
      <c r="G2329" s="312" t="s">
        <v>108</v>
      </c>
      <c r="H2329" s="312">
        <v>1827</v>
      </c>
      <c r="I2329" s="312" t="s">
        <v>107</v>
      </c>
      <c r="J2329" s="312">
        <v>1913</v>
      </c>
      <c r="K2329" s="312" t="s">
        <v>109</v>
      </c>
    </row>
    <row r="2330" spans="1:11">
      <c r="A2330" s="312" t="s">
        <v>4957</v>
      </c>
      <c r="B2330" s="312" t="s">
        <v>4958</v>
      </c>
      <c r="C2330" s="312" t="s">
        <v>105</v>
      </c>
      <c r="D2330" s="312" t="s">
        <v>114</v>
      </c>
      <c r="E2330" s="312" t="s">
        <v>107</v>
      </c>
      <c r="F2330" s="312">
        <v>1825</v>
      </c>
      <c r="G2330" s="312" t="s">
        <v>108</v>
      </c>
      <c r="H2330" s="312">
        <v>1827</v>
      </c>
      <c r="I2330" s="312" t="s">
        <v>107</v>
      </c>
      <c r="J2330" s="312">
        <v>1913</v>
      </c>
      <c r="K2330" s="312" t="s">
        <v>109</v>
      </c>
    </row>
    <row r="2331" spans="1:11">
      <c r="A2331" s="312" t="s">
        <v>4959</v>
      </c>
      <c r="B2331" s="312" t="s">
        <v>4960</v>
      </c>
      <c r="C2331" s="312" t="s">
        <v>105</v>
      </c>
      <c r="D2331" s="312" t="s">
        <v>114</v>
      </c>
      <c r="E2331" s="312" t="s">
        <v>107</v>
      </c>
      <c r="F2331" s="312">
        <v>1825</v>
      </c>
      <c r="G2331" s="312" t="s">
        <v>108</v>
      </c>
      <c r="H2331" s="312">
        <v>1827</v>
      </c>
      <c r="I2331" s="312" t="s">
        <v>107</v>
      </c>
      <c r="J2331" s="312">
        <v>1913</v>
      </c>
      <c r="K2331" s="312" t="s">
        <v>109</v>
      </c>
    </row>
    <row r="2332" spans="1:11">
      <c r="A2332" s="312" t="s">
        <v>4961</v>
      </c>
      <c r="B2332" s="312" t="s">
        <v>4962</v>
      </c>
      <c r="C2332" s="312" t="s">
        <v>105</v>
      </c>
      <c r="D2332" s="312" t="s">
        <v>114</v>
      </c>
      <c r="E2332" s="312" t="s">
        <v>107</v>
      </c>
      <c r="F2332" s="312">
        <v>1825</v>
      </c>
      <c r="G2332" s="312" t="s">
        <v>108</v>
      </c>
      <c r="H2332" s="312">
        <v>1827</v>
      </c>
      <c r="I2332" s="312" t="s">
        <v>107</v>
      </c>
      <c r="J2332" s="312">
        <v>1913</v>
      </c>
      <c r="K2332" s="312" t="s">
        <v>109</v>
      </c>
    </row>
    <row r="2333" spans="1:11">
      <c r="A2333" s="312" t="s">
        <v>4963</v>
      </c>
      <c r="B2333" s="312" t="s">
        <v>4964</v>
      </c>
      <c r="C2333" s="312" t="s">
        <v>105</v>
      </c>
      <c r="D2333" s="312" t="s">
        <v>114</v>
      </c>
      <c r="E2333" s="312" t="s">
        <v>107</v>
      </c>
      <c r="F2333" s="312">
        <v>1825</v>
      </c>
      <c r="G2333" s="312" t="s">
        <v>108</v>
      </c>
      <c r="H2333" s="312">
        <v>1827</v>
      </c>
      <c r="I2333" s="312" t="s">
        <v>107</v>
      </c>
      <c r="J2333" s="312">
        <v>1913</v>
      </c>
      <c r="K2333" s="312" t="s">
        <v>109</v>
      </c>
    </row>
    <row r="2334" spans="1:11">
      <c r="A2334" s="312" t="s">
        <v>4965</v>
      </c>
      <c r="B2334" s="312" t="s">
        <v>4966</v>
      </c>
      <c r="C2334" s="312" t="s">
        <v>105</v>
      </c>
      <c r="D2334" s="312" t="s">
        <v>114</v>
      </c>
      <c r="E2334" s="312" t="s">
        <v>107</v>
      </c>
      <c r="F2334" s="312">
        <v>1825</v>
      </c>
      <c r="G2334" s="312" t="s">
        <v>108</v>
      </c>
      <c r="H2334" s="312">
        <v>1827</v>
      </c>
      <c r="I2334" s="312" t="s">
        <v>107</v>
      </c>
      <c r="J2334" s="312">
        <v>1913</v>
      </c>
      <c r="K2334" s="312" t="s">
        <v>109</v>
      </c>
    </row>
    <row r="2335" spans="1:11">
      <c r="A2335" s="312" t="s">
        <v>4967</v>
      </c>
      <c r="B2335" s="312" t="s">
        <v>4968</v>
      </c>
      <c r="C2335" s="312" t="s">
        <v>105</v>
      </c>
      <c r="D2335" s="312" t="s">
        <v>114</v>
      </c>
      <c r="E2335" s="312" t="s">
        <v>107</v>
      </c>
      <c r="F2335" s="312">
        <v>1825</v>
      </c>
      <c r="G2335" s="312" t="s">
        <v>108</v>
      </c>
      <c r="H2335" s="312">
        <v>1827</v>
      </c>
      <c r="I2335" s="312" t="s">
        <v>107</v>
      </c>
      <c r="J2335" s="312">
        <v>1913</v>
      </c>
      <c r="K2335" s="312" t="s">
        <v>109</v>
      </c>
    </row>
    <row r="2336" spans="1:11">
      <c r="A2336" s="312" t="s">
        <v>4969</v>
      </c>
      <c r="B2336" s="312" t="s">
        <v>4970</v>
      </c>
      <c r="C2336" s="312" t="s">
        <v>105</v>
      </c>
      <c r="D2336" s="312" t="s">
        <v>114</v>
      </c>
      <c r="E2336" s="312" t="s">
        <v>107</v>
      </c>
      <c r="F2336" s="312">
        <v>1825</v>
      </c>
      <c r="G2336" s="312" t="s">
        <v>108</v>
      </c>
      <c r="H2336" s="312">
        <v>1827</v>
      </c>
      <c r="I2336" s="312" t="s">
        <v>107</v>
      </c>
      <c r="J2336" s="312">
        <v>1913</v>
      </c>
      <c r="K2336" s="312" t="s">
        <v>109</v>
      </c>
    </row>
    <row r="2337" spans="1:11">
      <c r="A2337" s="312" t="s">
        <v>4971</v>
      </c>
      <c r="B2337" s="312" t="s">
        <v>4972</v>
      </c>
      <c r="C2337" s="312" t="s">
        <v>105</v>
      </c>
      <c r="D2337" s="312" t="s">
        <v>294</v>
      </c>
      <c r="E2337" s="312" t="s">
        <v>107</v>
      </c>
      <c r="F2337" s="312">
        <v>1825</v>
      </c>
      <c r="G2337" s="312" t="s">
        <v>108</v>
      </c>
      <c r="H2337" s="312">
        <v>1827</v>
      </c>
      <c r="I2337" s="312" t="s">
        <v>107</v>
      </c>
      <c r="J2337" s="312">
        <v>1913</v>
      </c>
      <c r="K2337" s="312" t="s">
        <v>109</v>
      </c>
    </row>
    <row r="2338" spans="1:11">
      <c r="A2338" s="312" t="s">
        <v>4973</v>
      </c>
      <c r="B2338" s="312" t="s">
        <v>4974</v>
      </c>
      <c r="C2338" s="312" t="s">
        <v>105</v>
      </c>
      <c r="D2338" s="312" t="s">
        <v>216</v>
      </c>
      <c r="E2338" s="312" t="s">
        <v>107</v>
      </c>
      <c r="F2338" s="312">
        <v>1825</v>
      </c>
      <c r="G2338" s="312" t="s">
        <v>108</v>
      </c>
      <c r="H2338" s="312">
        <v>1827</v>
      </c>
      <c r="I2338" s="312" t="s">
        <v>107</v>
      </c>
      <c r="J2338" s="312">
        <v>1913</v>
      </c>
      <c r="K2338" s="312" t="s">
        <v>109</v>
      </c>
    </row>
    <row r="2339" spans="1:11">
      <c r="A2339" s="312" t="s">
        <v>4975</v>
      </c>
      <c r="B2339" s="312" t="s">
        <v>4976</v>
      </c>
      <c r="C2339" s="312" t="s">
        <v>105</v>
      </c>
      <c r="D2339" s="312" t="s">
        <v>769</v>
      </c>
      <c r="E2339" s="312" t="s">
        <v>107</v>
      </c>
      <c r="F2339" s="312">
        <v>1825</v>
      </c>
      <c r="G2339" s="312" t="s">
        <v>108</v>
      </c>
      <c r="H2339" s="312">
        <v>1827</v>
      </c>
      <c r="I2339" s="312" t="s">
        <v>107</v>
      </c>
      <c r="J2339" s="312">
        <v>1913</v>
      </c>
      <c r="K2339" s="312" t="s">
        <v>109</v>
      </c>
    </row>
    <row r="2340" spans="1:11">
      <c r="A2340" s="312" t="s">
        <v>4977</v>
      </c>
      <c r="B2340" s="312" t="s">
        <v>4978</v>
      </c>
      <c r="C2340" s="312" t="s">
        <v>105</v>
      </c>
      <c r="D2340" s="312" t="s">
        <v>327</v>
      </c>
      <c r="E2340" s="312" t="s">
        <v>167</v>
      </c>
      <c r="F2340" s="312">
        <v>1705</v>
      </c>
      <c r="G2340" s="312" t="s">
        <v>168</v>
      </c>
      <c r="H2340" s="312">
        <v>1707</v>
      </c>
      <c r="I2340" s="312" t="s">
        <v>167</v>
      </c>
      <c r="J2340" s="312">
        <v>1899</v>
      </c>
      <c r="K2340" s="312" t="s">
        <v>169</v>
      </c>
    </row>
    <row r="2341" spans="1:11">
      <c r="A2341" s="312" t="s">
        <v>4979</v>
      </c>
      <c r="B2341" s="312" t="s">
        <v>4980</v>
      </c>
      <c r="C2341" s="312" t="s">
        <v>105</v>
      </c>
      <c r="D2341" s="312" t="s">
        <v>477</v>
      </c>
      <c r="E2341" s="312" t="s">
        <v>107</v>
      </c>
      <c r="F2341" s="312">
        <v>1825</v>
      </c>
      <c r="G2341" s="312" t="s">
        <v>108</v>
      </c>
      <c r="H2341" s="312">
        <v>1827</v>
      </c>
      <c r="I2341" s="312" t="s">
        <v>107</v>
      </c>
      <c r="J2341" s="312">
        <v>1913</v>
      </c>
      <c r="K2341" s="312" t="s">
        <v>109</v>
      </c>
    </row>
    <row r="2342" spans="1:11">
      <c r="A2342" s="312" t="s">
        <v>4981</v>
      </c>
      <c r="B2342" s="312" t="s">
        <v>4982</v>
      </c>
      <c r="C2342" s="312" t="s">
        <v>105</v>
      </c>
      <c r="D2342" s="312" t="s">
        <v>1799</v>
      </c>
      <c r="E2342" s="312" t="s">
        <v>167</v>
      </c>
      <c r="F2342" s="312">
        <v>1705</v>
      </c>
      <c r="G2342" s="312" t="s">
        <v>168</v>
      </c>
      <c r="H2342" s="312">
        <v>1707</v>
      </c>
      <c r="I2342" s="312" t="s">
        <v>167</v>
      </c>
      <c r="J2342" s="312">
        <v>1899</v>
      </c>
      <c r="K2342" s="312" t="s">
        <v>169</v>
      </c>
    </row>
    <row r="2343" spans="1:11">
      <c r="A2343" s="312" t="s">
        <v>4983</v>
      </c>
      <c r="B2343" s="312" t="s">
        <v>4984</v>
      </c>
      <c r="C2343" s="312" t="s">
        <v>105</v>
      </c>
      <c r="D2343" s="312" t="s">
        <v>1799</v>
      </c>
      <c r="E2343" s="312" t="s">
        <v>167</v>
      </c>
      <c r="F2343" s="312">
        <v>1705</v>
      </c>
      <c r="G2343" s="312" t="s">
        <v>168</v>
      </c>
      <c r="H2343" s="312">
        <v>1707</v>
      </c>
      <c r="I2343" s="312" t="s">
        <v>167</v>
      </c>
      <c r="J2343" s="312">
        <v>1899</v>
      </c>
      <c r="K2343" s="312" t="s">
        <v>169</v>
      </c>
    </row>
    <row r="2344" spans="1:11">
      <c r="A2344" s="312" t="s">
        <v>4985</v>
      </c>
      <c r="B2344" s="312" t="s">
        <v>4986</v>
      </c>
      <c r="C2344" s="312" t="s">
        <v>105</v>
      </c>
      <c r="D2344" s="312" t="s">
        <v>1799</v>
      </c>
      <c r="E2344" s="312" t="s">
        <v>167</v>
      </c>
      <c r="F2344" s="312">
        <v>1705</v>
      </c>
      <c r="G2344" s="312" t="s">
        <v>168</v>
      </c>
      <c r="H2344" s="312">
        <v>1707</v>
      </c>
      <c r="I2344" s="312" t="s">
        <v>167</v>
      </c>
      <c r="J2344" s="312">
        <v>1899</v>
      </c>
      <c r="K2344" s="312" t="s">
        <v>169</v>
      </c>
    </row>
    <row r="2345" spans="1:11">
      <c r="A2345" s="312" t="s">
        <v>4987</v>
      </c>
      <c r="B2345" s="312" t="s">
        <v>4988</v>
      </c>
      <c r="C2345" s="312" t="s">
        <v>105</v>
      </c>
      <c r="D2345" s="312" t="s">
        <v>1799</v>
      </c>
      <c r="E2345" s="312" t="s">
        <v>167</v>
      </c>
      <c r="F2345" s="312">
        <v>1705</v>
      </c>
      <c r="G2345" s="312" t="s">
        <v>168</v>
      </c>
      <c r="H2345" s="312">
        <v>1707</v>
      </c>
      <c r="I2345" s="312" t="s">
        <v>167</v>
      </c>
      <c r="J2345" s="312">
        <v>1899</v>
      </c>
      <c r="K2345" s="312" t="s">
        <v>169</v>
      </c>
    </row>
    <row r="2346" spans="1:11">
      <c r="A2346" s="312" t="s">
        <v>4989</v>
      </c>
      <c r="B2346" s="312" t="s">
        <v>4990</v>
      </c>
      <c r="C2346" s="312" t="s">
        <v>105</v>
      </c>
      <c r="D2346" s="312" t="s">
        <v>477</v>
      </c>
      <c r="E2346" s="312" t="s">
        <v>107</v>
      </c>
      <c r="F2346" s="312">
        <v>1825</v>
      </c>
      <c r="G2346" s="312" t="s">
        <v>108</v>
      </c>
      <c r="H2346" s="312">
        <v>1827</v>
      </c>
      <c r="I2346" s="312" t="s">
        <v>107</v>
      </c>
      <c r="J2346" s="312">
        <v>1913</v>
      </c>
      <c r="K2346" s="312" t="s">
        <v>109</v>
      </c>
    </row>
    <row r="2347" spans="1:11">
      <c r="A2347" s="312" t="s">
        <v>4991</v>
      </c>
      <c r="B2347" s="312" t="s">
        <v>4992</v>
      </c>
      <c r="C2347" s="312" t="s">
        <v>105</v>
      </c>
      <c r="D2347" s="312" t="s">
        <v>327</v>
      </c>
      <c r="E2347" s="312" t="s">
        <v>167</v>
      </c>
      <c r="F2347" s="312">
        <v>1705</v>
      </c>
      <c r="G2347" s="312" t="s">
        <v>168</v>
      </c>
      <c r="H2347" s="312">
        <v>1707</v>
      </c>
      <c r="I2347" s="312" t="s">
        <v>167</v>
      </c>
      <c r="J2347" s="312">
        <v>1899</v>
      </c>
      <c r="K2347" s="312" t="s">
        <v>169</v>
      </c>
    </row>
    <row r="2348" spans="1:11">
      <c r="A2348" s="312" t="s">
        <v>4993</v>
      </c>
      <c r="B2348" s="312" t="s">
        <v>4994</v>
      </c>
      <c r="C2348" s="312" t="s">
        <v>105</v>
      </c>
      <c r="D2348" s="312" t="s">
        <v>216</v>
      </c>
      <c r="E2348" s="312" t="s">
        <v>107</v>
      </c>
      <c r="F2348" s="312">
        <v>1825</v>
      </c>
      <c r="G2348" s="312" t="s">
        <v>108</v>
      </c>
      <c r="H2348" s="312">
        <v>1827</v>
      </c>
      <c r="I2348" s="312" t="s">
        <v>107</v>
      </c>
      <c r="J2348" s="312">
        <v>1913</v>
      </c>
      <c r="K2348" s="312" t="s">
        <v>109</v>
      </c>
    </row>
    <row r="2349" spans="1:11">
      <c r="A2349" s="312" t="s">
        <v>4995</v>
      </c>
      <c r="B2349" s="312" t="s">
        <v>4996</v>
      </c>
      <c r="C2349" s="312" t="s">
        <v>105</v>
      </c>
      <c r="D2349" s="312" t="s">
        <v>216</v>
      </c>
      <c r="E2349" s="312" t="s">
        <v>107</v>
      </c>
      <c r="F2349" s="312">
        <v>1825</v>
      </c>
      <c r="G2349" s="312" t="s">
        <v>108</v>
      </c>
      <c r="H2349" s="312">
        <v>1827</v>
      </c>
      <c r="I2349" s="312" t="s">
        <v>107</v>
      </c>
      <c r="J2349" s="312">
        <v>1913</v>
      </c>
      <c r="K2349" s="312" t="s">
        <v>109</v>
      </c>
    </row>
    <row r="2350" spans="1:11">
      <c r="A2350" s="312" t="s">
        <v>4997</v>
      </c>
      <c r="B2350" s="312" t="s">
        <v>4998</v>
      </c>
      <c r="C2350" s="312" t="s">
        <v>105</v>
      </c>
      <c r="D2350" s="312" t="s">
        <v>216</v>
      </c>
      <c r="E2350" s="312" t="s">
        <v>107</v>
      </c>
      <c r="F2350" s="312">
        <v>1825</v>
      </c>
      <c r="G2350" s="312" t="s">
        <v>108</v>
      </c>
      <c r="H2350" s="312">
        <v>1827</v>
      </c>
      <c r="I2350" s="312" t="s">
        <v>107</v>
      </c>
      <c r="J2350" s="312">
        <v>1913</v>
      </c>
      <c r="K2350" s="312" t="s">
        <v>109</v>
      </c>
    </row>
    <row r="2351" spans="1:11">
      <c r="A2351" s="312" t="s">
        <v>4999</v>
      </c>
      <c r="B2351" s="312" t="s">
        <v>5000</v>
      </c>
      <c r="C2351" s="312" t="s">
        <v>105</v>
      </c>
      <c r="D2351" s="312" t="s">
        <v>216</v>
      </c>
      <c r="E2351" s="312" t="s">
        <v>107</v>
      </c>
      <c r="F2351" s="312">
        <v>1825</v>
      </c>
      <c r="G2351" s="312" t="s">
        <v>108</v>
      </c>
      <c r="H2351" s="312">
        <v>1827</v>
      </c>
      <c r="I2351" s="312" t="s">
        <v>107</v>
      </c>
      <c r="J2351" s="312">
        <v>1913</v>
      </c>
      <c r="K2351" s="312" t="s">
        <v>109</v>
      </c>
    </row>
    <row r="2352" spans="1:11">
      <c r="A2352" s="312" t="s">
        <v>5001</v>
      </c>
      <c r="B2352" s="312" t="s">
        <v>5002</v>
      </c>
      <c r="C2352" s="312" t="s">
        <v>105</v>
      </c>
      <c r="D2352" s="312" t="s">
        <v>1156</v>
      </c>
      <c r="E2352" s="312" t="s">
        <v>107</v>
      </c>
      <c r="F2352" s="312">
        <v>1825</v>
      </c>
      <c r="G2352" s="312" t="s">
        <v>108</v>
      </c>
      <c r="H2352" s="312">
        <v>1827</v>
      </c>
      <c r="I2352" s="312" t="s">
        <v>107</v>
      </c>
      <c r="J2352" s="312">
        <v>1913</v>
      </c>
      <c r="K2352" s="312" t="s">
        <v>109</v>
      </c>
    </row>
    <row r="2353" spans="1:11">
      <c r="A2353" s="312" t="s">
        <v>5003</v>
      </c>
      <c r="B2353" s="312" t="s">
        <v>5004</v>
      </c>
      <c r="C2353" s="312" t="s">
        <v>105</v>
      </c>
      <c r="D2353" s="312" t="s">
        <v>483</v>
      </c>
      <c r="E2353" s="312" t="s">
        <v>107</v>
      </c>
      <c r="F2353" s="312">
        <v>1825</v>
      </c>
      <c r="G2353" s="312" t="s">
        <v>108</v>
      </c>
      <c r="H2353" s="312">
        <v>1827</v>
      </c>
      <c r="I2353" s="312" t="s">
        <v>107</v>
      </c>
      <c r="J2353" s="312">
        <v>1913</v>
      </c>
      <c r="K2353" s="312" t="s">
        <v>109</v>
      </c>
    </row>
    <row r="2354" spans="1:11">
      <c r="A2354" s="312" t="s">
        <v>5005</v>
      </c>
      <c r="B2354" s="312" t="s">
        <v>5006</v>
      </c>
      <c r="C2354" s="312" t="s">
        <v>105</v>
      </c>
      <c r="D2354" s="312" t="s">
        <v>201</v>
      </c>
      <c r="E2354" s="312" t="s">
        <v>107</v>
      </c>
      <c r="F2354" s="312">
        <v>1825</v>
      </c>
      <c r="G2354" s="312" t="s">
        <v>108</v>
      </c>
      <c r="H2354" s="312">
        <v>1827</v>
      </c>
      <c r="I2354" s="312" t="s">
        <v>107</v>
      </c>
      <c r="J2354" s="312">
        <v>1913</v>
      </c>
      <c r="K2354" s="312" t="s">
        <v>109</v>
      </c>
    </row>
    <row r="2355" spans="1:11">
      <c r="A2355" s="312" t="s">
        <v>5007</v>
      </c>
      <c r="B2355" s="312" t="s">
        <v>5008</v>
      </c>
      <c r="C2355" s="312" t="s">
        <v>105</v>
      </c>
      <c r="D2355" s="312" t="s">
        <v>201</v>
      </c>
      <c r="E2355" s="312" t="s">
        <v>107</v>
      </c>
      <c r="F2355" s="312">
        <v>1825</v>
      </c>
      <c r="G2355" s="312" t="s">
        <v>108</v>
      </c>
      <c r="H2355" s="312">
        <v>1827</v>
      </c>
      <c r="I2355" s="312" t="s">
        <v>107</v>
      </c>
      <c r="J2355" s="312">
        <v>1913</v>
      </c>
      <c r="K2355" s="312" t="s">
        <v>109</v>
      </c>
    </row>
    <row r="2356" spans="1:11">
      <c r="A2356" s="312" t="s">
        <v>5009</v>
      </c>
      <c r="B2356" s="312" t="s">
        <v>5010</v>
      </c>
      <c r="C2356" s="312" t="s">
        <v>105</v>
      </c>
      <c r="D2356" s="312" t="s">
        <v>1758</v>
      </c>
      <c r="E2356" s="312" t="s">
        <v>107</v>
      </c>
      <c r="F2356" s="312">
        <v>1825</v>
      </c>
      <c r="G2356" s="312" t="s">
        <v>108</v>
      </c>
      <c r="H2356" s="312">
        <v>1827</v>
      </c>
      <c r="I2356" s="312" t="s">
        <v>107</v>
      </c>
      <c r="J2356" s="312">
        <v>1913</v>
      </c>
      <c r="K2356" s="312" t="s">
        <v>109</v>
      </c>
    </row>
    <row r="2357" spans="1:11">
      <c r="A2357" s="312" t="s">
        <v>5011</v>
      </c>
      <c r="B2357" s="312" t="s">
        <v>5012</v>
      </c>
      <c r="C2357" s="312" t="s">
        <v>105</v>
      </c>
      <c r="D2357" s="312" t="s">
        <v>252</v>
      </c>
      <c r="E2357" s="312" t="s">
        <v>167</v>
      </c>
      <c r="F2357" s="312">
        <v>1705</v>
      </c>
      <c r="G2357" s="312" t="s">
        <v>168</v>
      </c>
      <c r="H2357" s="312">
        <v>1707</v>
      </c>
      <c r="I2357" s="312" t="s">
        <v>167</v>
      </c>
      <c r="J2357" s="312">
        <v>1899</v>
      </c>
      <c r="K2357" s="312" t="s">
        <v>169</v>
      </c>
    </row>
    <row r="2358" spans="1:11">
      <c r="A2358" s="312" t="s">
        <v>5013</v>
      </c>
      <c r="B2358" s="312" t="s">
        <v>5014</v>
      </c>
      <c r="C2358" s="312" t="s">
        <v>105</v>
      </c>
      <c r="D2358" s="312" t="s">
        <v>1307</v>
      </c>
      <c r="E2358" s="312" t="s">
        <v>167</v>
      </c>
      <c r="F2358" s="312">
        <v>1705</v>
      </c>
      <c r="G2358" s="312" t="s">
        <v>168</v>
      </c>
      <c r="H2358" s="312">
        <v>1707</v>
      </c>
      <c r="I2358" s="312" t="s">
        <v>167</v>
      </c>
      <c r="J2358" s="312">
        <v>1899</v>
      </c>
      <c r="K2358" s="312" t="s">
        <v>169</v>
      </c>
    </row>
    <row r="2359" spans="1:11">
      <c r="A2359" s="312" t="s">
        <v>5015</v>
      </c>
      <c r="B2359" s="312" t="s">
        <v>5016</v>
      </c>
      <c r="C2359" s="312" t="s">
        <v>105</v>
      </c>
      <c r="D2359" s="312" t="s">
        <v>730</v>
      </c>
      <c r="E2359" s="312" t="s">
        <v>696</v>
      </c>
      <c r="F2359" s="312">
        <v>1736</v>
      </c>
      <c r="G2359" s="312" t="s">
        <v>697</v>
      </c>
      <c r="H2359" s="312">
        <v>1741</v>
      </c>
      <c r="I2359" s="312" t="s">
        <v>696</v>
      </c>
      <c r="J2359" s="312">
        <v>1929</v>
      </c>
      <c r="K2359" s="312" t="s">
        <v>698</v>
      </c>
    </row>
    <row r="2360" spans="1:11">
      <c r="A2360" s="312" t="s">
        <v>5017</v>
      </c>
      <c r="B2360" s="312" t="s">
        <v>5018</v>
      </c>
      <c r="C2360" s="312" t="s">
        <v>105</v>
      </c>
      <c r="D2360" s="312" t="s">
        <v>483</v>
      </c>
      <c r="E2360" s="312" t="s">
        <v>466</v>
      </c>
      <c r="F2360" s="312">
        <v>1796</v>
      </c>
      <c r="G2360" s="312" t="s">
        <v>467</v>
      </c>
      <c r="H2360" s="312">
        <v>1799</v>
      </c>
      <c r="I2360" s="312" t="s">
        <v>466</v>
      </c>
      <c r="J2360" s="312">
        <v>1918</v>
      </c>
      <c r="K2360" s="312" t="s">
        <v>468</v>
      </c>
    </row>
    <row r="2361" spans="1:11">
      <c r="A2361" s="312" t="s">
        <v>5019</v>
      </c>
      <c r="B2361" s="312" t="s">
        <v>5020</v>
      </c>
      <c r="C2361" s="312" t="s">
        <v>105</v>
      </c>
      <c r="D2361" s="312" t="s">
        <v>730</v>
      </c>
      <c r="E2361" s="312" t="s">
        <v>107</v>
      </c>
      <c r="F2361" s="312">
        <v>1825</v>
      </c>
      <c r="G2361" s="312" t="s">
        <v>108</v>
      </c>
      <c r="H2361" s="312">
        <v>1827</v>
      </c>
      <c r="I2361" s="312" t="s">
        <v>107</v>
      </c>
      <c r="J2361" s="312">
        <v>1913</v>
      </c>
      <c r="K2361" s="312" t="s">
        <v>109</v>
      </c>
    </row>
    <row r="2362" spans="1:11">
      <c r="A2362" s="312" t="s">
        <v>5021</v>
      </c>
      <c r="B2362" s="312" t="s">
        <v>5022</v>
      </c>
      <c r="C2362" s="312" t="s">
        <v>105</v>
      </c>
      <c r="D2362" s="312" t="s">
        <v>730</v>
      </c>
      <c r="E2362" s="312" t="s">
        <v>107</v>
      </c>
      <c r="F2362" s="312">
        <v>1825</v>
      </c>
      <c r="G2362" s="312" t="s">
        <v>108</v>
      </c>
      <c r="H2362" s="312">
        <v>1827</v>
      </c>
      <c r="I2362" s="312" t="s">
        <v>107</v>
      </c>
      <c r="J2362" s="312">
        <v>1913</v>
      </c>
      <c r="K2362" s="312" t="s">
        <v>109</v>
      </c>
    </row>
    <row r="2363" spans="1:11">
      <c r="A2363" s="312" t="s">
        <v>5023</v>
      </c>
      <c r="B2363" s="312" t="s">
        <v>5024</v>
      </c>
      <c r="C2363" s="312" t="s">
        <v>105</v>
      </c>
      <c r="D2363" s="312" t="s">
        <v>573</v>
      </c>
      <c r="E2363" s="312" t="s">
        <v>107</v>
      </c>
      <c r="F2363" s="312">
        <v>1825</v>
      </c>
      <c r="G2363" s="312" t="s">
        <v>108</v>
      </c>
      <c r="H2363" s="312">
        <v>1827</v>
      </c>
      <c r="I2363" s="312" t="s">
        <v>107</v>
      </c>
      <c r="J2363" s="312">
        <v>1913</v>
      </c>
      <c r="K2363" s="312" t="s">
        <v>109</v>
      </c>
    </row>
    <row r="2364" spans="1:11">
      <c r="A2364" s="312" t="s">
        <v>5025</v>
      </c>
      <c r="B2364" s="312" t="s">
        <v>5026</v>
      </c>
      <c r="C2364" s="312" t="s">
        <v>105</v>
      </c>
      <c r="D2364" s="312" t="s">
        <v>3822</v>
      </c>
      <c r="E2364" s="312" t="s">
        <v>684</v>
      </c>
      <c r="F2364" s="312">
        <v>1750</v>
      </c>
      <c r="G2364" s="312" t="s">
        <v>685</v>
      </c>
      <c r="H2364" s="312">
        <v>1754</v>
      </c>
      <c r="I2364" s="312" t="s">
        <v>684</v>
      </c>
      <c r="J2364" s="312">
        <v>1920</v>
      </c>
      <c r="K2364" s="312" t="s">
        <v>686</v>
      </c>
    </row>
    <row r="2365" spans="1:11">
      <c r="A2365" s="312" t="s">
        <v>5027</v>
      </c>
      <c r="B2365" s="312" t="s">
        <v>5028</v>
      </c>
      <c r="C2365" s="312" t="s">
        <v>105</v>
      </c>
      <c r="D2365" s="312" t="s">
        <v>1291</v>
      </c>
      <c r="E2365" s="312" t="s">
        <v>107</v>
      </c>
      <c r="F2365" s="312">
        <v>1825</v>
      </c>
      <c r="G2365" s="312" t="s">
        <v>108</v>
      </c>
      <c r="H2365" s="312">
        <v>1827</v>
      </c>
      <c r="I2365" s="312" t="s">
        <v>107</v>
      </c>
      <c r="J2365" s="312">
        <v>1913</v>
      </c>
      <c r="K2365" s="312" t="s">
        <v>109</v>
      </c>
    </row>
    <row r="2366" spans="1:11">
      <c r="A2366" s="312" t="s">
        <v>5029</v>
      </c>
      <c r="B2366" s="312" t="s">
        <v>5030</v>
      </c>
      <c r="C2366" s="312" t="s">
        <v>105</v>
      </c>
      <c r="D2366" s="312" t="s">
        <v>1291</v>
      </c>
      <c r="E2366" s="312" t="s">
        <v>107</v>
      </c>
      <c r="F2366" s="312">
        <v>1825</v>
      </c>
      <c r="G2366" s="312" t="s">
        <v>108</v>
      </c>
      <c r="H2366" s="312">
        <v>1827</v>
      </c>
      <c r="I2366" s="312" t="s">
        <v>107</v>
      </c>
      <c r="J2366" s="312">
        <v>1913</v>
      </c>
      <c r="K2366" s="312" t="s">
        <v>109</v>
      </c>
    </row>
    <row r="2367" spans="1:11">
      <c r="A2367" s="312" t="s">
        <v>5031</v>
      </c>
      <c r="B2367" s="312" t="s">
        <v>5032</v>
      </c>
      <c r="C2367" s="312" t="s">
        <v>105</v>
      </c>
      <c r="D2367" s="312" t="s">
        <v>1291</v>
      </c>
      <c r="E2367" s="312" t="s">
        <v>107</v>
      </c>
      <c r="F2367" s="312">
        <v>1825</v>
      </c>
      <c r="G2367" s="312" t="s">
        <v>108</v>
      </c>
      <c r="H2367" s="312">
        <v>1827</v>
      </c>
      <c r="I2367" s="312" t="s">
        <v>107</v>
      </c>
      <c r="J2367" s="312">
        <v>1913</v>
      </c>
      <c r="K2367" s="312" t="s">
        <v>109</v>
      </c>
    </row>
    <row r="2368" spans="1:11">
      <c r="A2368" s="312" t="s">
        <v>5033</v>
      </c>
      <c r="B2368" s="312" t="s">
        <v>5034</v>
      </c>
      <c r="C2368" s="312" t="s">
        <v>105</v>
      </c>
      <c r="D2368" s="312" t="s">
        <v>587</v>
      </c>
      <c r="E2368" s="312" t="s">
        <v>107</v>
      </c>
      <c r="F2368" s="312">
        <v>1825</v>
      </c>
      <c r="G2368" s="312" t="s">
        <v>108</v>
      </c>
      <c r="H2368" s="312">
        <v>1827</v>
      </c>
      <c r="I2368" s="312" t="s">
        <v>107</v>
      </c>
      <c r="J2368" s="312">
        <v>1913</v>
      </c>
      <c r="K2368" s="312" t="s">
        <v>109</v>
      </c>
    </row>
    <row r="2369" spans="1:11">
      <c r="A2369" s="312" t="s">
        <v>5035</v>
      </c>
      <c r="B2369" s="312" t="s">
        <v>5036</v>
      </c>
      <c r="C2369" s="312" t="s">
        <v>105</v>
      </c>
      <c r="D2369" s="312" t="s">
        <v>587</v>
      </c>
      <c r="E2369" s="312" t="s">
        <v>107</v>
      </c>
      <c r="F2369" s="312">
        <v>1825</v>
      </c>
      <c r="G2369" s="312" t="s">
        <v>108</v>
      </c>
      <c r="H2369" s="312">
        <v>1827</v>
      </c>
      <c r="I2369" s="312" t="s">
        <v>107</v>
      </c>
      <c r="J2369" s="312">
        <v>1913</v>
      </c>
      <c r="K2369" s="312" t="s">
        <v>109</v>
      </c>
    </row>
    <row r="2370" spans="1:11">
      <c r="A2370" s="312" t="s">
        <v>5037</v>
      </c>
      <c r="B2370" s="312" t="s">
        <v>5038</v>
      </c>
      <c r="C2370" s="312" t="s">
        <v>105</v>
      </c>
      <c r="D2370" s="312" t="s">
        <v>576</v>
      </c>
      <c r="E2370" s="312" t="s">
        <v>107</v>
      </c>
      <c r="F2370" s="312">
        <v>1825</v>
      </c>
      <c r="G2370" s="312" t="s">
        <v>108</v>
      </c>
      <c r="H2370" s="312">
        <v>1827</v>
      </c>
      <c r="I2370" s="312" t="s">
        <v>107</v>
      </c>
      <c r="J2370" s="312">
        <v>1913</v>
      </c>
      <c r="K2370" s="312" t="s">
        <v>109</v>
      </c>
    </row>
    <row r="2371" spans="1:11">
      <c r="A2371" s="312" t="s">
        <v>5039</v>
      </c>
      <c r="B2371" s="312" t="s">
        <v>5040</v>
      </c>
      <c r="C2371" s="312" t="s">
        <v>105</v>
      </c>
      <c r="D2371" s="312" t="s">
        <v>573</v>
      </c>
      <c r="E2371" s="312" t="s">
        <v>107</v>
      </c>
      <c r="F2371" s="312">
        <v>1825</v>
      </c>
      <c r="G2371" s="312" t="s">
        <v>108</v>
      </c>
      <c r="H2371" s="312">
        <v>1827</v>
      </c>
      <c r="I2371" s="312" t="s">
        <v>107</v>
      </c>
      <c r="J2371" s="312">
        <v>1913</v>
      </c>
      <c r="K2371" s="312" t="s">
        <v>109</v>
      </c>
    </row>
    <row r="2372" spans="1:11">
      <c r="A2372" s="312" t="s">
        <v>5041</v>
      </c>
      <c r="B2372" s="312" t="s">
        <v>5042</v>
      </c>
      <c r="C2372" s="312" t="s">
        <v>105</v>
      </c>
      <c r="D2372" s="312" t="s">
        <v>573</v>
      </c>
      <c r="E2372" s="312" t="s">
        <v>107</v>
      </c>
      <c r="F2372" s="312">
        <v>1825</v>
      </c>
      <c r="G2372" s="312" t="s">
        <v>108</v>
      </c>
      <c r="H2372" s="312">
        <v>1827</v>
      </c>
      <c r="I2372" s="312" t="s">
        <v>107</v>
      </c>
      <c r="J2372" s="312">
        <v>1913</v>
      </c>
      <c r="K2372" s="312" t="s">
        <v>109</v>
      </c>
    </row>
    <row r="2373" spans="1:11">
      <c r="A2373" s="312" t="s">
        <v>5043</v>
      </c>
      <c r="B2373" s="312" t="s">
        <v>5044</v>
      </c>
      <c r="C2373" s="312" t="s">
        <v>105</v>
      </c>
      <c r="D2373" s="312" t="s">
        <v>216</v>
      </c>
      <c r="E2373" s="312" t="s">
        <v>107</v>
      </c>
      <c r="F2373" s="312">
        <v>1825</v>
      </c>
      <c r="G2373" s="312" t="s">
        <v>108</v>
      </c>
      <c r="H2373" s="312">
        <v>1827</v>
      </c>
      <c r="I2373" s="312" t="s">
        <v>107</v>
      </c>
      <c r="J2373" s="312">
        <v>1913</v>
      </c>
      <c r="K2373" s="312" t="s">
        <v>109</v>
      </c>
    </row>
    <row r="2374" spans="1:11">
      <c r="A2374" s="312" t="s">
        <v>5045</v>
      </c>
      <c r="B2374" s="312" t="s">
        <v>5046</v>
      </c>
      <c r="C2374" s="312" t="s">
        <v>105</v>
      </c>
      <c r="D2374" s="312" t="s">
        <v>312</v>
      </c>
      <c r="E2374" s="312" t="s">
        <v>107</v>
      </c>
      <c r="F2374" s="312">
        <v>1825</v>
      </c>
      <c r="G2374" s="312" t="s">
        <v>108</v>
      </c>
      <c r="H2374" s="312">
        <v>1827</v>
      </c>
      <c r="I2374" s="312" t="s">
        <v>107</v>
      </c>
      <c r="J2374" s="312">
        <v>1913</v>
      </c>
      <c r="K2374" s="312" t="s">
        <v>109</v>
      </c>
    </row>
    <row r="2375" spans="1:11">
      <c r="A2375" s="312" t="s">
        <v>5047</v>
      </c>
      <c r="B2375" s="312" t="s">
        <v>5048</v>
      </c>
      <c r="C2375" s="312" t="s">
        <v>105</v>
      </c>
      <c r="D2375" s="312" t="s">
        <v>517</v>
      </c>
      <c r="E2375" s="312" t="s">
        <v>107</v>
      </c>
      <c r="F2375" s="312">
        <v>1825</v>
      </c>
      <c r="G2375" s="312" t="s">
        <v>108</v>
      </c>
      <c r="H2375" s="312">
        <v>1827</v>
      </c>
      <c r="I2375" s="312" t="s">
        <v>107</v>
      </c>
      <c r="J2375" s="312">
        <v>1913</v>
      </c>
      <c r="K2375" s="312" t="s">
        <v>109</v>
      </c>
    </row>
    <row r="2376" spans="1:11">
      <c r="A2376" s="312" t="s">
        <v>5049</v>
      </c>
      <c r="B2376" s="312" t="s">
        <v>5050</v>
      </c>
      <c r="C2376" s="312" t="s">
        <v>105</v>
      </c>
      <c r="D2376" s="312" t="s">
        <v>166</v>
      </c>
      <c r="E2376" s="312" t="s">
        <v>320</v>
      </c>
      <c r="F2376" s="312">
        <v>1716</v>
      </c>
      <c r="G2376" s="312" t="s">
        <v>321</v>
      </c>
      <c r="H2376" s="312">
        <v>1725</v>
      </c>
      <c r="I2376" s="312" t="s">
        <v>320</v>
      </c>
      <c r="J2376" s="312">
        <v>1910</v>
      </c>
      <c r="K2376" s="312" t="s">
        <v>322</v>
      </c>
    </row>
    <row r="2377" spans="1:11">
      <c r="A2377" s="312" t="s">
        <v>5051</v>
      </c>
      <c r="B2377" s="312" t="s">
        <v>5052</v>
      </c>
      <c r="C2377" s="312" t="s">
        <v>105</v>
      </c>
      <c r="D2377" s="312" t="s">
        <v>166</v>
      </c>
      <c r="E2377" s="312" t="s">
        <v>320</v>
      </c>
      <c r="F2377" s="312">
        <v>1716</v>
      </c>
      <c r="G2377" s="312" t="s">
        <v>321</v>
      </c>
      <c r="H2377" s="312">
        <v>1725</v>
      </c>
      <c r="I2377" s="312" t="s">
        <v>320</v>
      </c>
      <c r="J2377" s="312">
        <v>1910</v>
      </c>
      <c r="K2377" s="312" t="s">
        <v>322</v>
      </c>
    </row>
    <row r="2378" spans="1:11">
      <c r="A2378" s="312" t="s">
        <v>5053</v>
      </c>
      <c r="B2378" s="312" t="s">
        <v>5054</v>
      </c>
      <c r="C2378" s="312" t="s">
        <v>105</v>
      </c>
      <c r="D2378" s="312" t="s">
        <v>556</v>
      </c>
      <c r="E2378" s="312" t="s">
        <v>107</v>
      </c>
      <c r="F2378" s="312">
        <v>1825</v>
      </c>
      <c r="G2378" s="312" t="s">
        <v>108</v>
      </c>
      <c r="H2378" s="312">
        <v>1827</v>
      </c>
      <c r="I2378" s="312" t="s">
        <v>107</v>
      </c>
      <c r="J2378" s="312">
        <v>1913</v>
      </c>
      <c r="K2378" s="312" t="s">
        <v>109</v>
      </c>
    </row>
    <row r="2379" spans="1:11">
      <c r="A2379" s="312" t="s">
        <v>5055</v>
      </c>
      <c r="B2379" s="312" t="s">
        <v>5056</v>
      </c>
      <c r="C2379" s="312" t="s">
        <v>105</v>
      </c>
      <c r="D2379" s="312" t="s">
        <v>603</v>
      </c>
      <c r="E2379" s="312" t="s">
        <v>107</v>
      </c>
      <c r="F2379" s="312">
        <v>1825</v>
      </c>
      <c r="G2379" s="312" t="s">
        <v>108</v>
      </c>
      <c r="H2379" s="312">
        <v>1827</v>
      </c>
      <c r="I2379" s="312" t="s">
        <v>107</v>
      </c>
      <c r="J2379" s="312">
        <v>1913</v>
      </c>
      <c r="K2379" s="312" t="s">
        <v>109</v>
      </c>
    </row>
    <row r="2380" spans="1:11">
      <c r="A2380" s="312" t="s">
        <v>5057</v>
      </c>
      <c r="B2380" s="312" t="s">
        <v>5058</v>
      </c>
      <c r="C2380" s="312" t="s">
        <v>105</v>
      </c>
      <c r="D2380" s="312" t="s">
        <v>865</v>
      </c>
      <c r="E2380" s="312" t="s">
        <v>107</v>
      </c>
      <c r="F2380" s="312">
        <v>1825</v>
      </c>
      <c r="G2380" s="312" t="s">
        <v>108</v>
      </c>
      <c r="H2380" s="312">
        <v>1827</v>
      </c>
      <c r="I2380" s="312" t="s">
        <v>107</v>
      </c>
      <c r="J2380" s="312">
        <v>1913</v>
      </c>
      <c r="K2380" s="312" t="s">
        <v>109</v>
      </c>
    </row>
    <row r="2381" spans="1:11">
      <c r="A2381" s="312" t="s">
        <v>5059</v>
      </c>
      <c r="B2381" s="312" t="s">
        <v>5060</v>
      </c>
      <c r="C2381" s="312" t="s">
        <v>105</v>
      </c>
      <c r="D2381" s="312" t="s">
        <v>352</v>
      </c>
      <c r="E2381" s="312" t="s">
        <v>107</v>
      </c>
      <c r="F2381" s="312">
        <v>1825</v>
      </c>
      <c r="G2381" s="312" t="s">
        <v>108</v>
      </c>
      <c r="H2381" s="312">
        <v>1827</v>
      </c>
      <c r="I2381" s="312" t="s">
        <v>107</v>
      </c>
      <c r="J2381" s="312">
        <v>1913</v>
      </c>
      <c r="K2381" s="312" t="s">
        <v>109</v>
      </c>
    </row>
    <row r="2382" spans="1:11">
      <c r="A2382" s="312" t="s">
        <v>5061</v>
      </c>
      <c r="B2382" s="312" t="s">
        <v>5062</v>
      </c>
      <c r="C2382" s="312" t="s">
        <v>105</v>
      </c>
      <c r="D2382" s="312" t="s">
        <v>352</v>
      </c>
      <c r="E2382" s="312" t="s">
        <v>684</v>
      </c>
      <c r="F2382" s="312">
        <v>1750</v>
      </c>
      <c r="G2382" s="312" t="s">
        <v>685</v>
      </c>
      <c r="H2382" s="312">
        <v>1754</v>
      </c>
      <c r="I2382" s="312" t="s">
        <v>684</v>
      </c>
      <c r="J2382" s="312">
        <v>1920</v>
      </c>
      <c r="K2382" s="312" t="s">
        <v>686</v>
      </c>
    </row>
    <row r="2383" spans="1:11">
      <c r="A2383" s="312" t="s">
        <v>5063</v>
      </c>
      <c r="B2383" s="312" t="s">
        <v>5064</v>
      </c>
      <c r="C2383" s="312" t="s">
        <v>105</v>
      </c>
      <c r="D2383" s="312" t="s">
        <v>1994</v>
      </c>
      <c r="E2383" s="312" t="s">
        <v>107</v>
      </c>
      <c r="F2383" s="312">
        <v>1825</v>
      </c>
      <c r="G2383" s="312" t="s">
        <v>108</v>
      </c>
      <c r="H2383" s="312">
        <v>1827</v>
      </c>
      <c r="I2383" s="312" t="s">
        <v>107</v>
      </c>
      <c r="J2383" s="312">
        <v>1913</v>
      </c>
      <c r="K2383" s="312" t="s">
        <v>109</v>
      </c>
    </row>
    <row r="2384" spans="1:11">
      <c r="A2384" s="312" t="s">
        <v>5065</v>
      </c>
      <c r="B2384" s="312" t="s">
        <v>5066</v>
      </c>
      <c r="C2384" s="312" t="s">
        <v>105</v>
      </c>
      <c r="D2384" s="312" t="s">
        <v>1412</v>
      </c>
      <c r="E2384" s="312" t="s">
        <v>167</v>
      </c>
      <c r="F2384" s="312">
        <v>1705</v>
      </c>
      <c r="G2384" s="312" t="s">
        <v>168</v>
      </c>
      <c r="H2384" s="312">
        <v>1707</v>
      </c>
      <c r="I2384" s="312" t="s">
        <v>167</v>
      </c>
      <c r="J2384" s="312">
        <v>1899</v>
      </c>
      <c r="K2384" s="312" t="s">
        <v>169</v>
      </c>
    </row>
    <row r="2385" spans="1:11">
      <c r="A2385" s="312" t="s">
        <v>5067</v>
      </c>
      <c r="B2385" s="312" t="s">
        <v>5068</v>
      </c>
      <c r="C2385" s="312" t="s">
        <v>105</v>
      </c>
      <c r="D2385" s="312" t="s">
        <v>1307</v>
      </c>
      <c r="E2385" s="312" t="s">
        <v>167</v>
      </c>
      <c r="F2385" s="312">
        <v>1705</v>
      </c>
      <c r="G2385" s="312" t="s">
        <v>168</v>
      </c>
      <c r="H2385" s="312">
        <v>1707</v>
      </c>
      <c r="I2385" s="312" t="s">
        <v>167</v>
      </c>
      <c r="J2385" s="312">
        <v>1899</v>
      </c>
      <c r="K2385" s="312" t="s">
        <v>169</v>
      </c>
    </row>
    <row r="2386" spans="1:11">
      <c r="A2386" s="312" t="s">
        <v>5069</v>
      </c>
      <c r="B2386" s="312" t="s">
        <v>5070</v>
      </c>
      <c r="C2386" s="312" t="s">
        <v>105</v>
      </c>
      <c r="D2386" s="312" t="s">
        <v>404</v>
      </c>
      <c r="E2386" s="312" t="s">
        <v>107</v>
      </c>
      <c r="F2386" s="312">
        <v>1825</v>
      </c>
      <c r="G2386" s="312" t="s">
        <v>108</v>
      </c>
      <c r="H2386" s="312">
        <v>1827</v>
      </c>
      <c r="I2386" s="312" t="s">
        <v>107</v>
      </c>
      <c r="J2386" s="312">
        <v>1913</v>
      </c>
      <c r="K2386" s="312" t="s">
        <v>109</v>
      </c>
    </row>
    <row r="2387" spans="1:11">
      <c r="A2387" s="312" t="s">
        <v>5071</v>
      </c>
      <c r="B2387" s="312" t="s">
        <v>5072</v>
      </c>
      <c r="C2387" s="312" t="s">
        <v>105</v>
      </c>
      <c r="D2387" s="312" t="s">
        <v>114</v>
      </c>
      <c r="E2387" s="312" t="s">
        <v>107</v>
      </c>
      <c r="F2387" s="312">
        <v>1825</v>
      </c>
      <c r="G2387" s="312" t="s">
        <v>108</v>
      </c>
      <c r="H2387" s="312">
        <v>1827</v>
      </c>
      <c r="I2387" s="312" t="s">
        <v>107</v>
      </c>
      <c r="J2387" s="312">
        <v>1913</v>
      </c>
      <c r="K2387" s="312" t="s">
        <v>109</v>
      </c>
    </row>
    <row r="2388" spans="1:11">
      <c r="A2388" s="312" t="s">
        <v>5073</v>
      </c>
      <c r="B2388" s="312" t="s">
        <v>5074</v>
      </c>
      <c r="C2388" s="312" t="s">
        <v>105</v>
      </c>
      <c r="D2388" s="312" t="s">
        <v>438</v>
      </c>
      <c r="E2388" s="312" t="s">
        <v>107</v>
      </c>
      <c r="F2388" s="312">
        <v>1825</v>
      </c>
      <c r="G2388" s="312" t="s">
        <v>108</v>
      </c>
      <c r="H2388" s="312">
        <v>1827</v>
      </c>
      <c r="I2388" s="312" t="s">
        <v>107</v>
      </c>
      <c r="J2388" s="312">
        <v>1913</v>
      </c>
      <c r="K2388" s="312" t="s">
        <v>109</v>
      </c>
    </row>
    <row r="2389" spans="1:11">
      <c r="A2389" s="312" t="s">
        <v>5075</v>
      </c>
      <c r="B2389" s="312" t="s">
        <v>5076</v>
      </c>
      <c r="C2389" s="312" t="s">
        <v>105</v>
      </c>
      <c r="D2389" s="312" t="s">
        <v>352</v>
      </c>
      <c r="E2389" s="312" t="s">
        <v>107</v>
      </c>
      <c r="F2389" s="312">
        <v>1825</v>
      </c>
      <c r="G2389" s="312" t="s">
        <v>108</v>
      </c>
      <c r="H2389" s="312">
        <v>1827</v>
      </c>
      <c r="I2389" s="312" t="s">
        <v>107</v>
      </c>
      <c r="J2389" s="312">
        <v>1913</v>
      </c>
      <c r="K2389" s="312" t="s">
        <v>109</v>
      </c>
    </row>
    <row r="2390" spans="1:11">
      <c r="A2390" s="312" t="s">
        <v>5077</v>
      </c>
      <c r="B2390" s="312" t="s">
        <v>5078</v>
      </c>
      <c r="C2390" s="312" t="s">
        <v>105</v>
      </c>
      <c r="D2390" s="312" t="s">
        <v>352</v>
      </c>
      <c r="E2390" s="312" t="s">
        <v>107</v>
      </c>
      <c r="F2390" s="312">
        <v>1825</v>
      </c>
      <c r="G2390" s="312" t="s">
        <v>108</v>
      </c>
      <c r="H2390" s="312">
        <v>1827</v>
      </c>
      <c r="I2390" s="312" t="s">
        <v>107</v>
      </c>
      <c r="J2390" s="312">
        <v>1913</v>
      </c>
      <c r="K2390" s="312" t="s">
        <v>109</v>
      </c>
    </row>
    <row r="2391" spans="1:11">
      <c r="A2391" s="312" t="s">
        <v>5079</v>
      </c>
      <c r="B2391" s="312" t="s">
        <v>5080</v>
      </c>
      <c r="C2391" s="312" t="s">
        <v>105</v>
      </c>
      <c r="D2391" s="312" t="s">
        <v>352</v>
      </c>
      <c r="E2391" s="312" t="s">
        <v>107</v>
      </c>
      <c r="F2391" s="312">
        <v>1825</v>
      </c>
      <c r="G2391" s="312" t="s">
        <v>108</v>
      </c>
      <c r="H2391" s="312">
        <v>1827</v>
      </c>
      <c r="I2391" s="312" t="s">
        <v>107</v>
      </c>
      <c r="J2391" s="312">
        <v>1913</v>
      </c>
      <c r="K2391" s="312" t="s">
        <v>109</v>
      </c>
    </row>
    <row r="2392" spans="1:11">
      <c r="A2392" s="312" t="s">
        <v>5081</v>
      </c>
      <c r="B2392" s="312" t="s">
        <v>5082</v>
      </c>
      <c r="C2392" s="312" t="s">
        <v>105</v>
      </c>
      <c r="D2392" s="312" t="s">
        <v>352</v>
      </c>
      <c r="E2392" s="312" t="s">
        <v>107</v>
      </c>
      <c r="F2392" s="312">
        <v>1825</v>
      </c>
      <c r="G2392" s="312" t="s">
        <v>108</v>
      </c>
      <c r="H2392" s="312">
        <v>1827</v>
      </c>
      <c r="I2392" s="312" t="s">
        <v>107</v>
      </c>
      <c r="J2392" s="312">
        <v>1913</v>
      </c>
      <c r="K2392" s="312" t="s">
        <v>109</v>
      </c>
    </row>
    <row r="2393" spans="1:11">
      <c r="A2393" s="312" t="s">
        <v>5083</v>
      </c>
      <c r="B2393" s="312" t="s">
        <v>5084</v>
      </c>
      <c r="C2393" s="312" t="s">
        <v>105</v>
      </c>
      <c r="D2393" s="312" t="s">
        <v>352</v>
      </c>
      <c r="E2393" s="312" t="s">
        <v>107</v>
      </c>
      <c r="F2393" s="312">
        <v>1825</v>
      </c>
      <c r="G2393" s="312" t="s">
        <v>108</v>
      </c>
      <c r="H2393" s="312">
        <v>1827</v>
      </c>
      <c r="I2393" s="312" t="s">
        <v>107</v>
      </c>
      <c r="J2393" s="312">
        <v>1913</v>
      </c>
      <c r="K2393" s="312" t="s">
        <v>109</v>
      </c>
    </row>
    <row r="2394" spans="1:11">
      <c r="A2394" s="312" t="s">
        <v>5085</v>
      </c>
      <c r="B2394" s="312" t="s">
        <v>5086</v>
      </c>
      <c r="C2394" s="312" t="s">
        <v>105</v>
      </c>
      <c r="D2394" s="312" t="s">
        <v>352</v>
      </c>
      <c r="E2394" s="312" t="s">
        <v>107</v>
      </c>
      <c r="F2394" s="312">
        <v>1825</v>
      </c>
      <c r="G2394" s="312" t="s">
        <v>108</v>
      </c>
      <c r="H2394" s="312">
        <v>1827</v>
      </c>
      <c r="I2394" s="312" t="s">
        <v>107</v>
      </c>
      <c r="J2394" s="312">
        <v>1913</v>
      </c>
      <c r="K2394" s="312" t="s">
        <v>109</v>
      </c>
    </row>
    <row r="2395" spans="1:11">
      <c r="A2395" s="312" t="s">
        <v>5087</v>
      </c>
      <c r="B2395" s="312" t="s">
        <v>5088</v>
      </c>
      <c r="C2395" s="312" t="s">
        <v>105</v>
      </c>
      <c r="D2395" s="312" t="s">
        <v>352</v>
      </c>
      <c r="E2395" s="312" t="s">
        <v>107</v>
      </c>
      <c r="F2395" s="312">
        <v>1825</v>
      </c>
      <c r="G2395" s="312" t="s">
        <v>108</v>
      </c>
      <c r="H2395" s="312">
        <v>1827</v>
      </c>
      <c r="I2395" s="312" t="s">
        <v>107</v>
      </c>
      <c r="J2395" s="312">
        <v>1913</v>
      </c>
      <c r="K2395" s="312" t="s">
        <v>109</v>
      </c>
    </row>
    <row r="2396" spans="1:11">
      <c r="A2396" s="312" t="s">
        <v>5089</v>
      </c>
      <c r="B2396" s="312" t="s">
        <v>5090</v>
      </c>
      <c r="C2396" s="312" t="s">
        <v>105</v>
      </c>
      <c r="D2396" s="312" t="s">
        <v>352</v>
      </c>
      <c r="E2396" s="312" t="s">
        <v>107</v>
      </c>
      <c r="F2396" s="312">
        <v>1825</v>
      </c>
      <c r="G2396" s="312" t="s">
        <v>108</v>
      </c>
      <c r="H2396" s="312">
        <v>1827</v>
      </c>
      <c r="I2396" s="312" t="s">
        <v>107</v>
      </c>
      <c r="J2396" s="312">
        <v>1913</v>
      </c>
      <c r="K2396" s="312" t="s">
        <v>109</v>
      </c>
    </row>
    <row r="2397" spans="1:11">
      <c r="A2397" s="312" t="s">
        <v>5091</v>
      </c>
      <c r="B2397" s="312" t="s">
        <v>5092</v>
      </c>
      <c r="C2397" s="312" t="s">
        <v>105</v>
      </c>
      <c r="D2397" s="312" t="s">
        <v>352</v>
      </c>
      <c r="E2397" s="312" t="s">
        <v>107</v>
      </c>
      <c r="F2397" s="312">
        <v>1825</v>
      </c>
      <c r="G2397" s="312" t="s">
        <v>108</v>
      </c>
      <c r="H2397" s="312">
        <v>1827</v>
      </c>
      <c r="I2397" s="312" t="s">
        <v>107</v>
      </c>
      <c r="J2397" s="312">
        <v>1913</v>
      </c>
      <c r="K2397" s="312" t="s">
        <v>109</v>
      </c>
    </row>
    <row r="2398" spans="1:11">
      <c r="A2398" s="312" t="s">
        <v>5093</v>
      </c>
      <c r="B2398" s="312" t="s">
        <v>5094</v>
      </c>
      <c r="C2398" s="312" t="s">
        <v>105</v>
      </c>
      <c r="D2398" s="312" t="s">
        <v>352</v>
      </c>
      <c r="E2398" s="312" t="s">
        <v>107</v>
      </c>
      <c r="F2398" s="312">
        <v>1825</v>
      </c>
      <c r="G2398" s="312" t="s">
        <v>108</v>
      </c>
      <c r="H2398" s="312">
        <v>1827</v>
      </c>
      <c r="I2398" s="312" t="s">
        <v>107</v>
      </c>
      <c r="J2398" s="312">
        <v>1913</v>
      </c>
      <c r="K2398" s="312" t="s">
        <v>109</v>
      </c>
    </row>
    <row r="2399" spans="1:11">
      <c r="A2399" s="312" t="s">
        <v>5095</v>
      </c>
      <c r="B2399" s="312" t="s">
        <v>5096</v>
      </c>
      <c r="C2399" s="312" t="s">
        <v>105</v>
      </c>
      <c r="D2399" s="312" t="s">
        <v>352</v>
      </c>
      <c r="E2399" s="312" t="s">
        <v>107</v>
      </c>
      <c r="F2399" s="312">
        <v>1825</v>
      </c>
      <c r="G2399" s="312" t="s">
        <v>108</v>
      </c>
      <c r="H2399" s="312">
        <v>1827</v>
      </c>
      <c r="I2399" s="312" t="s">
        <v>107</v>
      </c>
      <c r="J2399" s="312">
        <v>1913</v>
      </c>
      <c r="K2399" s="312" t="s">
        <v>109</v>
      </c>
    </row>
    <row r="2400" spans="1:11">
      <c r="A2400" s="312" t="s">
        <v>5097</v>
      </c>
      <c r="B2400" s="312" t="s">
        <v>5098</v>
      </c>
      <c r="C2400" s="312" t="s">
        <v>105</v>
      </c>
      <c r="D2400" s="312" t="s">
        <v>352</v>
      </c>
      <c r="E2400" s="312" t="s">
        <v>107</v>
      </c>
      <c r="F2400" s="312">
        <v>1825</v>
      </c>
      <c r="G2400" s="312" t="s">
        <v>108</v>
      </c>
      <c r="H2400" s="312">
        <v>1827</v>
      </c>
      <c r="I2400" s="312" t="s">
        <v>107</v>
      </c>
      <c r="J2400" s="312">
        <v>1913</v>
      </c>
      <c r="K2400" s="312" t="s">
        <v>109</v>
      </c>
    </row>
    <row r="2401" spans="1:11">
      <c r="A2401" s="312" t="s">
        <v>5099</v>
      </c>
      <c r="B2401" s="312" t="s">
        <v>5100</v>
      </c>
      <c r="C2401" s="312" t="s">
        <v>105</v>
      </c>
      <c r="D2401" s="312" t="s">
        <v>603</v>
      </c>
      <c r="E2401" s="312" t="s">
        <v>107</v>
      </c>
      <c r="F2401" s="312">
        <v>1825</v>
      </c>
      <c r="G2401" s="312" t="s">
        <v>108</v>
      </c>
      <c r="H2401" s="312">
        <v>1827</v>
      </c>
      <c r="I2401" s="312" t="s">
        <v>107</v>
      </c>
      <c r="J2401" s="312">
        <v>1913</v>
      </c>
      <c r="K2401" s="312" t="s">
        <v>109</v>
      </c>
    </row>
    <row r="2402" spans="1:11">
      <c r="A2402" s="312" t="s">
        <v>5101</v>
      </c>
      <c r="B2402" s="312" t="s">
        <v>5102</v>
      </c>
      <c r="C2402" s="312" t="s">
        <v>105</v>
      </c>
      <c r="D2402" s="312" t="s">
        <v>603</v>
      </c>
      <c r="E2402" s="312" t="s">
        <v>107</v>
      </c>
      <c r="F2402" s="312">
        <v>1825</v>
      </c>
      <c r="G2402" s="312" t="s">
        <v>108</v>
      </c>
      <c r="H2402" s="312">
        <v>1827</v>
      </c>
      <c r="I2402" s="312" t="s">
        <v>107</v>
      </c>
      <c r="J2402" s="312">
        <v>1913</v>
      </c>
      <c r="K2402" s="312" t="s">
        <v>109</v>
      </c>
    </row>
    <row r="2403" spans="1:11">
      <c r="A2403" s="312" t="s">
        <v>5103</v>
      </c>
      <c r="B2403" s="312" t="s">
        <v>5104</v>
      </c>
      <c r="C2403" s="312" t="s">
        <v>105</v>
      </c>
      <c r="D2403" s="312" t="s">
        <v>603</v>
      </c>
      <c r="E2403" s="312" t="s">
        <v>107</v>
      </c>
      <c r="F2403" s="312">
        <v>1825</v>
      </c>
      <c r="G2403" s="312" t="s">
        <v>108</v>
      </c>
      <c r="H2403" s="312">
        <v>1827</v>
      </c>
      <c r="I2403" s="312" t="s">
        <v>107</v>
      </c>
      <c r="J2403" s="312">
        <v>1913</v>
      </c>
      <c r="K2403" s="312" t="s">
        <v>109</v>
      </c>
    </row>
    <row r="2404" spans="1:11">
      <c r="A2404" s="312" t="s">
        <v>5105</v>
      </c>
      <c r="B2404" s="312" t="s">
        <v>5106</v>
      </c>
      <c r="C2404" s="312" t="s">
        <v>105</v>
      </c>
      <c r="D2404" s="312" t="s">
        <v>603</v>
      </c>
      <c r="E2404" s="312" t="s">
        <v>107</v>
      </c>
      <c r="F2404" s="312">
        <v>1825</v>
      </c>
      <c r="G2404" s="312" t="s">
        <v>108</v>
      </c>
      <c r="H2404" s="312">
        <v>1827</v>
      </c>
      <c r="I2404" s="312" t="s">
        <v>107</v>
      </c>
      <c r="J2404" s="312">
        <v>1913</v>
      </c>
      <c r="K2404" s="312" t="s">
        <v>109</v>
      </c>
    </row>
    <row r="2405" spans="1:11">
      <c r="A2405" s="312" t="s">
        <v>5107</v>
      </c>
      <c r="B2405" s="312" t="s">
        <v>5108</v>
      </c>
      <c r="C2405" s="312" t="s">
        <v>105</v>
      </c>
      <c r="D2405" s="312" t="s">
        <v>603</v>
      </c>
      <c r="E2405" s="312" t="s">
        <v>107</v>
      </c>
      <c r="F2405" s="312">
        <v>1825</v>
      </c>
      <c r="G2405" s="312" t="s">
        <v>108</v>
      </c>
      <c r="H2405" s="312">
        <v>1827</v>
      </c>
      <c r="I2405" s="312" t="s">
        <v>107</v>
      </c>
      <c r="J2405" s="312">
        <v>1913</v>
      </c>
      <c r="K2405" s="312" t="s">
        <v>109</v>
      </c>
    </row>
    <row r="2406" spans="1:11">
      <c r="A2406" s="312" t="s">
        <v>5109</v>
      </c>
      <c r="B2406" s="312" t="s">
        <v>5110</v>
      </c>
      <c r="C2406" s="312" t="s">
        <v>105</v>
      </c>
      <c r="D2406" s="312" t="s">
        <v>556</v>
      </c>
      <c r="E2406" s="312" t="s">
        <v>107</v>
      </c>
      <c r="F2406" s="312">
        <v>1825</v>
      </c>
      <c r="G2406" s="312" t="s">
        <v>108</v>
      </c>
      <c r="H2406" s="312">
        <v>1827</v>
      </c>
      <c r="I2406" s="312" t="s">
        <v>107</v>
      </c>
      <c r="J2406" s="312">
        <v>1913</v>
      </c>
      <c r="K2406" s="312" t="s">
        <v>109</v>
      </c>
    </row>
    <row r="2407" spans="1:11">
      <c r="A2407" s="312" t="s">
        <v>5111</v>
      </c>
      <c r="B2407" s="312" t="s">
        <v>5112</v>
      </c>
      <c r="C2407" s="312" t="s">
        <v>105</v>
      </c>
      <c r="D2407" s="312" t="s">
        <v>1516</v>
      </c>
      <c r="E2407" s="312" t="s">
        <v>684</v>
      </c>
      <c r="F2407" s="312">
        <v>1750</v>
      </c>
      <c r="G2407" s="312" t="s">
        <v>685</v>
      </c>
      <c r="H2407" s="312">
        <v>1754</v>
      </c>
      <c r="I2407" s="312" t="s">
        <v>684</v>
      </c>
      <c r="J2407" s="312">
        <v>1920</v>
      </c>
      <c r="K2407" s="312" t="s">
        <v>686</v>
      </c>
    </row>
    <row r="2408" spans="1:11">
      <c r="A2408" s="312" t="s">
        <v>5113</v>
      </c>
      <c r="B2408" s="312" t="s">
        <v>5114</v>
      </c>
      <c r="C2408" s="312" t="s">
        <v>105</v>
      </c>
      <c r="D2408" s="312" t="s">
        <v>1307</v>
      </c>
      <c r="E2408" s="312" t="s">
        <v>167</v>
      </c>
      <c r="F2408" s="312">
        <v>1705</v>
      </c>
      <c r="G2408" s="312" t="s">
        <v>168</v>
      </c>
      <c r="H2408" s="312">
        <v>1707</v>
      </c>
      <c r="I2408" s="312" t="s">
        <v>167</v>
      </c>
      <c r="J2408" s="312">
        <v>1899</v>
      </c>
      <c r="K2408" s="312" t="s">
        <v>169</v>
      </c>
    </row>
    <row r="2409" spans="1:11">
      <c r="A2409" s="312" t="s">
        <v>5115</v>
      </c>
      <c r="B2409" s="312" t="s">
        <v>5116</v>
      </c>
      <c r="C2409" s="312" t="s">
        <v>105</v>
      </c>
      <c r="D2409" s="312" t="s">
        <v>312</v>
      </c>
      <c r="E2409" s="312" t="s">
        <v>107</v>
      </c>
      <c r="F2409" s="312">
        <v>1825</v>
      </c>
      <c r="G2409" s="312" t="s">
        <v>108</v>
      </c>
      <c r="H2409" s="312">
        <v>1827</v>
      </c>
      <c r="I2409" s="312" t="s">
        <v>107</v>
      </c>
      <c r="J2409" s="312">
        <v>1913</v>
      </c>
      <c r="K2409" s="312" t="s">
        <v>109</v>
      </c>
    </row>
    <row r="2410" spans="1:11">
      <c r="A2410" s="312" t="s">
        <v>5117</v>
      </c>
      <c r="B2410" s="312" t="s">
        <v>5118</v>
      </c>
      <c r="C2410" s="312" t="s">
        <v>105</v>
      </c>
      <c r="D2410" s="312" t="s">
        <v>1156</v>
      </c>
      <c r="E2410" s="312" t="s">
        <v>107</v>
      </c>
      <c r="F2410" s="312">
        <v>1825</v>
      </c>
      <c r="G2410" s="312" t="s">
        <v>108</v>
      </c>
      <c r="H2410" s="312">
        <v>1827</v>
      </c>
      <c r="I2410" s="312" t="s">
        <v>107</v>
      </c>
      <c r="J2410" s="312">
        <v>1913</v>
      </c>
      <c r="K2410" s="312" t="s">
        <v>109</v>
      </c>
    </row>
    <row r="2411" spans="1:11">
      <c r="A2411" s="312" t="s">
        <v>5119</v>
      </c>
      <c r="B2411" s="312" t="s">
        <v>5120</v>
      </c>
      <c r="C2411" s="312" t="s">
        <v>105</v>
      </c>
      <c r="D2411" s="312" t="s">
        <v>769</v>
      </c>
      <c r="E2411" s="312" t="s">
        <v>107</v>
      </c>
      <c r="F2411" s="312">
        <v>1825</v>
      </c>
      <c r="G2411" s="312" t="s">
        <v>108</v>
      </c>
      <c r="H2411" s="312">
        <v>1827</v>
      </c>
      <c r="I2411" s="312" t="s">
        <v>107</v>
      </c>
      <c r="J2411" s="312">
        <v>1913</v>
      </c>
      <c r="K2411" s="312" t="s">
        <v>109</v>
      </c>
    </row>
    <row r="2412" spans="1:11">
      <c r="A2412" s="312" t="s">
        <v>5121</v>
      </c>
      <c r="B2412" s="312" t="s">
        <v>5122</v>
      </c>
      <c r="C2412" s="312" t="s">
        <v>105</v>
      </c>
      <c r="D2412" s="312" t="s">
        <v>711</v>
      </c>
      <c r="E2412" s="312" t="s">
        <v>107</v>
      </c>
      <c r="F2412" s="312">
        <v>1825</v>
      </c>
      <c r="G2412" s="312" t="s">
        <v>108</v>
      </c>
      <c r="H2412" s="312">
        <v>1827</v>
      </c>
      <c r="I2412" s="312" t="s">
        <v>107</v>
      </c>
      <c r="J2412" s="312">
        <v>1913</v>
      </c>
      <c r="K2412" s="312" t="s">
        <v>109</v>
      </c>
    </row>
    <row r="2413" spans="1:11">
      <c r="A2413" s="312" t="s">
        <v>5123</v>
      </c>
      <c r="B2413" s="312" t="s">
        <v>5124</v>
      </c>
      <c r="C2413" s="312" t="s">
        <v>105</v>
      </c>
      <c r="D2413" s="312" t="s">
        <v>252</v>
      </c>
      <c r="E2413" s="312" t="s">
        <v>167</v>
      </c>
      <c r="F2413" s="312">
        <v>1705</v>
      </c>
      <c r="G2413" s="312" t="s">
        <v>168</v>
      </c>
      <c r="H2413" s="312">
        <v>1707</v>
      </c>
      <c r="I2413" s="312" t="s">
        <v>167</v>
      </c>
      <c r="J2413" s="312">
        <v>1899</v>
      </c>
      <c r="K2413" s="312" t="s">
        <v>169</v>
      </c>
    </row>
    <row r="2414" spans="1:11">
      <c r="A2414" s="312" t="s">
        <v>5125</v>
      </c>
      <c r="B2414" s="312" t="s">
        <v>5126</v>
      </c>
      <c r="C2414" s="312" t="s">
        <v>105</v>
      </c>
      <c r="D2414" s="312" t="s">
        <v>711</v>
      </c>
      <c r="E2414" s="312" t="s">
        <v>107</v>
      </c>
      <c r="F2414" s="312">
        <v>1825</v>
      </c>
      <c r="G2414" s="312" t="s">
        <v>108</v>
      </c>
      <c r="H2414" s="312">
        <v>1827</v>
      </c>
      <c r="I2414" s="312" t="s">
        <v>107</v>
      </c>
      <c r="J2414" s="312">
        <v>1913</v>
      </c>
      <c r="K2414" s="312" t="s">
        <v>109</v>
      </c>
    </row>
    <row r="2415" spans="1:11">
      <c r="A2415" s="312" t="s">
        <v>5127</v>
      </c>
      <c r="B2415" s="312" t="s">
        <v>5128</v>
      </c>
      <c r="C2415" s="312" t="s">
        <v>105</v>
      </c>
      <c r="D2415" s="312" t="s">
        <v>327</v>
      </c>
      <c r="E2415" s="312" t="s">
        <v>167</v>
      </c>
      <c r="F2415" s="312">
        <v>1705</v>
      </c>
      <c r="G2415" s="312" t="s">
        <v>168</v>
      </c>
      <c r="H2415" s="312">
        <v>1707</v>
      </c>
      <c r="I2415" s="312" t="s">
        <v>167</v>
      </c>
      <c r="J2415" s="312">
        <v>1899</v>
      </c>
      <c r="K2415" s="312" t="s">
        <v>169</v>
      </c>
    </row>
    <row r="2416" spans="1:11">
      <c r="A2416" s="312" t="s">
        <v>5129</v>
      </c>
      <c r="B2416" s="312" t="s">
        <v>5130</v>
      </c>
      <c r="C2416" s="312" t="s">
        <v>105</v>
      </c>
      <c r="D2416" s="312" t="s">
        <v>1910</v>
      </c>
      <c r="E2416" s="312" t="s">
        <v>167</v>
      </c>
      <c r="F2416" s="312">
        <v>1705</v>
      </c>
      <c r="G2416" s="312" t="s">
        <v>168</v>
      </c>
      <c r="H2416" s="312">
        <v>1707</v>
      </c>
      <c r="I2416" s="312" t="s">
        <v>167</v>
      </c>
      <c r="J2416" s="312">
        <v>1899</v>
      </c>
      <c r="K2416" s="312" t="s">
        <v>169</v>
      </c>
    </row>
    <row r="2417" spans="1:11">
      <c r="A2417" s="312" t="s">
        <v>5131</v>
      </c>
      <c r="B2417" s="312" t="s">
        <v>5132</v>
      </c>
      <c r="C2417" s="312" t="s">
        <v>105</v>
      </c>
      <c r="D2417" s="312" t="s">
        <v>1910</v>
      </c>
      <c r="E2417" s="312" t="s">
        <v>167</v>
      </c>
      <c r="F2417" s="312">
        <v>1705</v>
      </c>
      <c r="G2417" s="312" t="s">
        <v>168</v>
      </c>
      <c r="H2417" s="312">
        <v>1707</v>
      </c>
      <c r="I2417" s="312" t="s">
        <v>167</v>
      </c>
      <c r="J2417" s="312">
        <v>1899</v>
      </c>
      <c r="K2417" s="312" t="s">
        <v>169</v>
      </c>
    </row>
    <row r="2418" spans="1:11">
      <c r="A2418" s="312" t="s">
        <v>5133</v>
      </c>
      <c r="B2418" s="312" t="s">
        <v>5134</v>
      </c>
      <c r="C2418" s="312" t="s">
        <v>105</v>
      </c>
      <c r="D2418" s="312" t="s">
        <v>573</v>
      </c>
      <c r="E2418" s="312" t="s">
        <v>107</v>
      </c>
      <c r="F2418" s="312">
        <v>1825</v>
      </c>
      <c r="G2418" s="312" t="s">
        <v>108</v>
      </c>
      <c r="H2418" s="312">
        <v>1827</v>
      </c>
      <c r="I2418" s="312" t="s">
        <v>107</v>
      </c>
      <c r="J2418" s="312">
        <v>1913</v>
      </c>
      <c r="K2418" s="312" t="s">
        <v>109</v>
      </c>
    </row>
    <row r="2419" spans="1:11">
      <c r="A2419" s="312" t="s">
        <v>5135</v>
      </c>
      <c r="B2419" s="312" t="s">
        <v>5136</v>
      </c>
      <c r="C2419" s="312" t="s">
        <v>105</v>
      </c>
      <c r="D2419" s="312" t="s">
        <v>573</v>
      </c>
      <c r="E2419" s="312" t="s">
        <v>107</v>
      </c>
      <c r="F2419" s="312">
        <v>1825</v>
      </c>
      <c r="G2419" s="312" t="s">
        <v>108</v>
      </c>
      <c r="H2419" s="312">
        <v>1827</v>
      </c>
      <c r="I2419" s="312" t="s">
        <v>107</v>
      </c>
      <c r="J2419" s="312">
        <v>1913</v>
      </c>
      <c r="K2419" s="312" t="s">
        <v>109</v>
      </c>
    </row>
    <row r="2420" spans="1:11">
      <c r="A2420" s="312" t="s">
        <v>5137</v>
      </c>
      <c r="B2420" s="312" t="s">
        <v>5138</v>
      </c>
      <c r="C2420" s="312" t="s">
        <v>105</v>
      </c>
      <c r="D2420" s="312" t="s">
        <v>573</v>
      </c>
      <c r="E2420" s="312" t="s">
        <v>107</v>
      </c>
      <c r="F2420" s="312">
        <v>1825</v>
      </c>
      <c r="G2420" s="312" t="s">
        <v>108</v>
      </c>
      <c r="H2420" s="312">
        <v>1827</v>
      </c>
      <c r="I2420" s="312" t="s">
        <v>107</v>
      </c>
      <c r="J2420" s="312">
        <v>1913</v>
      </c>
      <c r="K2420" s="312" t="s">
        <v>109</v>
      </c>
    </row>
    <row r="2421" spans="1:11">
      <c r="A2421" s="312" t="s">
        <v>5139</v>
      </c>
      <c r="B2421" s="312" t="s">
        <v>5140</v>
      </c>
      <c r="C2421" s="312" t="s">
        <v>105</v>
      </c>
      <c r="D2421" s="312" t="s">
        <v>305</v>
      </c>
      <c r="E2421" s="312" t="s">
        <v>107</v>
      </c>
      <c r="F2421" s="312">
        <v>1825</v>
      </c>
      <c r="G2421" s="312" t="s">
        <v>108</v>
      </c>
      <c r="H2421" s="312">
        <v>1827</v>
      </c>
      <c r="I2421" s="312" t="s">
        <v>107</v>
      </c>
      <c r="J2421" s="312">
        <v>1913</v>
      </c>
      <c r="K2421" s="312" t="s">
        <v>109</v>
      </c>
    </row>
    <row r="2422" spans="1:11">
      <c r="A2422" s="312" t="s">
        <v>5141</v>
      </c>
      <c r="B2422" s="312" t="s">
        <v>5142</v>
      </c>
      <c r="C2422" s="312" t="s">
        <v>105</v>
      </c>
      <c r="D2422" s="312" t="s">
        <v>504</v>
      </c>
      <c r="E2422" s="312" t="s">
        <v>167</v>
      </c>
      <c r="F2422" s="312">
        <v>1705</v>
      </c>
      <c r="G2422" s="312" t="s">
        <v>168</v>
      </c>
      <c r="H2422" s="312">
        <v>1707</v>
      </c>
      <c r="I2422" s="312" t="s">
        <v>167</v>
      </c>
      <c r="J2422" s="312">
        <v>1899</v>
      </c>
      <c r="K2422" s="312" t="s">
        <v>169</v>
      </c>
    </row>
    <row r="2423" spans="1:11">
      <c r="A2423" s="312" t="s">
        <v>5143</v>
      </c>
      <c r="B2423" s="1" t="s">
        <v>5144</v>
      </c>
      <c r="C2423" s="312" t="s">
        <v>105</v>
      </c>
      <c r="D2423" s="312" t="s">
        <v>746</v>
      </c>
      <c r="E2423" s="312" t="s">
        <v>107</v>
      </c>
      <c r="F2423" s="312">
        <v>1825</v>
      </c>
      <c r="G2423" s="312" t="s">
        <v>108</v>
      </c>
      <c r="H2423" s="312">
        <v>1827</v>
      </c>
      <c r="I2423" s="312" t="s">
        <v>107</v>
      </c>
      <c r="J2423" s="312">
        <v>1913</v>
      </c>
      <c r="K2423" s="312" t="s">
        <v>109</v>
      </c>
    </row>
    <row r="2424" spans="1:11">
      <c r="A2424" s="312" t="s">
        <v>5145</v>
      </c>
      <c r="B2424" s="312" t="s">
        <v>5146</v>
      </c>
      <c r="C2424" s="312" t="s">
        <v>105</v>
      </c>
      <c r="D2424" s="312" t="s">
        <v>114</v>
      </c>
      <c r="E2424" s="312" t="s">
        <v>107</v>
      </c>
      <c r="F2424" s="312">
        <v>1825</v>
      </c>
      <c r="G2424" s="312" t="s">
        <v>108</v>
      </c>
      <c r="H2424" s="312">
        <v>1827</v>
      </c>
      <c r="I2424" s="312" t="s">
        <v>107</v>
      </c>
      <c r="J2424" s="312">
        <v>1913</v>
      </c>
      <c r="K2424" s="312" t="s">
        <v>109</v>
      </c>
    </row>
    <row r="2425" spans="1:11">
      <c r="A2425" s="312" t="s">
        <v>5147</v>
      </c>
      <c r="B2425" s="312" t="s">
        <v>5148</v>
      </c>
      <c r="C2425" s="312" t="s">
        <v>105</v>
      </c>
      <c r="D2425" s="312" t="s">
        <v>556</v>
      </c>
      <c r="E2425" s="312" t="s">
        <v>107</v>
      </c>
      <c r="F2425" s="312">
        <v>1825</v>
      </c>
      <c r="G2425" s="312" t="s">
        <v>108</v>
      </c>
      <c r="H2425" s="312">
        <v>1827</v>
      </c>
      <c r="I2425" s="312" t="s">
        <v>107</v>
      </c>
      <c r="J2425" s="312">
        <v>1913</v>
      </c>
      <c r="K2425" s="312" t="s">
        <v>109</v>
      </c>
    </row>
    <row r="2426" spans="1:11">
      <c r="A2426" s="312" t="s">
        <v>5149</v>
      </c>
      <c r="B2426" s="312" t="s">
        <v>5150</v>
      </c>
      <c r="C2426" s="312" t="s">
        <v>105</v>
      </c>
      <c r="D2426" s="312" t="s">
        <v>570</v>
      </c>
      <c r="E2426" s="312" t="s">
        <v>684</v>
      </c>
      <c r="F2426" s="312">
        <v>1750</v>
      </c>
      <c r="G2426" s="312" t="s">
        <v>685</v>
      </c>
      <c r="H2426" s="312">
        <v>1754</v>
      </c>
      <c r="I2426" s="312" t="s">
        <v>684</v>
      </c>
      <c r="J2426" s="312">
        <v>1920</v>
      </c>
      <c r="K2426" s="312" t="s">
        <v>686</v>
      </c>
    </row>
    <row r="2427" spans="1:11">
      <c r="A2427" s="312" t="s">
        <v>5151</v>
      </c>
      <c r="B2427" s="312" t="s">
        <v>5152</v>
      </c>
      <c r="C2427" s="312" t="s">
        <v>105</v>
      </c>
      <c r="D2427" s="312" t="s">
        <v>435</v>
      </c>
      <c r="E2427" s="312" t="s">
        <v>107</v>
      </c>
      <c r="F2427" s="312">
        <v>1825</v>
      </c>
      <c r="G2427" s="312" t="s">
        <v>108</v>
      </c>
      <c r="H2427" s="312">
        <v>1827</v>
      </c>
      <c r="I2427" s="312" t="s">
        <v>107</v>
      </c>
      <c r="J2427" s="312">
        <v>1913</v>
      </c>
      <c r="K2427" s="312" t="s">
        <v>109</v>
      </c>
    </row>
    <row r="2428" spans="1:11">
      <c r="A2428" s="312" t="s">
        <v>5153</v>
      </c>
      <c r="B2428" s="312" t="s">
        <v>5154</v>
      </c>
      <c r="C2428" s="312" t="s">
        <v>105</v>
      </c>
      <c r="D2428" s="312" t="s">
        <v>114</v>
      </c>
      <c r="E2428" s="312" t="s">
        <v>107</v>
      </c>
      <c r="F2428" s="312">
        <v>1825</v>
      </c>
      <c r="G2428" s="312" t="s">
        <v>108</v>
      </c>
      <c r="H2428" s="312">
        <v>1827</v>
      </c>
      <c r="I2428" s="312" t="s">
        <v>107</v>
      </c>
      <c r="J2428" s="312">
        <v>1913</v>
      </c>
      <c r="K2428" s="312" t="s">
        <v>109</v>
      </c>
    </row>
    <row r="2429" spans="1:11">
      <c r="A2429" s="312" t="s">
        <v>5155</v>
      </c>
      <c r="B2429" s="312" t="s">
        <v>5156</v>
      </c>
      <c r="C2429" s="312" t="s">
        <v>105</v>
      </c>
      <c r="D2429" s="312" t="s">
        <v>184</v>
      </c>
      <c r="E2429" s="312" t="s">
        <v>107</v>
      </c>
      <c r="F2429" s="312">
        <v>1825</v>
      </c>
      <c r="G2429" s="312" t="s">
        <v>108</v>
      </c>
      <c r="H2429" s="312">
        <v>1827</v>
      </c>
      <c r="I2429" s="312" t="s">
        <v>107</v>
      </c>
      <c r="J2429" s="312">
        <v>1913</v>
      </c>
      <c r="K2429" s="312" t="s">
        <v>109</v>
      </c>
    </row>
    <row r="2430" spans="1:11">
      <c r="A2430" s="312" t="s">
        <v>5157</v>
      </c>
      <c r="B2430" s="312" t="s">
        <v>5158</v>
      </c>
      <c r="C2430" s="312" t="s">
        <v>105</v>
      </c>
      <c r="D2430" s="312" t="s">
        <v>114</v>
      </c>
      <c r="E2430" s="312" t="s">
        <v>107</v>
      </c>
      <c r="F2430" s="312">
        <v>1825</v>
      </c>
      <c r="G2430" s="312" t="s">
        <v>108</v>
      </c>
      <c r="H2430" s="312">
        <v>1827</v>
      </c>
      <c r="I2430" s="312" t="s">
        <v>107</v>
      </c>
      <c r="J2430" s="312">
        <v>1913</v>
      </c>
      <c r="K2430" s="312" t="s">
        <v>109</v>
      </c>
    </row>
    <row r="2431" spans="1:11">
      <c r="A2431" s="312" t="s">
        <v>5159</v>
      </c>
      <c r="B2431" s="312" t="s">
        <v>5160</v>
      </c>
      <c r="C2431" s="312" t="s">
        <v>105</v>
      </c>
      <c r="D2431" s="312" t="s">
        <v>517</v>
      </c>
      <c r="E2431" s="312" t="s">
        <v>107</v>
      </c>
      <c r="F2431" s="312">
        <v>1825</v>
      </c>
      <c r="G2431" s="312" t="s">
        <v>108</v>
      </c>
      <c r="H2431" s="312">
        <v>1827</v>
      </c>
      <c r="I2431" s="312" t="s">
        <v>107</v>
      </c>
      <c r="J2431" s="312">
        <v>1913</v>
      </c>
      <c r="K2431" s="312" t="s">
        <v>109</v>
      </c>
    </row>
    <row r="2432" spans="1:11">
      <c r="A2432" s="312" t="s">
        <v>5161</v>
      </c>
      <c r="B2432" s="312" t="s">
        <v>5162</v>
      </c>
      <c r="C2432" s="312" t="s">
        <v>105</v>
      </c>
      <c r="D2432" s="312" t="s">
        <v>531</v>
      </c>
      <c r="E2432" s="312" t="s">
        <v>107</v>
      </c>
      <c r="F2432" s="312">
        <v>1825</v>
      </c>
      <c r="G2432" s="312" t="s">
        <v>108</v>
      </c>
      <c r="H2432" s="312">
        <v>1827</v>
      </c>
      <c r="I2432" s="312" t="s">
        <v>107</v>
      </c>
      <c r="J2432" s="312">
        <v>1913</v>
      </c>
      <c r="K2432" s="312" t="s">
        <v>109</v>
      </c>
    </row>
    <row r="2433" spans="1:11">
      <c r="A2433" s="312" t="s">
        <v>5163</v>
      </c>
      <c r="B2433" s="312" t="s">
        <v>5164</v>
      </c>
      <c r="C2433" s="312" t="s">
        <v>105</v>
      </c>
      <c r="D2433" s="312" t="s">
        <v>587</v>
      </c>
      <c r="E2433" s="312" t="s">
        <v>107</v>
      </c>
      <c r="F2433" s="312">
        <v>1825</v>
      </c>
      <c r="G2433" s="312" t="s">
        <v>108</v>
      </c>
      <c r="H2433" s="312">
        <v>1827</v>
      </c>
      <c r="I2433" s="312" t="s">
        <v>107</v>
      </c>
      <c r="J2433" s="312">
        <v>1913</v>
      </c>
      <c r="K2433" s="312" t="s">
        <v>109</v>
      </c>
    </row>
    <row r="2434" spans="1:11">
      <c r="A2434" s="312" t="s">
        <v>5165</v>
      </c>
      <c r="B2434" s="312" t="s">
        <v>5166</v>
      </c>
      <c r="C2434" s="312" t="s">
        <v>105</v>
      </c>
      <c r="D2434" s="312" t="s">
        <v>252</v>
      </c>
      <c r="E2434" s="312" t="s">
        <v>167</v>
      </c>
      <c r="F2434" s="312">
        <v>1705</v>
      </c>
      <c r="G2434" s="312" t="s">
        <v>168</v>
      </c>
      <c r="H2434" s="312">
        <v>1707</v>
      </c>
      <c r="I2434" s="312" t="s">
        <v>167</v>
      </c>
      <c r="J2434" s="312">
        <v>1899</v>
      </c>
      <c r="K2434" s="312" t="s">
        <v>169</v>
      </c>
    </row>
    <row r="2435" spans="1:11">
      <c r="A2435" s="312" t="s">
        <v>5167</v>
      </c>
      <c r="B2435" s="1" t="s">
        <v>5168</v>
      </c>
      <c r="C2435" s="312" t="s">
        <v>105</v>
      </c>
      <c r="D2435" s="312" t="s">
        <v>531</v>
      </c>
      <c r="E2435" s="312" t="s">
        <v>107</v>
      </c>
      <c r="F2435" s="312">
        <v>1825</v>
      </c>
      <c r="G2435" s="312" t="s">
        <v>108</v>
      </c>
      <c r="H2435" s="312">
        <v>1827</v>
      </c>
      <c r="I2435" s="312" t="s">
        <v>107</v>
      </c>
      <c r="J2435" s="312">
        <v>1913</v>
      </c>
      <c r="K2435" s="312" t="s">
        <v>109</v>
      </c>
    </row>
    <row r="2436" spans="1:11">
      <c r="A2436" s="312" t="s">
        <v>5169</v>
      </c>
      <c r="B2436" s="312" t="s">
        <v>5170</v>
      </c>
      <c r="C2436" s="312" t="s">
        <v>105</v>
      </c>
      <c r="D2436" s="312" t="s">
        <v>531</v>
      </c>
      <c r="E2436" s="312" t="s">
        <v>107</v>
      </c>
      <c r="F2436" s="312">
        <v>1825</v>
      </c>
      <c r="G2436" s="312" t="s">
        <v>108</v>
      </c>
      <c r="H2436" s="312">
        <v>1827</v>
      </c>
      <c r="I2436" s="312" t="s">
        <v>107</v>
      </c>
      <c r="J2436" s="312">
        <v>1913</v>
      </c>
      <c r="K2436" s="312" t="s">
        <v>109</v>
      </c>
    </row>
    <row r="2437" spans="1:11">
      <c r="A2437" s="312" t="s">
        <v>5171</v>
      </c>
      <c r="B2437" s="312" t="s">
        <v>5172</v>
      </c>
      <c r="C2437" s="312" t="s">
        <v>105</v>
      </c>
      <c r="D2437" s="312" t="s">
        <v>5173</v>
      </c>
      <c r="E2437" s="312" t="s">
        <v>107</v>
      </c>
      <c r="F2437" s="312">
        <v>1825</v>
      </c>
      <c r="G2437" s="312" t="s">
        <v>108</v>
      </c>
      <c r="H2437" s="312">
        <v>1827</v>
      </c>
      <c r="I2437" s="312" t="s">
        <v>107</v>
      </c>
      <c r="J2437" s="312">
        <v>1913</v>
      </c>
      <c r="K2437" s="312" t="s">
        <v>109</v>
      </c>
    </row>
    <row r="2438" spans="1:11">
      <c r="A2438" s="312" t="s">
        <v>5174</v>
      </c>
      <c r="B2438" s="312" t="s">
        <v>5175</v>
      </c>
      <c r="C2438" s="312" t="s">
        <v>105</v>
      </c>
      <c r="D2438" s="312" t="s">
        <v>483</v>
      </c>
      <c r="E2438" s="312" t="s">
        <v>466</v>
      </c>
      <c r="F2438" s="312">
        <v>1796</v>
      </c>
      <c r="G2438" s="312" t="s">
        <v>467</v>
      </c>
      <c r="H2438" s="312">
        <v>1799</v>
      </c>
      <c r="I2438" s="312" t="s">
        <v>466</v>
      </c>
      <c r="J2438" s="312">
        <v>1918</v>
      </c>
      <c r="K2438" s="312" t="s">
        <v>468</v>
      </c>
    </row>
    <row r="2439" spans="1:11">
      <c r="A2439" s="312" t="s">
        <v>5176</v>
      </c>
      <c r="B2439" s="1" t="s">
        <v>5177</v>
      </c>
      <c r="C2439" s="312" t="s">
        <v>105</v>
      </c>
      <c r="D2439" s="312" t="s">
        <v>483</v>
      </c>
      <c r="E2439" s="312" t="s">
        <v>466</v>
      </c>
      <c r="F2439" s="312">
        <v>1796</v>
      </c>
      <c r="G2439" s="312" t="s">
        <v>467</v>
      </c>
      <c r="H2439" s="312">
        <v>1799</v>
      </c>
      <c r="I2439" s="312" t="s">
        <v>466</v>
      </c>
      <c r="J2439" s="312">
        <v>1918</v>
      </c>
      <c r="K2439" s="312" t="s">
        <v>468</v>
      </c>
    </row>
    <row r="2440" spans="1:11">
      <c r="A2440" s="312" t="s">
        <v>5178</v>
      </c>
      <c r="B2440" s="312" t="s">
        <v>5179</v>
      </c>
      <c r="C2440" s="312" t="s">
        <v>105</v>
      </c>
      <c r="D2440" s="312" t="s">
        <v>483</v>
      </c>
      <c r="E2440" s="312" t="s">
        <v>466</v>
      </c>
      <c r="F2440" s="312">
        <v>1796</v>
      </c>
      <c r="G2440" s="312" t="s">
        <v>467</v>
      </c>
      <c r="H2440" s="312">
        <v>1799</v>
      </c>
      <c r="I2440" s="312" t="s">
        <v>466</v>
      </c>
      <c r="J2440" s="312">
        <v>1918</v>
      </c>
      <c r="K2440" s="312" t="s">
        <v>468</v>
      </c>
    </row>
    <row r="2441" spans="1:11">
      <c r="A2441" s="312" t="s">
        <v>5180</v>
      </c>
      <c r="B2441" s="312" t="s">
        <v>5181</v>
      </c>
      <c r="C2441" s="312" t="s">
        <v>105</v>
      </c>
      <c r="D2441" s="312" t="s">
        <v>114</v>
      </c>
      <c r="E2441" s="312" t="s">
        <v>107</v>
      </c>
      <c r="F2441" s="312">
        <v>1825</v>
      </c>
      <c r="G2441" s="312" t="s">
        <v>108</v>
      </c>
      <c r="H2441" s="312">
        <v>1827</v>
      </c>
      <c r="I2441" s="312" t="s">
        <v>107</v>
      </c>
      <c r="J2441" s="312">
        <v>1913</v>
      </c>
      <c r="K2441" s="312" t="s">
        <v>109</v>
      </c>
    </row>
    <row r="2442" spans="1:11">
      <c r="A2442" s="312" t="s">
        <v>5182</v>
      </c>
      <c r="B2442" s="312" t="s">
        <v>5183</v>
      </c>
      <c r="C2442" s="312" t="s">
        <v>105</v>
      </c>
      <c r="D2442" s="312" t="s">
        <v>1156</v>
      </c>
      <c r="E2442" s="312" t="s">
        <v>107</v>
      </c>
      <c r="F2442" s="312">
        <v>1825</v>
      </c>
      <c r="G2442" s="312" t="s">
        <v>108</v>
      </c>
      <c r="H2442" s="312">
        <v>1827</v>
      </c>
      <c r="I2442" s="312" t="s">
        <v>107</v>
      </c>
      <c r="J2442" s="312">
        <v>1913</v>
      </c>
      <c r="K2442" s="312" t="s">
        <v>109</v>
      </c>
    </row>
    <row r="2443" spans="1:11">
      <c r="A2443" s="312" t="s">
        <v>5184</v>
      </c>
      <c r="B2443" s="312" t="s">
        <v>5185</v>
      </c>
      <c r="C2443" s="312" t="s">
        <v>105</v>
      </c>
      <c r="D2443" s="312" t="s">
        <v>1156</v>
      </c>
      <c r="E2443" s="312" t="s">
        <v>107</v>
      </c>
      <c r="F2443" s="312">
        <v>1825</v>
      </c>
      <c r="G2443" s="312" t="s">
        <v>108</v>
      </c>
      <c r="H2443" s="312">
        <v>1827</v>
      </c>
      <c r="I2443" s="312" t="s">
        <v>107</v>
      </c>
      <c r="J2443" s="312">
        <v>1913</v>
      </c>
      <c r="K2443" s="312" t="s">
        <v>109</v>
      </c>
    </row>
    <row r="2444" spans="1:11">
      <c r="A2444" s="312" t="s">
        <v>5186</v>
      </c>
      <c r="B2444" s="312" t="s">
        <v>5187</v>
      </c>
      <c r="C2444" s="312" t="s">
        <v>105</v>
      </c>
      <c r="D2444" s="312" t="s">
        <v>556</v>
      </c>
      <c r="E2444" s="312" t="s">
        <v>107</v>
      </c>
      <c r="F2444" s="312">
        <v>1825</v>
      </c>
      <c r="G2444" s="312" t="s">
        <v>108</v>
      </c>
      <c r="H2444" s="312">
        <v>1827</v>
      </c>
      <c r="I2444" s="312" t="s">
        <v>107</v>
      </c>
      <c r="J2444" s="312">
        <v>1913</v>
      </c>
      <c r="K2444" s="312" t="s">
        <v>109</v>
      </c>
    </row>
    <row r="2445" spans="1:11">
      <c r="A2445" s="312" t="s">
        <v>5188</v>
      </c>
      <c r="B2445" s="312" t="s">
        <v>5189</v>
      </c>
      <c r="C2445" s="312" t="s">
        <v>105</v>
      </c>
      <c r="D2445" s="312" t="s">
        <v>114</v>
      </c>
      <c r="E2445" s="312" t="s">
        <v>107</v>
      </c>
      <c r="F2445" s="312">
        <v>1825</v>
      </c>
      <c r="G2445" s="312" t="s">
        <v>108</v>
      </c>
      <c r="H2445" s="312">
        <v>1827</v>
      </c>
      <c r="I2445" s="312" t="s">
        <v>107</v>
      </c>
      <c r="J2445" s="312">
        <v>1913</v>
      </c>
      <c r="K2445" s="312" t="s">
        <v>109</v>
      </c>
    </row>
    <row r="2446" spans="1:11">
      <c r="A2446" s="312" t="s">
        <v>5190</v>
      </c>
      <c r="B2446" s="312" t="s">
        <v>5191</v>
      </c>
      <c r="C2446" s="312" t="s">
        <v>105</v>
      </c>
      <c r="D2446" s="312" t="s">
        <v>1156</v>
      </c>
      <c r="E2446" s="312" t="s">
        <v>107</v>
      </c>
      <c r="F2446" s="312">
        <v>1825</v>
      </c>
      <c r="G2446" s="312" t="s">
        <v>108</v>
      </c>
      <c r="H2446" s="312">
        <v>1827</v>
      </c>
      <c r="I2446" s="312" t="s">
        <v>107</v>
      </c>
      <c r="J2446" s="312">
        <v>1913</v>
      </c>
      <c r="K2446" s="312" t="s">
        <v>109</v>
      </c>
    </row>
    <row r="2447" spans="1:11">
      <c r="A2447" s="312" t="s">
        <v>5192</v>
      </c>
      <c r="B2447" s="312" t="s">
        <v>5193</v>
      </c>
      <c r="C2447" s="312" t="s">
        <v>105</v>
      </c>
      <c r="D2447" s="312" t="s">
        <v>858</v>
      </c>
      <c r="E2447" s="312" t="s">
        <v>107</v>
      </c>
      <c r="F2447" s="312">
        <v>1825</v>
      </c>
      <c r="G2447" s="312" t="s">
        <v>108</v>
      </c>
      <c r="H2447" s="312">
        <v>1827</v>
      </c>
      <c r="I2447" s="312" t="s">
        <v>107</v>
      </c>
      <c r="J2447" s="312">
        <v>1913</v>
      </c>
      <c r="K2447" s="312" t="s">
        <v>109</v>
      </c>
    </row>
    <row r="2448" spans="1:11">
      <c r="A2448" s="312" t="s">
        <v>5194</v>
      </c>
      <c r="B2448" s="312" t="s">
        <v>5195</v>
      </c>
      <c r="C2448" s="312" t="s">
        <v>105</v>
      </c>
      <c r="D2448" s="312" t="s">
        <v>114</v>
      </c>
      <c r="E2448" s="312" t="s">
        <v>107</v>
      </c>
      <c r="F2448" s="312">
        <v>1825</v>
      </c>
      <c r="G2448" s="312" t="s">
        <v>108</v>
      </c>
      <c r="H2448" s="312">
        <v>1827</v>
      </c>
      <c r="I2448" s="312" t="s">
        <v>107</v>
      </c>
      <c r="J2448" s="312">
        <v>1913</v>
      </c>
      <c r="K2448" s="312" t="s">
        <v>109</v>
      </c>
    </row>
    <row r="2449" spans="1:11">
      <c r="A2449" s="312" t="s">
        <v>5196</v>
      </c>
      <c r="B2449" s="312" t="s">
        <v>5197</v>
      </c>
      <c r="C2449" s="312" t="s">
        <v>105</v>
      </c>
      <c r="D2449" s="312" t="s">
        <v>114</v>
      </c>
      <c r="E2449" s="312" t="s">
        <v>107</v>
      </c>
      <c r="F2449" s="312">
        <v>1825</v>
      </c>
      <c r="G2449" s="312" t="s">
        <v>108</v>
      </c>
      <c r="H2449" s="312">
        <v>1827</v>
      </c>
      <c r="I2449" s="312" t="s">
        <v>107</v>
      </c>
      <c r="J2449" s="312">
        <v>1913</v>
      </c>
      <c r="K2449" s="312" t="s">
        <v>109</v>
      </c>
    </row>
    <row r="2450" spans="1:11">
      <c r="A2450" s="312" t="s">
        <v>5198</v>
      </c>
      <c r="B2450" s="312" t="s">
        <v>5199</v>
      </c>
      <c r="C2450" s="312" t="s">
        <v>105</v>
      </c>
      <c r="D2450" s="312" t="s">
        <v>114</v>
      </c>
      <c r="E2450" s="312" t="s">
        <v>107</v>
      </c>
      <c r="F2450" s="312">
        <v>1825</v>
      </c>
      <c r="G2450" s="312" t="s">
        <v>108</v>
      </c>
      <c r="H2450" s="312">
        <v>1827</v>
      </c>
      <c r="I2450" s="312" t="s">
        <v>107</v>
      </c>
      <c r="J2450" s="312">
        <v>1913</v>
      </c>
      <c r="K2450" s="312" t="s">
        <v>109</v>
      </c>
    </row>
    <row r="2451" spans="1:11">
      <c r="A2451" s="312" t="s">
        <v>5200</v>
      </c>
      <c r="B2451" s="312" t="s">
        <v>5201</v>
      </c>
      <c r="C2451" s="312" t="s">
        <v>105</v>
      </c>
      <c r="D2451" s="312" t="s">
        <v>114</v>
      </c>
      <c r="E2451" s="312" t="s">
        <v>107</v>
      </c>
      <c r="F2451" s="312">
        <v>1825</v>
      </c>
      <c r="G2451" s="312" t="s">
        <v>108</v>
      </c>
      <c r="H2451" s="312">
        <v>1827</v>
      </c>
      <c r="I2451" s="312" t="s">
        <v>107</v>
      </c>
      <c r="J2451" s="312">
        <v>1913</v>
      </c>
      <c r="K2451" s="312" t="s">
        <v>109</v>
      </c>
    </row>
    <row r="2452" spans="1:11">
      <c r="A2452" s="312" t="s">
        <v>5202</v>
      </c>
      <c r="B2452" s="312" t="s">
        <v>5203</v>
      </c>
      <c r="C2452" s="312" t="s">
        <v>105</v>
      </c>
      <c r="D2452" s="312" t="s">
        <v>114</v>
      </c>
      <c r="E2452" s="312" t="s">
        <v>107</v>
      </c>
      <c r="F2452" s="312">
        <v>1825</v>
      </c>
      <c r="G2452" s="312" t="s">
        <v>108</v>
      </c>
      <c r="H2452" s="312">
        <v>1827</v>
      </c>
      <c r="I2452" s="312" t="s">
        <v>107</v>
      </c>
      <c r="J2452" s="312">
        <v>1913</v>
      </c>
      <c r="K2452" s="312" t="s">
        <v>109</v>
      </c>
    </row>
    <row r="2453" spans="1:11">
      <c r="A2453" s="312" t="s">
        <v>5204</v>
      </c>
      <c r="B2453" s="312" t="s">
        <v>5205</v>
      </c>
      <c r="C2453" s="312" t="s">
        <v>105</v>
      </c>
      <c r="D2453" s="312" t="s">
        <v>312</v>
      </c>
      <c r="E2453" s="312" t="s">
        <v>107</v>
      </c>
      <c r="F2453" s="312">
        <v>1825</v>
      </c>
      <c r="G2453" s="312" t="s">
        <v>108</v>
      </c>
      <c r="H2453" s="312">
        <v>1827</v>
      </c>
      <c r="I2453" s="312" t="s">
        <v>107</v>
      </c>
      <c r="J2453" s="312">
        <v>1913</v>
      </c>
      <c r="K2453" s="312" t="s">
        <v>109</v>
      </c>
    </row>
    <row r="2454" spans="1:11">
      <c r="A2454" s="312" t="s">
        <v>5206</v>
      </c>
      <c r="B2454" s="312" t="s">
        <v>5207</v>
      </c>
      <c r="C2454" s="312" t="s">
        <v>105</v>
      </c>
      <c r="D2454" s="312" t="s">
        <v>114</v>
      </c>
      <c r="E2454" s="312" t="s">
        <v>107</v>
      </c>
      <c r="F2454" s="312">
        <v>1825</v>
      </c>
      <c r="G2454" s="312" t="s">
        <v>108</v>
      </c>
      <c r="H2454" s="312">
        <v>1827</v>
      </c>
      <c r="I2454" s="312" t="s">
        <v>107</v>
      </c>
      <c r="J2454" s="312">
        <v>1913</v>
      </c>
      <c r="K2454" s="312" t="s">
        <v>109</v>
      </c>
    </row>
    <row r="2455" spans="1:11">
      <c r="A2455" s="312" t="s">
        <v>5208</v>
      </c>
      <c r="B2455" s="312" t="s">
        <v>5209</v>
      </c>
      <c r="C2455" s="312" t="s">
        <v>105</v>
      </c>
      <c r="D2455" s="312" t="s">
        <v>573</v>
      </c>
      <c r="E2455" s="312" t="s">
        <v>107</v>
      </c>
      <c r="F2455" s="312">
        <v>1825</v>
      </c>
      <c r="G2455" s="312" t="s">
        <v>108</v>
      </c>
      <c r="H2455" s="312">
        <v>1827</v>
      </c>
      <c r="I2455" s="312" t="s">
        <v>107</v>
      </c>
      <c r="J2455" s="312">
        <v>1913</v>
      </c>
      <c r="K2455" s="312" t="s">
        <v>109</v>
      </c>
    </row>
    <row r="2456" spans="1:11">
      <c r="A2456" s="312" t="s">
        <v>5210</v>
      </c>
      <c r="B2456" s="312" t="s">
        <v>5211</v>
      </c>
      <c r="C2456" s="312" t="s">
        <v>105</v>
      </c>
      <c r="D2456" s="312" t="s">
        <v>587</v>
      </c>
      <c r="E2456" s="312" t="s">
        <v>107</v>
      </c>
      <c r="F2456" s="312">
        <v>1825</v>
      </c>
      <c r="G2456" s="312" t="s">
        <v>108</v>
      </c>
      <c r="H2456" s="312">
        <v>1827</v>
      </c>
      <c r="I2456" s="312" t="s">
        <v>107</v>
      </c>
      <c r="J2456" s="312">
        <v>1913</v>
      </c>
      <c r="K2456" s="312" t="s">
        <v>109</v>
      </c>
    </row>
    <row r="2457" spans="1:11">
      <c r="A2457" s="312" t="s">
        <v>5212</v>
      </c>
      <c r="B2457" s="312" t="s">
        <v>5213</v>
      </c>
      <c r="C2457" s="312" t="s">
        <v>105</v>
      </c>
      <c r="D2457" s="312" t="s">
        <v>573</v>
      </c>
      <c r="E2457" s="312" t="s">
        <v>107</v>
      </c>
      <c r="F2457" s="312">
        <v>1825</v>
      </c>
      <c r="G2457" s="312" t="s">
        <v>108</v>
      </c>
      <c r="H2457" s="312">
        <v>1827</v>
      </c>
      <c r="I2457" s="312" t="s">
        <v>107</v>
      </c>
      <c r="J2457" s="312">
        <v>1913</v>
      </c>
      <c r="K2457" s="312" t="s">
        <v>109</v>
      </c>
    </row>
    <row r="2458" spans="1:11">
      <c r="A2458" s="312" t="s">
        <v>5214</v>
      </c>
      <c r="B2458" s="312" t="s">
        <v>5215</v>
      </c>
      <c r="C2458" s="312" t="s">
        <v>105</v>
      </c>
      <c r="D2458" s="312" t="s">
        <v>483</v>
      </c>
      <c r="E2458" s="312" t="s">
        <v>107</v>
      </c>
      <c r="F2458" s="312">
        <v>1825</v>
      </c>
      <c r="G2458" s="312" t="s">
        <v>108</v>
      </c>
      <c r="H2458" s="312">
        <v>1827</v>
      </c>
      <c r="I2458" s="312" t="s">
        <v>107</v>
      </c>
      <c r="J2458" s="312">
        <v>1913</v>
      </c>
      <c r="K2458" s="312" t="s">
        <v>109</v>
      </c>
    </row>
    <row r="2459" spans="1:11">
      <c r="A2459" s="312" t="s">
        <v>5216</v>
      </c>
      <c r="B2459" s="312" t="s">
        <v>5217</v>
      </c>
      <c r="C2459" s="312" t="s">
        <v>105</v>
      </c>
      <c r="D2459" s="312" t="s">
        <v>2065</v>
      </c>
      <c r="E2459" s="312" t="s">
        <v>107</v>
      </c>
      <c r="F2459" s="312">
        <v>1825</v>
      </c>
      <c r="G2459" s="312" t="s">
        <v>108</v>
      </c>
      <c r="H2459" s="312">
        <v>1827</v>
      </c>
      <c r="I2459" s="312" t="s">
        <v>107</v>
      </c>
      <c r="J2459" s="312">
        <v>1913</v>
      </c>
      <c r="K2459" s="312" t="s">
        <v>109</v>
      </c>
    </row>
    <row r="2460" spans="1:11">
      <c r="A2460" s="312" t="s">
        <v>5218</v>
      </c>
      <c r="B2460" s="312" t="s">
        <v>5219</v>
      </c>
      <c r="C2460" s="312" t="s">
        <v>105</v>
      </c>
      <c r="D2460" s="312" t="s">
        <v>221</v>
      </c>
      <c r="E2460" s="312" t="s">
        <v>107</v>
      </c>
      <c r="F2460" s="312">
        <v>1825</v>
      </c>
      <c r="G2460" s="312" t="s">
        <v>108</v>
      </c>
      <c r="H2460" s="312">
        <v>1827</v>
      </c>
      <c r="I2460" s="312" t="s">
        <v>107</v>
      </c>
      <c r="J2460" s="312">
        <v>1913</v>
      </c>
      <c r="K2460" s="312" t="s">
        <v>109</v>
      </c>
    </row>
    <row r="2461" spans="1:11">
      <c r="A2461" s="312" t="s">
        <v>5220</v>
      </c>
      <c r="B2461" s="312" t="s">
        <v>5221</v>
      </c>
      <c r="C2461" s="312" t="s">
        <v>105</v>
      </c>
      <c r="D2461" s="312" t="s">
        <v>166</v>
      </c>
      <c r="E2461" s="312" t="s">
        <v>167</v>
      </c>
      <c r="F2461" s="312">
        <v>1705</v>
      </c>
      <c r="G2461" s="312" t="s">
        <v>168</v>
      </c>
      <c r="H2461" s="312">
        <v>1707</v>
      </c>
      <c r="I2461" s="312" t="s">
        <v>167</v>
      </c>
      <c r="J2461" s="312">
        <v>1899</v>
      </c>
      <c r="K2461" s="312" t="s">
        <v>169</v>
      </c>
    </row>
    <row r="2462" spans="1:11">
      <c r="A2462" s="312" t="s">
        <v>5222</v>
      </c>
      <c r="B2462" s="312" t="s">
        <v>5223</v>
      </c>
      <c r="C2462" s="312" t="s">
        <v>105</v>
      </c>
      <c r="D2462" s="312" t="s">
        <v>483</v>
      </c>
      <c r="E2462" s="312" t="s">
        <v>466</v>
      </c>
      <c r="F2462" s="312">
        <v>1796</v>
      </c>
      <c r="G2462" s="312" t="s">
        <v>467</v>
      </c>
      <c r="H2462" s="312">
        <v>1799</v>
      </c>
      <c r="I2462" s="312" t="s">
        <v>466</v>
      </c>
      <c r="J2462" s="312">
        <v>1918</v>
      </c>
      <c r="K2462" s="312" t="s">
        <v>468</v>
      </c>
    </row>
    <row r="2463" spans="1:11">
      <c r="A2463" s="312" t="s">
        <v>5224</v>
      </c>
      <c r="B2463" s="312" t="s">
        <v>5225</v>
      </c>
      <c r="C2463" s="312" t="s">
        <v>105</v>
      </c>
      <c r="D2463" s="312" t="s">
        <v>573</v>
      </c>
      <c r="E2463" s="312" t="s">
        <v>107</v>
      </c>
      <c r="F2463" s="312">
        <v>1825</v>
      </c>
      <c r="G2463" s="312" t="s">
        <v>108</v>
      </c>
      <c r="H2463" s="312">
        <v>1827</v>
      </c>
      <c r="I2463" s="312" t="s">
        <v>107</v>
      </c>
      <c r="J2463" s="312">
        <v>1913</v>
      </c>
      <c r="K2463" s="312" t="s">
        <v>109</v>
      </c>
    </row>
    <row r="2464" spans="1:11">
      <c r="A2464" s="312" t="s">
        <v>5226</v>
      </c>
      <c r="B2464" s="312" t="s">
        <v>5227</v>
      </c>
      <c r="C2464" s="312" t="s">
        <v>105</v>
      </c>
      <c r="D2464" s="312" t="s">
        <v>730</v>
      </c>
      <c r="E2464" s="312" t="s">
        <v>696</v>
      </c>
      <c r="F2464" s="312">
        <v>1736</v>
      </c>
      <c r="G2464" s="312" t="s">
        <v>697</v>
      </c>
      <c r="H2464" s="312">
        <v>1741</v>
      </c>
      <c r="I2464" s="312" t="s">
        <v>696</v>
      </c>
      <c r="J2464" s="312">
        <v>1929</v>
      </c>
      <c r="K2464" s="312" t="s">
        <v>698</v>
      </c>
    </row>
    <row r="2465" spans="1:11">
      <c r="A2465" s="312" t="s">
        <v>5228</v>
      </c>
      <c r="B2465" s="312" t="s">
        <v>5229</v>
      </c>
      <c r="C2465" s="312" t="s">
        <v>105</v>
      </c>
      <c r="D2465" s="312" t="s">
        <v>573</v>
      </c>
      <c r="E2465" s="312" t="s">
        <v>107</v>
      </c>
      <c r="F2465" s="312">
        <v>1825</v>
      </c>
      <c r="G2465" s="312" t="s">
        <v>108</v>
      </c>
      <c r="H2465" s="312">
        <v>1827</v>
      </c>
      <c r="I2465" s="312" t="s">
        <v>107</v>
      </c>
      <c r="J2465" s="312">
        <v>1913</v>
      </c>
      <c r="K2465" s="312" t="s">
        <v>109</v>
      </c>
    </row>
    <row r="2466" spans="1:11">
      <c r="A2466" s="312" t="s">
        <v>5230</v>
      </c>
      <c r="B2466" s="312" t="s">
        <v>5231</v>
      </c>
      <c r="C2466" s="312" t="s">
        <v>105</v>
      </c>
      <c r="D2466" s="312" t="s">
        <v>573</v>
      </c>
      <c r="E2466" s="312" t="s">
        <v>107</v>
      </c>
      <c r="F2466" s="312">
        <v>1825</v>
      </c>
      <c r="G2466" s="312" t="s">
        <v>108</v>
      </c>
      <c r="H2466" s="312">
        <v>1827</v>
      </c>
      <c r="I2466" s="312" t="s">
        <v>107</v>
      </c>
      <c r="J2466" s="312">
        <v>1913</v>
      </c>
      <c r="K2466" s="312" t="s">
        <v>109</v>
      </c>
    </row>
    <row r="2467" spans="1:11">
      <c r="A2467" s="312" t="s">
        <v>5232</v>
      </c>
      <c r="B2467" s="312" t="s">
        <v>5233</v>
      </c>
      <c r="C2467" s="312" t="s">
        <v>105</v>
      </c>
      <c r="D2467" s="312" t="s">
        <v>858</v>
      </c>
      <c r="E2467" s="312" t="s">
        <v>684</v>
      </c>
      <c r="F2467" s="312">
        <v>1750</v>
      </c>
      <c r="G2467" s="312" t="s">
        <v>685</v>
      </c>
      <c r="H2467" s="312">
        <v>1754</v>
      </c>
      <c r="I2467" s="312" t="s">
        <v>684</v>
      </c>
      <c r="J2467" s="312">
        <v>1920</v>
      </c>
      <c r="K2467" s="312" t="s">
        <v>686</v>
      </c>
    </row>
    <row r="2468" spans="1:11">
      <c r="A2468" s="312" t="s">
        <v>5234</v>
      </c>
      <c r="B2468" s="312" t="s">
        <v>5235</v>
      </c>
      <c r="C2468" s="312" t="s">
        <v>105</v>
      </c>
      <c r="D2468" s="312" t="s">
        <v>3730</v>
      </c>
      <c r="E2468" s="312" t="s">
        <v>107</v>
      </c>
      <c r="F2468" s="312">
        <v>1825</v>
      </c>
      <c r="G2468" s="312" t="s">
        <v>108</v>
      </c>
      <c r="H2468" s="312">
        <v>1827</v>
      </c>
      <c r="I2468" s="312" t="s">
        <v>107</v>
      </c>
      <c r="J2468" s="312">
        <v>1913</v>
      </c>
      <c r="K2468" s="312" t="s">
        <v>109</v>
      </c>
    </row>
    <row r="2469" spans="1:11">
      <c r="A2469" s="312" t="s">
        <v>5236</v>
      </c>
      <c r="B2469" s="312" t="s">
        <v>5237</v>
      </c>
      <c r="C2469" s="312" t="s">
        <v>105</v>
      </c>
      <c r="D2469" s="312" t="s">
        <v>891</v>
      </c>
      <c r="E2469" s="312" t="s">
        <v>107</v>
      </c>
      <c r="F2469" s="312">
        <v>1825</v>
      </c>
      <c r="G2469" s="312" t="s">
        <v>108</v>
      </c>
      <c r="H2469" s="312">
        <v>1827</v>
      </c>
      <c r="I2469" s="312" t="s">
        <v>107</v>
      </c>
      <c r="J2469" s="312">
        <v>1913</v>
      </c>
      <c r="K2469" s="312" t="s">
        <v>109</v>
      </c>
    </row>
    <row r="2470" spans="1:11">
      <c r="A2470" s="312" t="s">
        <v>5238</v>
      </c>
      <c r="B2470" s="312" t="s">
        <v>5239</v>
      </c>
      <c r="C2470" s="312" t="s">
        <v>105</v>
      </c>
      <c r="D2470" s="312" t="s">
        <v>691</v>
      </c>
      <c r="E2470" s="312" t="s">
        <v>684</v>
      </c>
      <c r="F2470" s="312">
        <v>1750</v>
      </c>
      <c r="G2470" s="312" t="s">
        <v>685</v>
      </c>
      <c r="H2470" s="312">
        <v>1754</v>
      </c>
      <c r="I2470" s="312" t="s">
        <v>684</v>
      </c>
      <c r="J2470" s="312">
        <v>1920</v>
      </c>
      <c r="K2470" s="312" t="s">
        <v>686</v>
      </c>
    </row>
    <row r="2471" spans="1:11">
      <c r="A2471" s="312" t="s">
        <v>5240</v>
      </c>
      <c r="B2471" s="312" t="s">
        <v>5241</v>
      </c>
      <c r="C2471" s="312" t="s">
        <v>105</v>
      </c>
      <c r="D2471" s="312" t="s">
        <v>252</v>
      </c>
      <c r="E2471" s="312" t="s">
        <v>167</v>
      </c>
      <c r="F2471" s="312">
        <v>1705</v>
      </c>
      <c r="G2471" s="312" t="s">
        <v>168</v>
      </c>
      <c r="H2471" s="312">
        <v>1707</v>
      </c>
      <c r="I2471" s="312" t="s">
        <v>167</v>
      </c>
      <c r="J2471" s="312">
        <v>1899</v>
      </c>
      <c r="K2471" s="312" t="s">
        <v>169</v>
      </c>
    </row>
    <row r="2472" spans="1:11">
      <c r="A2472" s="312" t="s">
        <v>5242</v>
      </c>
      <c r="B2472" s="312" t="s">
        <v>5243</v>
      </c>
      <c r="C2472" s="312" t="s">
        <v>105</v>
      </c>
      <c r="D2472" s="312" t="s">
        <v>114</v>
      </c>
      <c r="E2472" s="312" t="s">
        <v>107</v>
      </c>
      <c r="F2472" s="312">
        <v>1825</v>
      </c>
      <c r="G2472" s="312" t="s">
        <v>108</v>
      </c>
      <c r="H2472" s="312">
        <v>1827</v>
      </c>
      <c r="I2472" s="312" t="s">
        <v>107</v>
      </c>
      <c r="J2472" s="312">
        <v>1913</v>
      </c>
      <c r="K2472" s="312" t="s">
        <v>109</v>
      </c>
    </row>
    <row r="2473" spans="1:11">
      <c r="A2473" s="312" t="s">
        <v>5244</v>
      </c>
      <c r="B2473" s="312" t="s">
        <v>5245</v>
      </c>
      <c r="C2473" s="312" t="s">
        <v>105</v>
      </c>
      <c r="D2473" s="312" t="s">
        <v>184</v>
      </c>
      <c r="E2473" s="312" t="s">
        <v>107</v>
      </c>
      <c r="F2473" s="312">
        <v>1825</v>
      </c>
      <c r="G2473" s="312" t="s">
        <v>108</v>
      </c>
      <c r="H2473" s="312">
        <v>1827</v>
      </c>
      <c r="I2473" s="312" t="s">
        <v>107</v>
      </c>
      <c r="J2473" s="312">
        <v>1913</v>
      </c>
      <c r="K2473" s="312" t="s">
        <v>109</v>
      </c>
    </row>
    <row r="2474" spans="1:11">
      <c r="A2474" s="312" t="s">
        <v>5246</v>
      </c>
      <c r="B2474" s="312" t="s">
        <v>5247</v>
      </c>
      <c r="C2474" s="312" t="s">
        <v>105</v>
      </c>
      <c r="D2474" s="312" t="s">
        <v>1156</v>
      </c>
      <c r="E2474" s="312" t="s">
        <v>107</v>
      </c>
      <c r="F2474" s="312">
        <v>1825</v>
      </c>
      <c r="G2474" s="312" t="s">
        <v>108</v>
      </c>
      <c r="H2474" s="312">
        <v>1827</v>
      </c>
      <c r="I2474" s="312" t="s">
        <v>107</v>
      </c>
      <c r="J2474" s="312">
        <v>1913</v>
      </c>
      <c r="K2474" s="312" t="s">
        <v>109</v>
      </c>
    </row>
    <row r="2475" spans="1:11">
      <c r="A2475" s="312" t="s">
        <v>5248</v>
      </c>
      <c r="B2475" s="312" t="s">
        <v>5249</v>
      </c>
      <c r="C2475" s="312" t="s">
        <v>105</v>
      </c>
      <c r="D2475" s="312" t="s">
        <v>294</v>
      </c>
      <c r="E2475" s="312" t="s">
        <v>107</v>
      </c>
      <c r="F2475" s="312">
        <v>1825</v>
      </c>
      <c r="G2475" s="312" t="s">
        <v>108</v>
      </c>
      <c r="H2475" s="312">
        <v>1827</v>
      </c>
      <c r="I2475" s="312" t="s">
        <v>107</v>
      </c>
      <c r="J2475" s="312">
        <v>1913</v>
      </c>
      <c r="K2475" s="312" t="s">
        <v>109</v>
      </c>
    </row>
    <row r="2476" spans="1:11">
      <c r="A2476" s="312" t="s">
        <v>5250</v>
      </c>
      <c r="B2476" s="312" t="s">
        <v>5251</v>
      </c>
      <c r="C2476" s="312" t="s">
        <v>105</v>
      </c>
      <c r="D2476" s="312" t="s">
        <v>551</v>
      </c>
      <c r="E2476" s="312" t="s">
        <v>167</v>
      </c>
      <c r="F2476" s="312">
        <v>1705</v>
      </c>
      <c r="G2476" s="312" t="s">
        <v>168</v>
      </c>
      <c r="H2476" s="312">
        <v>1707</v>
      </c>
      <c r="I2476" s="312" t="s">
        <v>167</v>
      </c>
      <c r="J2476" s="312">
        <v>1899</v>
      </c>
      <c r="K2476" s="312" t="s">
        <v>169</v>
      </c>
    </row>
    <row r="2477" spans="1:11">
      <c r="A2477" s="312" t="s">
        <v>5252</v>
      </c>
      <c r="B2477" s="312" t="s">
        <v>5253</v>
      </c>
      <c r="C2477" s="312" t="s">
        <v>105</v>
      </c>
      <c r="D2477" s="312" t="s">
        <v>551</v>
      </c>
      <c r="E2477" s="312" t="s">
        <v>167</v>
      </c>
      <c r="F2477" s="312">
        <v>1705</v>
      </c>
      <c r="G2477" s="312" t="s">
        <v>168</v>
      </c>
      <c r="H2477" s="312">
        <v>1707</v>
      </c>
      <c r="I2477" s="312" t="s">
        <v>167</v>
      </c>
      <c r="J2477" s="312">
        <v>1899</v>
      </c>
      <c r="K2477" s="312" t="s">
        <v>169</v>
      </c>
    </row>
    <row r="2478" spans="1:11">
      <c r="A2478" s="312" t="s">
        <v>5254</v>
      </c>
      <c r="B2478" s="312" t="s">
        <v>5255</v>
      </c>
      <c r="C2478" s="312" t="s">
        <v>105</v>
      </c>
      <c r="D2478" s="312" t="s">
        <v>551</v>
      </c>
      <c r="E2478" s="312" t="s">
        <v>167</v>
      </c>
      <c r="F2478" s="312">
        <v>1705</v>
      </c>
      <c r="G2478" s="312" t="s">
        <v>168</v>
      </c>
      <c r="H2478" s="312">
        <v>1707</v>
      </c>
      <c r="I2478" s="312" t="s">
        <v>167</v>
      </c>
      <c r="J2478" s="312">
        <v>1899</v>
      </c>
      <c r="K2478" s="312" t="s">
        <v>169</v>
      </c>
    </row>
    <row r="2479" spans="1:11">
      <c r="A2479" s="312" t="s">
        <v>5256</v>
      </c>
      <c r="B2479" s="312" t="s">
        <v>5257</v>
      </c>
      <c r="C2479" s="312" t="s">
        <v>105</v>
      </c>
      <c r="D2479" s="312" t="s">
        <v>556</v>
      </c>
      <c r="E2479" s="312" t="s">
        <v>107</v>
      </c>
      <c r="F2479" s="312">
        <v>1825</v>
      </c>
      <c r="G2479" s="312" t="s">
        <v>108</v>
      </c>
      <c r="H2479" s="312">
        <v>1827</v>
      </c>
      <c r="I2479" s="312" t="s">
        <v>107</v>
      </c>
      <c r="J2479" s="312">
        <v>1913</v>
      </c>
      <c r="K2479" s="312" t="s">
        <v>109</v>
      </c>
    </row>
    <row r="2480" spans="1:11">
      <c r="A2480" s="312" t="s">
        <v>5258</v>
      </c>
      <c r="B2480" s="312" t="s">
        <v>5259</v>
      </c>
      <c r="C2480" s="312" t="s">
        <v>105</v>
      </c>
      <c r="D2480" s="312" t="s">
        <v>312</v>
      </c>
      <c r="E2480" s="312" t="s">
        <v>107</v>
      </c>
      <c r="F2480" s="312">
        <v>1825</v>
      </c>
      <c r="G2480" s="312" t="s">
        <v>108</v>
      </c>
      <c r="H2480" s="312">
        <v>1827</v>
      </c>
      <c r="I2480" s="312" t="s">
        <v>107</v>
      </c>
      <c r="J2480" s="312">
        <v>1913</v>
      </c>
      <c r="K2480" s="312" t="s">
        <v>109</v>
      </c>
    </row>
    <row r="2481" spans="1:11">
      <c r="A2481" s="312" t="s">
        <v>5260</v>
      </c>
      <c r="B2481" s="312" t="s">
        <v>5261</v>
      </c>
      <c r="C2481" s="312" t="s">
        <v>105</v>
      </c>
      <c r="D2481" s="312" t="s">
        <v>4753</v>
      </c>
      <c r="E2481" s="312" t="s">
        <v>107</v>
      </c>
      <c r="F2481" s="312">
        <v>1825</v>
      </c>
      <c r="G2481" s="312" t="s">
        <v>108</v>
      </c>
      <c r="H2481" s="312">
        <v>1827</v>
      </c>
      <c r="I2481" s="312" t="s">
        <v>107</v>
      </c>
      <c r="J2481" s="312">
        <v>1913</v>
      </c>
      <c r="K2481" s="312" t="s">
        <v>109</v>
      </c>
    </row>
    <row r="2482" spans="1:11">
      <c r="A2482" s="312" t="s">
        <v>5262</v>
      </c>
      <c r="B2482" s="312" t="s">
        <v>5263</v>
      </c>
      <c r="C2482" s="312" t="s">
        <v>105</v>
      </c>
      <c r="D2482" s="312" t="s">
        <v>1285</v>
      </c>
      <c r="E2482" s="312" t="s">
        <v>107</v>
      </c>
      <c r="F2482" s="312">
        <v>1825</v>
      </c>
      <c r="G2482" s="312" t="s">
        <v>108</v>
      </c>
      <c r="H2482" s="312">
        <v>1827</v>
      </c>
      <c r="I2482" s="312" t="s">
        <v>107</v>
      </c>
      <c r="J2482" s="312">
        <v>1913</v>
      </c>
      <c r="K2482" s="312" t="s">
        <v>109</v>
      </c>
    </row>
    <row r="2483" spans="1:11">
      <c r="A2483" s="312" t="s">
        <v>5264</v>
      </c>
      <c r="B2483" s="312" t="s">
        <v>5265</v>
      </c>
      <c r="C2483" s="312" t="s">
        <v>105</v>
      </c>
      <c r="D2483" s="312" t="s">
        <v>252</v>
      </c>
      <c r="E2483" s="312" t="s">
        <v>167</v>
      </c>
      <c r="F2483" s="312">
        <v>1705</v>
      </c>
      <c r="G2483" s="312" t="s">
        <v>168</v>
      </c>
      <c r="H2483" s="312">
        <v>1707</v>
      </c>
      <c r="I2483" s="312" t="s">
        <v>167</v>
      </c>
      <c r="J2483" s="312">
        <v>1899</v>
      </c>
      <c r="K2483" s="312" t="s">
        <v>169</v>
      </c>
    </row>
    <row r="2484" spans="1:11">
      <c r="A2484" s="312" t="s">
        <v>5266</v>
      </c>
      <c r="B2484" s="312" t="s">
        <v>5267</v>
      </c>
      <c r="C2484" s="312" t="s">
        <v>105</v>
      </c>
      <c r="D2484" s="312" t="s">
        <v>1383</v>
      </c>
      <c r="E2484" s="312" t="s">
        <v>167</v>
      </c>
      <c r="F2484" s="312">
        <v>1705</v>
      </c>
      <c r="G2484" s="312" t="s">
        <v>168</v>
      </c>
      <c r="H2484" s="312">
        <v>1707</v>
      </c>
      <c r="I2484" s="312" t="s">
        <v>167</v>
      </c>
      <c r="J2484" s="312">
        <v>1899</v>
      </c>
      <c r="K2484" s="312" t="s">
        <v>169</v>
      </c>
    </row>
    <row r="2485" spans="1:11">
      <c r="A2485" s="312" t="s">
        <v>5268</v>
      </c>
      <c r="B2485" s="312" t="s">
        <v>5269</v>
      </c>
      <c r="C2485" s="312" t="s">
        <v>105</v>
      </c>
      <c r="D2485" s="312" t="s">
        <v>114</v>
      </c>
      <c r="E2485" s="312" t="s">
        <v>107</v>
      </c>
      <c r="F2485" s="312">
        <v>1825</v>
      </c>
      <c r="G2485" s="312" t="s">
        <v>108</v>
      </c>
      <c r="H2485" s="312">
        <v>1827</v>
      </c>
      <c r="I2485" s="312" t="s">
        <v>107</v>
      </c>
      <c r="J2485" s="312">
        <v>1913</v>
      </c>
      <c r="K2485" s="312" t="s">
        <v>109</v>
      </c>
    </row>
    <row r="2486" spans="1:11">
      <c r="A2486" s="312" t="s">
        <v>5270</v>
      </c>
      <c r="B2486" s="312" t="s">
        <v>5271</v>
      </c>
      <c r="C2486" s="312" t="s">
        <v>105</v>
      </c>
      <c r="D2486" s="312" t="s">
        <v>477</v>
      </c>
      <c r="E2486" s="312" t="s">
        <v>107</v>
      </c>
      <c r="F2486" s="312">
        <v>1825</v>
      </c>
      <c r="G2486" s="312" t="s">
        <v>108</v>
      </c>
      <c r="H2486" s="312">
        <v>1827</v>
      </c>
      <c r="I2486" s="312" t="s">
        <v>107</v>
      </c>
      <c r="J2486" s="312">
        <v>1913</v>
      </c>
      <c r="K2486" s="312" t="s">
        <v>109</v>
      </c>
    </row>
    <row r="2487" spans="1:11">
      <c r="A2487" s="312" t="s">
        <v>5272</v>
      </c>
      <c r="B2487" s="312" t="s">
        <v>5273</v>
      </c>
      <c r="C2487" s="312" t="s">
        <v>105</v>
      </c>
      <c r="D2487" s="312" t="s">
        <v>556</v>
      </c>
      <c r="E2487" s="312" t="s">
        <v>107</v>
      </c>
      <c r="F2487" s="312">
        <v>1825</v>
      </c>
      <c r="G2487" s="312" t="s">
        <v>108</v>
      </c>
      <c r="H2487" s="312">
        <v>1827</v>
      </c>
      <c r="I2487" s="312" t="s">
        <v>107</v>
      </c>
      <c r="J2487" s="312">
        <v>1913</v>
      </c>
      <c r="K2487" s="312" t="s">
        <v>109</v>
      </c>
    </row>
    <row r="2488" spans="1:11">
      <c r="A2488" s="312" t="s">
        <v>5274</v>
      </c>
      <c r="B2488" s="312" t="s">
        <v>5275</v>
      </c>
      <c r="C2488" s="312" t="s">
        <v>105</v>
      </c>
      <c r="D2488" s="312" t="s">
        <v>556</v>
      </c>
      <c r="E2488" s="312" t="s">
        <v>107</v>
      </c>
      <c r="F2488" s="312">
        <v>1825</v>
      </c>
      <c r="G2488" s="312" t="s">
        <v>108</v>
      </c>
      <c r="H2488" s="312">
        <v>1827</v>
      </c>
      <c r="I2488" s="312" t="s">
        <v>107</v>
      </c>
      <c r="J2488" s="312">
        <v>1913</v>
      </c>
      <c r="K2488" s="312" t="s">
        <v>109</v>
      </c>
    </row>
    <row r="2489" spans="1:11">
      <c r="A2489" s="312" t="s">
        <v>5276</v>
      </c>
      <c r="B2489" s="312" t="s">
        <v>5277</v>
      </c>
      <c r="C2489" s="312" t="s">
        <v>105</v>
      </c>
      <c r="D2489" s="312" t="s">
        <v>228</v>
      </c>
      <c r="E2489" s="312" t="s">
        <v>167</v>
      </c>
      <c r="F2489" s="312">
        <v>1705</v>
      </c>
      <c r="G2489" s="312" t="s">
        <v>168</v>
      </c>
      <c r="H2489" s="312">
        <v>1707</v>
      </c>
      <c r="I2489" s="312" t="s">
        <v>167</v>
      </c>
      <c r="J2489" s="312">
        <v>1899</v>
      </c>
      <c r="K2489" s="312" t="s">
        <v>169</v>
      </c>
    </row>
    <row r="2490" spans="1:11">
      <c r="A2490" s="312" t="s">
        <v>5278</v>
      </c>
      <c r="B2490" s="312" t="s">
        <v>5279</v>
      </c>
      <c r="C2490" s="312" t="s">
        <v>105</v>
      </c>
      <c r="D2490" s="312" t="s">
        <v>114</v>
      </c>
      <c r="E2490" s="312" t="s">
        <v>107</v>
      </c>
      <c r="F2490" s="312">
        <v>1825</v>
      </c>
      <c r="G2490" s="312" t="s">
        <v>108</v>
      </c>
      <c r="H2490" s="312">
        <v>1827</v>
      </c>
      <c r="I2490" s="312" t="s">
        <v>107</v>
      </c>
      <c r="J2490" s="312">
        <v>1913</v>
      </c>
      <c r="K2490" s="312" t="s">
        <v>109</v>
      </c>
    </row>
    <row r="2491" spans="1:11">
      <c r="A2491" s="312" t="s">
        <v>5280</v>
      </c>
      <c r="B2491" s="312" t="s">
        <v>5281</v>
      </c>
      <c r="C2491" s="312" t="s">
        <v>105</v>
      </c>
      <c r="D2491" s="312" t="s">
        <v>114</v>
      </c>
      <c r="E2491" s="312" t="s">
        <v>107</v>
      </c>
      <c r="F2491" s="312">
        <v>1825</v>
      </c>
      <c r="G2491" s="312" t="s">
        <v>108</v>
      </c>
      <c r="H2491" s="312">
        <v>1827</v>
      </c>
      <c r="I2491" s="312" t="s">
        <v>107</v>
      </c>
      <c r="J2491" s="312">
        <v>1913</v>
      </c>
      <c r="K2491" s="312" t="s">
        <v>109</v>
      </c>
    </row>
    <row r="2492" spans="1:11">
      <c r="A2492" s="312" t="s">
        <v>5282</v>
      </c>
      <c r="B2492" s="312" t="s">
        <v>5283</v>
      </c>
      <c r="C2492" s="312" t="s">
        <v>105</v>
      </c>
      <c r="D2492" s="312" t="s">
        <v>114</v>
      </c>
      <c r="E2492" s="312" t="s">
        <v>107</v>
      </c>
      <c r="F2492" s="312">
        <v>1825</v>
      </c>
      <c r="G2492" s="312" t="s">
        <v>108</v>
      </c>
      <c r="H2492" s="312">
        <v>1827</v>
      </c>
      <c r="I2492" s="312" t="s">
        <v>107</v>
      </c>
      <c r="J2492" s="312">
        <v>1913</v>
      </c>
      <c r="K2492" s="312" t="s">
        <v>109</v>
      </c>
    </row>
    <row r="2493" spans="1:11">
      <c r="A2493" s="312" t="s">
        <v>5284</v>
      </c>
      <c r="B2493" s="312" t="s">
        <v>5285</v>
      </c>
      <c r="C2493" s="312" t="s">
        <v>105</v>
      </c>
      <c r="D2493" s="312" t="s">
        <v>114</v>
      </c>
      <c r="E2493" s="312" t="s">
        <v>107</v>
      </c>
      <c r="F2493" s="312">
        <v>1825</v>
      </c>
      <c r="G2493" s="312" t="s">
        <v>108</v>
      </c>
      <c r="H2493" s="312">
        <v>1827</v>
      </c>
      <c r="I2493" s="312" t="s">
        <v>107</v>
      </c>
      <c r="J2493" s="312">
        <v>1913</v>
      </c>
      <c r="K2493" s="312" t="s">
        <v>109</v>
      </c>
    </row>
    <row r="2494" spans="1:11">
      <c r="A2494" s="312" t="s">
        <v>5286</v>
      </c>
      <c r="B2494" s="312" t="s">
        <v>5287</v>
      </c>
      <c r="C2494" s="312" t="s">
        <v>105</v>
      </c>
      <c r="D2494" s="312" t="s">
        <v>184</v>
      </c>
      <c r="E2494" s="312" t="s">
        <v>107</v>
      </c>
      <c r="F2494" s="312">
        <v>1825</v>
      </c>
      <c r="G2494" s="312" t="s">
        <v>108</v>
      </c>
      <c r="H2494" s="312">
        <v>1827</v>
      </c>
      <c r="I2494" s="312" t="s">
        <v>107</v>
      </c>
      <c r="J2494" s="312">
        <v>1913</v>
      </c>
      <c r="K2494" s="312" t="s">
        <v>109</v>
      </c>
    </row>
    <row r="2495" spans="1:11">
      <c r="A2495" s="312" t="s">
        <v>5288</v>
      </c>
      <c r="B2495" s="312" t="s">
        <v>5289</v>
      </c>
      <c r="C2495" s="312" t="s">
        <v>105</v>
      </c>
      <c r="D2495" s="312" t="s">
        <v>184</v>
      </c>
      <c r="E2495" s="312" t="s">
        <v>107</v>
      </c>
      <c r="F2495" s="312">
        <v>1825</v>
      </c>
      <c r="G2495" s="312" t="s">
        <v>108</v>
      </c>
      <c r="H2495" s="312">
        <v>1827</v>
      </c>
      <c r="I2495" s="312" t="s">
        <v>107</v>
      </c>
      <c r="J2495" s="312">
        <v>1913</v>
      </c>
      <c r="K2495" s="312" t="s">
        <v>109</v>
      </c>
    </row>
    <row r="2496" spans="1:11">
      <c r="A2496" s="312" t="s">
        <v>5290</v>
      </c>
      <c r="B2496" s="312" t="s">
        <v>5291</v>
      </c>
      <c r="C2496" s="312" t="s">
        <v>105</v>
      </c>
      <c r="D2496" s="312" t="s">
        <v>114</v>
      </c>
      <c r="E2496" s="312" t="s">
        <v>107</v>
      </c>
      <c r="F2496" s="312">
        <v>1825</v>
      </c>
      <c r="G2496" s="312" t="s">
        <v>108</v>
      </c>
      <c r="H2496" s="312">
        <v>1827</v>
      </c>
      <c r="I2496" s="312" t="s">
        <v>107</v>
      </c>
      <c r="J2496" s="312">
        <v>1913</v>
      </c>
      <c r="K2496" s="312" t="s">
        <v>109</v>
      </c>
    </row>
    <row r="2497" spans="1:11">
      <c r="A2497" s="312" t="s">
        <v>5292</v>
      </c>
      <c r="B2497" s="312" t="s">
        <v>5293</v>
      </c>
      <c r="C2497" s="312" t="s">
        <v>105</v>
      </c>
      <c r="D2497" s="312" t="s">
        <v>5294</v>
      </c>
      <c r="E2497" s="312" t="s">
        <v>107</v>
      </c>
      <c r="F2497" s="312">
        <v>1825</v>
      </c>
      <c r="G2497" s="312" t="s">
        <v>108</v>
      </c>
      <c r="H2497" s="312">
        <v>1827</v>
      </c>
      <c r="I2497" s="312" t="s">
        <v>107</v>
      </c>
      <c r="J2497" s="312">
        <v>1913</v>
      </c>
      <c r="K2497" s="312" t="s">
        <v>109</v>
      </c>
    </row>
    <row r="2498" spans="1:11">
      <c r="A2498" s="312" t="s">
        <v>5295</v>
      </c>
      <c r="B2498" s="312" t="s">
        <v>5296</v>
      </c>
      <c r="C2498" s="312" t="s">
        <v>105</v>
      </c>
      <c r="D2498" s="312" t="s">
        <v>5294</v>
      </c>
      <c r="E2498" s="312" t="s">
        <v>107</v>
      </c>
      <c r="F2498" s="312">
        <v>1825</v>
      </c>
      <c r="G2498" s="312" t="s">
        <v>108</v>
      </c>
      <c r="H2498" s="312">
        <v>1827</v>
      </c>
      <c r="I2498" s="312" t="s">
        <v>107</v>
      </c>
      <c r="J2498" s="312">
        <v>1913</v>
      </c>
      <c r="K2498" s="312" t="s">
        <v>109</v>
      </c>
    </row>
    <row r="2499" spans="1:11">
      <c r="A2499" s="312" t="s">
        <v>5297</v>
      </c>
      <c r="B2499" s="312" t="s">
        <v>5298</v>
      </c>
      <c r="C2499" s="312" t="s">
        <v>105</v>
      </c>
      <c r="D2499" s="312" t="s">
        <v>5299</v>
      </c>
      <c r="E2499" s="312" t="s">
        <v>107</v>
      </c>
      <c r="F2499" s="312">
        <v>1825</v>
      </c>
      <c r="G2499" s="312" t="s">
        <v>108</v>
      </c>
      <c r="H2499" s="312">
        <v>1827</v>
      </c>
      <c r="I2499" s="312" t="s">
        <v>107</v>
      </c>
      <c r="J2499" s="312">
        <v>1913</v>
      </c>
      <c r="K2499" s="312" t="s">
        <v>109</v>
      </c>
    </row>
    <row r="2500" spans="1:11">
      <c r="A2500" s="312" t="s">
        <v>5300</v>
      </c>
      <c r="B2500" s="312" t="s">
        <v>5301</v>
      </c>
      <c r="C2500" s="312" t="s">
        <v>105</v>
      </c>
      <c r="D2500" s="312" t="s">
        <v>1994</v>
      </c>
      <c r="E2500" s="312" t="s">
        <v>107</v>
      </c>
      <c r="F2500" s="312">
        <v>1825</v>
      </c>
      <c r="G2500" s="312" t="s">
        <v>108</v>
      </c>
      <c r="H2500" s="312">
        <v>1827</v>
      </c>
      <c r="I2500" s="312" t="s">
        <v>107</v>
      </c>
      <c r="J2500" s="312">
        <v>1913</v>
      </c>
      <c r="K2500" s="312" t="s">
        <v>109</v>
      </c>
    </row>
    <row r="2501" spans="1:11">
      <c r="A2501" s="312" t="s">
        <v>5302</v>
      </c>
      <c r="B2501" s="312" t="s">
        <v>5303</v>
      </c>
      <c r="C2501" s="312" t="s">
        <v>105</v>
      </c>
      <c r="D2501" s="312" t="s">
        <v>1994</v>
      </c>
      <c r="E2501" s="312" t="s">
        <v>107</v>
      </c>
      <c r="F2501" s="312">
        <v>1825</v>
      </c>
      <c r="G2501" s="312" t="s">
        <v>108</v>
      </c>
      <c r="H2501" s="312">
        <v>1827</v>
      </c>
      <c r="I2501" s="312" t="s">
        <v>107</v>
      </c>
      <c r="J2501" s="312">
        <v>1913</v>
      </c>
      <c r="K2501" s="312" t="s">
        <v>109</v>
      </c>
    </row>
    <row r="2502" spans="1:11">
      <c r="A2502" s="312" t="s">
        <v>5304</v>
      </c>
      <c r="B2502" s="312" t="s">
        <v>5305</v>
      </c>
      <c r="C2502" s="312" t="s">
        <v>105</v>
      </c>
      <c r="D2502" s="312" t="s">
        <v>5294</v>
      </c>
      <c r="E2502" s="312" t="s">
        <v>107</v>
      </c>
      <c r="F2502" s="312">
        <v>1825</v>
      </c>
      <c r="G2502" s="312" t="s">
        <v>108</v>
      </c>
      <c r="H2502" s="312">
        <v>1827</v>
      </c>
      <c r="I2502" s="312" t="s">
        <v>107</v>
      </c>
      <c r="J2502" s="312">
        <v>1913</v>
      </c>
      <c r="K2502" s="312" t="s">
        <v>109</v>
      </c>
    </row>
    <row r="2503" spans="1:11">
      <c r="A2503" s="312" t="s">
        <v>5306</v>
      </c>
      <c r="B2503" s="312" t="s">
        <v>5307</v>
      </c>
      <c r="C2503" s="312" t="s">
        <v>105</v>
      </c>
      <c r="D2503" s="312" t="s">
        <v>5294</v>
      </c>
      <c r="E2503" s="312" t="s">
        <v>107</v>
      </c>
      <c r="F2503" s="312">
        <v>1825</v>
      </c>
      <c r="G2503" s="312" t="s">
        <v>108</v>
      </c>
      <c r="H2503" s="312">
        <v>1827</v>
      </c>
      <c r="I2503" s="312" t="s">
        <v>107</v>
      </c>
      <c r="J2503" s="312">
        <v>1913</v>
      </c>
      <c r="K2503" s="312" t="s">
        <v>109</v>
      </c>
    </row>
    <row r="2504" spans="1:11">
      <c r="A2504" s="312" t="s">
        <v>5308</v>
      </c>
      <c r="B2504" s="312" t="s">
        <v>5309</v>
      </c>
      <c r="C2504" s="312" t="s">
        <v>105</v>
      </c>
      <c r="D2504" s="312" t="s">
        <v>1307</v>
      </c>
      <c r="E2504" s="312" t="s">
        <v>167</v>
      </c>
      <c r="F2504" s="312">
        <v>1705</v>
      </c>
      <c r="G2504" s="312" t="s">
        <v>168</v>
      </c>
      <c r="H2504" s="312">
        <v>1707</v>
      </c>
      <c r="I2504" s="312" t="s">
        <v>167</v>
      </c>
      <c r="J2504" s="312">
        <v>1899</v>
      </c>
      <c r="K2504" s="312" t="s">
        <v>169</v>
      </c>
    </row>
    <row r="2505" spans="1:11">
      <c r="A2505" s="312" t="s">
        <v>5310</v>
      </c>
      <c r="B2505" s="312" t="s">
        <v>5311</v>
      </c>
      <c r="C2505" s="312" t="s">
        <v>105</v>
      </c>
      <c r="D2505" s="312" t="s">
        <v>221</v>
      </c>
      <c r="E2505" s="312" t="s">
        <v>107</v>
      </c>
      <c r="F2505" s="312">
        <v>1825</v>
      </c>
      <c r="G2505" s="312" t="s">
        <v>108</v>
      </c>
      <c r="H2505" s="312">
        <v>1827</v>
      </c>
      <c r="I2505" s="312" t="s">
        <v>107</v>
      </c>
      <c r="J2505" s="312">
        <v>1913</v>
      </c>
      <c r="K2505" s="312" t="s">
        <v>109</v>
      </c>
    </row>
    <row r="2506" spans="1:11">
      <c r="A2506" s="312" t="s">
        <v>5312</v>
      </c>
      <c r="B2506" s="312" t="s">
        <v>5313</v>
      </c>
      <c r="C2506" s="312" t="s">
        <v>105</v>
      </c>
      <c r="D2506" s="312" t="s">
        <v>1307</v>
      </c>
      <c r="E2506" s="312" t="s">
        <v>167</v>
      </c>
      <c r="F2506" s="312">
        <v>1705</v>
      </c>
      <c r="G2506" s="312" t="s">
        <v>168</v>
      </c>
      <c r="H2506" s="312">
        <v>1707</v>
      </c>
      <c r="I2506" s="312" t="s">
        <v>167</v>
      </c>
      <c r="J2506" s="312">
        <v>1899</v>
      </c>
      <c r="K2506" s="312" t="s">
        <v>169</v>
      </c>
    </row>
    <row r="2507" spans="1:11">
      <c r="A2507" s="312" t="s">
        <v>5314</v>
      </c>
      <c r="B2507" s="312" t="s">
        <v>5315</v>
      </c>
      <c r="C2507" s="312" t="s">
        <v>105</v>
      </c>
      <c r="D2507" s="312" t="s">
        <v>1307</v>
      </c>
      <c r="E2507" s="312" t="s">
        <v>167</v>
      </c>
      <c r="F2507" s="312">
        <v>1705</v>
      </c>
      <c r="G2507" s="312" t="s">
        <v>168</v>
      </c>
      <c r="H2507" s="312">
        <v>1707</v>
      </c>
      <c r="I2507" s="312" t="s">
        <v>167</v>
      </c>
      <c r="J2507" s="312">
        <v>1899</v>
      </c>
      <c r="K2507" s="312" t="s">
        <v>169</v>
      </c>
    </row>
    <row r="2508" spans="1:11">
      <c r="A2508" s="312" t="s">
        <v>5316</v>
      </c>
      <c r="B2508" s="312" t="s">
        <v>5317</v>
      </c>
      <c r="C2508" s="312" t="s">
        <v>105</v>
      </c>
      <c r="D2508" s="312" t="s">
        <v>746</v>
      </c>
      <c r="E2508" s="312" t="s">
        <v>107</v>
      </c>
      <c r="F2508" s="312">
        <v>1825</v>
      </c>
      <c r="G2508" s="312" t="s">
        <v>108</v>
      </c>
      <c r="H2508" s="312">
        <v>1827</v>
      </c>
      <c r="I2508" s="312" t="s">
        <v>107</v>
      </c>
      <c r="J2508" s="312">
        <v>1913</v>
      </c>
      <c r="K2508" s="312" t="s">
        <v>109</v>
      </c>
    </row>
    <row r="2509" spans="1:11">
      <c r="A2509" s="312" t="s">
        <v>5318</v>
      </c>
      <c r="B2509" s="312" t="s">
        <v>5319</v>
      </c>
      <c r="C2509" s="312" t="s">
        <v>105</v>
      </c>
      <c r="D2509" s="312" t="s">
        <v>746</v>
      </c>
      <c r="E2509" s="312" t="s">
        <v>107</v>
      </c>
      <c r="F2509" s="312">
        <v>1825</v>
      </c>
      <c r="G2509" s="312" t="s">
        <v>108</v>
      </c>
      <c r="H2509" s="312">
        <v>1827</v>
      </c>
      <c r="I2509" s="312" t="s">
        <v>107</v>
      </c>
      <c r="J2509" s="312">
        <v>1913</v>
      </c>
      <c r="K2509" s="312" t="s">
        <v>109</v>
      </c>
    </row>
    <row r="2510" spans="1:11">
      <c r="A2510" s="312" t="s">
        <v>5320</v>
      </c>
      <c r="B2510" s="312" t="s">
        <v>5321</v>
      </c>
      <c r="C2510" s="312" t="s">
        <v>105</v>
      </c>
      <c r="D2510" s="312" t="s">
        <v>1156</v>
      </c>
      <c r="E2510" s="312" t="s">
        <v>107</v>
      </c>
      <c r="F2510" s="312">
        <v>1825</v>
      </c>
      <c r="G2510" s="312" t="s">
        <v>108</v>
      </c>
      <c r="H2510" s="312">
        <v>1827</v>
      </c>
      <c r="I2510" s="312" t="s">
        <v>107</v>
      </c>
      <c r="J2510" s="312">
        <v>1913</v>
      </c>
      <c r="K2510" s="312" t="s">
        <v>109</v>
      </c>
    </row>
    <row r="2511" spans="1:11">
      <c r="A2511" s="312" t="s">
        <v>5322</v>
      </c>
      <c r="B2511" s="312" t="s">
        <v>5323</v>
      </c>
      <c r="C2511" s="312" t="s">
        <v>105</v>
      </c>
      <c r="D2511" s="312" t="s">
        <v>114</v>
      </c>
      <c r="E2511" s="312" t="s">
        <v>107</v>
      </c>
      <c r="F2511" s="312">
        <v>1825</v>
      </c>
      <c r="G2511" s="312" t="s">
        <v>108</v>
      </c>
      <c r="H2511" s="312">
        <v>1827</v>
      </c>
      <c r="I2511" s="312" t="s">
        <v>107</v>
      </c>
      <c r="J2511" s="312">
        <v>1913</v>
      </c>
      <c r="K2511" s="312" t="s">
        <v>109</v>
      </c>
    </row>
    <row r="2512" spans="1:11">
      <c r="A2512" s="312" t="s">
        <v>5324</v>
      </c>
      <c r="B2512" s="312" t="s">
        <v>5325</v>
      </c>
      <c r="C2512" s="312" t="s">
        <v>105</v>
      </c>
      <c r="D2512" s="312" t="s">
        <v>570</v>
      </c>
      <c r="E2512" s="312" t="s">
        <v>684</v>
      </c>
      <c r="F2512" s="312">
        <v>1750</v>
      </c>
      <c r="G2512" s="312" t="s">
        <v>685</v>
      </c>
      <c r="H2512" s="312">
        <v>1754</v>
      </c>
      <c r="I2512" s="312" t="s">
        <v>684</v>
      </c>
      <c r="J2512" s="312">
        <v>1920</v>
      </c>
      <c r="K2512" s="312" t="s">
        <v>686</v>
      </c>
    </row>
    <row r="2513" spans="1:11">
      <c r="A2513" s="312" t="s">
        <v>5326</v>
      </c>
      <c r="B2513" s="312" t="s">
        <v>5327</v>
      </c>
      <c r="C2513" s="312" t="s">
        <v>105</v>
      </c>
      <c r="D2513" s="312" t="s">
        <v>556</v>
      </c>
      <c r="E2513" s="312" t="s">
        <v>107</v>
      </c>
      <c r="F2513" s="312">
        <v>1825</v>
      </c>
      <c r="G2513" s="312" t="s">
        <v>108</v>
      </c>
      <c r="H2513" s="312">
        <v>1827</v>
      </c>
      <c r="I2513" s="312" t="s">
        <v>107</v>
      </c>
      <c r="J2513" s="312">
        <v>1913</v>
      </c>
      <c r="K2513" s="312" t="s">
        <v>109</v>
      </c>
    </row>
    <row r="2514" spans="1:11">
      <c r="A2514" s="312" t="s">
        <v>5328</v>
      </c>
      <c r="B2514" s="312" t="s">
        <v>5329</v>
      </c>
      <c r="C2514" s="312" t="s">
        <v>105</v>
      </c>
      <c r="D2514" s="312" t="s">
        <v>5330</v>
      </c>
      <c r="E2514" s="312" t="s">
        <v>107</v>
      </c>
      <c r="F2514" s="312">
        <v>1825</v>
      </c>
      <c r="G2514" s="312" t="s">
        <v>108</v>
      </c>
      <c r="H2514" s="312">
        <v>1827</v>
      </c>
      <c r="I2514" s="312" t="s">
        <v>107</v>
      </c>
      <c r="J2514" s="312">
        <v>1913</v>
      </c>
      <c r="K2514" s="312" t="s">
        <v>109</v>
      </c>
    </row>
    <row r="2515" spans="1:11">
      <c r="A2515" s="312" t="s">
        <v>5331</v>
      </c>
      <c r="B2515" s="312" t="s">
        <v>5332</v>
      </c>
      <c r="C2515" s="312" t="s">
        <v>105</v>
      </c>
      <c r="D2515" s="312" t="s">
        <v>576</v>
      </c>
      <c r="E2515" s="312" t="s">
        <v>107</v>
      </c>
      <c r="F2515" s="312">
        <v>1825</v>
      </c>
      <c r="G2515" s="312" t="s">
        <v>108</v>
      </c>
      <c r="H2515" s="312">
        <v>1827</v>
      </c>
      <c r="I2515" s="312" t="s">
        <v>107</v>
      </c>
      <c r="J2515" s="312">
        <v>1913</v>
      </c>
      <c r="K2515" s="312" t="s">
        <v>109</v>
      </c>
    </row>
    <row r="2516" spans="1:11">
      <c r="A2516" s="312" t="s">
        <v>5333</v>
      </c>
      <c r="B2516" s="312" t="s">
        <v>5334</v>
      </c>
      <c r="C2516" s="312" t="s">
        <v>105</v>
      </c>
      <c r="D2516" s="312" t="s">
        <v>483</v>
      </c>
      <c r="E2516" s="312" t="s">
        <v>466</v>
      </c>
      <c r="F2516" s="312">
        <v>1796</v>
      </c>
      <c r="G2516" s="312" t="s">
        <v>467</v>
      </c>
      <c r="H2516" s="312">
        <v>1799</v>
      </c>
      <c r="I2516" s="312" t="s">
        <v>466</v>
      </c>
      <c r="J2516" s="312">
        <v>1918</v>
      </c>
      <c r="K2516" s="312" t="s">
        <v>468</v>
      </c>
    </row>
    <row r="2517" spans="1:11">
      <c r="A2517" s="312" t="s">
        <v>5335</v>
      </c>
      <c r="B2517" s="312" t="s">
        <v>5336</v>
      </c>
      <c r="C2517" s="312" t="s">
        <v>105</v>
      </c>
      <c r="D2517" s="312" t="s">
        <v>483</v>
      </c>
      <c r="E2517" s="312" t="s">
        <v>466</v>
      </c>
      <c r="F2517" s="312">
        <v>1796</v>
      </c>
      <c r="G2517" s="312" t="s">
        <v>467</v>
      </c>
      <c r="H2517" s="312">
        <v>1799</v>
      </c>
      <c r="I2517" s="312" t="s">
        <v>466</v>
      </c>
      <c r="J2517" s="312">
        <v>1918</v>
      </c>
      <c r="K2517" s="312" t="s">
        <v>468</v>
      </c>
    </row>
    <row r="2518" spans="1:11">
      <c r="A2518" s="312" t="s">
        <v>5337</v>
      </c>
      <c r="B2518" s="312" t="s">
        <v>5338</v>
      </c>
      <c r="C2518" s="312" t="s">
        <v>105</v>
      </c>
      <c r="D2518" s="312" t="s">
        <v>483</v>
      </c>
      <c r="E2518" s="312" t="s">
        <v>466</v>
      </c>
      <c r="F2518" s="312">
        <v>1796</v>
      </c>
      <c r="G2518" s="312" t="s">
        <v>467</v>
      </c>
      <c r="H2518" s="312">
        <v>1799</v>
      </c>
      <c r="I2518" s="312" t="s">
        <v>466</v>
      </c>
      <c r="J2518" s="312">
        <v>1918</v>
      </c>
      <c r="K2518" s="312" t="s">
        <v>468</v>
      </c>
    </row>
    <row r="2519" spans="1:11">
      <c r="A2519" s="312" t="s">
        <v>5339</v>
      </c>
      <c r="B2519" s="312" t="s">
        <v>5340</v>
      </c>
      <c r="C2519" s="312" t="s">
        <v>105</v>
      </c>
      <c r="D2519" s="312" t="s">
        <v>483</v>
      </c>
      <c r="E2519" s="312" t="s">
        <v>466</v>
      </c>
      <c r="F2519" s="312">
        <v>1796</v>
      </c>
      <c r="G2519" s="312" t="s">
        <v>467</v>
      </c>
      <c r="H2519" s="312">
        <v>1799</v>
      </c>
      <c r="I2519" s="312" t="s">
        <v>466</v>
      </c>
      <c r="J2519" s="312">
        <v>1918</v>
      </c>
      <c r="K2519" s="312" t="s">
        <v>468</v>
      </c>
    </row>
    <row r="2520" spans="1:11">
      <c r="A2520" s="312" t="s">
        <v>5341</v>
      </c>
      <c r="B2520" s="312" t="s">
        <v>5342</v>
      </c>
      <c r="C2520" s="312" t="s">
        <v>105</v>
      </c>
      <c r="D2520" s="312" t="s">
        <v>483</v>
      </c>
      <c r="E2520" s="312" t="s">
        <v>466</v>
      </c>
      <c r="F2520" s="312">
        <v>1796</v>
      </c>
      <c r="G2520" s="312" t="s">
        <v>467</v>
      </c>
      <c r="H2520" s="312">
        <v>1799</v>
      </c>
      <c r="I2520" s="312" t="s">
        <v>466</v>
      </c>
      <c r="J2520" s="312">
        <v>1918</v>
      </c>
      <c r="K2520" s="312" t="s">
        <v>468</v>
      </c>
    </row>
    <row r="2521" spans="1:11">
      <c r="A2521" s="312" t="s">
        <v>5343</v>
      </c>
      <c r="B2521" s="312" t="s">
        <v>5344</v>
      </c>
      <c r="C2521" s="312" t="s">
        <v>105</v>
      </c>
      <c r="D2521" s="312" t="s">
        <v>483</v>
      </c>
      <c r="E2521" s="312" t="s">
        <v>466</v>
      </c>
      <c r="F2521" s="312">
        <v>1796</v>
      </c>
      <c r="G2521" s="312" t="s">
        <v>467</v>
      </c>
      <c r="H2521" s="312">
        <v>1799</v>
      </c>
      <c r="I2521" s="312" t="s">
        <v>466</v>
      </c>
      <c r="J2521" s="312">
        <v>1918</v>
      </c>
      <c r="K2521" s="312" t="s">
        <v>468</v>
      </c>
    </row>
    <row r="2522" spans="1:11">
      <c r="A2522" s="312" t="s">
        <v>5345</v>
      </c>
      <c r="B2522" s="312" t="s">
        <v>5346</v>
      </c>
      <c r="C2522" s="312" t="s">
        <v>105</v>
      </c>
      <c r="D2522" s="312" t="s">
        <v>483</v>
      </c>
      <c r="E2522" s="312" t="s">
        <v>466</v>
      </c>
      <c r="F2522" s="312">
        <v>1796</v>
      </c>
      <c r="G2522" s="312" t="s">
        <v>467</v>
      </c>
      <c r="H2522" s="312">
        <v>1799</v>
      </c>
      <c r="I2522" s="312" t="s">
        <v>466</v>
      </c>
      <c r="J2522" s="312">
        <v>1918</v>
      </c>
      <c r="K2522" s="312" t="s">
        <v>468</v>
      </c>
    </row>
    <row r="2523" spans="1:11">
      <c r="A2523" s="312" t="s">
        <v>5347</v>
      </c>
      <c r="B2523" s="312" t="s">
        <v>5348</v>
      </c>
      <c r="C2523" s="312" t="s">
        <v>105</v>
      </c>
      <c r="D2523" s="312" t="s">
        <v>483</v>
      </c>
      <c r="E2523" s="312" t="s">
        <v>466</v>
      </c>
      <c r="F2523" s="312">
        <v>1796</v>
      </c>
      <c r="G2523" s="312" t="s">
        <v>467</v>
      </c>
      <c r="H2523" s="312">
        <v>1799</v>
      </c>
      <c r="I2523" s="312" t="s">
        <v>466</v>
      </c>
      <c r="J2523" s="312">
        <v>1918</v>
      </c>
      <c r="K2523" s="312" t="s">
        <v>468</v>
      </c>
    </row>
    <row r="2524" spans="1:11">
      <c r="A2524" s="312" t="s">
        <v>5349</v>
      </c>
      <c r="B2524" s="312" t="s">
        <v>5350</v>
      </c>
      <c r="C2524" s="312" t="s">
        <v>105</v>
      </c>
      <c r="D2524" s="312" t="s">
        <v>483</v>
      </c>
      <c r="E2524" s="312" t="s">
        <v>466</v>
      </c>
      <c r="F2524" s="312">
        <v>1796</v>
      </c>
      <c r="G2524" s="312" t="s">
        <v>467</v>
      </c>
      <c r="H2524" s="312">
        <v>1799</v>
      </c>
      <c r="I2524" s="312" t="s">
        <v>466</v>
      </c>
      <c r="J2524" s="312">
        <v>1918</v>
      </c>
      <c r="K2524" s="312" t="s">
        <v>468</v>
      </c>
    </row>
    <row r="2525" spans="1:11">
      <c r="A2525" s="312" t="s">
        <v>5351</v>
      </c>
      <c r="B2525" s="312" t="s">
        <v>5352</v>
      </c>
      <c r="C2525" s="312" t="s">
        <v>105</v>
      </c>
      <c r="D2525" s="312" t="s">
        <v>483</v>
      </c>
      <c r="E2525" s="312" t="s">
        <v>466</v>
      </c>
      <c r="F2525" s="312">
        <v>1796</v>
      </c>
      <c r="G2525" s="312" t="s">
        <v>467</v>
      </c>
      <c r="H2525" s="312">
        <v>1799</v>
      </c>
      <c r="I2525" s="312" t="s">
        <v>466</v>
      </c>
      <c r="J2525" s="312">
        <v>1918</v>
      </c>
      <c r="K2525" s="312" t="s">
        <v>468</v>
      </c>
    </row>
    <row r="2526" spans="1:11">
      <c r="A2526" s="312" t="s">
        <v>5353</v>
      </c>
      <c r="B2526" s="312" t="s">
        <v>5354</v>
      </c>
      <c r="C2526" s="312" t="s">
        <v>105</v>
      </c>
      <c r="D2526" s="312" t="s">
        <v>483</v>
      </c>
      <c r="E2526" s="312" t="s">
        <v>466</v>
      </c>
      <c r="F2526" s="312">
        <v>1796</v>
      </c>
      <c r="G2526" s="312" t="s">
        <v>467</v>
      </c>
      <c r="H2526" s="312">
        <v>1799</v>
      </c>
      <c r="I2526" s="312" t="s">
        <v>466</v>
      </c>
      <c r="J2526" s="312">
        <v>1918</v>
      </c>
      <c r="K2526" s="312" t="s">
        <v>468</v>
      </c>
    </row>
    <row r="2527" spans="1:11">
      <c r="A2527" s="312" t="s">
        <v>5355</v>
      </c>
      <c r="B2527" s="312" t="s">
        <v>5356</v>
      </c>
      <c r="C2527" s="312" t="s">
        <v>105</v>
      </c>
      <c r="D2527" s="312" t="s">
        <v>1012</v>
      </c>
      <c r="E2527" s="312" t="s">
        <v>107</v>
      </c>
      <c r="F2527" s="312">
        <v>1825</v>
      </c>
      <c r="G2527" s="312" t="s">
        <v>108</v>
      </c>
      <c r="H2527" s="312">
        <v>1827</v>
      </c>
      <c r="I2527" s="312" t="s">
        <v>107</v>
      </c>
      <c r="J2527" s="312">
        <v>1913</v>
      </c>
      <c r="K2527" s="312" t="s">
        <v>109</v>
      </c>
    </row>
    <row r="2528" spans="1:11">
      <c r="A2528" s="312" t="s">
        <v>5357</v>
      </c>
      <c r="B2528" s="312" t="s">
        <v>5358</v>
      </c>
      <c r="C2528" s="312" t="s">
        <v>105</v>
      </c>
      <c r="D2528" s="312" t="s">
        <v>556</v>
      </c>
      <c r="E2528" s="312" t="s">
        <v>107</v>
      </c>
      <c r="F2528" s="312">
        <v>1825</v>
      </c>
      <c r="G2528" s="312" t="s">
        <v>108</v>
      </c>
      <c r="H2528" s="312">
        <v>1827</v>
      </c>
      <c r="I2528" s="312" t="s">
        <v>107</v>
      </c>
      <c r="J2528" s="312">
        <v>1913</v>
      </c>
      <c r="K2528" s="312" t="s">
        <v>109</v>
      </c>
    </row>
    <row r="2529" spans="1:11">
      <c r="A2529" s="312" t="s">
        <v>5359</v>
      </c>
      <c r="B2529" s="312" t="s">
        <v>5360</v>
      </c>
      <c r="C2529" s="312" t="s">
        <v>105</v>
      </c>
      <c r="D2529" s="312" t="s">
        <v>114</v>
      </c>
      <c r="E2529" s="312" t="s">
        <v>107</v>
      </c>
      <c r="F2529" s="312">
        <v>1825</v>
      </c>
      <c r="G2529" s="312" t="s">
        <v>108</v>
      </c>
      <c r="H2529" s="312">
        <v>1827</v>
      </c>
      <c r="I2529" s="312" t="s">
        <v>107</v>
      </c>
      <c r="J2529" s="312">
        <v>1913</v>
      </c>
      <c r="K2529" s="312" t="s">
        <v>109</v>
      </c>
    </row>
    <row r="2530" spans="1:11">
      <c r="A2530" s="312" t="s">
        <v>5361</v>
      </c>
      <c r="B2530" s="312" t="s">
        <v>5362</v>
      </c>
      <c r="C2530" s="312" t="s">
        <v>105</v>
      </c>
      <c r="D2530" s="312" t="s">
        <v>603</v>
      </c>
      <c r="E2530" s="312" t="s">
        <v>466</v>
      </c>
      <c r="F2530" s="312">
        <v>1796</v>
      </c>
      <c r="G2530" s="312" t="s">
        <v>467</v>
      </c>
      <c r="H2530" s="312">
        <v>1799</v>
      </c>
      <c r="I2530" s="312" t="s">
        <v>466</v>
      </c>
      <c r="J2530" s="312">
        <v>1918</v>
      </c>
      <c r="K2530" s="312" t="s">
        <v>468</v>
      </c>
    </row>
    <row r="2531" spans="1:11">
      <c r="A2531" s="312" t="s">
        <v>5363</v>
      </c>
      <c r="B2531" s="312" t="s">
        <v>5364</v>
      </c>
      <c r="C2531" s="312" t="s">
        <v>105</v>
      </c>
      <c r="D2531" s="312" t="s">
        <v>352</v>
      </c>
      <c r="E2531" s="312" t="s">
        <v>466</v>
      </c>
      <c r="F2531" s="312">
        <v>1796</v>
      </c>
      <c r="G2531" s="312" t="s">
        <v>467</v>
      </c>
      <c r="H2531" s="312">
        <v>1799</v>
      </c>
      <c r="I2531" s="312" t="s">
        <v>466</v>
      </c>
      <c r="J2531" s="312">
        <v>1918</v>
      </c>
      <c r="K2531" s="312" t="s">
        <v>468</v>
      </c>
    </row>
    <row r="2532" spans="1:11">
      <c r="A2532" s="312" t="s">
        <v>5365</v>
      </c>
      <c r="B2532" s="312" t="s">
        <v>5366</v>
      </c>
      <c r="C2532" s="312" t="s">
        <v>105</v>
      </c>
      <c r="D2532" s="312" t="s">
        <v>379</v>
      </c>
      <c r="E2532" s="312" t="s">
        <v>107</v>
      </c>
      <c r="F2532" s="312">
        <v>1825</v>
      </c>
      <c r="G2532" s="312" t="s">
        <v>108</v>
      </c>
      <c r="H2532" s="312">
        <v>1827</v>
      </c>
      <c r="I2532" s="312" t="s">
        <v>107</v>
      </c>
      <c r="J2532" s="312">
        <v>1913</v>
      </c>
      <c r="K2532" s="312" t="s">
        <v>109</v>
      </c>
    </row>
    <row r="2533" spans="1:11">
      <c r="A2533" s="312" t="s">
        <v>5367</v>
      </c>
      <c r="B2533" s="312" t="s">
        <v>5368</v>
      </c>
      <c r="C2533" s="312" t="s">
        <v>105</v>
      </c>
      <c r="D2533" s="312" t="s">
        <v>379</v>
      </c>
      <c r="E2533" s="312" t="s">
        <v>107</v>
      </c>
      <c r="F2533" s="312">
        <v>1825</v>
      </c>
      <c r="G2533" s="312" t="s">
        <v>108</v>
      </c>
      <c r="H2533" s="312">
        <v>1827</v>
      </c>
      <c r="I2533" s="312" t="s">
        <v>107</v>
      </c>
      <c r="J2533" s="312">
        <v>1913</v>
      </c>
      <c r="K2533" s="312" t="s">
        <v>109</v>
      </c>
    </row>
    <row r="2534" spans="1:11">
      <c r="A2534" s="312" t="s">
        <v>5369</v>
      </c>
      <c r="B2534" s="312" t="s">
        <v>5370</v>
      </c>
      <c r="C2534" s="312" t="s">
        <v>105</v>
      </c>
      <c r="D2534" s="312" t="s">
        <v>1156</v>
      </c>
      <c r="E2534" s="312" t="s">
        <v>107</v>
      </c>
      <c r="F2534" s="312">
        <v>1825</v>
      </c>
      <c r="G2534" s="312" t="s">
        <v>108</v>
      </c>
      <c r="H2534" s="312">
        <v>1827</v>
      </c>
      <c r="I2534" s="312" t="s">
        <v>107</v>
      </c>
      <c r="J2534" s="312">
        <v>1913</v>
      </c>
      <c r="K2534" s="312" t="s">
        <v>109</v>
      </c>
    </row>
    <row r="2535" spans="1:11">
      <c r="A2535" s="312" t="s">
        <v>5371</v>
      </c>
      <c r="B2535" s="312" t="s">
        <v>5372</v>
      </c>
      <c r="C2535" s="312" t="s">
        <v>105</v>
      </c>
      <c r="D2535" s="312" t="s">
        <v>556</v>
      </c>
      <c r="E2535" s="312" t="s">
        <v>107</v>
      </c>
      <c r="F2535" s="312">
        <v>1825</v>
      </c>
      <c r="G2535" s="312" t="s">
        <v>108</v>
      </c>
      <c r="H2535" s="312">
        <v>1827</v>
      </c>
      <c r="I2535" s="312" t="s">
        <v>107</v>
      </c>
      <c r="J2535" s="312">
        <v>1913</v>
      </c>
      <c r="K2535" s="312" t="s">
        <v>109</v>
      </c>
    </row>
    <row r="2536" spans="1:11">
      <c r="A2536" s="312" t="s">
        <v>5373</v>
      </c>
      <c r="B2536" s="312" t="s">
        <v>5374</v>
      </c>
      <c r="C2536" s="312" t="s">
        <v>105</v>
      </c>
      <c r="D2536" s="312" t="s">
        <v>556</v>
      </c>
      <c r="E2536" s="312" t="s">
        <v>107</v>
      </c>
      <c r="F2536" s="312">
        <v>1825</v>
      </c>
      <c r="G2536" s="312" t="s">
        <v>108</v>
      </c>
      <c r="H2536" s="312">
        <v>1827</v>
      </c>
      <c r="I2536" s="312" t="s">
        <v>107</v>
      </c>
      <c r="J2536" s="312">
        <v>1913</v>
      </c>
      <c r="K2536" s="312" t="s">
        <v>109</v>
      </c>
    </row>
    <row r="2537" spans="1:11">
      <c r="A2537" s="312" t="s">
        <v>5375</v>
      </c>
      <c r="B2537" s="312" t="s">
        <v>5376</v>
      </c>
      <c r="C2537" s="312" t="s">
        <v>105</v>
      </c>
      <c r="D2537" s="312" t="s">
        <v>312</v>
      </c>
      <c r="E2537" s="312" t="s">
        <v>107</v>
      </c>
      <c r="F2537" s="312">
        <v>1825</v>
      </c>
      <c r="G2537" s="312" t="s">
        <v>108</v>
      </c>
      <c r="H2537" s="312">
        <v>1827</v>
      </c>
      <c r="I2537" s="312" t="s">
        <v>107</v>
      </c>
      <c r="J2537" s="312">
        <v>1913</v>
      </c>
      <c r="K2537" s="312" t="s">
        <v>109</v>
      </c>
    </row>
    <row r="2538" spans="1:11">
      <c r="A2538" s="312" t="s">
        <v>5377</v>
      </c>
      <c r="B2538" s="312" t="s">
        <v>5378</v>
      </c>
      <c r="C2538" s="312" t="s">
        <v>105</v>
      </c>
      <c r="D2538" s="312" t="s">
        <v>114</v>
      </c>
      <c r="E2538" s="312" t="s">
        <v>107</v>
      </c>
      <c r="F2538" s="312">
        <v>1825</v>
      </c>
      <c r="G2538" s="312" t="s">
        <v>108</v>
      </c>
      <c r="H2538" s="312">
        <v>1827</v>
      </c>
      <c r="I2538" s="312" t="s">
        <v>107</v>
      </c>
      <c r="J2538" s="312">
        <v>1913</v>
      </c>
      <c r="K2538" s="312" t="s">
        <v>109</v>
      </c>
    </row>
    <row r="2539" spans="1:11">
      <c r="A2539" s="312" t="s">
        <v>5379</v>
      </c>
      <c r="B2539" s="312" t="s">
        <v>5380</v>
      </c>
      <c r="C2539" s="312" t="s">
        <v>105</v>
      </c>
      <c r="D2539" s="312" t="s">
        <v>312</v>
      </c>
      <c r="E2539" s="312" t="s">
        <v>107</v>
      </c>
      <c r="F2539" s="312">
        <v>1825</v>
      </c>
      <c r="G2539" s="312" t="s">
        <v>108</v>
      </c>
      <c r="H2539" s="312">
        <v>1827</v>
      </c>
      <c r="I2539" s="312" t="s">
        <v>107</v>
      </c>
      <c r="J2539" s="312">
        <v>1913</v>
      </c>
      <c r="K2539" s="312" t="s">
        <v>109</v>
      </c>
    </row>
    <row r="2540" spans="1:11">
      <c r="A2540" s="312" t="s">
        <v>5381</v>
      </c>
      <c r="B2540" s="312" t="s">
        <v>5382</v>
      </c>
      <c r="C2540" s="312" t="s">
        <v>105</v>
      </c>
      <c r="D2540" s="312" t="s">
        <v>312</v>
      </c>
      <c r="E2540" s="312" t="s">
        <v>107</v>
      </c>
      <c r="F2540" s="312">
        <v>1825</v>
      </c>
      <c r="G2540" s="312" t="s">
        <v>108</v>
      </c>
      <c r="H2540" s="312">
        <v>1827</v>
      </c>
      <c r="I2540" s="312" t="s">
        <v>107</v>
      </c>
      <c r="J2540" s="312">
        <v>1913</v>
      </c>
      <c r="K2540" s="312" t="s">
        <v>109</v>
      </c>
    </row>
    <row r="2541" spans="1:11">
      <c r="A2541" s="312" t="s">
        <v>5383</v>
      </c>
      <c r="B2541" s="312" t="s">
        <v>5384</v>
      </c>
      <c r="C2541" s="312" t="s">
        <v>105</v>
      </c>
      <c r="D2541" s="312" t="s">
        <v>312</v>
      </c>
      <c r="E2541" s="312" t="s">
        <v>107</v>
      </c>
      <c r="F2541" s="312">
        <v>1825</v>
      </c>
      <c r="G2541" s="312" t="s">
        <v>108</v>
      </c>
      <c r="H2541" s="312">
        <v>1827</v>
      </c>
      <c r="I2541" s="312" t="s">
        <v>107</v>
      </c>
      <c r="J2541" s="312">
        <v>1913</v>
      </c>
      <c r="K2541" s="312" t="s">
        <v>109</v>
      </c>
    </row>
    <row r="2542" spans="1:11">
      <c r="A2542" s="312" t="s">
        <v>5385</v>
      </c>
      <c r="B2542" s="312" t="s">
        <v>5386</v>
      </c>
      <c r="C2542" s="312" t="s">
        <v>105</v>
      </c>
      <c r="D2542" s="312" t="s">
        <v>312</v>
      </c>
      <c r="E2542" s="312" t="s">
        <v>107</v>
      </c>
      <c r="F2542" s="312">
        <v>1825</v>
      </c>
      <c r="G2542" s="312" t="s">
        <v>108</v>
      </c>
      <c r="H2542" s="312">
        <v>1827</v>
      </c>
      <c r="I2542" s="312" t="s">
        <v>107</v>
      </c>
      <c r="J2542" s="312">
        <v>1913</v>
      </c>
      <c r="K2542" s="312" t="s">
        <v>109</v>
      </c>
    </row>
    <row r="2543" spans="1:11">
      <c r="A2543" s="312" t="s">
        <v>5387</v>
      </c>
      <c r="B2543" s="312" t="s">
        <v>5388</v>
      </c>
      <c r="C2543" s="312" t="s">
        <v>105</v>
      </c>
      <c r="D2543" s="312" t="s">
        <v>3822</v>
      </c>
      <c r="E2543" s="312" t="s">
        <v>107</v>
      </c>
      <c r="F2543" s="312">
        <v>1825</v>
      </c>
      <c r="G2543" s="312" t="s">
        <v>108</v>
      </c>
      <c r="H2543" s="312">
        <v>1827</v>
      </c>
      <c r="I2543" s="312" t="s">
        <v>107</v>
      </c>
      <c r="J2543" s="312">
        <v>1913</v>
      </c>
      <c r="K2543" s="312" t="s">
        <v>109</v>
      </c>
    </row>
    <row r="2544" spans="1:11">
      <c r="A2544" s="312" t="s">
        <v>5389</v>
      </c>
      <c r="B2544" s="312" t="s">
        <v>5390</v>
      </c>
      <c r="C2544" s="312" t="s">
        <v>105</v>
      </c>
      <c r="D2544" s="312" t="s">
        <v>184</v>
      </c>
      <c r="E2544" s="312" t="s">
        <v>107</v>
      </c>
      <c r="F2544" s="312">
        <v>1825</v>
      </c>
      <c r="G2544" s="312" t="s">
        <v>108</v>
      </c>
      <c r="H2544" s="312">
        <v>1827</v>
      </c>
      <c r="I2544" s="312" t="s">
        <v>107</v>
      </c>
      <c r="J2544" s="312">
        <v>1913</v>
      </c>
      <c r="K2544" s="312" t="s">
        <v>109</v>
      </c>
    </row>
    <row r="2545" spans="1:11">
      <c r="A2545" s="312" t="s">
        <v>5391</v>
      </c>
      <c r="B2545" s="312" t="s">
        <v>5392</v>
      </c>
      <c r="C2545" s="312" t="s">
        <v>105</v>
      </c>
      <c r="D2545" s="312" t="s">
        <v>114</v>
      </c>
      <c r="E2545" s="312" t="s">
        <v>107</v>
      </c>
      <c r="F2545" s="312">
        <v>1825</v>
      </c>
      <c r="G2545" s="312" t="s">
        <v>108</v>
      </c>
      <c r="H2545" s="312">
        <v>1827</v>
      </c>
      <c r="I2545" s="312" t="s">
        <v>107</v>
      </c>
      <c r="J2545" s="312">
        <v>1913</v>
      </c>
      <c r="K2545" s="312" t="s">
        <v>109</v>
      </c>
    </row>
    <row r="2546" spans="1:11">
      <c r="A2546" s="312" t="s">
        <v>5393</v>
      </c>
      <c r="B2546" s="312" t="s">
        <v>5394</v>
      </c>
      <c r="C2546" s="312" t="s">
        <v>105</v>
      </c>
      <c r="D2546" s="312" t="s">
        <v>504</v>
      </c>
      <c r="E2546" s="312" t="s">
        <v>167</v>
      </c>
      <c r="F2546" s="312">
        <v>1705</v>
      </c>
      <c r="G2546" s="312" t="s">
        <v>168</v>
      </c>
      <c r="H2546" s="312">
        <v>1707</v>
      </c>
      <c r="I2546" s="312" t="s">
        <v>167</v>
      </c>
      <c r="J2546" s="312">
        <v>1899</v>
      </c>
      <c r="K2546" s="312" t="s">
        <v>169</v>
      </c>
    </row>
    <row r="2547" spans="1:11">
      <c r="A2547" s="312" t="s">
        <v>5395</v>
      </c>
      <c r="B2547" s="312" t="s">
        <v>5396</v>
      </c>
      <c r="C2547" s="312" t="s">
        <v>105</v>
      </c>
      <c r="D2547" s="312" t="s">
        <v>517</v>
      </c>
      <c r="E2547" s="312" t="s">
        <v>107</v>
      </c>
      <c r="F2547" s="312">
        <v>1825</v>
      </c>
      <c r="G2547" s="312" t="s">
        <v>108</v>
      </c>
      <c r="H2547" s="312">
        <v>1827</v>
      </c>
      <c r="I2547" s="312" t="s">
        <v>107</v>
      </c>
      <c r="J2547" s="312">
        <v>1913</v>
      </c>
      <c r="K2547" s="312" t="s">
        <v>109</v>
      </c>
    </row>
    <row r="2548" spans="1:11">
      <c r="A2548" s="312" t="s">
        <v>5397</v>
      </c>
      <c r="B2548" s="312" t="s">
        <v>5398</v>
      </c>
      <c r="C2548" s="312" t="s">
        <v>105</v>
      </c>
      <c r="D2548" s="312" t="s">
        <v>517</v>
      </c>
      <c r="E2548" s="312" t="s">
        <v>107</v>
      </c>
      <c r="F2548" s="312">
        <v>1825</v>
      </c>
      <c r="G2548" s="312" t="s">
        <v>108</v>
      </c>
      <c r="H2548" s="312">
        <v>1827</v>
      </c>
      <c r="I2548" s="312" t="s">
        <v>107</v>
      </c>
      <c r="J2548" s="312">
        <v>1913</v>
      </c>
      <c r="K2548" s="312" t="s">
        <v>109</v>
      </c>
    </row>
    <row r="2549" spans="1:11">
      <c r="A2549" s="312" t="s">
        <v>5399</v>
      </c>
      <c r="B2549" s="312" t="s">
        <v>5400</v>
      </c>
      <c r="C2549" s="312" t="s">
        <v>105</v>
      </c>
      <c r="D2549" s="312" t="s">
        <v>5401</v>
      </c>
      <c r="E2549" s="312" t="s">
        <v>167</v>
      </c>
      <c r="F2549" s="312">
        <v>1705</v>
      </c>
      <c r="G2549" s="312" t="s">
        <v>168</v>
      </c>
      <c r="H2549" s="312">
        <v>1707</v>
      </c>
      <c r="I2549" s="312" t="s">
        <v>167</v>
      </c>
      <c r="J2549" s="312">
        <v>1899</v>
      </c>
      <c r="K2549" s="312" t="s">
        <v>169</v>
      </c>
    </row>
    <row r="2550" spans="1:11">
      <c r="A2550" s="312" t="s">
        <v>5402</v>
      </c>
      <c r="B2550" s="312" t="s">
        <v>5403</v>
      </c>
      <c r="C2550" s="312" t="s">
        <v>105</v>
      </c>
      <c r="D2550" s="312" t="s">
        <v>5401</v>
      </c>
      <c r="E2550" s="312" t="s">
        <v>167</v>
      </c>
      <c r="F2550" s="312">
        <v>1705</v>
      </c>
      <c r="G2550" s="312" t="s">
        <v>168</v>
      </c>
      <c r="H2550" s="312">
        <v>1707</v>
      </c>
      <c r="I2550" s="312" t="s">
        <v>167</v>
      </c>
      <c r="J2550" s="312">
        <v>1899</v>
      </c>
      <c r="K2550" s="312" t="s">
        <v>169</v>
      </c>
    </row>
    <row r="2551" spans="1:11">
      <c r="A2551" s="312" t="s">
        <v>5404</v>
      </c>
      <c r="B2551" s="312" t="s">
        <v>5405</v>
      </c>
      <c r="C2551" s="312" t="s">
        <v>105</v>
      </c>
      <c r="D2551" s="312" t="s">
        <v>201</v>
      </c>
      <c r="E2551" s="312" t="s">
        <v>107</v>
      </c>
      <c r="F2551" s="312">
        <v>1825</v>
      </c>
      <c r="G2551" s="312" t="s">
        <v>108</v>
      </c>
      <c r="H2551" s="312">
        <v>1827</v>
      </c>
      <c r="I2551" s="312" t="s">
        <v>107</v>
      </c>
      <c r="J2551" s="312">
        <v>1913</v>
      </c>
      <c r="K2551" s="312" t="s">
        <v>109</v>
      </c>
    </row>
    <row r="2552" spans="1:11">
      <c r="A2552" s="312" t="s">
        <v>5406</v>
      </c>
      <c r="B2552" s="312" t="s">
        <v>5407</v>
      </c>
      <c r="C2552" s="312" t="s">
        <v>105</v>
      </c>
      <c r="D2552" s="312" t="s">
        <v>201</v>
      </c>
      <c r="E2552" s="312" t="s">
        <v>107</v>
      </c>
      <c r="F2552" s="312">
        <v>1825</v>
      </c>
      <c r="G2552" s="312" t="s">
        <v>108</v>
      </c>
      <c r="H2552" s="312">
        <v>1827</v>
      </c>
      <c r="I2552" s="312" t="s">
        <v>107</v>
      </c>
      <c r="J2552" s="312">
        <v>1913</v>
      </c>
      <c r="K2552" s="312" t="s">
        <v>109</v>
      </c>
    </row>
    <row r="2553" spans="1:11">
      <c r="A2553" s="312" t="s">
        <v>5408</v>
      </c>
      <c r="B2553" s="312" t="s">
        <v>5409</v>
      </c>
      <c r="C2553" s="312" t="s">
        <v>105</v>
      </c>
      <c r="D2553" s="312" t="s">
        <v>327</v>
      </c>
      <c r="E2553" s="312" t="s">
        <v>684</v>
      </c>
      <c r="F2553" s="312">
        <v>1750</v>
      </c>
      <c r="G2553" s="312" t="s">
        <v>685</v>
      </c>
      <c r="H2553" s="312">
        <v>1754</v>
      </c>
      <c r="I2553" s="312" t="s">
        <v>684</v>
      </c>
      <c r="J2553" s="312">
        <v>1920</v>
      </c>
      <c r="K2553" s="312" t="s">
        <v>686</v>
      </c>
    </row>
    <row r="2554" spans="1:11">
      <c r="A2554" s="312" t="s">
        <v>5410</v>
      </c>
      <c r="B2554" s="1" t="s">
        <v>5411</v>
      </c>
      <c r="C2554" s="312" t="s">
        <v>105</v>
      </c>
      <c r="D2554" s="312" t="s">
        <v>228</v>
      </c>
      <c r="E2554" s="312" t="s">
        <v>107</v>
      </c>
      <c r="F2554" s="312">
        <v>1825</v>
      </c>
      <c r="G2554" s="312" t="s">
        <v>108</v>
      </c>
      <c r="H2554" s="312">
        <v>1827</v>
      </c>
      <c r="I2554" s="312" t="s">
        <v>107</v>
      </c>
      <c r="J2554" s="312">
        <v>1913</v>
      </c>
      <c r="K2554" s="312" t="s">
        <v>109</v>
      </c>
    </row>
    <row r="2555" spans="1:11">
      <c r="A2555" s="312" t="s">
        <v>5412</v>
      </c>
      <c r="B2555" s="312" t="s">
        <v>5413</v>
      </c>
      <c r="C2555" s="312" t="s">
        <v>105</v>
      </c>
      <c r="D2555" s="312" t="s">
        <v>2314</v>
      </c>
      <c r="E2555" s="312" t="s">
        <v>167</v>
      </c>
      <c r="F2555" s="312">
        <v>1705</v>
      </c>
      <c r="G2555" s="312" t="s">
        <v>168</v>
      </c>
      <c r="H2555" s="312">
        <v>1707</v>
      </c>
      <c r="I2555" s="312" t="s">
        <v>167</v>
      </c>
      <c r="J2555" s="312">
        <v>1899</v>
      </c>
      <c r="K2555" s="312" t="s">
        <v>169</v>
      </c>
    </row>
    <row r="2556" spans="1:11">
      <c r="A2556" s="312" t="s">
        <v>5414</v>
      </c>
      <c r="B2556" s="312" t="s">
        <v>5415</v>
      </c>
      <c r="C2556" s="312" t="s">
        <v>105</v>
      </c>
      <c r="D2556" s="312" t="s">
        <v>2314</v>
      </c>
      <c r="E2556" s="312" t="s">
        <v>167</v>
      </c>
      <c r="F2556" s="312">
        <v>1705</v>
      </c>
      <c r="G2556" s="312" t="s">
        <v>168</v>
      </c>
      <c r="H2556" s="312">
        <v>1707</v>
      </c>
      <c r="I2556" s="312" t="s">
        <v>167</v>
      </c>
      <c r="J2556" s="312">
        <v>1899</v>
      </c>
      <c r="K2556" s="312" t="s">
        <v>169</v>
      </c>
    </row>
    <row r="2557" spans="1:11">
      <c r="A2557" s="312" t="s">
        <v>5416</v>
      </c>
      <c r="B2557" s="312" t="s">
        <v>5417</v>
      </c>
      <c r="C2557" s="312" t="s">
        <v>105</v>
      </c>
      <c r="D2557" s="312" t="s">
        <v>2314</v>
      </c>
      <c r="E2557" s="312" t="s">
        <v>167</v>
      </c>
      <c r="F2557" s="312">
        <v>1705</v>
      </c>
      <c r="G2557" s="312" t="s">
        <v>168</v>
      </c>
      <c r="H2557" s="312">
        <v>1707</v>
      </c>
      <c r="I2557" s="312" t="s">
        <v>167</v>
      </c>
      <c r="J2557" s="312">
        <v>1899</v>
      </c>
      <c r="K2557" s="312" t="s">
        <v>169</v>
      </c>
    </row>
    <row r="2558" spans="1:11">
      <c r="A2558" s="312" t="s">
        <v>5418</v>
      </c>
      <c r="B2558" s="312" t="s">
        <v>5419</v>
      </c>
      <c r="C2558" s="312" t="s">
        <v>105</v>
      </c>
      <c r="D2558" s="312" t="s">
        <v>2314</v>
      </c>
      <c r="E2558" s="312" t="s">
        <v>167</v>
      </c>
      <c r="F2558" s="312">
        <v>1705</v>
      </c>
      <c r="G2558" s="312" t="s">
        <v>168</v>
      </c>
      <c r="H2558" s="312">
        <v>1707</v>
      </c>
      <c r="I2558" s="312" t="s">
        <v>167</v>
      </c>
      <c r="J2558" s="312">
        <v>1899</v>
      </c>
      <c r="K2558" s="312" t="s">
        <v>169</v>
      </c>
    </row>
    <row r="2559" spans="1:11">
      <c r="A2559" s="312" t="s">
        <v>5420</v>
      </c>
      <c r="B2559" s="312" t="s">
        <v>5421</v>
      </c>
      <c r="C2559" s="312" t="s">
        <v>105</v>
      </c>
      <c r="D2559" s="312" t="s">
        <v>280</v>
      </c>
      <c r="E2559" s="312" t="s">
        <v>939</v>
      </c>
      <c r="F2559" s="312">
        <v>1685</v>
      </c>
      <c r="G2559" s="312" t="s">
        <v>940</v>
      </c>
      <c r="H2559" s="312">
        <v>1688</v>
      </c>
      <c r="I2559" s="312" t="s">
        <v>939</v>
      </c>
      <c r="J2559" s="312">
        <v>1923</v>
      </c>
      <c r="K2559" s="312" t="s">
        <v>941</v>
      </c>
    </row>
    <row r="2560" spans="1:11">
      <c r="A2560" s="312" t="s">
        <v>5422</v>
      </c>
      <c r="B2560" s="312" t="s">
        <v>5423</v>
      </c>
      <c r="C2560" s="312" t="s">
        <v>105</v>
      </c>
      <c r="D2560" s="312" t="s">
        <v>1402</v>
      </c>
      <c r="E2560" s="312" t="s">
        <v>107</v>
      </c>
      <c r="F2560" s="312">
        <v>1825</v>
      </c>
      <c r="G2560" s="312" t="s">
        <v>108</v>
      </c>
      <c r="H2560" s="312">
        <v>1827</v>
      </c>
      <c r="I2560" s="312" t="s">
        <v>107</v>
      </c>
      <c r="J2560" s="312">
        <v>1913</v>
      </c>
      <c r="K2560" s="312" t="s">
        <v>109</v>
      </c>
    </row>
    <row r="2561" spans="1:11">
      <c r="A2561" s="312" t="s">
        <v>5424</v>
      </c>
      <c r="B2561" s="312" t="s">
        <v>5425</v>
      </c>
      <c r="C2561" s="312" t="s">
        <v>105</v>
      </c>
      <c r="D2561" s="312" t="s">
        <v>1402</v>
      </c>
      <c r="E2561" s="312" t="s">
        <v>107</v>
      </c>
      <c r="F2561" s="312">
        <v>1825</v>
      </c>
      <c r="G2561" s="312" t="s">
        <v>108</v>
      </c>
      <c r="H2561" s="312">
        <v>1827</v>
      </c>
      <c r="I2561" s="312" t="s">
        <v>107</v>
      </c>
      <c r="J2561" s="312">
        <v>1913</v>
      </c>
      <c r="K2561" s="312" t="s">
        <v>109</v>
      </c>
    </row>
    <row r="2562" spans="1:11">
      <c r="A2562" s="312" t="s">
        <v>5426</v>
      </c>
      <c r="B2562" s="312" t="s">
        <v>5427</v>
      </c>
      <c r="C2562" s="312" t="s">
        <v>105</v>
      </c>
      <c r="D2562" s="312" t="s">
        <v>891</v>
      </c>
      <c r="E2562" s="312" t="s">
        <v>107</v>
      </c>
      <c r="F2562" s="312">
        <v>1825</v>
      </c>
      <c r="G2562" s="312" t="s">
        <v>108</v>
      </c>
      <c r="H2562" s="312">
        <v>1827</v>
      </c>
      <c r="I2562" s="312" t="s">
        <v>107</v>
      </c>
      <c r="J2562" s="312">
        <v>1913</v>
      </c>
      <c r="K2562" s="312" t="s">
        <v>109</v>
      </c>
    </row>
    <row r="2563" spans="1:11">
      <c r="A2563" s="312" t="s">
        <v>5428</v>
      </c>
      <c r="B2563" s="312" t="s">
        <v>5429</v>
      </c>
      <c r="C2563" s="312" t="s">
        <v>105</v>
      </c>
      <c r="D2563" s="312" t="s">
        <v>891</v>
      </c>
      <c r="E2563" s="312" t="s">
        <v>107</v>
      </c>
      <c r="F2563" s="312">
        <v>1825</v>
      </c>
      <c r="G2563" s="312" t="s">
        <v>108</v>
      </c>
      <c r="H2563" s="312">
        <v>1827</v>
      </c>
      <c r="I2563" s="312" t="s">
        <v>107</v>
      </c>
      <c r="J2563" s="312">
        <v>1913</v>
      </c>
      <c r="K2563" s="312" t="s">
        <v>109</v>
      </c>
    </row>
    <row r="2564" spans="1:11">
      <c r="A2564" s="312" t="s">
        <v>5430</v>
      </c>
      <c r="B2564" s="312" t="s">
        <v>5431</v>
      </c>
      <c r="C2564" s="312" t="s">
        <v>105</v>
      </c>
      <c r="D2564" s="312" t="s">
        <v>891</v>
      </c>
      <c r="E2564" s="312" t="s">
        <v>107</v>
      </c>
      <c r="F2564" s="312">
        <v>1825</v>
      </c>
      <c r="G2564" s="312" t="s">
        <v>108</v>
      </c>
      <c r="H2564" s="312">
        <v>1827</v>
      </c>
      <c r="I2564" s="312" t="s">
        <v>107</v>
      </c>
      <c r="J2564" s="312">
        <v>1913</v>
      </c>
      <c r="K2564" s="312" t="s">
        <v>109</v>
      </c>
    </row>
    <row r="2565" spans="1:11">
      <c r="A2565" s="312" t="s">
        <v>5432</v>
      </c>
      <c r="B2565" s="312" t="s">
        <v>5433</v>
      </c>
      <c r="C2565" s="312" t="s">
        <v>105</v>
      </c>
      <c r="D2565" s="312" t="s">
        <v>891</v>
      </c>
      <c r="E2565" s="312" t="s">
        <v>107</v>
      </c>
      <c r="F2565" s="312">
        <v>1825</v>
      </c>
      <c r="G2565" s="312" t="s">
        <v>108</v>
      </c>
      <c r="H2565" s="312">
        <v>1827</v>
      </c>
      <c r="I2565" s="312" t="s">
        <v>107</v>
      </c>
      <c r="J2565" s="312">
        <v>1913</v>
      </c>
      <c r="K2565" s="312" t="s">
        <v>109</v>
      </c>
    </row>
    <row r="2566" spans="1:11">
      <c r="A2566" s="312" t="s">
        <v>5434</v>
      </c>
      <c r="B2566" s="1" t="s">
        <v>5435</v>
      </c>
      <c r="C2566" s="312" t="s">
        <v>105</v>
      </c>
      <c r="D2566" s="312" t="s">
        <v>1307</v>
      </c>
      <c r="E2566" s="312" t="s">
        <v>320</v>
      </c>
      <c r="F2566" s="312">
        <v>1716</v>
      </c>
      <c r="G2566" s="312" t="s">
        <v>321</v>
      </c>
      <c r="H2566" s="312">
        <v>1725</v>
      </c>
      <c r="I2566" s="312" t="s">
        <v>320</v>
      </c>
      <c r="J2566" s="312">
        <v>1910</v>
      </c>
      <c r="K2566" s="312" t="s">
        <v>322</v>
      </c>
    </row>
    <row r="2567" spans="1:11">
      <c r="A2567" s="312" t="s">
        <v>5436</v>
      </c>
      <c r="B2567" s="312" t="s">
        <v>5437</v>
      </c>
      <c r="C2567" s="312" t="s">
        <v>105</v>
      </c>
      <c r="D2567" s="312" t="s">
        <v>1307</v>
      </c>
      <c r="E2567" s="312" t="s">
        <v>320</v>
      </c>
      <c r="F2567" s="312">
        <v>1716</v>
      </c>
      <c r="G2567" s="312" t="s">
        <v>321</v>
      </c>
      <c r="H2567" s="312">
        <v>1725</v>
      </c>
      <c r="I2567" s="312" t="s">
        <v>320</v>
      </c>
      <c r="J2567" s="312">
        <v>1910</v>
      </c>
      <c r="K2567" s="312" t="s">
        <v>322</v>
      </c>
    </row>
    <row r="2568" spans="1:11">
      <c r="A2568" s="312" t="s">
        <v>5438</v>
      </c>
      <c r="B2568" s="312" t="s">
        <v>5439</v>
      </c>
      <c r="C2568" s="312" t="s">
        <v>105</v>
      </c>
      <c r="D2568" s="312" t="s">
        <v>1307</v>
      </c>
      <c r="E2568" s="312" t="s">
        <v>320</v>
      </c>
      <c r="F2568" s="312">
        <v>1716</v>
      </c>
      <c r="G2568" s="312" t="s">
        <v>321</v>
      </c>
      <c r="H2568" s="312">
        <v>1725</v>
      </c>
      <c r="I2568" s="312" t="s">
        <v>320</v>
      </c>
      <c r="J2568" s="312">
        <v>1910</v>
      </c>
      <c r="K2568" s="312" t="s">
        <v>322</v>
      </c>
    </row>
    <row r="2569" spans="1:11">
      <c r="A2569" s="312" t="s">
        <v>5440</v>
      </c>
      <c r="B2569" s="312" t="s">
        <v>5441</v>
      </c>
      <c r="C2569" s="312" t="s">
        <v>105</v>
      </c>
      <c r="D2569" s="312" t="s">
        <v>5442</v>
      </c>
      <c r="E2569" s="312" t="s">
        <v>3480</v>
      </c>
      <c r="F2569" s="312">
        <v>1708</v>
      </c>
      <c r="G2569" s="312" t="s">
        <v>3481</v>
      </c>
      <c r="H2569" s="312">
        <v>1710</v>
      </c>
      <c r="I2569" s="312" t="s">
        <v>3480</v>
      </c>
      <c r="J2569" s="312">
        <v>1909</v>
      </c>
      <c r="K2569" s="312" t="s">
        <v>3482</v>
      </c>
    </row>
    <row r="2570" spans="1:11">
      <c r="A2570" s="312" t="s">
        <v>5443</v>
      </c>
      <c r="B2570" s="312" t="s">
        <v>5444</v>
      </c>
      <c r="C2570" s="312" t="s">
        <v>105</v>
      </c>
      <c r="D2570" s="312" t="s">
        <v>5445</v>
      </c>
      <c r="E2570" s="312" t="s">
        <v>3480</v>
      </c>
      <c r="F2570" s="312">
        <v>1708</v>
      </c>
      <c r="G2570" s="312" t="s">
        <v>3481</v>
      </c>
      <c r="H2570" s="312">
        <v>1710</v>
      </c>
      <c r="I2570" s="312" t="s">
        <v>3480</v>
      </c>
      <c r="J2570" s="312">
        <v>1909</v>
      </c>
      <c r="K2570" s="312" t="s">
        <v>3482</v>
      </c>
    </row>
    <row r="2571" spans="1:11">
      <c r="A2571" s="312" t="s">
        <v>5446</v>
      </c>
      <c r="B2571" s="312" t="s">
        <v>5447</v>
      </c>
      <c r="C2571" s="312" t="s">
        <v>105</v>
      </c>
      <c r="D2571" s="312" t="s">
        <v>5445</v>
      </c>
      <c r="E2571" s="312" t="s">
        <v>3480</v>
      </c>
      <c r="F2571" s="312">
        <v>1708</v>
      </c>
      <c r="G2571" s="312" t="s">
        <v>3481</v>
      </c>
      <c r="H2571" s="312">
        <v>1710</v>
      </c>
      <c r="I2571" s="312" t="s">
        <v>3480</v>
      </c>
      <c r="J2571" s="312">
        <v>1909</v>
      </c>
      <c r="K2571" s="312" t="s">
        <v>3482</v>
      </c>
    </row>
    <row r="2572" spans="1:11">
      <c r="A2572" s="312" t="s">
        <v>5448</v>
      </c>
      <c r="B2572" s="312" t="s">
        <v>5449</v>
      </c>
      <c r="C2572" s="312" t="s">
        <v>105</v>
      </c>
      <c r="D2572" s="312" t="s">
        <v>5450</v>
      </c>
      <c r="E2572" s="312" t="s">
        <v>3480</v>
      </c>
      <c r="F2572" s="312">
        <v>1708</v>
      </c>
      <c r="G2572" s="312" t="s">
        <v>3481</v>
      </c>
      <c r="H2572" s="312">
        <v>1710</v>
      </c>
      <c r="I2572" s="312" t="s">
        <v>3480</v>
      </c>
      <c r="J2572" s="312">
        <v>1909</v>
      </c>
      <c r="K2572" s="312" t="s">
        <v>3482</v>
      </c>
    </row>
    <row r="2573" spans="1:11">
      <c r="A2573" s="312" t="s">
        <v>5451</v>
      </c>
      <c r="B2573" s="312" t="s">
        <v>5452</v>
      </c>
      <c r="C2573" s="312" t="s">
        <v>105</v>
      </c>
      <c r="D2573" s="312" t="s">
        <v>5450</v>
      </c>
      <c r="E2573" s="312" t="s">
        <v>3480</v>
      </c>
      <c r="F2573" s="312">
        <v>1708</v>
      </c>
      <c r="G2573" s="312" t="s">
        <v>3481</v>
      </c>
      <c r="H2573" s="312">
        <v>1710</v>
      </c>
      <c r="I2573" s="312" t="s">
        <v>3480</v>
      </c>
      <c r="J2573" s="312">
        <v>1909</v>
      </c>
      <c r="K2573" s="312" t="s">
        <v>3482</v>
      </c>
    </row>
    <row r="2574" spans="1:11">
      <c r="A2574" s="312" t="s">
        <v>5453</v>
      </c>
      <c r="B2574" s="312" t="s">
        <v>5454</v>
      </c>
      <c r="C2574" s="312" t="s">
        <v>105</v>
      </c>
      <c r="D2574" s="312" t="s">
        <v>5450</v>
      </c>
      <c r="E2574" s="312" t="s">
        <v>3480</v>
      </c>
      <c r="F2574" s="312">
        <v>1708</v>
      </c>
      <c r="G2574" s="312" t="s">
        <v>3481</v>
      </c>
      <c r="H2574" s="312">
        <v>1710</v>
      </c>
      <c r="I2574" s="312" t="s">
        <v>3480</v>
      </c>
      <c r="J2574" s="312">
        <v>1909</v>
      </c>
      <c r="K2574" s="312" t="s">
        <v>3482</v>
      </c>
    </row>
    <row r="2575" spans="1:11">
      <c r="A2575" s="312" t="s">
        <v>5455</v>
      </c>
      <c r="B2575" s="312" t="s">
        <v>5456</v>
      </c>
      <c r="C2575" s="312" t="s">
        <v>105</v>
      </c>
      <c r="D2575" s="312" t="s">
        <v>5445</v>
      </c>
      <c r="E2575" s="312" t="s">
        <v>3480</v>
      </c>
      <c r="F2575" s="312">
        <v>1708</v>
      </c>
      <c r="G2575" s="312" t="s">
        <v>3481</v>
      </c>
      <c r="H2575" s="312">
        <v>1710</v>
      </c>
      <c r="I2575" s="312" t="s">
        <v>3480</v>
      </c>
      <c r="J2575" s="312">
        <v>1909</v>
      </c>
      <c r="K2575" s="312" t="s">
        <v>3482</v>
      </c>
    </row>
    <row r="2576" spans="1:11">
      <c r="A2576" s="312" t="s">
        <v>5457</v>
      </c>
      <c r="B2576" s="312" t="s">
        <v>5458</v>
      </c>
      <c r="C2576" s="312" t="s">
        <v>105</v>
      </c>
      <c r="D2576" s="312" t="s">
        <v>5450</v>
      </c>
      <c r="E2576" s="312" t="s">
        <v>3480</v>
      </c>
      <c r="F2576" s="312">
        <v>1708</v>
      </c>
      <c r="G2576" s="312" t="s">
        <v>3481</v>
      </c>
      <c r="H2576" s="312">
        <v>1710</v>
      </c>
      <c r="I2576" s="312" t="s">
        <v>3480</v>
      </c>
      <c r="J2576" s="312">
        <v>1909</v>
      </c>
      <c r="K2576" s="312" t="s">
        <v>3482</v>
      </c>
    </row>
    <row r="2577" spans="1:11">
      <c r="A2577" s="312" t="s">
        <v>5459</v>
      </c>
      <c r="B2577" s="312" t="s">
        <v>5460</v>
      </c>
      <c r="C2577" s="312" t="s">
        <v>105</v>
      </c>
      <c r="D2577" s="312" t="s">
        <v>5461</v>
      </c>
      <c r="E2577" s="312" t="s">
        <v>3480</v>
      </c>
      <c r="F2577" s="312">
        <v>1708</v>
      </c>
      <c r="G2577" s="312" t="s">
        <v>3481</v>
      </c>
      <c r="H2577" s="312">
        <v>1710</v>
      </c>
      <c r="I2577" s="312" t="s">
        <v>3480</v>
      </c>
      <c r="J2577" s="312">
        <v>1909</v>
      </c>
      <c r="K2577" s="312" t="s">
        <v>3482</v>
      </c>
    </row>
    <row r="2578" spans="1:11">
      <c r="A2578" s="312" t="s">
        <v>5462</v>
      </c>
      <c r="B2578" s="312" t="s">
        <v>5463</v>
      </c>
      <c r="C2578" s="312" t="s">
        <v>105</v>
      </c>
      <c r="D2578" s="312" t="s">
        <v>5464</v>
      </c>
      <c r="E2578" s="312" t="s">
        <v>3480</v>
      </c>
      <c r="F2578" s="312">
        <v>1708</v>
      </c>
      <c r="G2578" s="312" t="s">
        <v>3481</v>
      </c>
      <c r="H2578" s="312">
        <v>1710</v>
      </c>
      <c r="I2578" s="312" t="s">
        <v>3480</v>
      </c>
      <c r="J2578" s="312">
        <v>1909</v>
      </c>
      <c r="K2578" s="312" t="s">
        <v>3482</v>
      </c>
    </row>
    <row r="2579" spans="1:11">
      <c r="A2579" s="312" t="s">
        <v>5465</v>
      </c>
      <c r="B2579" s="312" t="s">
        <v>5466</v>
      </c>
      <c r="C2579" s="312" t="s">
        <v>105</v>
      </c>
      <c r="D2579" s="312" t="s">
        <v>5464</v>
      </c>
      <c r="E2579" s="312" t="s">
        <v>3480</v>
      </c>
      <c r="F2579" s="312">
        <v>1708</v>
      </c>
      <c r="G2579" s="312" t="s">
        <v>3481</v>
      </c>
      <c r="H2579" s="312">
        <v>1710</v>
      </c>
      <c r="I2579" s="312" t="s">
        <v>3480</v>
      </c>
      <c r="J2579" s="312">
        <v>1909</v>
      </c>
      <c r="K2579" s="312" t="s">
        <v>3482</v>
      </c>
    </row>
    <row r="2580" spans="1:11">
      <c r="A2580" s="312" t="s">
        <v>5467</v>
      </c>
      <c r="B2580" s="312" t="s">
        <v>5468</v>
      </c>
      <c r="C2580" s="312" t="s">
        <v>105</v>
      </c>
      <c r="D2580" s="312" t="s">
        <v>5464</v>
      </c>
      <c r="E2580" s="312" t="s">
        <v>3480</v>
      </c>
      <c r="F2580" s="312">
        <v>1708</v>
      </c>
      <c r="G2580" s="312" t="s">
        <v>3481</v>
      </c>
      <c r="H2580" s="312">
        <v>1710</v>
      </c>
      <c r="I2580" s="312" t="s">
        <v>3480</v>
      </c>
      <c r="J2580" s="312">
        <v>1909</v>
      </c>
      <c r="K2580" s="312" t="s">
        <v>3482</v>
      </c>
    </row>
    <row r="2581" spans="1:11">
      <c r="A2581" s="312" t="s">
        <v>5469</v>
      </c>
      <c r="B2581" s="312" t="s">
        <v>5470</v>
      </c>
      <c r="C2581" s="312" t="s">
        <v>105</v>
      </c>
      <c r="D2581" s="312" t="s">
        <v>5464</v>
      </c>
      <c r="E2581" s="312" t="s">
        <v>3480</v>
      </c>
      <c r="F2581" s="312">
        <v>1708</v>
      </c>
      <c r="G2581" s="312" t="s">
        <v>3481</v>
      </c>
      <c r="H2581" s="312">
        <v>1710</v>
      </c>
      <c r="I2581" s="312" t="s">
        <v>3480</v>
      </c>
      <c r="J2581" s="312">
        <v>1909</v>
      </c>
      <c r="K2581" s="312" t="s">
        <v>3482</v>
      </c>
    </row>
    <row r="2582" spans="1:11">
      <c r="A2582" s="312" t="s">
        <v>5471</v>
      </c>
      <c r="B2582" s="312" t="s">
        <v>5472</v>
      </c>
      <c r="C2582" s="312" t="s">
        <v>105</v>
      </c>
      <c r="D2582" s="312" t="s">
        <v>5473</v>
      </c>
      <c r="E2582" s="312" t="s">
        <v>3480</v>
      </c>
      <c r="F2582" s="312">
        <v>1708</v>
      </c>
      <c r="G2582" s="312" t="s">
        <v>3481</v>
      </c>
      <c r="H2582" s="312">
        <v>1710</v>
      </c>
      <c r="I2582" s="312" t="s">
        <v>3480</v>
      </c>
      <c r="J2582" s="312">
        <v>1909</v>
      </c>
      <c r="K2582" s="312" t="s">
        <v>3482</v>
      </c>
    </row>
    <row r="2583" spans="1:11">
      <c r="A2583" s="312" t="s">
        <v>5474</v>
      </c>
      <c r="B2583" s="312" t="s">
        <v>5475</v>
      </c>
      <c r="C2583" s="312" t="s">
        <v>105</v>
      </c>
      <c r="D2583" s="312" t="s">
        <v>5473</v>
      </c>
      <c r="E2583" s="312" t="s">
        <v>3480</v>
      </c>
      <c r="F2583" s="312">
        <v>1708</v>
      </c>
      <c r="G2583" s="312" t="s">
        <v>3481</v>
      </c>
      <c r="H2583" s="312">
        <v>1710</v>
      </c>
      <c r="I2583" s="312" t="s">
        <v>3480</v>
      </c>
      <c r="J2583" s="312">
        <v>1909</v>
      </c>
      <c r="K2583" s="312" t="s">
        <v>3482</v>
      </c>
    </row>
    <row r="2584" spans="1:11">
      <c r="A2584" s="312" t="s">
        <v>5476</v>
      </c>
      <c r="B2584" s="312" t="s">
        <v>5477</v>
      </c>
      <c r="C2584" s="312" t="s">
        <v>105</v>
      </c>
      <c r="D2584" s="312" t="s">
        <v>5473</v>
      </c>
      <c r="E2584" s="312" t="s">
        <v>3480</v>
      </c>
      <c r="F2584" s="312">
        <v>1708</v>
      </c>
      <c r="G2584" s="312" t="s">
        <v>3481</v>
      </c>
      <c r="H2584" s="312">
        <v>1710</v>
      </c>
      <c r="I2584" s="312" t="s">
        <v>3480</v>
      </c>
      <c r="J2584" s="312">
        <v>1909</v>
      </c>
      <c r="K2584" s="312" t="s">
        <v>3482</v>
      </c>
    </row>
    <row r="2585" spans="1:11">
      <c r="A2585" s="312" t="s">
        <v>5478</v>
      </c>
      <c r="B2585" s="312" t="s">
        <v>5479</v>
      </c>
      <c r="C2585" s="312" t="s">
        <v>105</v>
      </c>
      <c r="D2585" s="312" t="s">
        <v>5473</v>
      </c>
      <c r="E2585" s="312" t="s">
        <v>3480</v>
      </c>
      <c r="F2585" s="312">
        <v>1708</v>
      </c>
      <c r="G2585" s="312" t="s">
        <v>3481</v>
      </c>
      <c r="H2585" s="312">
        <v>1710</v>
      </c>
      <c r="I2585" s="312" t="s">
        <v>3480</v>
      </c>
      <c r="J2585" s="312">
        <v>1909</v>
      </c>
      <c r="K2585" s="312" t="s">
        <v>3482</v>
      </c>
    </row>
    <row r="2586" spans="1:11">
      <c r="A2586" s="312" t="s">
        <v>5480</v>
      </c>
      <c r="B2586" s="312" t="s">
        <v>5481</v>
      </c>
      <c r="C2586" s="312" t="s">
        <v>105</v>
      </c>
      <c r="D2586" s="312" t="s">
        <v>5473</v>
      </c>
      <c r="E2586" s="312" t="s">
        <v>3480</v>
      </c>
      <c r="F2586" s="312">
        <v>1708</v>
      </c>
      <c r="G2586" s="312" t="s">
        <v>3481</v>
      </c>
      <c r="H2586" s="312">
        <v>1710</v>
      </c>
      <c r="I2586" s="312" t="s">
        <v>3480</v>
      </c>
      <c r="J2586" s="312">
        <v>1909</v>
      </c>
      <c r="K2586" s="312" t="s">
        <v>3482</v>
      </c>
    </row>
    <row r="2587" spans="1:11">
      <c r="A2587" s="312" t="s">
        <v>5482</v>
      </c>
      <c r="B2587" s="312" t="s">
        <v>5483</v>
      </c>
      <c r="C2587" s="312" t="s">
        <v>105</v>
      </c>
      <c r="D2587" s="312" t="s">
        <v>5473</v>
      </c>
      <c r="E2587" s="312" t="s">
        <v>3480</v>
      </c>
      <c r="F2587" s="312">
        <v>1708</v>
      </c>
      <c r="G2587" s="312" t="s">
        <v>3481</v>
      </c>
      <c r="H2587" s="312">
        <v>1710</v>
      </c>
      <c r="I2587" s="312" t="s">
        <v>3480</v>
      </c>
      <c r="J2587" s="312">
        <v>1909</v>
      </c>
      <c r="K2587" s="312" t="s">
        <v>3482</v>
      </c>
    </row>
    <row r="2588" spans="1:11">
      <c r="A2588" s="312" t="s">
        <v>5484</v>
      </c>
      <c r="B2588" s="312" t="s">
        <v>5485</v>
      </c>
      <c r="C2588" s="312" t="s">
        <v>105</v>
      </c>
      <c r="D2588" s="312" t="s">
        <v>5473</v>
      </c>
      <c r="E2588" s="312" t="s">
        <v>3480</v>
      </c>
      <c r="F2588" s="312">
        <v>1708</v>
      </c>
      <c r="G2588" s="312" t="s">
        <v>3481</v>
      </c>
      <c r="H2588" s="312">
        <v>1710</v>
      </c>
      <c r="I2588" s="312" t="s">
        <v>3480</v>
      </c>
      <c r="J2588" s="312">
        <v>1909</v>
      </c>
      <c r="K2588" s="312" t="s">
        <v>3482</v>
      </c>
    </row>
    <row r="2589" spans="1:11">
      <c r="A2589" s="312" t="s">
        <v>5486</v>
      </c>
      <c r="B2589" s="312" t="s">
        <v>5487</v>
      </c>
      <c r="C2589" s="312" t="s">
        <v>105</v>
      </c>
      <c r="D2589" s="312" t="s">
        <v>5473</v>
      </c>
      <c r="E2589" s="312" t="s">
        <v>3480</v>
      </c>
      <c r="F2589" s="312">
        <v>1708</v>
      </c>
      <c r="G2589" s="312" t="s">
        <v>3481</v>
      </c>
      <c r="H2589" s="312">
        <v>1710</v>
      </c>
      <c r="I2589" s="312" t="s">
        <v>3480</v>
      </c>
      <c r="J2589" s="312">
        <v>1909</v>
      </c>
      <c r="K2589" s="312" t="s">
        <v>3482</v>
      </c>
    </row>
    <row r="2590" spans="1:11">
      <c r="A2590" s="312" t="s">
        <v>5488</v>
      </c>
      <c r="B2590" s="312" t="s">
        <v>5489</v>
      </c>
      <c r="C2590" s="312" t="s">
        <v>105</v>
      </c>
      <c r="D2590" s="312" t="s">
        <v>5473</v>
      </c>
      <c r="E2590" s="312" t="s">
        <v>3480</v>
      </c>
      <c r="F2590" s="312">
        <v>1708</v>
      </c>
      <c r="G2590" s="312" t="s">
        <v>3481</v>
      </c>
      <c r="H2590" s="312">
        <v>1710</v>
      </c>
      <c r="I2590" s="312" t="s">
        <v>3480</v>
      </c>
      <c r="J2590" s="312">
        <v>1909</v>
      </c>
      <c r="K2590" s="312" t="s">
        <v>3482</v>
      </c>
    </row>
    <row r="2591" spans="1:11">
      <c r="A2591" s="312" t="s">
        <v>5490</v>
      </c>
      <c r="B2591" s="312" t="s">
        <v>5491</v>
      </c>
      <c r="C2591" s="312" t="s">
        <v>105</v>
      </c>
      <c r="D2591" s="312" t="s">
        <v>5473</v>
      </c>
      <c r="E2591" s="312" t="s">
        <v>3480</v>
      </c>
      <c r="F2591" s="312">
        <v>1708</v>
      </c>
      <c r="G2591" s="312" t="s">
        <v>3481</v>
      </c>
      <c r="H2591" s="312">
        <v>1710</v>
      </c>
      <c r="I2591" s="312" t="s">
        <v>3480</v>
      </c>
      <c r="J2591" s="312">
        <v>1909</v>
      </c>
      <c r="K2591" s="312" t="s">
        <v>3482</v>
      </c>
    </row>
    <row r="2592" spans="1:11">
      <c r="A2592" s="312" t="s">
        <v>5492</v>
      </c>
      <c r="B2592" s="312" t="s">
        <v>5493</v>
      </c>
      <c r="C2592" s="312" t="s">
        <v>105</v>
      </c>
      <c r="D2592" s="312" t="s">
        <v>5473</v>
      </c>
      <c r="E2592" s="312" t="s">
        <v>3480</v>
      </c>
      <c r="F2592" s="312">
        <v>1708</v>
      </c>
      <c r="G2592" s="312" t="s">
        <v>3481</v>
      </c>
      <c r="H2592" s="312">
        <v>1710</v>
      </c>
      <c r="I2592" s="312" t="s">
        <v>3480</v>
      </c>
      <c r="J2592" s="312">
        <v>1909</v>
      </c>
      <c r="K2592" s="312" t="s">
        <v>3482</v>
      </c>
    </row>
    <row r="2593" spans="1:11">
      <c r="A2593" s="312" t="s">
        <v>5494</v>
      </c>
      <c r="B2593" s="312" t="s">
        <v>5495</v>
      </c>
      <c r="C2593" s="312" t="s">
        <v>105</v>
      </c>
      <c r="D2593" s="312" t="s">
        <v>5473</v>
      </c>
      <c r="E2593" s="312" t="s">
        <v>3480</v>
      </c>
      <c r="F2593" s="312">
        <v>1708</v>
      </c>
      <c r="G2593" s="312" t="s">
        <v>3481</v>
      </c>
      <c r="H2593" s="312">
        <v>1710</v>
      </c>
      <c r="I2593" s="312" t="s">
        <v>3480</v>
      </c>
      <c r="J2593" s="312">
        <v>1909</v>
      </c>
      <c r="K2593" s="312" t="s">
        <v>3482</v>
      </c>
    </row>
    <row r="2594" spans="1:11">
      <c r="A2594" s="312" t="s">
        <v>5496</v>
      </c>
      <c r="B2594" s="312" t="s">
        <v>5497</v>
      </c>
      <c r="C2594" s="312" t="s">
        <v>105</v>
      </c>
      <c r="D2594" s="312" t="s">
        <v>5473</v>
      </c>
      <c r="E2594" s="312" t="s">
        <v>3480</v>
      </c>
      <c r="F2594" s="312">
        <v>1708</v>
      </c>
      <c r="G2594" s="312" t="s">
        <v>3481</v>
      </c>
      <c r="H2594" s="312">
        <v>1710</v>
      </c>
      <c r="I2594" s="312" t="s">
        <v>3480</v>
      </c>
      <c r="J2594" s="312">
        <v>1909</v>
      </c>
      <c r="K2594" s="312" t="s">
        <v>3482</v>
      </c>
    </row>
    <row r="2595" spans="1:11">
      <c r="A2595" s="312" t="s">
        <v>5498</v>
      </c>
      <c r="B2595" s="312" t="s">
        <v>5499</v>
      </c>
      <c r="C2595" s="312" t="s">
        <v>105</v>
      </c>
      <c r="D2595" s="312" t="s">
        <v>5473</v>
      </c>
      <c r="E2595" s="312" t="s">
        <v>3480</v>
      </c>
      <c r="F2595" s="312">
        <v>1708</v>
      </c>
      <c r="G2595" s="312" t="s">
        <v>3481</v>
      </c>
      <c r="H2595" s="312">
        <v>1710</v>
      </c>
      <c r="I2595" s="312" t="s">
        <v>3480</v>
      </c>
      <c r="J2595" s="312">
        <v>1909</v>
      </c>
      <c r="K2595" s="312" t="s">
        <v>3482</v>
      </c>
    </row>
    <row r="2596" spans="1:11">
      <c r="A2596" s="312" t="s">
        <v>5500</v>
      </c>
      <c r="B2596" s="312" t="s">
        <v>5501</v>
      </c>
      <c r="C2596" s="312" t="s">
        <v>105</v>
      </c>
      <c r="D2596" s="312" t="s">
        <v>5473</v>
      </c>
      <c r="E2596" s="312" t="s">
        <v>3480</v>
      </c>
      <c r="F2596" s="312">
        <v>1708</v>
      </c>
      <c r="G2596" s="312" t="s">
        <v>3481</v>
      </c>
      <c r="H2596" s="312">
        <v>1710</v>
      </c>
      <c r="I2596" s="312" t="s">
        <v>3480</v>
      </c>
      <c r="J2596" s="312">
        <v>1909</v>
      </c>
      <c r="K2596" s="312" t="s">
        <v>3482</v>
      </c>
    </row>
    <row r="2597" spans="1:11">
      <c r="A2597" s="312" t="s">
        <v>5502</v>
      </c>
      <c r="B2597" s="312" t="s">
        <v>5503</v>
      </c>
      <c r="C2597" s="312" t="s">
        <v>105</v>
      </c>
      <c r="D2597" s="312" t="s">
        <v>5473</v>
      </c>
      <c r="E2597" s="312" t="s">
        <v>3480</v>
      </c>
      <c r="F2597" s="312">
        <v>1708</v>
      </c>
      <c r="G2597" s="312" t="s">
        <v>3481</v>
      </c>
      <c r="H2597" s="312">
        <v>1710</v>
      </c>
      <c r="I2597" s="312" t="s">
        <v>3480</v>
      </c>
      <c r="J2597" s="312">
        <v>1909</v>
      </c>
      <c r="K2597" s="312" t="s">
        <v>3482</v>
      </c>
    </row>
    <row r="2598" spans="1:11">
      <c r="A2598" s="312" t="s">
        <v>5504</v>
      </c>
      <c r="B2598" s="312" t="s">
        <v>5505</v>
      </c>
      <c r="C2598" s="312" t="s">
        <v>105</v>
      </c>
      <c r="D2598" s="312" t="s">
        <v>5473</v>
      </c>
      <c r="E2598" s="312" t="s">
        <v>3480</v>
      </c>
      <c r="F2598" s="312">
        <v>1708</v>
      </c>
      <c r="G2598" s="312" t="s">
        <v>3481</v>
      </c>
      <c r="H2598" s="312">
        <v>1710</v>
      </c>
      <c r="I2598" s="312" t="s">
        <v>3480</v>
      </c>
      <c r="J2598" s="312">
        <v>1909</v>
      </c>
      <c r="K2598" s="312" t="s">
        <v>3482</v>
      </c>
    </row>
    <row r="2599" spans="1:11">
      <c r="A2599" s="312" t="s">
        <v>5506</v>
      </c>
      <c r="B2599" s="312" t="s">
        <v>5507</v>
      </c>
      <c r="C2599" s="312" t="s">
        <v>105</v>
      </c>
      <c r="D2599" s="312" t="s">
        <v>5473</v>
      </c>
      <c r="E2599" s="312" t="s">
        <v>3480</v>
      </c>
      <c r="F2599" s="312">
        <v>1708</v>
      </c>
      <c r="G2599" s="312" t="s">
        <v>3481</v>
      </c>
      <c r="H2599" s="312">
        <v>1710</v>
      </c>
      <c r="I2599" s="312" t="s">
        <v>3480</v>
      </c>
      <c r="J2599" s="312">
        <v>1909</v>
      </c>
      <c r="K2599" s="312" t="s">
        <v>3482</v>
      </c>
    </row>
    <row r="2600" spans="1:11">
      <c r="A2600" s="312" t="s">
        <v>5508</v>
      </c>
      <c r="B2600" s="312" t="s">
        <v>5509</v>
      </c>
      <c r="C2600" s="312" t="s">
        <v>105</v>
      </c>
      <c r="D2600" s="312" t="s">
        <v>5473</v>
      </c>
      <c r="E2600" s="312" t="s">
        <v>3480</v>
      </c>
      <c r="F2600" s="312">
        <v>1708</v>
      </c>
      <c r="G2600" s="312" t="s">
        <v>3481</v>
      </c>
      <c r="H2600" s="312">
        <v>1710</v>
      </c>
      <c r="I2600" s="312" t="s">
        <v>3480</v>
      </c>
      <c r="J2600" s="312">
        <v>1909</v>
      </c>
      <c r="K2600" s="312" t="s">
        <v>3482</v>
      </c>
    </row>
    <row r="2601" spans="1:11">
      <c r="A2601" s="312" t="s">
        <v>5510</v>
      </c>
      <c r="B2601" s="312" t="s">
        <v>5511</v>
      </c>
      <c r="C2601" s="312" t="s">
        <v>105</v>
      </c>
      <c r="D2601" s="312" t="s">
        <v>5473</v>
      </c>
      <c r="E2601" s="312" t="s">
        <v>3480</v>
      </c>
      <c r="F2601" s="312">
        <v>1708</v>
      </c>
      <c r="G2601" s="312" t="s">
        <v>3481</v>
      </c>
      <c r="H2601" s="312">
        <v>1710</v>
      </c>
      <c r="I2601" s="312" t="s">
        <v>3480</v>
      </c>
      <c r="J2601" s="312">
        <v>1909</v>
      </c>
      <c r="K2601" s="312" t="s">
        <v>3482</v>
      </c>
    </row>
    <row r="2602" spans="1:11">
      <c r="A2602" s="312" t="s">
        <v>5512</v>
      </c>
      <c r="B2602" s="312" t="s">
        <v>5513</v>
      </c>
      <c r="C2602" s="312" t="s">
        <v>105</v>
      </c>
      <c r="D2602" s="312" t="s">
        <v>5473</v>
      </c>
      <c r="E2602" s="312" t="s">
        <v>3480</v>
      </c>
      <c r="F2602" s="312">
        <v>1708</v>
      </c>
      <c r="G2602" s="312" t="s">
        <v>3481</v>
      </c>
      <c r="H2602" s="312">
        <v>1710</v>
      </c>
      <c r="I2602" s="312" t="s">
        <v>3480</v>
      </c>
      <c r="J2602" s="312">
        <v>1909</v>
      </c>
      <c r="K2602" s="312" t="s">
        <v>3482</v>
      </c>
    </row>
    <row r="2603" spans="1:11">
      <c r="A2603" s="312" t="s">
        <v>5514</v>
      </c>
      <c r="B2603" s="312" t="s">
        <v>5515</v>
      </c>
      <c r="C2603" s="312" t="s">
        <v>105</v>
      </c>
      <c r="D2603" s="312" t="s">
        <v>5473</v>
      </c>
      <c r="E2603" s="312" t="s">
        <v>3480</v>
      </c>
      <c r="F2603" s="312">
        <v>1708</v>
      </c>
      <c r="G2603" s="312" t="s">
        <v>3481</v>
      </c>
      <c r="H2603" s="312">
        <v>1710</v>
      </c>
      <c r="I2603" s="312" t="s">
        <v>3480</v>
      </c>
      <c r="J2603" s="312">
        <v>1909</v>
      </c>
      <c r="K2603" s="312" t="s">
        <v>3482</v>
      </c>
    </row>
    <row r="2604" spans="1:11">
      <c r="A2604" s="312" t="s">
        <v>5516</v>
      </c>
      <c r="B2604" s="312" t="s">
        <v>5517</v>
      </c>
      <c r="C2604" s="312" t="s">
        <v>105</v>
      </c>
      <c r="D2604" s="312" t="s">
        <v>5473</v>
      </c>
      <c r="E2604" s="312" t="s">
        <v>3480</v>
      </c>
      <c r="F2604" s="312">
        <v>1708</v>
      </c>
      <c r="G2604" s="312" t="s">
        <v>3481</v>
      </c>
      <c r="H2604" s="312">
        <v>1710</v>
      </c>
      <c r="I2604" s="312" t="s">
        <v>3480</v>
      </c>
      <c r="J2604" s="312">
        <v>1909</v>
      </c>
      <c r="K2604" s="312" t="s">
        <v>3482</v>
      </c>
    </row>
    <row r="2605" spans="1:11">
      <c r="A2605" s="312" t="s">
        <v>5518</v>
      </c>
      <c r="B2605" s="312" t="s">
        <v>5519</v>
      </c>
      <c r="C2605" s="312" t="s">
        <v>105</v>
      </c>
      <c r="D2605" s="312" t="s">
        <v>5473</v>
      </c>
      <c r="E2605" s="312" t="s">
        <v>3480</v>
      </c>
      <c r="F2605" s="312">
        <v>1708</v>
      </c>
      <c r="G2605" s="312" t="s">
        <v>3481</v>
      </c>
      <c r="H2605" s="312">
        <v>1710</v>
      </c>
      <c r="I2605" s="312" t="s">
        <v>3480</v>
      </c>
      <c r="J2605" s="312">
        <v>1909</v>
      </c>
      <c r="K2605" s="312" t="s">
        <v>3482</v>
      </c>
    </row>
    <row r="2606" spans="1:11">
      <c r="A2606" s="312" t="s">
        <v>5520</v>
      </c>
      <c r="B2606" s="312" t="s">
        <v>5521</v>
      </c>
      <c r="C2606" s="312" t="s">
        <v>105</v>
      </c>
      <c r="D2606" s="312" t="s">
        <v>5473</v>
      </c>
      <c r="E2606" s="312" t="s">
        <v>3480</v>
      </c>
      <c r="F2606" s="312">
        <v>1708</v>
      </c>
      <c r="G2606" s="312" t="s">
        <v>3481</v>
      </c>
      <c r="H2606" s="312">
        <v>1710</v>
      </c>
      <c r="I2606" s="312" t="s">
        <v>3480</v>
      </c>
      <c r="J2606" s="312">
        <v>1909</v>
      </c>
      <c r="K2606" s="312" t="s">
        <v>3482</v>
      </c>
    </row>
    <row r="2607" spans="1:11">
      <c r="A2607" s="312" t="s">
        <v>5522</v>
      </c>
      <c r="B2607" s="312" t="s">
        <v>5523</v>
      </c>
      <c r="C2607" s="312" t="s">
        <v>105</v>
      </c>
      <c r="D2607" s="312" t="s">
        <v>5473</v>
      </c>
      <c r="E2607" s="312" t="s">
        <v>3480</v>
      </c>
      <c r="F2607" s="312">
        <v>1708</v>
      </c>
      <c r="G2607" s="312" t="s">
        <v>3481</v>
      </c>
      <c r="H2607" s="312">
        <v>1710</v>
      </c>
      <c r="I2607" s="312" t="s">
        <v>3480</v>
      </c>
      <c r="J2607" s="312">
        <v>1909</v>
      </c>
      <c r="K2607" s="312" t="s">
        <v>3482</v>
      </c>
    </row>
    <row r="2608" spans="1:11">
      <c r="A2608" s="312" t="s">
        <v>5524</v>
      </c>
      <c r="B2608" s="312" t="s">
        <v>5525</v>
      </c>
      <c r="C2608" s="312" t="s">
        <v>105</v>
      </c>
      <c r="D2608" s="312" t="s">
        <v>5473</v>
      </c>
      <c r="E2608" s="312" t="s">
        <v>3480</v>
      </c>
      <c r="F2608" s="312">
        <v>1708</v>
      </c>
      <c r="G2608" s="312" t="s">
        <v>3481</v>
      </c>
      <c r="H2608" s="312">
        <v>1710</v>
      </c>
      <c r="I2608" s="312" t="s">
        <v>3480</v>
      </c>
      <c r="J2608" s="312">
        <v>1909</v>
      </c>
      <c r="K2608" s="312" t="s">
        <v>3482</v>
      </c>
    </row>
    <row r="2609" spans="1:11">
      <c r="A2609" s="312" t="s">
        <v>5526</v>
      </c>
      <c r="B2609" s="312" t="s">
        <v>5527</v>
      </c>
      <c r="C2609" s="312" t="s">
        <v>105</v>
      </c>
      <c r="D2609" s="312" t="s">
        <v>5473</v>
      </c>
      <c r="E2609" s="312" t="s">
        <v>3480</v>
      </c>
      <c r="F2609" s="312">
        <v>1708</v>
      </c>
      <c r="G2609" s="312" t="s">
        <v>3481</v>
      </c>
      <c r="H2609" s="312">
        <v>1710</v>
      </c>
      <c r="I2609" s="312" t="s">
        <v>3480</v>
      </c>
      <c r="J2609" s="312">
        <v>1909</v>
      </c>
      <c r="K2609" s="312" t="s">
        <v>3482</v>
      </c>
    </row>
    <row r="2610" spans="1:11">
      <c r="A2610" s="312" t="s">
        <v>5528</v>
      </c>
      <c r="B2610" s="312" t="s">
        <v>5529</v>
      </c>
      <c r="C2610" s="312" t="s">
        <v>105</v>
      </c>
      <c r="D2610" s="312" t="s">
        <v>5473</v>
      </c>
      <c r="E2610" s="312" t="s">
        <v>3480</v>
      </c>
      <c r="F2610" s="312">
        <v>1708</v>
      </c>
      <c r="G2610" s="312" t="s">
        <v>3481</v>
      </c>
      <c r="H2610" s="312">
        <v>1710</v>
      </c>
      <c r="I2610" s="312" t="s">
        <v>3480</v>
      </c>
      <c r="J2610" s="312">
        <v>1909</v>
      </c>
      <c r="K2610" s="312" t="s">
        <v>3482</v>
      </c>
    </row>
    <row r="2611" spans="1:11">
      <c r="A2611" s="312" t="s">
        <v>5530</v>
      </c>
      <c r="B2611" s="312" t="s">
        <v>5531</v>
      </c>
      <c r="C2611" s="312" t="s">
        <v>105</v>
      </c>
      <c r="D2611" s="312" t="s">
        <v>5473</v>
      </c>
      <c r="E2611" s="312" t="s">
        <v>3480</v>
      </c>
      <c r="F2611" s="312">
        <v>1708</v>
      </c>
      <c r="G2611" s="312" t="s">
        <v>3481</v>
      </c>
      <c r="H2611" s="312">
        <v>1710</v>
      </c>
      <c r="I2611" s="312" t="s">
        <v>3480</v>
      </c>
      <c r="J2611" s="312">
        <v>1909</v>
      </c>
      <c r="K2611" s="312" t="s">
        <v>3482</v>
      </c>
    </row>
    <row r="2612" spans="1:11">
      <c r="A2612" s="312" t="s">
        <v>5532</v>
      </c>
      <c r="B2612" s="312" t="s">
        <v>5533</v>
      </c>
      <c r="C2612" s="312" t="s">
        <v>105</v>
      </c>
      <c r="D2612" s="312" t="s">
        <v>5473</v>
      </c>
      <c r="E2612" s="312" t="s">
        <v>3480</v>
      </c>
      <c r="F2612" s="312">
        <v>1708</v>
      </c>
      <c r="G2612" s="312" t="s">
        <v>3481</v>
      </c>
      <c r="H2612" s="312">
        <v>1710</v>
      </c>
      <c r="I2612" s="312" t="s">
        <v>3480</v>
      </c>
      <c r="J2612" s="312">
        <v>1909</v>
      </c>
      <c r="K2612" s="312" t="s">
        <v>3482</v>
      </c>
    </row>
    <row r="2613" spans="1:11">
      <c r="A2613" s="312" t="s">
        <v>5534</v>
      </c>
      <c r="B2613" s="312" t="s">
        <v>5535</v>
      </c>
      <c r="C2613" s="312" t="s">
        <v>105</v>
      </c>
      <c r="D2613" s="312" t="s">
        <v>5473</v>
      </c>
      <c r="E2613" s="312" t="s">
        <v>3480</v>
      </c>
      <c r="F2613" s="312">
        <v>1708</v>
      </c>
      <c r="G2613" s="312" t="s">
        <v>3481</v>
      </c>
      <c r="H2613" s="312">
        <v>1710</v>
      </c>
      <c r="I2613" s="312" t="s">
        <v>3480</v>
      </c>
      <c r="J2613" s="312">
        <v>1909</v>
      </c>
      <c r="K2613" s="312" t="s">
        <v>3482</v>
      </c>
    </row>
    <row r="2614" spans="1:11">
      <c r="A2614" s="312" t="s">
        <v>5536</v>
      </c>
      <c r="B2614" s="312" t="s">
        <v>5537</v>
      </c>
      <c r="C2614" s="312" t="s">
        <v>105</v>
      </c>
      <c r="D2614" s="312" t="s">
        <v>5473</v>
      </c>
      <c r="E2614" s="312" t="s">
        <v>3480</v>
      </c>
      <c r="F2614" s="312">
        <v>1708</v>
      </c>
      <c r="G2614" s="312" t="s">
        <v>3481</v>
      </c>
      <c r="H2614" s="312">
        <v>1710</v>
      </c>
      <c r="I2614" s="312" t="s">
        <v>3480</v>
      </c>
      <c r="J2614" s="312">
        <v>1909</v>
      </c>
      <c r="K2614" s="312" t="s">
        <v>3482</v>
      </c>
    </row>
    <row r="2615" spans="1:11">
      <c r="A2615" s="312" t="s">
        <v>5538</v>
      </c>
      <c r="B2615" s="312" t="s">
        <v>5539</v>
      </c>
      <c r="C2615" s="312" t="s">
        <v>105</v>
      </c>
      <c r="D2615" s="312" t="s">
        <v>5473</v>
      </c>
      <c r="E2615" s="312" t="s">
        <v>3480</v>
      </c>
      <c r="F2615" s="312">
        <v>1708</v>
      </c>
      <c r="G2615" s="312" t="s">
        <v>3481</v>
      </c>
      <c r="H2615" s="312">
        <v>1710</v>
      </c>
      <c r="I2615" s="312" t="s">
        <v>3480</v>
      </c>
      <c r="J2615" s="312">
        <v>1909</v>
      </c>
      <c r="K2615" s="312" t="s">
        <v>3482</v>
      </c>
    </row>
    <row r="2616" spans="1:11">
      <c r="A2616" s="312" t="s">
        <v>5540</v>
      </c>
      <c r="B2616" s="312" t="s">
        <v>5541</v>
      </c>
      <c r="C2616" s="312" t="s">
        <v>105</v>
      </c>
      <c r="D2616" s="312" t="s">
        <v>5473</v>
      </c>
      <c r="E2616" s="312" t="s">
        <v>3480</v>
      </c>
      <c r="F2616" s="312">
        <v>1708</v>
      </c>
      <c r="G2616" s="312" t="s">
        <v>3481</v>
      </c>
      <c r="H2616" s="312">
        <v>1710</v>
      </c>
      <c r="I2616" s="312" t="s">
        <v>3480</v>
      </c>
      <c r="J2616" s="312">
        <v>1909</v>
      </c>
      <c r="K2616" s="312" t="s">
        <v>3482</v>
      </c>
    </row>
    <row r="2617" spans="1:11">
      <c r="A2617" s="312" t="s">
        <v>5542</v>
      </c>
      <c r="B2617" s="312" t="s">
        <v>5543</v>
      </c>
      <c r="C2617" s="312" t="s">
        <v>105</v>
      </c>
      <c r="D2617" s="312" t="s">
        <v>5473</v>
      </c>
      <c r="E2617" s="312" t="s">
        <v>3480</v>
      </c>
      <c r="F2617" s="312">
        <v>1708</v>
      </c>
      <c r="G2617" s="312" t="s">
        <v>3481</v>
      </c>
      <c r="H2617" s="312">
        <v>1710</v>
      </c>
      <c r="I2617" s="312" t="s">
        <v>3480</v>
      </c>
      <c r="J2617" s="312">
        <v>1909</v>
      </c>
      <c r="K2617" s="312" t="s">
        <v>3482</v>
      </c>
    </row>
    <row r="2618" spans="1:11">
      <c r="A2618" s="312" t="s">
        <v>5544</v>
      </c>
      <c r="B2618" s="312" t="s">
        <v>5545</v>
      </c>
      <c r="C2618" s="312" t="s">
        <v>105</v>
      </c>
      <c r="D2618" s="312" t="s">
        <v>5473</v>
      </c>
      <c r="E2618" s="312" t="s">
        <v>3480</v>
      </c>
      <c r="F2618" s="312">
        <v>1708</v>
      </c>
      <c r="G2618" s="312" t="s">
        <v>3481</v>
      </c>
      <c r="H2618" s="312">
        <v>1710</v>
      </c>
      <c r="I2618" s="312" t="s">
        <v>3480</v>
      </c>
      <c r="J2618" s="312">
        <v>1909</v>
      </c>
      <c r="K2618" s="312" t="s">
        <v>3482</v>
      </c>
    </row>
    <row r="2619" spans="1:11">
      <c r="A2619" s="312" t="s">
        <v>5546</v>
      </c>
      <c r="B2619" s="312" t="s">
        <v>5547</v>
      </c>
      <c r="C2619" s="312" t="s">
        <v>105</v>
      </c>
      <c r="D2619" s="312" t="s">
        <v>5473</v>
      </c>
      <c r="E2619" s="312" t="s">
        <v>3480</v>
      </c>
      <c r="F2619" s="312">
        <v>1708</v>
      </c>
      <c r="G2619" s="312" t="s">
        <v>3481</v>
      </c>
      <c r="H2619" s="312">
        <v>1710</v>
      </c>
      <c r="I2619" s="312" t="s">
        <v>3480</v>
      </c>
      <c r="J2619" s="312">
        <v>1909</v>
      </c>
      <c r="K2619" s="312" t="s">
        <v>3482</v>
      </c>
    </row>
    <row r="2620" spans="1:11">
      <c r="A2620" s="312" t="s">
        <v>5548</v>
      </c>
      <c r="B2620" s="312" t="s">
        <v>5549</v>
      </c>
      <c r="C2620" s="312" t="s">
        <v>105</v>
      </c>
      <c r="D2620" s="312" t="s">
        <v>5473</v>
      </c>
      <c r="E2620" s="312" t="s">
        <v>3480</v>
      </c>
      <c r="F2620" s="312">
        <v>1708</v>
      </c>
      <c r="G2620" s="312" t="s">
        <v>3481</v>
      </c>
      <c r="H2620" s="312">
        <v>1710</v>
      </c>
      <c r="I2620" s="312" t="s">
        <v>3480</v>
      </c>
      <c r="J2620" s="312">
        <v>1909</v>
      </c>
      <c r="K2620" s="312" t="s">
        <v>3482</v>
      </c>
    </row>
    <row r="2621" spans="1:11">
      <c r="A2621" s="312" t="s">
        <v>5550</v>
      </c>
      <c r="B2621" s="1" t="s">
        <v>5551</v>
      </c>
      <c r="C2621" s="312" t="s">
        <v>105</v>
      </c>
      <c r="D2621" s="312" t="s">
        <v>5473</v>
      </c>
      <c r="E2621" s="312" t="s">
        <v>3480</v>
      </c>
      <c r="F2621" s="312">
        <v>1708</v>
      </c>
      <c r="G2621" s="312" t="s">
        <v>3481</v>
      </c>
      <c r="H2621" s="312">
        <v>1710</v>
      </c>
      <c r="I2621" s="312" t="s">
        <v>3480</v>
      </c>
      <c r="J2621" s="312">
        <v>1909</v>
      </c>
      <c r="K2621" s="312" t="s">
        <v>3482</v>
      </c>
    </row>
    <row r="2622" spans="1:11">
      <c r="A2622" s="312" t="s">
        <v>5552</v>
      </c>
      <c r="B2622" s="312" t="s">
        <v>5553</v>
      </c>
      <c r="C2622" s="312" t="s">
        <v>105</v>
      </c>
      <c r="D2622" s="312" t="s">
        <v>5473</v>
      </c>
      <c r="E2622" s="312" t="s">
        <v>3480</v>
      </c>
      <c r="F2622" s="312">
        <v>1708</v>
      </c>
      <c r="G2622" s="312" t="s">
        <v>3481</v>
      </c>
      <c r="H2622" s="312">
        <v>1710</v>
      </c>
      <c r="I2622" s="312" t="s">
        <v>3480</v>
      </c>
      <c r="J2622" s="312">
        <v>1909</v>
      </c>
      <c r="K2622" s="312" t="s">
        <v>3482</v>
      </c>
    </row>
    <row r="2623" spans="1:11">
      <c r="A2623" s="312" t="s">
        <v>5554</v>
      </c>
      <c r="B2623" s="312" t="s">
        <v>5555</v>
      </c>
      <c r="C2623" s="312" t="s">
        <v>105</v>
      </c>
      <c r="D2623" s="312" t="s">
        <v>5473</v>
      </c>
      <c r="E2623" s="312" t="s">
        <v>3480</v>
      </c>
      <c r="F2623" s="312">
        <v>1708</v>
      </c>
      <c r="G2623" s="312" t="s">
        <v>3481</v>
      </c>
      <c r="H2623" s="312">
        <v>1710</v>
      </c>
      <c r="I2623" s="312" t="s">
        <v>3480</v>
      </c>
      <c r="J2623" s="312">
        <v>1909</v>
      </c>
      <c r="K2623" s="312" t="s">
        <v>3482</v>
      </c>
    </row>
    <row r="2624" spans="1:11">
      <c r="A2624" s="312" t="s">
        <v>5556</v>
      </c>
      <c r="B2624" s="312" t="s">
        <v>5557</v>
      </c>
      <c r="C2624" s="312" t="s">
        <v>105</v>
      </c>
      <c r="D2624" s="312" t="s">
        <v>5473</v>
      </c>
      <c r="E2624" s="312" t="s">
        <v>3480</v>
      </c>
      <c r="F2624" s="312">
        <v>1708</v>
      </c>
      <c r="G2624" s="312" t="s">
        <v>3481</v>
      </c>
      <c r="H2624" s="312">
        <v>1710</v>
      </c>
      <c r="I2624" s="312" t="s">
        <v>3480</v>
      </c>
      <c r="J2624" s="312">
        <v>1909</v>
      </c>
      <c r="K2624" s="312" t="s">
        <v>3482</v>
      </c>
    </row>
    <row r="2625" spans="1:11">
      <c r="A2625" s="312" t="s">
        <v>5558</v>
      </c>
      <c r="B2625" s="312" t="s">
        <v>5559</v>
      </c>
      <c r="C2625" s="312" t="s">
        <v>105</v>
      </c>
      <c r="D2625" s="312" t="s">
        <v>5473</v>
      </c>
      <c r="E2625" s="312" t="s">
        <v>3480</v>
      </c>
      <c r="F2625" s="312">
        <v>1708</v>
      </c>
      <c r="G2625" s="312" t="s">
        <v>3481</v>
      </c>
      <c r="H2625" s="312">
        <v>1710</v>
      </c>
      <c r="I2625" s="312" t="s">
        <v>3480</v>
      </c>
      <c r="J2625" s="312">
        <v>1909</v>
      </c>
      <c r="K2625" s="312" t="s">
        <v>3482</v>
      </c>
    </row>
    <row r="2626" spans="1:11">
      <c r="A2626" s="312" t="s">
        <v>5560</v>
      </c>
      <c r="B2626" s="312" t="s">
        <v>5561</v>
      </c>
      <c r="C2626" s="312" t="s">
        <v>105</v>
      </c>
      <c r="D2626" s="312" t="s">
        <v>5473</v>
      </c>
      <c r="E2626" s="312" t="s">
        <v>3480</v>
      </c>
      <c r="F2626" s="312">
        <v>1708</v>
      </c>
      <c r="G2626" s="312" t="s">
        <v>3481</v>
      </c>
      <c r="H2626" s="312">
        <v>1710</v>
      </c>
      <c r="I2626" s="312" t="s">
        <v>3480</v>
      </c>
      <c r="J2626" s="312">
        <v>1909</v>
      </c>
      <c r="K2626" s="312" t="s">
        <v>3482</v>
      </c>
    </row>
    <row r="2627" spans="1:11">
      <c r="A2627" s="312" t="s">
        <v>5562</v>
      </c>
      <c r="B2627" s="312" t="s">
        <v>5563</v>
      </c>
      <c r="C2627" s="312" t="s">
        <v>105</v>
      </c>
      <c r="D2627" s="312" t="s">
        <v>5473</v>
      </c>
      <c r="E2627" s="312" t="s">
        <v>3480</v>
      </c>
      <c r="F2627" s="312">
        <v>1708</v>
      </c>
      <c r="G2627" s="312" t="s">
        <v>3481</v>
      </c>
      <c r="H2627" s="312">
        <v>1710</v>
      </c>
      <c r="I2627" s="312" t="s">
        <v>3480</v>
      </c>
      <c r="J2627" s="312">
        <v>1909</v>
      </c>
      <c r="K2627" s="312" t="s">
        <v>3482</v>
      </c>
    </row>
    <row r="2628" spans="1:11">
      <c r="A2628" s="312" t="s">
        <v>5564</v>
      </c>
      <c r="B2628" s="312" t="s">
        <v>5565</v>
      </c>
      <c r="C2628" s="312" t="s">
        <v>105</v>
      </c>
      <c r="D2628" s="312" t="s">
        <v>5473</v>
      </c>
      <c r="E2628" s="312" t="s">
        <v>3480</v>
      </c>
      <c r="F2628" s="312">
        <v>1708</v>
      </c>
      <c r="G2628" s="312" t="s">
        <v>3481</v>
      </c>
      <c r="H2628" s="312">
        <v>1710</v>
      </c>
      <c r="I2628" s="312" t="s">
        <v>3480</v>
      </c>
      <c r="J2628" s="312">
        <v>1909</v>
      </c>
      <c r="K2628" s="312" t="s">
        <v>3482</v>
      </c>
    </row>
    <row r="2629" spans="1:11">
      <c r="A2629" s="312" t="s">
        <v>5566</v>
      </c>
      <c r="B2629" s="312" t="s">
        <v>5567</v>
      </c>
      <c r="C2629" s="312" t="s">
        <v>105</v>
      </c>
      <c r="D2629" s="312" t="s">
        <v>5473</v>
      </c>
      <c r="E2629" s="312" t="s">
        <v>3480</v>
      </c>
      <c r="F2629" s="312">
        <v>1708</v>
      </c>
      <c r="G2629" s="312" t="s">
        <v>3481</v>
      </c>
      <c r="H2629" s="312">
        <v>1710</v>
      </c>
      <c r="I2629" s="312" t="s">
        <v>3480</v>
      </c>
      <c r="J2629" s="312">
        <v>1909</v>
      </c>
      <c r="K2629" s="312" t="s">
        <v>3482</v>
      </c>
    </row>
    <row r="2630" spans="1:11">
      <c r="A2630" s="312" t="s">
        <v>5568</v>
      </c>
      <c r="B2630" s="312" t="s">
        <v>5569</v>
      </c>
      <c r="C2630" s="312" t="s">
        <v>105</v>
      </c>
      <c r="D2630" s="312" t="s">
        <v>5473</v>
      </c>
      <c r="E2630" s="312" t="s">
        <v>3480</v>
      </c>
      <c r="F2630" s="312">
        <v>1708</v>
      </c>
      <c r="G2630" s="312" t="s">
        <v>3481</v>
      </c>
      <c r="H2630" s="312">
        <v>1710</v>
      </c>
      <c r="I2630" s="312" t="s">
        <v>3480</v>
      </c>
      <c r="J2630" s="312">
        <v>1909</v>
      </c>
      <c r="K2630" s="312" t="s">
        <v>3482</v>
      </c>
    </row>
    <row r="2631" spans="1:11">
      <c r="A2631" s="312" t="s">
        <v>5570</v>
      </c>
      <c r="B2631" s="312" t="s">
        <v>5571</v>
      </c>
      <c r="C2631" s="312" t="s">
        <v>105</v>
      </c>
      <c r="D2631" s="312" t="s">
        <v>5473</v>
      </c>
      <c r="E2631" s="312" t="s">
        <v>3480</v>
      </c>
      <c r="F2631" s="312">
        <v>1708</v>
      </c>
      <c r="G2631" s="312" t="s">
        <v>3481</v>
      </c>
      <c r="H2631" s="312">
        <v>1710</v>
      </c>
      <c r="I2631" s="312" t="s">
        <v>3480</v>
      </c>
      <c r="J2631" s="312">
        <v>1909</v>
      </c>
      <c r="K2631" s="312" t="s">
        <v>3482</v>
      </c>
    </row>
    <row r="2632" spans="1:11">
      <c r="A2632" s="312" t="s">
        <v>5572</v>
      </c>
      <c r="B2632" s="312" t="s">
        <v>5573</v>
      </c>
      <c r="C2632" s="312" t="s">
        <v>105</v>
      </c>
      <c r="D2632" s="312" t="s">
        <v>5473</v>
      </c>
      <c r="E2632" s="312" t="s">
        <v>3480</v>
      </c>
      <c r="F2632" s="312">
        <v>1708</v>
      </c>
      <c r="G2632" s="312" t="s">
        <v>3481</v>
      </c>
      <c r="H2632" s="312">
        <v>1710</v>
      </c>
      <c r="I2632" s="312" t="s">
        <v>3480</v>
      </c>
      <c r="J2632" s="312">
        <v>1909</v>
      </c>
      <c r="K2632" s="312" t="s">
        <v>3482</v>
      </c>
    </row>
    <row r="2633" spans="1:11">
      <c r="A2633" s="312" t="s">
        <v>5574</v>
      </c>
      <c r="B2633" s="312" t="s">
        <v>5575</v>
      </c>
      <c r="C2633" s="312" t="s">
        <v>105</v>
      </c>
      <c r="D2633" s="312" t="s">
        <v>5473</v>
      </c>
      <c r="E2633" s="312" t="s">
        <v>3480</v>
      </c>
      <c r="F2633" s="312">
        <v>1708</v>
      </c>
      <c r="G2633" s="312" t="s">
        <v>3481</v>
      </c>
      <c r="H2633" s="312">
        <v>1710</v>
      </c>
      <c r="I2633" s="312" t="s">
        <v>3480</v>
      </c>
      <c r="J2633" s="312">
        <v>1909</v>
      </c>
      <c r="K2633" s="312" t="s">
        <v>3482</v>
      </c>
    </row>
    <row r="2634" spans="1:11">
      <c r="A2634" s="312" t="s">
        <v>5576</v>
      </c>
      <c r="B2634" s="312" t="s">
        <v>5577</v>
      </c>
      <c r="C2634" s="312" t="s">
        <v>105</v>
      </c>
      <c r="D2634" s="312" t="s">
        <v>5473</v>
      </c>
      <c r="E2634" s="312" t="s">
        <v>3480</v>
      </c>
      <c r="F2634" s="312">
        <v>1708</v>
      </c>
      <c r="G2634" s="312" t="s">
        <v>3481</v>
      </c>
      <c r="H2634" s="312">
        <v>1710</v>
      </c>
      <c r="I2634" s="312" t="s">
        <v>3480</v>
      </c>
      <c r="J2634" s="312">
        <v>1909</v>
      </c>
      <c r="K2634" s="312" t="s">
        <v>3482</v>
      </c>
    </row>
    <row r="2635" spans="1:11">
      <c r="A2635" s="312" t="s">
        <v>5578</v>
      </c>
      <c r="B2635" s="312" t="s">
        <v>5579</v>
      </c>
      <c r="C2635" s="312" t="s">
        <v>105</v>
      </c>
      <c r="D2635" s="312" t="s">
        <v>5473</v>
      </c>
      <c r="E2635" s="312" t="s">
        <v>3480</v>
      </c>
      <c r="F2635" s="312">
        <v>1708</v>
      </c>
      <c r="G2635" s="312" t="s">
        <v>3481</v>
      </c>
      <c r="H2635" s="312">
        <v>1710</v>
      </c>
      <c r="I2635" s="312" t="s">
        <v>3480</v>
      </c>
      <c r="J2635" s="312">
        <v>1909</v>
      </c>
      <c r="K2635" s="312" t="s">
        <v>3482</v>
      </c>
    </row>
    <row r="2636" spans="1:11">
      <c r="A2636" s="312" t="s">
        <v>5580</v>
      </c>
      <c r="B2636" s="312" t="s">
        <v>5581</v>
      </c>
      <c r="C2636" s="312" t="s">
        <v>105</v>
      </c>
      <c r="D2636" s="312" t="s">
        <v>5473</v>
      </c>
      <c r="E2636" s="312" t="s">
        <v>3480</v>
      </c>
      <c r="F2636" s="312">
        <v>1708</v>
      </c>
      <c r="G2636" s="312" t="s">
        <v>3481</v>
      </c>
      <c r="H2636" s="312">
        <v>1710</v>
      </c>
      <c r="I2636" s="312" t="s">
        <v>3480</v>
      </c>
      <c r="J2636" s="312">
        <v>1909</v>
      </c>
      <c r="K2636" s="312" t="s">
        <v>3482</v>
      </c>
    </row>
    <row r="2637" spans="1:11">
      <c r="A2637" s="312" t="s">
        <v>5582</v>
      </c>
      <c r="B2637" s="312" t="s">
        <v>5583</v>
      </c>
      <c r="C2637" s="312" t="s">
        <v>105</v>
      </c>
      <c r="D2637" s="312" t="s">
        <v>5473</v>
      </c>
      <c r="E2637" s="312" t="s">
        <v>3480</v>
      </c>
      <c r="F2637" s="312">
        <v>1708</v>
      </c>
      <c r="G2637" s="312" t="s">
        <v>3481</v>
      </c>
      <c r="H2637" s="312">
        <v>1710</v>
      </c>
      <c r="I2637" s="312" t="s">
        <v>3480</v>
      </c>
      <c r="J2637" s="312">
        <v>1909</v>
      </c>
      <c r="K2637" s="312" t="s">
        <v>3482</v>
      </c>
    </row>
    <row r="2638" spans="1:11">
      <c r="A2638" s="312" t="s">
        <v>5584</v>
      </c>
      <c r="B2638" s="312" t="s">
        <v>5585</v>
      </c>
      <c r="C2638" s="312" t="s">
        <v>105</v>
      </c>
      <c r="D2638" s="312" t="s">
        <v>5473</v>
      </c>
      <c r="E2638" s="312" t="s">
        <v>3480</v>
      </c>
      <c r="F2638" s="312">
        <v>1708</v>
      </c>
      <c r="G2638" s="312" t="s">
        <v>3481</v>
      </c>
      <c r="H2638" s="312">
        <v>1710</v>
      </c>
      <c r="I2638" s="312" t="s">
        <v>3480</v>
      </c>
      <c r="J2638" s="312">
        <v>1909</v>
      </c>
      <c r="K2638" s="312" t="s">
        <v>3482</v>
      </c>
    </row>
    <row r="2639" spans="1:11">
      <c r="A2639" s="312" t="s">
        <v>5586</v>
      </c>
      <c r="B2639" s="312" t="s">
        <v>5587</v>
      </c>
      <c r="C2639" s="312" t="s">
        <v>105</v>
      </c>
      <c r="D2639" s="312" t="s">
        <v>5473</v>
      </c>
      <c r="E2639" s="312" t="s">
        <v>3480</v>
      </c>
      <c r="F2639" s="312">
        <v>1708</v>
      </c>
      <c r="G2639" s="312" t="s">
        <v>3481</v>
      </c>
      <c r="H2639" s="312">
        <v>1710</v>
      </c>
      <c r="I2639" s="312" t="s">
        <v>3480</v>
      </c>
      <c r="J2639" s="312">
        <v>1909</v>
      </c>
      <c r="K2639" s="312" t="s">
        <v>3482</v>
      </c>
    </row>
    <row r="2640" spans="1:11">
      <c r="A2640" s="312" t="s">
        <v>5588</v>
      </c>
      <c r="B2640" s="312" t="s">
        <v>5589</v>
      </c>
      <c r="C2640" s="312" t="s">
        <v>105</v>
      </c>
      <c r="D2640" s="312" t="s">
        <v>5473</v>
      </c>
      <c r="E2640" s="312" t="s">
        <v>3480</v>
      </c>
      <c r="F2640" s="312">
        <v>1708</v>
      </c>
      <c r="G2640" s="312" t="s">
        <v>3481</v>
      </c>
      <c r="H2640" s="312">
        <v>1710</v>
      </c>
      <c r="I2640" s="312" t="s">
        <v>3480</v>
      </c>
      <c r="J2640" s="312">
        <v>1909</v>
      </c>
      <c r="K2640" s="312" t="s">
        <v>3482</v>
      </c>
    </row>
    <row r="2641" spans="1:11">
      <c r="A2641" s="312" t="s">
        <v>5590</v>
      </c>
      <c r="B2641" s="312" t="s">
        <v>5591</v>
      </c>
      <c r="C2641" s="312" t="s">
        <v>105</v>
      </c>
      <c r="D2641" s="312" t="s">
        <v>5473</v>
      </c>
      <c r="E2641" s="312" t="s">
        <v>3480</v>
      </c>
      <c r="F2641" s="312">
        <v>1708</v>
      </c>
      <c r="G2641" s="312" t="s">
        <v>3481</v>
      </c>
      <c r="H2641" s="312">
        <v>1710</v>
      </c>
      <c r="I2641" s="312" t="s">
        <v>3480</v>
      </c>
      <c r="J2641" s="312">
        <v>1909</v>
      </c>
      <c r="K2641" s="312" t="s">
        <v>3482</v>
      </c>
    </row>
    <row r="2642" spans="1:11">
      <c r="A2642" s="312" t="s">
        <v>5592</v>
      </c>
      <c r="B2642" s="312" t="s">
        <v>5593</v>
      </c>
      <c r="C2642" s="312" t="s">
        <v>105</v>
      </c>
      <c r="D2642" s="312" t="s">
        <v>5473</v>
      </c>
      <c r="E2642" s="312" t="s">
        <v>3480</v>
      </c>
      <c r="F2642" s="312">
        <v>1708</v>
      </c>
      <c r="G2642" s="312" t="s">
        <v>3481</v>
      </c>
      <c r="H2642" s="312">
        <v>1710</v>
      </c>
      <c r="I2642" s="312" t="s">
        <v>3480</v>
      </c>
      <c r="J2642" s="312">
        <v>1909</v>
      </c>
      <c r="K2642" s="312" t="s">
        <v>3482</v>
      </c>
    </row>
    <row r="2643" spans="1:11">
      <c r="A2643" s="312" t="s">
        <v>5594</v>
      </c>
      <c r="B2643" s="312" t="s">
        <v>5595</v>
      </c>
      <c r="C2643" s="312" t="s">
        <v>105</v>
      </c>
      <c r="D2643" s="312" t="s">
        <v>5473</v>
      </c>
      <c r="E2643" s="312" t="s">
        <v>3480</v>
      </c>
      <c r="F2643" s="312">
        <v>1708</v>
      </c>
      <c r="G2643" s="312" t="s">
        <v>3481</v>
      </c>
      <c r="H2643" s="312">
        <v>1710</v>
      </c>
      <c r="I2643" s="312" t="s">
        <v>3480</v>
      </c>
      <c r="J2643" s="312">
        <v>1909</v>
      </c>
      <c r="K2643" s="312" t="s">
        <v>3482</v>
      </c>
    </row>
    <row r="2644" spans="1:11">
      <c r="A2644" s="312" t="s">
        <v>5596</v>
      </c>
      <c r="B2644" s="312" t="s">
        <v>5597</v>
      </c>
      <c r="C2644" s="312" t="s">
        <v>105</v>
      </c>
      <c r="D2644" s="312" t="s">
        <v>5473</v>
      </c>
      <c r="E2644" s="312" t="s">
        <v>3480</v>
      </c>
      <c r="F2644" s="312">
        <v>1708</v>
      </c>
      <c r="G2644" s="312" t="s">
        <v>3481</v>
      </c>
      <c r="H2644" s="312">
        <v>1710</v>
      </c>
      <c r="I2644" s="312" t="s">
        <v>3480</v>
      </c>
      <c r="J2644" s="312">
        <v>1909</v>
      </c>
      <c r="K2644" s="312" t="s">
        <v>3482</v>
      </c>
    </row>
    <row r="2645" spans="1:11">
      <c r="A2645" s="312" t="s">
        <v>5598</v>
      </c>
      <c r="B2645" s="312" t="s">
        <v>5599</v>
      </c>
      <c r="C2645" s="312" t="s">
        <v>105</v>
      </c>
      <c r="D2645" s="312" t="s">
        <v>5473</v>
      </c>
      <c r="E2645" s="312" t="s">
        <v>3480</v>
      </c>
      <c r="F2645" s="312">
        <v>1708</v>
      </c>
      <c r="G2645" s="312" t="s">
        <v>3481</v>
      </c>
      <c r="H2645" s="312">
        <v>1710</v>
      </c>
      <c r="I2645" s="312" t="s">
        <v>3480</v>
      </c>
      <c r="J2645" s="312">
        <v>1909</v>
      </c>
      <c r="K2645" s="312" t="s">
        <v>3482</v>
      </c>
    </row>
    <row r="2646" spans="1:11">
      <c r="A2646" s="312" t="s">
        <v>5600</v>
      </c>
      <c r="B2646" s="312" t="s">
        <v>5601</v>
      </c>
      <c r="C2646" s="312" t="s">
        <v>105</v>
      </c>
      <c r="D2646" s="312" t="s">
        <v>5473</v>
      </c>
      <c r="E2646" s="312" t="s">
        <v>3480</v>
      </c>
      <c r="F2646" s="312">
        <v>1708</v>
      </c>
      <c r="G2646" s="312" t="s">
        <v>3481</v>
      </c>
      <c r="H2646" s="312">
        <v>1710</v>
      </c>
      <c r="I2646" s="312" t="s">
        <v>3480</v>
      </c>
      <c r="J2646" s="312">
        <v>1909</v>
      </c>
      <c r="K2646" s="312" t="s">
        <v>3482</v>
      </c>
    </row>
    <row r="2647" spans="1:11">
      <c r="A2647" s="312" t="s">
        <v>5602</v>
      </c>
      <c r="B2647" s="312" t="s">
        <v>5603</v>
      </c>
      <c r="C2647" s="312" t="s">
        <v>105</v>
      </c>
      <c r="D2647" s="312" t="s">
        <v>5473</v>
      </c>
      <c r="E2647" s="312" t="s">
        <v>3480</v>
      </c>
      <c r="F2647" s="312">
        <v>1708</v>
      </c>
      <c r="G2647" s="312" t="s">
        <v>3481</v>
      </c>
      <c r="H2647" s="312">
        <v>1710</v>
      </c>
      <c r="I2647" s="312" t="s">
        <v>3480</v>
      </c>
      <c r="J2647" s="312">
        <v>1909</v>
      </c>
      <c r="K2647" s="312" t="s">
        <v>3482</v>
      </c>
    </row>
    <row r="2648" spans="1:11">
      <c r="A2648" s="312" t="s">
        <v>5604</v>
      </c>
      <c r="B2648" s="312" t="s">
        <v>5605</v>
      </c>
      <c r="C2648" s="312" t="s">
        <v>105</v>
      </c>
      <c r="D2648" s="312" t="s">
        <v>5473</v>
      </c>
      <c r="E2648" s="312" t="s">
        <v>3480</v>
      </c>
      <c r="F2648" s="312">
        <v>1708</v>
      </c>
      <c r="G2648" s="312" t="s">
        <v>3481</v>
      </c>
      <c r="H2648" s="312">
        <v>1710</v>
      </c>
      <c r="I2648" s="312" t="s">
        <v>3480</v>
      </c>
      <c r="J2648" s="312">
        <v>1909</v>
      </c>
      <c r="K2648" s="312" t="s">
        <v>3482</v>
      </c>
    </row>
    <row r="2649" spans="1:11">
      <c r="A2649" s="312" t="s">
        <v>5606</v>
      </c>
      <c r="B2649" s="312" t="s">
        <v>5607</v>
      </c>
      <c r="C2649" s="312" t="s">
        <v>105</v>
      </c>
      <c r="D2649" s="312" t="s">
        <v>5473</v>
      </c>
      <c r="E2649" s="312" t="s">
        <v>3480</v>
      </c>
      <c r="F2649" s="312">
        <v>1708</v>
      </c>
      <c r="G2649" s="312" t="s">
        <v>3481</v>
      </c>
      <c r="H2649" s="312">
        <v>1710</v>
      </c>
      <c r="I2649" s="312" t="s">
        <v>3480</v>
      </c>
      <c r="J2649" s="312">
        <v>1909</v>
      </c>
      <c r="K2649" s="312" t="s">
        <v>3482</v>
      </c>
    </row>
    <row r="2650" spans="1:11">
      <c r="A2650" s="312" t="s">
        <v>5608</v>
      </c>
      <c r="B2650" s="312" t="s">
        <v>5609</v>
      </c>
      <c r="C2650" s="312" t="s">
        <v>105</v>
      </c>
      <c r="D2650" s="312" t="s">
        <v>5473</v>
      </c>
      <c r="E2650" s="312" t="s">
        <v>3480</v>
      </c>
      <c r="F2650" s="312">
        <v>1708</v>
      </c>
      <c r="G2650" s="312" t="s">
        <v>3481</v>
      </c>
      <c r="H2650" s="312">
        <v>1710</v>
      </c>
      <c r="I2650" s="312" t="s">
        <v>3480</v>
      </c>
      <c r="J2650" s="312">
        <v>1909</v>
      </c>
      <c r="K2650" s="312" t="s">
        <v>3482</v>
      </c>
    </row>
    <row r="2651" spans="1:11">
      <c r="A2651" s="312" t="s">
        <v>5610</v>
      </c>
      <c r="B2651" s="312" t="s">
        <v>5611</v>
      </c>
      <c r="C2651" s="312" t="s">
        <v>105</v>
      </c>
      <c r="D2651" s="312" t="s">
        <v>5473</v>
      </c>
      <c r="E2651" s="312" t="s">
        <v>3480</v>
      </c>
      <c r="F2651" s="312">
        <v>1708</v>
      </c>
      <c r="G2651" s="312" t="s">
        <v>3481</v>
      </c>
      <c r="H2651" s="312">
        <v>1710</v>
      </c>
      <c r="I2651" s="312" t="s">
        <v>3480</v>
      </c>
      <c r="J2651" s="312">
        <v>1909</v>
      </c>
      <c r="K2651" s="312" t="s">
        <v>3482</v>
      </c>
    </row>
    <row r="2652" spans="1:11">
      <c r="A2652" s="312" t="s">
        <v>5612</v>
      </c>
      <c r="B2652" s="312" t="s">
        <v>5613</v>
      </c>
      <c r="C2652" s="312" t="s">
        <v>105</v>
      </c>
      <c r="D2652" s="312" t="s">
        <v>5614</v>
      </c>
      <c r="E2652" s="312" t="s">
        <v>3480</v>
      </c>
      <c r="F2652" s="312">
        <v>1708</v>
      </c>
      <c r="G2652" s="312" t="s">
        <v>3481</v>
      </c>
      <c r="H2652" s="312">
        <v>1710</v>
      </c>
      <c r="I2652" s="312" t="s">
        <v>3480</v>
      </c>
      <c r="J2652" s="312">
        <v>1909</v>
      </c>
      <c r="K2652" s="312" t="s">
        <v>3482</v>
      </c>
    </row>
    <row r="2653" spans="1:11">
      <c r="A2653" s="312" t="s">
        <v>5615</v>
      </c>
      <c r="B2653" s="312" t="s">
        <v>5616</v>
      </c>
      <c r="C2653" s="312" t="s">
        <v>105</v>
      </c>
      <c r="D2653" s="312" t="s">
        <v>5614</v>
      </c>
      <c r="E2653" s="312" t="s">
        <v>3480</v>
      </c>
      <c r="F2653" s="312">
        <v>1708</v>
      </c>
      <c r="G2653" s="312" t="s">
        <v>3481</v>
      </c>
      <c r="H2653" s="312">
        <v>1710</v>
      </c>
      <c r="I2653" s="312" t="s">
        <v>3480</v>
      </c>
      <c r="J2653" s="312">
        <v>1909</v>
      </c>
      <c r="K2653" s="312" t="s">
        <v>3482</v>
      </c>
    </row>
    <row r="2654" spans="1:11">
      <c r="A2654" s="312" t="s">
        <v>5617</v>
      </c>
      <c r="B2654" s="312" t="s">
        <v>5618</v>
      </c>
      <c r="C2654" s="312" t="s">
        <v>105</v>
      </c>
      <c r="D2654" s="312" t="s">
        <v>5614</v>
      </c>
      <c r="E2654" s="312" t="s">
        <v>3480</v>
      </c>
      <c r="F2654" s="312">
        <v>1708</v>
      </c>
      <c r="G2654" s="312" t="s">
        <v>3481</v>
      </c>
      <c r="H2654" s="312">
        <v>1710</v>
      </c>
      <c r="I2654" s="312" t="s">
        <v>3480</v>
      </c>
      <c r="J2654" s="312">
        <v>1909</v>
      </c>
      <c r="K2654" s="312" t="s">
        <v>3482</v>
      </c>
    </row>
    <row r="2655" spans="1:11">
      <c r="A2655" s="312" t="s">
        <v>5619</v>
      </c>
      <c r="B2655" s="312" t="s">
        <v>5620</v>
      </c>
      <c r="C2655" s="312" t="s">
        <v>105</v>
      </c>
      <c r="D2655" s="312" t="s">
        <v>5614</v>
      </c>
      <c r="E2655" s="312" t="s">
        <v>3480</v>
      </c>
      <c r="F2655" s="312">
        <v>1708</v>
      </c>
      <c r="G2655" s="312" t="s">
        <v>3481</v>
      </c>
      <c r="H2655" s="312">
        <v>1710</v>
      </c>
      <c r="I2655" s="312" t="s">
        <v>3480</v>
      </c>
      <c r="J2655" s="312">
        <v>1909</v>
      </c>
      <c r="K2655" s="312" t="s">
        <v>3482</v>
      </c>
    </row>
    <row r="2656" spans="1:11">
      <c r="A2656" s="312" t="s">
        <v>5621</v>
      </c>
      <c r="B2656" s="312" t="s">
        <v>5622</v>
      </c>
      <c r="C2656" s="312" t="s">
        <v>105</v>
      </c>
      <c r="D2656" s="312" t="s">
        <v>5614</v>
      </c>
      <c r="E2656" s="312" t="s">
        <v>3480</v>
      </c>
      <c r="F2656" s="312">
        <v>1708</v>
      </c>
      <c r="G2656" s="312" t="s">
        <v>3481</v>
      </c>
      <c r="H2656" s="312">
        <v>1710</v>
      </c>
      <c r="I2656" s="312" t="s">
        <v>3480</v>
      </c>
      <c r="J2656" s="312">
        <v>1909</v>
      </c>
      <c r="K2656" s="312" t="s">
        <v>3482</v>
      </c>
    </row>
    <row r="2657" spans="1:11">
      <c r="A2657" s="312" t="s">
        <v>5623</v>
      </c>
      <c r="B2657" s="312" t="s">
        <v>5624</v>
      </c>
      <c r="C2657" s="312" t="s">
        <v>105</v>
      </c>
      <c r="D2657" s="312" t="s">
        <v>5614</v>
      </c>
      <c r="E2657" s="312" t="s">
        <v>3480</v>
      </c>
      <c r="F2657" s="312">
        <v>1708</v>
      </c>
      <c r="G2657" s="312" t="s">
        <v>3481</v>
      </c>
      <c r="H2657" s="312">
        <v>1710</v>
      </c>
      <c r="I2657" s="312" t="s">
        <v>3480</v>
      </c>
      <c r="J2657" s="312">
        <v>1909</v>
      </c>
      <c r="K2657" s="312" t="s">
        <v>3482</v>
      </c>
    </row>
    <row r="2658" spans="1:11">
      <c r="A2658" s="312" t="s">
        <v>5625</v>
      </c>
      <c r="B2658" s="312" t="s">
        <v>5626</v>
      </c>
      <c r="C2658" s="312" t="s">
        <v>105</v>
      </c>
      <c r="D2658" s="312" t="s">
        <v>5614</v>
      </c>
      <c r="E2658" s="312" t="s">
        <v>3480</v>
      </c>
      <c r="F2658" s="312">
        <v>1708</v>
      </c>
      <c r="G2658" s="312" t="s">
        <v>3481</v>
      </c>
      <c r="H2658" s="312">
        <v>1710</v>
      </c>
      <c r="I2658" s="312" t="s">
        <v>3480</v>
      </c>
      <c r="J2658" s="312">
        <v>1909</v>
      </c>
      <c r="K2658" s="312" t="s">
        <v>3482</v>
      </c>
    </row>
    <row r="2659" spans="1:11">
      <c r="A2659" s="312" t="s">
        <v>5627</v>
      </c>
      <c r="B2659" s="312" t="s">
        <v>5628</v>
      </c>
      <c r="C2659" s="312" t="s">
        <v>105</v>
      </c>
      <c r="D2659" s="312" t="s">
        <v>5614</v>
      </c>
      <c r="E2659" s="312" t="s">
        <v>3480</v>
      </c>
      <c r="F2659" s="312">
        <v>1708</v>
      </c>
      <c r="G2659" s="312" t="s">
        <v>3481</v>
      </c>
      <c r="H2659" s="312">
        <v>1710</v>
      </c>
      <c r="I2659" s="312" t="s">
        <v>3480</v>
      </c>
      <c r="J2659" s="312">
        <v>1909</v>
      </c>
      <c r="K2659" s="312" t="s">
        <v>3482</v>
      </c>
    </row>
    <row r="2660" spans="1:11">
      <c r="A2660" s="312" t="s">
        <v>5629</v>
      </c>
      <c r="B2660" s="312" t="s">
        <v>5630</v>
      </c>
      <c r="C2660" s="312" t="s">
        <v>105</v>
      </c>
      <c r="D2660" s="312" t="s">
        <v>5442</v>
      </c>
      <c r="E2660" s="312" t="s">
        <v>3480</v>
      </c>
      <c r="F2660" s="312">
        <v>1708</v>
      </c>
      <c r="G2660" s="312" t="s">
        <v>3481</v>
      </c>
      <c r="H2660" s="312">
        <v>1710</v>
      </c>
      <c r="I2660" s="312" t="s">
        <v>3480</v>
      </c>
      <c r="J2660" s="312">
        <v>1909</v>
      </c>
      <c r="K2660" s="312" t="s">
        <v>3482</v>
      </c>
    </row>
    <row r="2661" spans="1:11">
      <c r="A2661" s="312" t="s">
        <v>5631</v>
      </c>
      <c r="B2661" s="312" t="s">
        <v>5632</v>
      </c>
      <c r="C2661" s="312" t="s">
        <v>105</v>
      </c>
      <c r="D2661" s="312" t="s">
        <v>5442</v>
      </c>
      <c r="E2661" s="312" t="s">
        <v>3480</v>
      </c>
      <c r="F2661" s="312">
        <v>1708</v>
      </c>
      <c r="G2661" s="312" t="s">
        <v>3481</v>
      </c>
      <c r="H2661" s="312">
        <v>1710</v>
      </c>
      <c r="I2661" s="312" t="s">
        <v>3480</v>
      </c>
      <c r="J2661" s="312">
        <v>1909</v>
      </c>
      <c r="K2661" s="312" t="s">
        <v>3482</v>
      </c>
    </row>
    <row r="2662" spans="1:11">
      <c r="A2662" s="312" t="s">
        <v>5633</v>
      </c>
      <c r="B2662" s="312" t="s">
        <v>5634</v>
      </c>
      <c r="C2662" s="312" t="s">
        <v>105</v>
      </c>
      <c r="D2662" s="312" t="s">
        <v>5450</v>
      </c>
      <c r="E2662" s="312" t="s">
        <v>886</v>
      </c>
      <c r="F2662" s="312">
        <v>1857</v>
      </c>
      <c r="G2662" s="312" t="s">
        <v>887</v>
      </c>
      <c r="H2662" s="312">
        <v>1858</v>
      </c>
      <c r="I2662" s="312" t="s">
        <v>886</v>
      </c>
      <c r="J2662" s="312">
        <v>1924</v>
      </c>
      <c r="K2662" s="312" t="s">
        <v>888</v>
      </c>
    </row>
    <row r="2663" spans="1:11">
      <c r="A2663" s="312" t="s">
        <v>5635</v>
      </c>
      <c r="B2663" s="312" t="s">
        <v>5636</v>
      </c>
      <c r="C2663" s="312" t="s">
        <v>105</v>
      </c>
      <c r="D2663" s="312" t="s">
        <v>5450</v>
      </c>
      <c r="E2663" s="312" t="s">
        <v>167</v>
      </c>
      <c r="F2663" s="312">
        <v>1705</v>
      </c>
      <c r="G2663" s="312" t="s">
        <v>168</v>
      </c>
      <c r="H2663" s="312">
        <v>1707</v>
      </c>
      <c r="I2663" s="312" t="s">
        <v>167</v>
      </c>
      <c r="J2663" s="312">
        <v>1899</v>
      </c>
      <c r="K2663" s="312" t="s">
        <v>169</v>
      </c>
    </row>
    <row r="2664" spans="1:11">
      <c r="A2664" s="312" t="s">
        <v>5637</v>
      </c>
      <c r="B2664" s="312" t="s">
        <v>5638</v>
      </c>
      <c r="C2664" s="312" t="s">
        <v>105</v>
      </c>
      <c r="D2664" s="312" t="s">
        <v>5450</v>
      </c>
      <c r="E2664" s="312" t="s">
        <v>5639</v>
      </c>
      <c r="F2664" s="312">
        <v>1680</v>
      </c>
      <c r="G2664" s="312" t="s">
        <v>5640</v>
      </c>
      <c r="H2664" s="312">
        <v>1682</v>
      </c>
      <c r="I2664" s="312" t="s">
        <v>5639</v>
      </c>
      <c r="J2664" s="312">
        <v>1911</v>
      </c>
      <c r="K2664" s="312" t="s">
        <v>5641</v>
      </c>
    </row>
    <row r="2665" spans="1:11">
      <c r="A2665" s="312" t="s">
        <v>5642</v>
      </c>
      <c r="B2665" s="312" t="s">
        <v>5643</v>
      </c>
      <c r="C2665" s="312" t="s">
        <v>105</v>
      </c>
      <c r="D2665" s="312" t="s">
        <v>5450</v>
      </c>
      <c r="E2665" s="312" t="s">
        <v>5639</v>
      </c>
      <c r="F2665" s="312">
        <v>1680</v>
      </c>
      <c r="G2665" s="312" t="s">
        <v>5640</v>
      </c>
      <c r="H2665" s="312">
        <v>1682</v>
      </c>
      <c r="I2665" s="312" t="s">
        <v>5639</v>
      </c>
      <c r="J2665" s="312">
        <v>1911</v>
      </c>
      <c r="K2665" s="312" t="s">
        <v>5641</v>
      </c>
    </row>
    <row r="2666" spans="1:11">
      <c r="A2666" s="312" t="s">
        <v>5644</v>
      </c>
      <c r="B2666" s="312" t="s">
        <v>5645</v>
      </c>
      <c r="C2666" s="312" t="s">
        <v>105</v>
      </c>
      <c r="D2666" s="312" t="s">
        <v>5450</v>
      </c>
      <c r="E2666" s="312" t="s">
        <v>5639</v>
      </c>
      <c r="F2666" s="312">
        <v>1680</v>
      </c>
      <c r="G2666" s="312" t="s">
        <v>5640</v>
      </c>
      <c r="H2666" s="312">
        <v>1682</v>
      </c>
      <c r="I2666" s="312" t="s">
        <v>5639</v>
      </c>
      <c r="J2666" s="312">
        <v>1911</v>
      </c>
      <c r="K2666" s="312" t="s">
        <v>5641</v>
      </c>
    </row>
    <row r="2667" spans="1:11">
      <c r="A2667" s="312" t="s">
        <v>5646</v>
      </c>
      <c r="B2667" s="312" t="s">
        <v>5647</v>
      </c>
      <c r="C2667" s="312" t="s">
        <v>105</v>
      </c>
      <c r="D2667" s="312" t="s">
        <v>5450</v>
      </c>
      <c r="E2667" s="312" t="s">
        <v>5639</v>
      </c>
      <c r="F2667" s="312">
        <v>1680</v>
      </c>
      <c r="G2667" s="312" t="s">
        <v>5640</v>
      </c>
      <c r="H2667" s="312">
        <v>1682</v>
      </c>
      <c r="I2667" s="312" t="s">
        <v>5639</v>
      </c>
      <c r="J2667" s="312">
        <v>1911</v>
      </c>
      <c r="K2667" s="312" t="s">
        <v>5641</v>
      </c>
    </row>
    <row r="2668" spans="1:11">
      <c r="A2668" s="312" t="s">
        <v>5648</v>
      </c>
      <c r="B2668" s="312" t="s">
        <v>5649</v>
      </c>
      <c r="C2668" s="312" t="s">
        <v>105</v>
      </c>
      <c r="D2668" s="312" t="s">
        <v>5450</v>
      </c>
      <c r="E2668" s="312" t="s">
        <v>5639</v>
      </c>
      <c r="F2668" s="312">
        <v>1680</v>
      </c>
      <c r="G2668" s="312" t="s">
        <v>5640</v>
      </c>
      <c r="H2668" s="312">
        <v>1682</v>
      </c>
      <c r="I2668" s="312" t="s">
        <v>5639</v>
      </c>
      <c r="J2668" s="312">
        <v>1911</v>
      </c>
      <c r="K2668" s="312" t="s">
        <v>5641</v>
      </c>
    </row>
    <row r="2669" spans="1:11">
      <c r="A2669" s="312" t="s">
        <v>5650</v>
      </c>
      <c r="B2669" s="312" t="s">
        <v>5651</v>
      </c>
      <c r="C2669" s="312" t="s">
        <v>105</v>
      </c>
      <c r="D2669" s="312" t="s">
        <v>1802</v>
      </c>
      <c r="E2669" s="312" t="s">
        <v>320</v>
      </c>
      <c r="F2669" s="312">
        <v>1716</v>
      </c>
      <c r="G2669" s="312" t="s">
        <v>321</v>
      </c>
      <c r="H2669" s="312">
        <v>1725</v>
      </c>
      <c r="I2669" s="312" t="s">
        <v>320</v>
      </c>
      <c r="J2669" s="312">
        <v>1910</v>
      </c>
      <c r="K2669" s="312" t="s">
        <v>322</v>
      </c>
    </row>
    <row r="2670" spans="1:11">
      <c r="A2670" s="312" t="s">
        <v>5652</v>
      </c>
      <c r="B2670" s="312" t="s">
        <v>5653</v>
      </c>
      <c r="C2670" s="312" t="s">
        <v>105</v>
      </c>
      <c r="D2670" s="312" t="s">
        <v>1802</v>
      </c>
      <c r="E2670" s="312" t="s">
        <v>320</v>
      </c>
      <c r="F2670" s="312">
        <v>1716</v>
      </c>
      <c r="G2670" s="312" t="s">
        <v>321</v>
      </c>
      <c r="H2670" s="312">
        <v>1725</v>
      </c>
      <c r="I2670" s="312" t="s">
        <v>320</v>
      </c>
      <c r="J2670" s="312">
        <v>1910</v>
      </c>
      <c r="K2670" s="312" t="s">
        <v>322</v>
      </c>
    </row>
    <row r="2671" spans="1:11">
      <c r="A2671" s="312" t="s">
        <v>5654</v>
      </c>
      <c r="B2671" s="312" t="s">
        <v>5655</v>
      </c>
      <c r="C2671" s="312" t="s">
        <v>105</v>
      </c>
      <c r="D2671" s="312" t="s">
        <v>5656</v>
      </c>
      <c r="E2671" s="312" t="s">
        <v>320</v>
      </c>
      <c r="F2671" s="312">
        <v>1716</v>
      </c>
      <c r="G2671" s="312" t="s">
        <v>321</v>
      </c>
      <c r="H2671" s="312">
        <v>1725</v>
      </c>
      <c r="I2671" s="312" t="s">
        <v>320</v>
      </c>
      <c r="J2671" s="312">
        <v>1910</v>
      </c>
      <c r="K2671" s="312" t="s">
        <v>322</v>
      </c>
    </row>
    <row r="2672" spans="1:11">
      <c r="A2672" s="312" t="s">
        <v>5657</v>
      </c>
      <c r="B2672" s="312" t="s">
        <v>5658</v>
      </c>
      <c r="C2672" s="312" t="s">
        <v>105</v>
      </c>
      <c r="D2672" s="312" t="s">
        <v>1802</v>
      </c>
      <c r="E2672" s="312" t="s">
        <v>320</v>
      </c>
      <c r="F2672" s="312">
        <v>1716</v>
      </c>
      <c r="G2672" s="312" t="s">
        <v>321</v>
      </c>
      <c r="H2672" s="312">
        <v>1725</v>
      </c>
      <c r="I2672" s="312" t="s">
        <v>320</v>
      </c>
      <c r="J2672" s="312">
        <v>1910</v>
      </c>
      <c r="K2672" s="312" t="s">
        <v>322</v>
      </c>
    </row>
    <row r="2673" spans="1:11">
      <c r="A2673" s="312" t="s">
        <v>5659</v>
      </c>
      <c r="B2673" s="312" t="s">
        <v>5660</v>
      </c>
      <c r="C2673" s="312" t="s">
        <v>105</v>
      </c>
      <c r="D2673" s="312" t="s">
        <v>1802</v>
      </c>
      <c r="E2673" s="312" t="s">
        <v>320</v>
      </c>
      <c r="F2673" s="312">
        <v>1716</v>
      </c>
      <c r="G2673" s="312" t="s">
        <v>321</v>
      </c>
      <c r="H2673" s="312">
        <v>1725</v>
      </c>
      <c r="I2673" s="312" t="s">
        <v>320</v>
      </c>
      <c r="J2673" s="312">
        <v>1910</v>
      </c>
      <c r="K2673" s="312" t="s">
        <v>322</v>
      </c>
    </row>
    <row r="2674" spans="1:11">
      <c r="A2674" s="312" t="s">
        <v>5661</v>
      </c>
      <c r="B2674" s="312" t="s">
        <v>5662</v>
      </c>
      <c r="C2674" s="312" t="s">
        <v>105</v>
      </c>
      <c r="D2674" s="312" t="s">
        <v>1802</v>
      </c>
      <c r="E2674" s="312" t="s">
        <v>320</v>
      </c>
      <c r="F2674" s="312">
        <v>1716</v>
      </c>
      <c r="G2674" s="312" t="s">
        <v>321</v>
      </c>
      <c r="H2674" s="312">
        <v>1725</v>
      </c>
      <c r="I2674" s="312" t="s">
        <v>320</v>
      </c>
      <c r="J2674" s="312">
        <v>1910</v>
      </c>
      <c r="K2674" s="312" t="s">
        <v>322</v>
      </c>
    </row>
    <row r="2675" spans="1:11">
      <c r="A2675" s="312" t="s">
        <v>5663</v>
      </c>
      <c r="B2675" s="312" t="s">
        <v>5664</v>
      </c>
      <c r="C2675" s="312" t="s">
        <v>105</v>
      </c>
      <c r="D2675" s="312" t="s">
        <v>1802</v>
      </c>
      <c r="E2675" s="312" t="s">
        <v>320</v>
      </c>
      <c r="F2675" s="312">
        <v>1716</v>
      </c>
      <c r="G2675" s="312" t="s">
        <v>321</v>
      </c>
      <c r="H2675" s="312">
        <v>1725</v>
      </c>
      <c r="I2675" s="312" t="s">
        <v>320</v>
      </c>
      <c r="J2675" s="312">
        <v>1910</v>
      </c>
      <c r="K2675" s="312" t="s">
        <v>322</v>
      </c>
    </row>
    <row r="2676" spans="1:11">
      <c r="A2676" s="312" t="s">
        <v>5665</v>
      </c>
      <c r="B2676" s="312" t="s">
        <v>5666</v>
      </c>
      <c r="C2676" s="312" t="s">
        <v>105</v>
      </c>
      <c r="D2676" s="312" t="s">
        <v>1802</v>
      </c>
      <c r="E2676" s="312" t="s">
        <v>320</v>
      </c>
      <c r="F2676" s="312">
        <v>1716</v>
      </c>
      <c r="G2676" s="312" t="s">
        <v>321</v>
      </c>
      <c r="H2676" s="312">
        <v>1725</v>
      </c>
      <c r="I2676" s="312" t="s">
        <v>320</v>
      </c>
      <c r="J2676" s="312">
        <v>1910</v>
      </c>
      <c r="K2676" s="312" t="s">
        <v>322</v>
      </c>
    </row>
    <row r="2677" spans="1:11">
      <c r="A2677" s="312" t="s">
        <v>5667</v>
      </c>
      <c r="B2677" s="312" t="s">
        <v>5668</v>
      </c>
      <c r="C2677" s="312" t="s">
        <v>105</v>
      </c>
      <c r="D2677" s="312" t="s">
        <v>1802</v>
      </c>
      <c r="E2677" s="312" t="s">
        <v>320</v>
      </c>
      <c r="F2677" s="312">
        <v>1716</v>
      </c>
      <c r="G2677" s="312" t="s">
        <v>321</v>
      </c>
      <c r="H2677" s="312">
        <v>1725</v>
      </c>
      <c r="I2677" s="312" t="s">
        <v>320</v>
      </c>
      <c r="J2677" s="312">
        <v>1910</v>
      </c>
      <c r="K2677" s="312" t="s">
        <v>322</v>
      </c>
    </row>
    <row r="2678" spans="1:11">
      <c r="A2678" s="312" t="s">
        <v>5669</v>
      </c>
      <c r="B2678" s="312" t="s">
        <v>5670</v>
      </c>
      <c r="C2678" s="312" t="s">
        <v>105</v>
      </c>
      <c r="D2678" s="312" t="s">
        <v>1802</v>
      </c>
      <c r="E2678" s="312" t="s">
        <v>320</v>
      </c>
      <c r="F2678" s="312">
        <v>1716</v>
      </c>
      <c r="G2678" s="312" t="s">
        <v>321</v>
      </c>
      <c r="H2678" s="312">
        <v>1725</v>
      </c>
      <c r="I2678" s="312" t="s">
        <v>320</v>
      </c>
      <c r="J2678" s="312">
        <v>1910</v>
      </c>
      <c r="K2678" s="312" t="s">
        <v>322</v>
      </c>
    </row>
    <row r="2679" spans="1:11">
      <c r="A2679" s="312" t="s">
        <v>5671</v>
      </c>
      <c r="B2679" s="312" t="s">
        <v>5672</v>
      </c>
      <c r="C2679" s="312" t="s">
        <v>105</v>
      </c>
      <c r="D2679" s="312" t="s">
        <v>1802</v>
      </c>
      <c r="E2679" s="312" t="s">
        <v>320</v>
      </c>
      <c r="F2679" s="312">
        <v>1716</v>
      </c>
      <c r="G2679" s="312" t="s">
        <v>321</v>
      </c>
      <c r="H2679" s="312">
        <v>1725</v>
      </c>
      <c r="I2679" s="312" t="s">
        <v>320</v>
      </c>
      <c r="J2679" s="312">
        <v>1910</v>
      </c>
      <c r="K2679" s="312" t="s">
        <v>322</v>
      </c>
    </row>
    <row r="2680" spans="1:11">
      <c r="A2680" s="312" t="s">
        <v>5673</v>
      </c>
      <c r="B2680" s="312" t="s">
        <v>5674</v>
      </c>
      <c r="C2680" s="312" t="s">
        <v>105</v>
      </c>
      <c r="D2680" s="312" t="s">
        <v>1802</v>
      </c>
      <c r="E2680" s="312" t="s">
        <v>320</v>
      </c>
      <c r="F2680" s="312">
        <v>1716</v>
      </c>
      <c r="G2680" s="312" t="s">
        <v>321</v>
      </c>
      <c r="H2680" s="312">
        <v>1725</v>
      </c>
      <c r="I2680" s="312" t="s">
        <v>320</v>
      </c>
      <c r="J2680" s="312">
        <v>1910</v>
      </c>
      <c r="K2680" s="312" t="s">
        <v>322</v>
      </c>
    </row>
    <row r="2681" spans="1:11">
      <c r="A2681" s="312" t="s">
        <v>5675</v>
      </c>
      <c r="B2681" s="312" t="s">
        <v>5676</v>
      </c>
      <c r="C2681" s="312" t="s">
        <v>105</v>
      </c>
      <c r="D2681" s="312" t="s">
        <v>1802</v>
      </c>
      <c r="E2681" s="312" t="s">
        <v>320</v>
      </c>
      <c r="F2681" s="312">
        <v>1716</v>
      </c>
      <c r="G2681" s="312" t="s">
        <v>321</v>
      </c>
      <c r="H2681" s="312">
        <v>1725</v>
      </c>
      <c r="I2681" s="312" t="s">
        <v>320</v>
      </c>
      <c r="J2681" s="312">
        <v>1910</v>
      </c>
      <c r="K2681" s="312" t="s">
        <v>322</v>
      </c>
    </row>
    <row r="2682" spans="1:11">
      <c r="A2682" s="312" t="s">
        <v>5677</v>
      </c>
      <c r="B2682" s="312" t="s">
        <v>5678</v>
      </c>
      <c r="C2682" s="312" t="s">
        <v>105</v>
      </c>
      <c r="D2682" s="312" t="s">
        <v>1802</v>
      </c>
      <c r="E2682" s="312" t="s">
        <v>320</v>
      </c>
      <c r="F2682" s="312">
        <v>1716</v>
      </c>
      <c r="G2682" s="312" t="s">
        <v>321</v>
      </c>
      <c r="H2682" s="312">
        <v>1725</v>
      </c>
      <c r="I2682" s="312" t="s">
        <v>320</v>
      </c>
      <c r="J2682" s="312">
        <v>1910</v>
      </c>
      <c r="K2682" s="312" t="s">
        <v>322</v>
      </c>
    </row>
    <row r="2683" spans="1:11">
      <c r="A2683" s="312" t="s">
        <v>5679</v>
      </c>
      <c r="B2683" s="312" t="s">
        <v>5680</v>
      </c>
      <c r="C2683" s="312" t="s">
        <v>105</v>
      </c>
      <c r="D2683" s="312" t="s">
        <v>1802</v>
      </c>
      <c r="E2683" s="312" t="s">
        <v>320</v>
      </c>
      <c r="F2683" s="312">
        <v>1716</v>
      </c>
      <c r="G2683" s="312" t="s">
        <v>321</v>
      </c>
      <c r="H2683" s="312">
        <v>1725</v>
      </c>
      <c r="I2683" s="312" t="s">
        <v>320</v>
      </c>
      <c r="J2683" s="312">
        <v>1910</v>
      </c>
      <c r="K2683" s="312" t="s">
        <v>322</v>
      </c>
    </row>
    <row r="2684" spans="1:11">
      <c r="A2684" s="312" t="s">
        <v>5681</v>
      </c>
      <c r="B2684" s="312" t="s">
        <v>5682</v>
      </c>
      <c r="C2684" s="312" t="s">
        <v>105</v>
      </c>
      <c r="D2684" s="312" t="s">
        <v>1802</v>
      </c>
      <c r="E2684" s="312" t="s">
        <v>320</v>
      </c>
      <c r="F2684" s="312">
        <v>1716</v>
      </c>
      <c r="G2684" s="312" t="s">
        <v>321</v>
      </c>
      <c r="H2684" s="312">
        <v>1725</v>
      </c>
      <c r="I2684" s="312" t="s">
        <v>320</v>
      </c>
      <c r="J2684" s="312">
        <v>1910</v>
      </c>
      <c r="K2684" s="312" t="s">
        <v>322</v>
      </c>
    </row>
    <row r="2685" spans="1:11">
      <c r="A2685" s="312" t="s">
        <v>5683</v>
      </c>
      <c r="B2685" s="312" t="s">
        <v>5684</v>
      </c>
      <c r="C2685" s="312" t="s">
        <v>105</v>
      </c>
      <c r="D2685" s="312" t="s">
        <v>1802</v>
      </c>
      <c r="E2685" s="312" t="s">
        <v>320</v>
      </c>
      <c r="F2685" s="312">
        <v>1716</v>
      </c>
      <c r="G2685" s="312" t="s">
        <v>321</v>
      </c>
      <c r="H2685" s="312">
        <v>1725</v>
      </c>
      <c r="I2685" s="312" t="s">
        <v>320</v>
      </c>
      <c r="J2685" s="312">
        <v>1910</v>
      </c>
      <c r="K2685" s="312" t="s">
        <v>322</v>
      </c>
    </row>
    <row r="2686" spans="1:11">
      <c r="A2686" s="312" t="s">
        <v>5685</v>
      </c>
      <c r="B2686" s="312" t="s">
        <v>5686</v>
      </c>
      <c r="C2686" s="312" t="s">
        <v>105</v>
      </c>
      <c r="D2686" s="312" t="s">
        <v>1802</v>
      </c>
      <c r="E2686" s="312" t="s">
        <v>320</v>
      </c>
      <c r="F2686" s="312">
        <v>1716</v>
      </c>
      <c r="G2686" s="312" t="s">
        <v>321</v>
      </c>
      <c r="H2686" s="312">
        <v>1725</v>
      </c>
      <c r="I2686" s="312" t="s">
        <v>320</v>
      </c>
      <c r="J2686" s="312">
        <v>1910</v>
      </c>
      <c r="K2686" s="312" t="s">
        <v>322</v>
      </c>
    </row>
    <row r="2687" spans="1:11">
      <c r="A2687" s="312" t="s">
        <v>5687</v>
      </c>
      <c r="B2687" s="312" t="s">
        <v>5688</v>
      </c>
      <c r="C2687" s="312" t="s">
        <v>105</v>
      </c>
      <c r="D2687" s="312" t="s">
        <v>1802</v>
      </c>
      <c r="E2687" s="312" t="s">
        <v>320</v>
      </c>
      <c r="F2687" s="312">
        <v>1716</v>
      </c>
      <c r="G2687" s="312" t="s">
        <v>321</v>
      </c>
      <c r="H2687" s="312">
        <v>1725</v>
      </c>
      <c r="I2687" s="312" t="s">
        <v>320</v>
      </c>
      <c r="J2687" s="312">
        <v>1910</v>
      </c>
      <c r="K2687" s="312" t="s">
        <v>322</v>
      </c>
    </row>
    <row r="2688" spans="1:11">
      <c r="A2688" s="312" t="s">
        <v>5689</v>
      </c>
      <c r="B2688" s="312" t="s">
        <v>5690</v>
      </c>
      <c r="C2688" s="312" t="s">
        <v>105</v>
      </c>
      <c r="D2688" s="312" t="s">
        <v>1802</v>
      </c>
      <c r="E2688" s="312" t="s">
        <v>320</v>
      </c>
      <c r="F2688" s="312">
        <v>1716</v>
      </c>
      <c r="G2688" s="312" t="s">
        <v>321</v>
      </c>
      <c r="H2688" s="312">
        <v>1725</v>
      </c>
      <c r="I2688" s="312" t="s">
        <v>320</v>
      </c>
      <c r="J2688" s="312">
        <v>1910</v>
      </c>
      <c r="K2688" s="312" t="s">
        <v>322</v>
      </c>
    </row>
    <row r="2689" spans="1:11">
      <c r="A2689" s="312" t="s">
        <v>5691</v>
      </c>
      <c r="B2689" s="312" t="s">
        <v>5692</v>
      </c>
      <c r="C2689" s="312" t="s">
        <v>105</v>
      </c>
      <c r="D2689" s="312" t="s">
        <v>1802</v>
      </c>
      <c r="E2689" s="312" t="s">
        <v>320</v>
      </c>
      <c r="F2689" s="312">
        <v>1716</v>
      </c>
      <c r="G2689" s="312" t="s">
        <v>321</v>
      </c>
      <c r="H2689" s="312">
        <v>1725</v>
      </c>
      <c r="I2689" s="312" t="s">
        <v>320</v>
      </c>
      <c r="J2689" s="312">
        <v>1910</v>
      </c>
      <c r="K2689" s="312" t="s">
        <v>322</v>
      </c>
    </row>
    <row r="2690" spans="1:11">
      <c r="A2690" s="312" t="s">
        <v>5693</v>
      </c>
      <c r="B2690" s="312" t="s">
        <v>5694</v>
      </c>
      <c r="C2690" s="312" t="s">
        <v>105</v>
      </c>
      <c r="D2690" s="312" t="s">
        <v>1802</v>
      </c>
      <c r="E2690" s="312" t="s">
        <v>320</v>
      </c>
      <c r="F2690" s="312">
        <v>1716</v>
      </c>
      <c r="G2690" s="312" t="s">
        <v>321</v>
      </c>
      <c r="H2690" s="312">
        <v>1725</v>
      </c>
      <c r="I2690" s="312" t="s">
        <v>320</v>
      </c>
      <c r="J2690" s="312">
        <v>1910</v>
      </c>
      <c r="K2690" s="312" t="s">
        <v>322</v>
      </c>
    </row>
    <row r="2691" spans="1:11">
      <c r="A2691" s="312" t="s">
        <v>5695</v>
      </c>
      <c r="B2691" s="312" t="s">
        <v>5696</v>
      </c>
      <c r="C2691" s="312" t="s">
        <v>105</v>
      </c>
      <c r="D2691" s="312" t="s">
        <v>1802</v>
      </c>
      <c r="E2691" s="312" t="s">
        <v>320</v>
      </c>
      <c r="F2691" s="312">
        <v>1716</v>
      </c>
      <c r="G2691" s="312" t="s">
        <v>321</v>
      </c>
      <c r="H2691" s="312">
        <v>1725</v>
      </c>
      <c r="I2691" s="312" t="s">
        <v>320</v>
      </c>
      <c r="J2691" s="312">
        <v>1910</v>
      </c>
      <c r="K2691" s="312" t="s">
        <v>322</v>
      </c>
    </row>
    <row r="2692" spans="1:11">
      <c r="A2692" s="312" t="s">
        <v>5697</v>
      </c>
      <c r="B2692" s="312" t="s">
        <v>5698</v>
      </c>
      <c r="C2692" s="312" t="s">
        <v>105</v>
      </c>
      <c r="D2692" s="312" t="s">
        <v>1802</v>
      </c>
      <c r="E2692" s="312" t="s">
        <v>320</v>
      </c>
      <c r="F2692" s="312">
        <v>1716</v>
      </c>
      <c r="G2692" s="312" t="s">
        <v>321</v>
      </c>
      <c r="H2692" s="312">
        <v>1725</v>
      </c>
      <c r="I2692" s="312" t="s">
        <v>320</v>
      </c>
      <c r="J2692" s="312">
        <v>1910</v>
      </c>
      <c r="K2692" s="312" t="s">
        <v>322</v>
      </c>
    </row>
    <row r="2693" spans="1:11">
      <c r="A2693" s="312" t="s">
        <v>5699</v>
      </c>
      <c r="B2693" s="312" t="s">
        <v>5700</v>
      </c>
      <c r="C2693" s="312" t="s">
        <v>105</v>
      </c>
      <c r="D2693" s="312" t="s">
        <v>1802</v>
      </c>
      <c r="E2693" s="312" t="s">
        <v>320</v>
      </c>
      <c r="F2693" s="312">
        <v>1716</v>
      </c>
      <c r="G2693" s="312" t="s">
        <v>321</v>
      </c>
      <c r="H2693" s="312">
        <v>1725</v>
      </c>
      <c r="I2693" s="312" t="s">
        <v>320</v>
      </c>
      <c r="J2693" s="312">
        <v>1910</v>
      </c>
      <c r="K2693" s="312" t="s">
        <v>322</v>
      </c>
    </row>
    <row r="2694" spans="1:11">
      <c r="A2694" s="312" t="s">
        <v>5701</v>
      </c>
      <c r="B2694" s="312" t="s">
        <v>5702</v>
      </c>
      <c r="C2694" s="312" t="s">
        <v>105</v>
      </c>
      <c r="D2694" s="312" t="s">
        <v>1802</v>
      </c>
      <c r="E2694" s="312" t="s">
        <v>320</v>
      </c>
      <c r="F2694" s="312">
        <v>1716</v>
      </c>
      <c r="G2694" s="312" t="s">
        <v>321</v>
      </c>
      <c r="H2694" s="312">
        <v>1725</v>
      </c>
      <c r="I2694" s="312" t="s">
        <v>320</v>
      </c>
      <c r="J2694" s="312">
        <v>1910</v>
      </c>
      <c r="K2694" s="312" t="s">
        <v>322</v>
      </c>
    </row>
    <row r="2695" spans="1:11">
      <c r="A2695" s="312" t="s">
        <v>5703</v>
      </c>
      <c r="B2695" s="312" t="s">
        <v>5704</v>
      </c>
      <c r="C2695" s="312" t="s">
        <v>105</v>
      </c>
      <c r="D2695" s="312" t="s">
        <v>1802</v>
      </c>
      <c r="E2695" s="312" t="s">
        <v>320</v>
      </c>
      <c r="F2695" s="312">
        <v>1716</v>
      </c>
      <c r="G2695" s="312" t="s">
        <v>321</v>
      </c>
      <c r="H2695" s="312">
        <v>1725</v>
      </c>
      <c r="I2695" s="312" t="s">
        <v>320</v>
      </c>
      <c r="J2695" s="312">
        <v>1910</v>
      </c>
      <c r="K2695" s="312" t="s">
        <v>322</v>
      </c>
    </row>
    <row r="2696" spans="1:11">
      <c r="A2696" s="312" t="s">
        <v>5705</v>
      </c>
      <c r="B2696" s="312" t="s">
        <v>5706</v>
      </c>
      <c r="C2696" s="312" t="s">
        <v>105</v>
      </c>
      <c r="D2696" s="312" t="s">
        <v>1802</v>
      </c>
      <c r="E2696" s="312" t="s">
        <v>320</v>
      </c>
      <c r="F2696" s="312">
        <v>1716</v>
      </c>
      <c r="G2696" s="312" t="s">
        <v>321</v>
      </c>
      <c r="H2696" s="312">
        <v>1725</v>
      </c>
      <c r="I2696" s="312" t="s">
        <v>320</v>
      </c>
      <c r="J2696" s="312">
        <v>1910</v>
      </c>
      <c r="K2696" s="312" t="s">
        <v>322</v>
      </c>
    </row>
    <row r="2697" spans="1:11">
      <c r="A2697" s="312" t="s">
        <v>5707</v>
      </c>
      <c r="B2697" s="312" t="s">
        <v>5708</v>
      </c>
      <c r="C2697" s="312" t="s">
        <v>105</v>
      </c>
      <c r="D2697" s="312" t="s">
        <v>1802</v>
      </c>
      <c r="E2697" s="312" t="s">
        <v>320</v>
      </c>
      <c r="F2697" s="312">
        <v>1716</v>
      </c>
      <c r="G2697" s="312" t="s">
        <v>321</v>
      </c>
      <c r="H2697" s="312">
        <v>1725</v>
      </c>
      <c r="I2697" s="312" t="s">
        <v>320</v>
      </c>
      <c r="J2697" s="312">
        <v>1910</v>
      </c>
      <c r="K2697" s="312" t="s">
        <v>322</v>
      </c>
    </row>
    <row r="2698" spans="1:11">
      <c r="A2698" s="312" t="s">
        <v>5709</v>
      </c>
      <c r="B2698" s="312" t="s">
        <v>5710</v>
      </c>
      <c r="C2698" s="312" t="s">
        <v>105</v>
      </c>
      <c r="D2698" s="312" t="s">
        <v>1802</v>
      </c>
      <c r="E2698" s="312" t="s">
        <v>320</v>
      </c>
      <c r="F2698" s="312">
        <v>1716</v>
      </c>
      <c r="G2698" s="312" t="s">
        <v>321</v>
      </c>
      <c r="H2698" s="312">
        <v>1725</v>
      </c>
      <c r="I2698" s="312" t="s">
        <v>320</v>
      </c>
      <c r="J2698" s="312">
        <v>1910</v>
      </c>
      <c r="K2698" s="312" t="s">
        <v>322</v>
      </c>
    </row>
    <row r="2699" spans="1:11">
      <c r="A2699" s="312" t="s">
        <v>5711</v>
      </c>
      <c r="B2699" s="312" t="s">
        <v>5712</v>
      </c>
      <c r="C2699" s="312" t="s">
        <v>105</v>
      </c>
      <c r="D2699" s="312" t="s">
        <v>1802</v>
      </c>
      <c r="E2699" s="312" t="s">
        <v>320</v>
      </c>
      <c r="F2699" s="312">
        <v>1716</v>
      </c>
      <c r="G2699" s="312" t="s">
        <v>321</v>
      </c>
      <c r="H2699" s="312">
        <v>1725</v>
      </c>
      <c r="I2699" s="312" t="s">
        <v>320</v>
      </c>
      <c r="J2699" s="312">
        <v>1910</v>
      </c>
      <c r="K2699" s="312" t="s">
        <v>322</v>
      </c>
    </row>
    <row r="2700" spans="1:11">
      <c r="A2700" s="312" t="s">
        <v>5713</v>
      </c>
      <c r="B2700" s="312" t="s">
        <v>5714</v>
      </c>
      <c r="C2700" s="312" t="s">
        <v>105</v>
      </c>
      <c r="D2700" s="312" t="s">
        <v>1802</v>
      </c>
      <c r="E2700" s="312" t="s">
        <v>320</v>
      </c>
      <c r="F2700" s="312">
        <v>1716</v>
      </c>
      <c r="G2700" s="312" t="s">
        <v>321</v>
      </c>
      <c r="H2700" s="312">
        <v>1725</v>
      </c>
      <c r="I2700" s="312" t="s">
        <v>320</v>
      </c>
      <c r="J2700" s="312">
        <v>1910</v>
      </c>
      <c r="K2700" s="312" t="s">
        <v>322</v>
      </c>
    </row>
    <row r="2701" spans="1:11">
      <c r="A2701" s="312" t="s">
        <v>5715</v>
      </c>
      <c r="B2701" s="312" t="s">
        <v>5716</v>
      </c>
      <c r="C2701" s="312" t="s">
        <v>105</v>
      </c>
      <c r="D2701" s="312" t="s">
        <v>1802</v>
      </c>
      <c r="E2701" s="312" t="s">
        <v>320</v>
      </c>
      <c r="F2701" s="312">
        <v>1716</v>
      </c>
      <c r="G2701" s="312" t="s">
        <v>321</v>
      </c>
      <c r="H2701" s="312">
        <v>1725</v>
      </c>
      <c r="I2701" s="312" t="s">
        <v>320</v>
      </c>
      <c r="J2701" s="312">
        <v>1910</v>
      </c>
      <c r="K2701" s="312" t="s">
        <v>322</v>
      </c>
    </row>
    <row r="2702" spans="1:11">
      <c r="A2702" s="312" t="s">
        <v>5717</v>
      </c>
      <c r="B2702" s="312" t="s">
        <v>5718</v>
      </c>
      <c r="C2702" s="312" t="s">
        <v>105</v>
      </c>
      <c r="D2702" s="312" t="s">
        <v>1802</v>
      </c>
      <c r="E2702" s="312" t="s">
        <v>320</v>
      </c>
      <c r="F2702" s="312">
        <v>1716</v>
      </c>
      <c r="G2702" s="312" t="s">
        <v>321</v>
      </c>
      <c r="H2702" s="312">
        <v>1725</v>
      </c>
      <c r="I2702" s="312" t="s">
        <v>320</v>
      </c>
      <c r="J2702" s="312">
        <v>1910</v>
      </c>
      <c r="K2702" s="312" t="s">
        <v>322</v>
      </c>
    </row>
    <row r="2703" spans="1:11">
      <c r="A2703" s="312" t="s">
        <v>5719</v>
      </c>
      <c r="B2703" s="312" t="s">
        <v>5720</v>
      </c>
      <c r="C2703" s="312" t="s">
        <v>105</v>
      </c>
      <c r="D2703" s="312" t="s">
        <v>1802</v>
      </c>
      <c r="E2703" s="312" t="s">
        <v>5639</v>
      </c>
      <c r="F2703" s="312">
        <v>1680</v>
      </c>
      <c r="G2703" s="312" t="s">
        <v>5640</v>
      </c>
      <c r="H2703" s="312">
        <v>1682</v>
      </c>
      <c r="I2703" s="312" t="s">
        <v>5639</v>
      </c>
      <c r="J2703" s="312">
        <v>1911</v>
      </c>
      <c r="K2703" s="312" t="s">
        <v>5641</v>
      </c>
    </row>
    <row r="2704" spans="1:11">
      <c r="A2704" s="312" t="s">
        <v>5721</v>
      </c>
      <c r="B2704" s="312" t="s">
        <v>5722</v>
      </c>
      <c r="C2704" s="312" t="s">
        <v>105</v>
      </c>
      <c r="D2704" s="312" t="s">
        <v>5723</v>
      </c>
      <c r="E2704" s="312" t="s">
        <v>5639</v>
      </c>
      <c r="F2704" s="312">
        <v>1680</v>
      </c>
      <c r="G2704" s="312" t="s">
        <v>5640</v>
      </c>
      <c r="H2704" s="312">
        <v>1682</v>
      </c>
      <c r="I2704" s="312" t="s">
        <v>5639</v>
      </c>
      <c r="J2704" s="312">
        <v>1911</v>
      </c>
      <c r="K2704" s="312" t="s">
        <v>5641</v>
      </c>
    </row>
    <row r="2705" spans="1:11">
      <c r="A2705" s="312" t="s">
        <v>5724</v>
      </c>
      <c r="B2705" s="312" t="s">
        <v>5725</v>
      </c>
      <c r="C2705" s="312" t="s">
        <v>105</v>
      </c>
      <c r="D2705" s="312" t="s">
        <v>1802</v>
      </c>
      <c r="E2705" s="312" t="s">
        <v>5639</v>
      </c>
      <c r="F2705" s="312">
        <v>1680</v>
      </c>
      <c r="G2705" s="312" t="s">
        <v>5640</v>
      </c>
      <c r="H2705" s="312">
        <v>1682</v>
      </c>
      <c r="I2705" s="312" t="s">
        <v>5639</v>
      </c>
      <c r="J2705" s="312">
        <v>1911</v>
      </c>
      <c r="K2705" s="312" t="s">
        <v>5641</v>
      </c>
    </row>
    <row r="2706" spans="1:11">
      <c r="A2706" s="312" t="s">
        <v>5726</v>
      </c>
      <c r="B2706" s="312" t="s">
        <v>5727</v>
      </c>
      <c r="C2706" s="312" t="s">
        <v>105</v>
      </c>
      <c r="D2706" s="312" t="s">
        <v>1802</v>
      </c>
      <c r="E2706" s="312" t="s">
        <v>5639</v>
      </c>
      <c r="F2706" s="312">
        <v>1680</v>
      </c>
      <c r="G2706" s="312" t="s">
        <v>5640</v>
      </c>
      <c r="H2706" s="312">
        <v>1682</v>
      </c>
      <c r="I2706" s="312" t="s">
        <v>5639</v>
      </c>
      <c r="J2706" s="312">
        <v>1911</v>
      </c>
      <c r="K2706" s="312" t="s">
        <v>5641</v>
      </c>
    </row>
    <row r="2707" spans="1:11">
      <c r="A2707" s="312" t="s">
        <v>5728</v>
      </c>
      <c r="B2707" s="312" t="s">
        <v>5729</v>
      </c>
      <c r="C2707" s="312" t="s">
        <v>105</v>
      </c>
      <c r="D2707" s="312" t="s">
        <v>1802</v>
      </c>
      <c r="E2707" s="312" t="s">
        <v>5639</v>
      </c>
      <c r="F2707" s="312">
        <v>1680</v>
      </c>
      <c r="G2707" s="312" t="s">
        <v>5640</v>
      </c>
      <c r="H2707" s="312">
        <v>1682</v>
      </c>
      <c r="I2707" s="312" t="s">
        <v>5639</v>
      </c>
      <c r="J2707" s="312">
        <v>1911</v>
      </c>
      <c r="K2707" s="312" t="s">
        <v>5641</v>
      </c>
    </row>
    <row r="2708" spans="1:11">
      <c r="A2708" s="312" t="s">
        <v>5730</v>
      </c>
      <c r="B2708" s="312" t="s">
        <v>5731</v>
      </c>
      <c r="C2708" s="312" t="s">
        <v>105</v>
      </c>
      <c r="D2708" s="312" t="s">
        <v>5656</v>
      </c>
      <c r="E2708" s="312" t="s">
        <v>320</v>
      </c>
      <c r="F2708" s="312">
        <v>1716</v>
      </c>
      <c r="G2708" s="312" t="s">
        <v>321</v>
      </c>
      <c r="H2708" s="312">
        <v>1725</v>
      </c>
      <c r="I2708" s="312" t="s">
        <v>320</v>
      </c>
      <c r="J2708" s="312">
        <v>1910</v>
      </c>
      <c r="K2708" s="312" t="s">
        <v>322</v>
      </c>
    </row>
    <row r="2709" spans="1:11">
      <c r="A2709" s="312" t="s">
        <v>5732</v>
      </c>
      <c r="B2709" s="312" t="s">
        <v>5733</v>
      </c>
      <c r="C2709" s="312" t="s">
        <v>105</v>
      </c>
      <c r="D2709" s="312" t="s">
        <v>1802</v>
      </c>
      <c r="E2709" s="312" t="s">
        <v>5639</v>
      </c>
      <c r="F2709" s="312">
        <v>1680</v>
      </c>
      <c r="G2709" s="312" t="s">
        <v>5640</v>
      </c>
      <c r="H2709" s="312">
        <v>1682</v>
      </c>
      <c r="I2709" s="312" t="s">
        <v>5639</v>
      </c>
      <c r="J2709" s="312">
        <v>1911</v>
      </c>
      <c r="K2709" s="312" t="s">
        <v>5641</v>
      </c>
    </row>
    <row r="2710" spans="1:11">
      <c r="A2710" s="312" t="s">
        <v>5734</v>
      </c>
      <c r="B2710" s="1" t="s">
        <v>5735</v>
      </c>
      <c r="C2710" s="312" t="s">
        <v>105</v>
      </c>
      <c r="D2710" s="312" t="s">
        <v>5736</v>
      </c>
      <c r="E2710" s="312" t="s">
        <v>3480</v>
      </c>
      <c r="F2710" s="312">
        <v>1708</v>
      </c>
      <c r="G2710" s="312" t="s">
        <v>3481</v>
      </c>
      <c r="H2710" s="312">
        <v>1710</v>
      </c>
      <c r="I2710" s="312" t="s">
        <v>3480</v>
      </c>
      <c r="J2710" s="312">
        <v>1909</v>
      </c>
      <c r="K2710" s="312" t="s">
        <v>3482</v>
      </c>
    </row>
    <row r="2711" spans="1:11">
      <c r="A2711" s="312" t="s">
        <v>5737</v>
      </c>
      <c r="B2711" s="312" t="s">
        <v>5738</v>
      </c>
      <c r="C2711" s="312" t="s">
        <v>105</v>
      </c>
      <c r="D2711" s="312" t="s">
        <v>5736</v>
      </c>
      <c r="E2711" s="312" t="s">
        <v>3480</v>
      </c>
      <c r="F2711" s="312">
        <v>1708</v>
      </c>
      <c r="G2711" s="312" t="s">
        <v>3481</v>
      </c>
      <c r="H2711" s="312">
        <v>1710</v>
      </c>
      <c r="I2711" s="312" t="s">
        <v>3480</v>
      </c>
      <c r="J2711" s="312">
        <v>1909</v>
      </c>
      <c r="K2711" s="312" t="s">
        <v>3482</v>
      </c>
    </row>
    <row r="2712" spans="1:11">
      <c r="A2712" s="312" t="s">
        <v>5739</v>
      </c>
      <c r="B2712" s="312" t="s">
        <v>5740</v>
      </c>
      <c r="C2712" s="312" t="s">
        <v>105</v>
      </c>
      <c r="D2712" s="312" t="s">
        <v>5736</v>
      </c>
      <c r="E2712" s="312" t="s">
        <v>3480</v>
      </c>
      <c r="F2712" s="312">
        <v>1708</v>
      </c>
      <c r="G2712" s="312" t="s">
        <v>3481</v>
      </c>
      <c r="H2712" s="312">
        <v>1710</v>
      </c>
      <c r="I2712" s="312" t="s">
        <v>3480</v>
      </c>
      <c r="J2712" s="312">
        <v>1909</v>
      </c>
      <c r="K2712" s="312" t="s">
        <v>3482</v>
      </c>
    </row>
    <row r="2713" spans="1:11">
      <c r="A2713" s="312" t="s">
        <v>5741</v>
      </c>
      <c r="B2713" s="312" t="s">
        <v>5742</v>
      </c>
      <c r="C2713" s="312" t="s">
        <v>105</v>
      </c>
      <c r="D2713" s="312" t="s">
        <v>5736</v>
      </c>
      <c r="E2713" s="312" t="s">
        <v>3480</v>
      </c>
      <c r="F2713" s="312">
        <v>1708</v>
      </c>
      <c r="G2713" s="312" t="s">
        <v>3481</v>
      </c>
      <c r="H2713" s="312">
        <v>1710</v>
      </c>
      <c r="I2713" s="312" t="s">
        <v>3480</v>
      </c>
      <c r="J2713" s="312">
        <v>1909</v>
      </c>
      <c r="K2713" s="312" t="s">
        <v>3482</v>
      </c>
    </row>
    <row r="2714" spans="1:11">
      <c r="A2714" s="312" t="s">
        <v>5743</v>
      </c>
      <c r="B2714" s="312" t="s">
        <v>5744</v>
      </c>
      <c r="C2714" s="312" t="s">
        <v>105</v>
      </c>
      <c r="D2714" s="312" t="s">
        <v>5736</v>
      </c>
      <c r="E2714" s="312" t="s">
        <v>3480</v>
      </c>
      <c r="F2714" s="312">
        <v>1708</v>
      </c>
      <c r="G2714" s="312" t="s">
        <v>3481</v>
      </c>
      <c r="H2714" s="312">
        <v>1710</v>
      </c>
      <c r="I2714" s="312" t="s">
        <v>3480</v>
      </c>
      <c r="J2714" s="312">
        <v>1909</v>
      </c>
      <c r="K2714" s="312" t="s">
        <v>3482</v>
      </c>
    </row>
    <row r="2715" spans="1:11">
      <c r="A2715" s="312" t="s">
        <v>5745</v>
      </c>
      <c r="B2715" s="312" t="s">
        <v>5746</v>
      </c>
      <c r="C2715" s="312" t="s">
        <v>105</v>
      </c>
      <c r="D2715" s="312" t="s">
        <v>5656</v>
      </c>
      <c r="E2715" s="312" t="s">
        <v>5639</v>
      </c>
      <c r="F2715" s="312">
        <v>1680</v>
      </c>
      <c r="G2715" s="312" t="s">
        <v>5640</v>
      </c>
      <c r="H2715" s="312">
        <v>1682</v>
      </c>
      <c r="I2715" s="312" t="s">
        <v>5639</v>
      </c>
      <c r="J2715" s="312">
        <v>1911</v>
      </c>
      <c r="K2715" s="312" t="s">
        <v>5641</v>
      </c>
    </row>
    <row r="2716" spans="1:11">
      <c r="A2716" s="312" t="s">
        <v>5747</v>
      </c>
      <c r="B2716" s="312" t="s">
        <v>5748</v>
      </c>
      <c r="C2716" s="312" t="s">
        <v>105</v>
      </c>
      <c r="D2716" s="312" t="s">
        <v>483</v>
      </c>
      <c r="E2716" s="312" t="s">
        <v>3480</v>
      </c>
      <c r="F2716" s="312">
        <v>1708</v>
      </c>
      <c r="G2716" s="312" t="s">
        <v>3481</v>
      </c>
      <c r="H2716" s="312">
        <v>1710</v>
      </c>
      <c r="I2716" s="312" t="s">
        <v>3480</v>
      </c>
      <c r="J2716" s="312">
        <v>1909</v>
      </c>
      <c r="K2716" s="312" t="s">
        <v>3482</v>
      </c>
    </row>
    <row r="2717" spans="1:11">
      <c r="A2717" s="312" t="s">
        <v>5749</v>
      </c>
      <c r="B2717" s="312" t="s">
        <v>5750</v>
      </c>
      <c r="C2717" s="312" t="s">
        <v>105</v>
      </c>
      <c r="D2717" s="312" t="s">
        <v>5656</v>
      </c>
      <c r="E2717" s="312" t="s">
        <v>5639</v>
      </c>
      <c r="F2717" s="312">
        <v>1680</v>
      </c>
      <c r="G2717" s="312" t="s">
        <v>5640</v>
      </c>
      <c r="H2717" s="312">
        <v>1682</v>
      </c>
      <c r="I2717" s="312" t="s">
        <v>5639</v>
      </c>
      <c r="J2717" s="312">
        <v>1911</v>
      </c>
      <c r="K2717" s="312" t="s">
        <v>5641</v>
      </c>
    </row>
    <row r="2718" spans="1:11">
      <c r="A2718" s="312" t="s">
        <v>5751</v>
      </c>
      <c r="B2718" s="312" t="s">
        <v>5752</v>
      </c>
      <c r="C2718" s="312" t="s">
        <v>105</v>
      </c>
      <c r="D2718" s="312" t="s">
        <v>5656</v>
      </c>
      <c r="E2718" s="312" t="s">
        <v>5639</v>
      </c>
      <c r="F2718" s="312">
        <v>1680</v>
      </c>
      <c r="G2718" s="312" t="s">
        <v>5640</v>
      </c>
      <c r="H2718" s="312">
        <v>1682</v>
      </c>
      <c r="I2718" s="312" t="s">
        <v>5639</v>
      </c>
      <c r="J2718" s="312">
        <v>1911</v>
      </c>
      <c r="K2718" s="312" t="s">
        <v>5641</v>
      </c>
    </row>
    <row r="2719" spans="1:11">
      <c r="A2719" s="312" t="s">
        <v>5753</v>
      </c>
      <c r="B2719" s="312" t="s">
        <v>5754</v>
      </c>
      <c r="C2719" s="312" t="s">
        <v>105</v>
      </c>
      <c r="D2719" s="312" t="s">
        <v>1533</v>
      </c>
      <c r="E2719" s="312" t="s">
        <v>107</v>
      </c>
      <c r="F2719" s="312">
        <v>1825</v>
      </c>
      <c r="G2719" s="312" t="s">
        <v>108</v>
      </c>
      <c r="H2719" s="312">
        <v>1827</v>
      </c>
      <c r="I2719" s="312" t="s">
        <v>107</v>
      </c>
      <c r="J2719" s="312">
        <v>1913</v>
      </c>
      <c r="K2719" s="312" t="s">
        <v>109</v>
      </c>
    </row>
    <row r="2720" spans="1:11">
      <c r="A2720" s="312" t="s">
        <v>5755</v>
      </c>
      <c r="B2720" s="312" t="s">
        <v>5756</v>
      </c>
      <c r="C2720" s="312" t="s">
        <v>105</v>
      </c>
      <c r="D2720" s="312" t="s">
        <v>1533</v>
      </c>
      <c r="E2720" s="312" t="s">
        <v>107</v>
      </c>
      <c r="F2720" s="312">
        <v>1825</v>
      </c>
      <c r="G2720" s="312" t="s">
        <v>108</v>
      </c>
      <c r="H2720" s="312">
        <v>1827</v>
      </c>
      <c r="I2720" s="312" t="s">
        <v>107</v>
      </c>
      <c r="J2720" s="312">
        <v>1913</v>
      </c>
      <c r="K2720" s="312" t="s">
        <v>109</v>
      </c>
    </row>
    <row r="2721" spans="1:11">
      <c r="A2721" s="312" t="s">
        <v>5757</v>
      </c>
      <c r="B2721" s="312" t="s">
        <v>5758</v>
      </c>
      <c r="C2721" s="312" t="s">
        <v>105</v>
      </c>
      <c r="D2721" s="312" t="s">
        <v>504</v>
      </c>
      <c r="E2721" s="312" t="s">
        <v>167</v>
      </c>
      <c r="F2721" s="312">
        <v>1705</v>
      </c>
      <c r="G2721" s="312" t="s">
        <v>168</v>
      </c>
      <c r="H2721" s="312">
        <v>1707</v>
      </c>
      <c r="I2721" s="312" t="s">
        <v>167</v>
      </c>
      <c r="J2721" s="312">
        <v>1899</v>
      </c>
      <c r="K2721" s="312" t="s">
        <v>169</v>
      </c>
    </row>
    <row r="2722" spans="1:11">
      <c r="A2722" s="312" t="s">
        <v>5759</v>
      </c>
      <c r="B2722" s="312" t="s">
        <v>5760</v>
      </c>
      <c r="C2722" s="312" t="s">
        <v>105</v>
      </c>
      <c r="D2722" s="312" t="s">
        <v>327</v>
      </c>
      <c r="E2722" s="312" t="s">
        <v>466</v>
      </c>
      <c r="F2722" s="312">
        <v>1796</v>
      </c>
      <c r="G2722" s="312" t="s">
        <v>467</v>
      </c>
      <c r="H2722" s="312">
        <v>1799</v>
      </c>
      <c r="I2722" s="312" t="s">
        <v>466</v>
      </c>
      <c r="J2722" s="312">
        <v>1918</v>
      </c>
      <c r="K2722" s="312" t="s">
        <v>468</v>
      </c>
    </row>
    <row r="2723" spans="1:11">
      <c r="A2723" s="312" t="s">
        <v>5761</v>
      </c>
      <c r="B2723" s="312" t="s">
        <v>5762</v>
      </c>
      <c r="C2723" s="312" t="s">
        <v>105</v>
      </c>
      <c r="D2723" s="312" t="s">
        <v>106</v>
      </c>
      <c r="E2723" s="312" t="s">
        <v>107</v>
      </c>
      <c r="F2723" s="312">
        <v>1825</v>
      </c>
      <c r="G2723" s="312" t="s">
        <v>108</v>
      </c>
      <c r="H2723" s="312">
        <v>1827</v>
      </c>
      <c r="I2723" s="312" t="s">
        <v>107</v>
      </c>
      <c r="J2723" s="312">
        <v>1913</v>
      </c>
      <c r="K2723" s="312" t="s">
        <v>109</v>
      </c>
    </row>
    <row r="2724" spans="1:11">
      <c r="A2724" s="312" t="s">
        <v>5763</v>
      </c>
      <c r="B2724" s="312" t="s">
        <v>5764</v>
      </c>
      <c r="C2724" s="312" t="s">
        <v>105</v>
      </c>
      <c r="D2724" s="312" t="s">
        <v>114</v>
      </c>
      <c r="E2724" s="312" t="s">
        <v>107</v>
      </c>
      <c r="F2724" s="312">
        <v>1825</v>
      </c>
      <c r="G2724" s="312" t="s">
        <v>108</v>
      </c>
      <c r="H2724" s="312">
        <v>1827</v>
      </c>
      <c r="I2724" s="312" t="s">
        <v>107</v>
      </c>
      <c r="J2724" s="312">
        <v>1913</v>
      </c>
      <c r="K2724" s="312" t="s">
        <v>109</v>
      </c>
    </row>
    <row r="2725" spans="1:11">
      <c r="A2725" s="312" t="s">
        <v>5765</v>
      </c>
      <c r="B2725" s="312" t="s">
        <v>5766</v>
      </c>
      <c r="C2725" s="312" t="s">
        <v>105</v>
      </c>
      <c r="D2725" s="312" t="s">
        <v>114</v>
      </c>
      <c r="E2725" s="312" t="s">
        <v>107</v>
      </c>
      <c r="F2725" s="312">
        <v>1825</v>
      </c>
      <c r="G2725" s="312" t="s">
        <v>108</v>
      </c>
      <c r="H2725" s="312">
        <v>1827</v>
      </c>
      <c r="I2725" s="312" t="s">
        <v>107</v>
      </c>
      <c r="J2725" s="312">
        <v>1913</v>
      </c>
      <c r="K2725" s="312" t="s">
        <v>109</v>
      </c>
    </row>
    <row r="2726" spans="1:11">
      <c r="A2726" s="312" t="s">
        <v>5767</v>
      </c>
      <c r="B2726" s="312" t="s">
        <v>5768</v>
      </c>
      <c r="C2726" s="312" t="s">
        <v>105</v>
      </c>
      <c r="D2726" s="312" t="s">
        <v>114</v>
      </c>
      <c r="E2726" s="312" t="s">
        <v>107</v>
      </c>
      <c r="F2726" s="312">
        <v>1825</v>
      </c>
      <c r="G2726" s="312" t="s">
        <v>108</v>
      </c>
      <c r="H2726" s="312">
        <v>1827</v>
      </c>
      <c r="I2726" s="312" t="s">
        <v>107</v>
      </c>
      <c r="J2726" s="312">
        <v>1913</v>
      </c>
      <c r="K2726" s="312" t="s">
        <v>109</v>
      </c>
    </row>
    <row r="2727" spans="1:11">
      <c r="A2727" s="312" t="s">
        <v>5769</v>
      </c>
      <c r="B2727" s="312" t="s">
        <v>5770</v>
      </c>
      <c r="C2727" s="312" t="s">
        <v>105</v>
      </c>
      <c r="D2727" s="312" t="s">
        <v>114</v>
      </c>
      <c r="E2727" s="312" t="s">
        <v>107</v>
      </c>
      <c r="F2727" s="312">
        <v>1825</v>
      </c>
      <c r="G2727" s="312" t="s">
        <v>108</v>
      </c>
      <c r="H2727" s="312">
        <v>1827</v>
      </c>
      <c r="I2727" s="312" t="s">
        <v>107</v>
      </c>
      <c r="J2727" s="312">
        <v>1913</v>
      </c>
      <c r="K2727" s="312" t="s">
        <v>109</v>
      </c>
    </row>
    <row r="2728" spans="1:11">
      <c r="A2728" s="312" t="s">
        <v>5771</v>
      </c>
      <c r="B2728" s="312" t="s">
        <v>5772</v>
      </c>
      <c r="C2728" s="312" t="s">
        <v>105</v>
      </c>
      <c r="D2728" s="312" t="s">
        <v>114</v>
      </c>
      <c r="E2728" s="312" t="s">
        <v>107</v>
      </c>
      <c r="F2728" s="312">
        <v>1825</v>
      </c>
      <c r="G2728" s="312" t="s">
        <v>108</v>
      </c>
      <c r="H2728" s="312">
        <v>1827</v>
      </c>
      <c r="I2728" s="312" t="s">
        <v>107</v>
      </c>
      <c r="J2728" s="312">
        <v>1913</v>
      </c>
      <c r="K2728" s="312" t="s">
        <v>109</v>
      </c>
    </row>
    <row r="2729" spans="1:11">
      <c r="A2729" s="312" t="s">
        <v>5773</v>
      </c>
      <c r="B2729" s="312" t="s">
        <v>5774</v>
      </c>
      <c r="C2729" s="312" t="s">
        <v>105</v>
      </c>
      <c r="D2729" s="312" t="s">
        <v>114</v>
      </c>
      <c r="E2729" s="312" t="s">
        <v>107</v>
      </c>
      <c r="F2729" s="312">
        <v>1825</v>
      </c>
      <c r="G2729" s="312" t="s">
        <v>108</v>
      </c>
      <c r="H2729" s="312">
        <v>1827</v>
      </c>
      <c r="I2729" s="312" t="s">
        <v>107</v>
      </c>
      <c r="J2729" s="312">
        <v>1913</v>
      </c>
      <c r="K2729" s="312" t="s">
        <v>109</v>
      </c>
    </row>
    <row r="2730" spans="1:11">
      <c r="A2730" s="312" t="s">
        <v>5775</v>
      </c>
      <c r="B2730" s="312" t="s">
        <v>5776</v>
      </c>
      <c r="C2730" s="312" t="s">
        <v>105</v>
      </c>
      <c r="D2730" s="312" t="s">
        <v>114</v>
      </c>
      <c r="E2730" s="312" t="s">
        <v>107</v>
      </c>
      <c r="F2730" s="312">
        <v>1825</v>
      </c>
      <c r="G2730" s="312" t="s">
        <v>108</v>
      </c>
      <c r="H2730" s="312">
        <v>1827</v>
      </c>
      <c r="I2730" s="312" t="s">
        <v>107</v>
      </c>
      <c r="J2730" s="312">
        <v>1913</v>
      </c>
      <c r="K2730" s="312" t="s">
        <v>109</v>
      </c>
    </row>
    <row r="2731" spans="1:11">
      <c r="A2731" s="312" t="s">
        <v>5777</v>
      </c>
      <c r="B2731" s="312" t="s">
        <v>5778</v>
      </c>
      <c r="C2731" s="312" t="s">
        <v>105</v>
      </c>
      <c r="D2731" s="312" t="s">
        <v>379</v>
      </c>
      <c r="E2731" s="312" t="s">
        <v>107</v>
      </c>
      <c r="F2731" s="312">
        <v>1825</v>
      </c>
      <c r="G2731" s="312" t="s">
        <v>108</v>
      </c>
      <c r="H2731" s="312">
        <v>1827</v>
      </c>
      <c r="I2731" s="312" t="s">
        <v>107</v>
      </c>
      <c r="J2731" s="312">
        <v>1913</v>
      </c>
      <c r="K2731" s="312" t="s">
        <v>109</v>
      </c>
    </row>
    <row r="2732" spans="1:11">
      <c r="A2732" s="312" t="s">
        <v>5779</v>
      </c>
      <c r="B2732" s="312" t="s">
        <v>5780</v>
      </c>
      <c r="C2732" s="312" t="s">
        <v>105</v>
      </c>
      <c r="D2732" s="312" t="s">
        <v>114</v>
      </c>
      <c r="E2732" s="312" t="s">
        <v>107</v>
      </c>
      <c r="F2732" s="312">
        <v>1825</v>
      </c>
      <c r="G2732" s="312" t="s">
        <v>108</v>
      </c>
      <c r="H2732" s="312">
        <v>1827</v>
      </c>
      <c r="I2732" s="312" t="s">
        <v>107</v>
      </c>
      <c r="J2732" s="312">
        <v>1913</v>
      </c>
      <c r="K2732" s="312" t="s">
        <v>109</v>
      </c>
    </row>
    <row r="2733" spans="1:11">
      <c r="A2733" s="312" t="s">
        <v>5781</v>
      </c>
      <c r="B2733" s="312" t="s">
        <v>5782</v>
      </c>
      <c r="C2733" s="312" t="s">
        <v>105</v>
      </c>
      <c r="D2733" s="312" t="s">
        <v>114</v>
      </c>
      <c r="E2733" s="312" t="s">
        <v>107</v>
      </c>
      <c r="F2733" s="312">
        <v>1825</v>
      </c>
      <c r="G2733" s="312" t="s">
        <v>108</v>
      </c>
      <c r="H2733" s="312">
        <v>1827</v>
      </c>
      <c r="I2733" s="312" t="s">
        <v>107</v>
      </c>
      <c r="J2733" s="312">
        <v>1913</v>
      </c>
      <c r="K2733" s="312" t="s">
        <v>109</v>
      </c>
    </row>
    <row r="2734" spans="1:11">
      <c r="A2734" s="312" t="s">
        <v>5783</v>
      </c>
      <c r="B2734" s="312" t="s">
        <v>5784</v>
      </c>
      <c r="C2734" s="312" t="s">
        <v>105</v>
      </c>
      <c r="D2734" s="312" t="s">
        <v>114</v>
      </c>
      <c r="E2734" s="312" t="s">
        <v>107</v>
      </c>
      <c r="F2734" s="312">
        <v>1825</v>
      </c>
      <c r="G2734" s="312" t="s">
        <v>108</v>
      </c>
      <c r="H2734" s="312">
        <v>1827</v>
      </c>
      <c r="I2734" s="312" t="s">
        <v>107</v>
      </c>
      <c r="J2734" s="312">
        <v>1913</v>
      </c>
      <c r="K2734" s="312" t="s">
        <v>109</v>
      </c>
    </row>
    <row r="2735" spans="1:11">
      <c r="A2735" s="312" t="s">
        <v>5785</v>
      </c>
      <c r="B2735" s="312" t="s">
        <v>5786</v>
      </c>
      <c r="C2735" s="312" t="s">
        <v>105</v>
      </c>
      <c r="D2735" s="312" t="s">
        <v>114</v>
      </c>
      <c r="E2735" s="312" t="s">
        <v>107</v>
      </c>
      <c r="F2735" s="312">
        <v>1825</v>
      </c>
      <c r="G2735" s="312" t="s">
        <v>108</v>
      </c>
      <c r="H2735" s="312">
        <v>1827</v>
      </c>
      <c r="I2735" s="312" t="s">
        <v>107</v>
      </c>
      <c r="J2735" s="312">
        <v>1913</v>
      </c>
      <c r="K2735" s="312" t="s">
        <v>109</v>
      </c>
    </row>
    <row r="2736" spans="1:11">
      <c r="A2736" s="312" t="s">
        <v>5787</v>
      </c>
      <c r="B2736" s="312" t="s">
        <v>5788</v>
      </c>
      <c r="C2736" s="312" t="s">
        <v>105</v>
      </c>
      <c r="D2736" s="312" t="s">
        <v>114</v>
      </c>
      <c r="E2736" s="312" t="s">
        <v>107</v>
      </c>
      <c r="F2736" s="312">
        <v>1825</v>
      </c>
      <c r="G2736" s="312" t="s">
        <v>108</v>
      </c>
      <c r="H2736" s="312">
        <v>1827</v>
      </c>
      <c r="I2736" s="312" t="s">
        <v>107</v>
      </c>
      <c r="J2736" s="312">
        <v>1913</v>
      </c>
      <c r="K2736" s="312" t="s">
        <v>109</v>
      </c>
    </row>
    <row r="2737" spans="1:11">
      <c r="A2737" s="312" t="s">
        <v>5789</v>
      </c>
      <c r="B2737" s="312" t="s">
        <v>5790</v>
      </c>
      <c r="C2737" s="312" t="s">
        <v>105</v>
      </c>
      <c r="D2737" s="312" t="s">
        <v>114</v>
      </c>
      <c r="E2737" s="312" t="s">
        <v>107</v>
      </c>
      <c r="F2737" s="312">
        <v>1825</v>
      </c>
      <c r="G2737" s="312" t="s">
        <v>108</v>
      </c>
      <c r="H2737" s="312">
        <v>1827</v>
      </c>
      <c r="I2737" s="312" t="s">
        <v>107</v>
      </c>
      <c r="J2737" s="312">
        <v>1913</v>
      </c>
      <c r="K2737" s="312" t="s">
        <v>109</v>
      </c>
    </row>
    <row r="2738" spans="1:11">
      <c r="A2738" s="312" t="s">
        <v>5791</v>
      </c>
      <c r="B2738" s="312" t="s">
        <v>5792</v>
      </c>
      <c r="C2738" s="312" t="s">
        <v>105</v>
      </c>
      <c r="D2738" s="312" t="s">
        <v>404</v>
      </c>
      <c r="E2738" s="312" t="s">
        <v>107</v>
      </c>
      <c r="F2738" s="312">
        <v>1825</v>
      </c>
      <c r="G2738" s="312" t="s">
        <v>108</v>
      </c>
      <c r="H2738" s="312">
        <v>1827</v>
      </c>
      <c r="I2738" s="312" t="s">
        <v>107</v>
      </c>
      <c r="J2738" s="312">
        <v>1913</v>
      </c>
      <c r="K2738" s="312" t="s">
        <v>109</v>
      </c>
    </row>
    <row r="2739" spans="1:11">
      <c r="A2739" s="312" t="s">
        <v>5793</v>
      </c>
      <c r="B2739" s="312" t="s">
        <v>5794</v>
      </c>
      <c r="C2739" s="312" t="s">
        <v>105</v>
      </c>
      <c r="D2739" s="312" t="s">
        <v>114</v>
      </c>
      <c r="E2739" s="312" t="s">
        <v>107</v>
      </c>
      <c r="F2739" s="312">
        <v>1825</v>
      </c>
      <c r="G2739" s="312" t="s">
        <v>108</v>
      </c>
      <c r="H2739" s="312">
        <v>1827</v>
      </c>
      <c r="I2739" s="312" t="s">
        <v>107</v>
      </c>
      <c r="J2739" s="312">
        <v>1913</v>
      </c>
      <c r="K2739" s="312" t="s">
        <v>109</v>
      </c>
    </row>
    <row r="2740" spans="1:11">
      <c r="A2740" s="312" t="s">
        <v>5795</v>
      </c>
      <c r="B2740" s="312" t="s">
        <v>5796</v>
      </c>
      <c r="C2740" s="312" t="s">
        <v>105</v>
      </c>
      <c r="D2740" s="312" t="s">
        <v>114</v>
      </c>
      <c r="E2740" s="312" t="s">
        <v>107</v>
      </c>
      <c r="F2740" s="312">
        <v>1825</v>
      </c>
      <c r="G2740" s="312" t="s">
        <v>108</v>
      </c>
      <c r="H2740" s="312">
        <v>1827</v>
      </c>
      <c r="I2740" s="312" t="s">
        <v>107</v>
      </c>
      <c r="J2740" s="312">
        <v>1913</v>
      </c>
      <c r="K2740" s="312" t="s">
        <v>109</v>
      </c>
    </row>
    <row r="2741" spans="1:11">
      <c r="A2741" s="312" t="s">
        <v>5797</v>
      </c>
      <c r="B2741" s="312" t="s">
        <v>5798</v>
      </c>
      <c r="C2741" s="312" t="s">
        <v>105</v>
      </c>
      <c r="D2741" s="312" t="s">
        <v>5330</v>
      </c>
      <c r="E2741" s="312" t="s">
        <v>107</v>
      </c>
      <c r="F2741" s="312">
        <v>1825</v>
      </c>
      <c r="G2741" s="312" t="s">
        <v>108</v>
      </c>
      <c r="H2741" s="312">
        <v>1827</v>
      </c>
      <c r="I2741" s="312" t="s">
        <v>107</v>
      </c>
      <c r="J2741" s="312">
        <v>1913</v>
      </c>
      <c r="K2741" s="312" t="s">
        <v>109</v>
      </c>
    </row>
    <row r="2742" spans="1:11">
      <c r="A2742" s="312" t="s">
        <v>5799</v>
      </c>
      <c r="B2742" s="312" t="s">
        <v>5800</v>
      </c>
      <c r="C2742" s="312" t="s">
        <v>105</v>
      </c>
      <c r="D2742" s="312" t="s">
        <v>576</v>
      </c>
      <c r="E2742" s="312" t="s">
        <v>107</v>
      </c>
      <c r="F2742" s="312">
        <v>1825</v>
      </c>
      <c r="G2742" s="312" t="s">
        <v>108</v>
      </c>
      <c r="H2742" s="312">
        <v>1827</v>
      </c>
      <c r="I2742" s="312" t="s">
        <v>107</v>
      </c>
      <c r="J2742" s="312">
        <v>1913</v>
      </c>
      <c r="K2742" s="312" t="s">
        <v>109</v>
      </c>
    </row>
    <row r="2743" spans="1:11">
      <c r="A2743" s="312" t="s">
        <v>5801</v>
      </c>
      <c r="B2743" s="312" t="s">
        <v>5802</v>
      </c>
      <c r="C2743" s="312" t="s">
        <v>105</v>
      </c>
      <c r="D2743" s="312" t="s">
        <v>327</v>
      </c>
      <c r="E2743" s="312" t="s">
        <v>167</v>
      </c>
      <c r="F2743" s="312">
        <v>1705</v>
      </c>
      <c r="G2743" s="312" t="s">
        <v>168</v>
      </c>
      <c r="H2743" s="312">
        <v>1707</v>
      </c>
      <c r="I2743" s="312" t="s">
        <v>167</v>
      </c>
      <c r="J2743" s="312">
        <v>1899</v>
      </c>
      <c r="K2743" s="312" t="s">
        <v>169</v>
      </c>
    </row>
    <row r="2744" spans="1:11">
      <c r="A2744" s="312" t="s">
        <v>5803</v>
      </c>
      <c r="B2744" s="312" t="s">
        <v>5804</v>
      </c>
      <c r="C2744" s="312" t="s">
        <v>105</v>
      </c>
      <c r="D2744" s="312" t="s">
        <v>5805</v>
      </c>
      <c r="E2744" s="312" t="s">
        <v>107</v>
      </c>
      <c r="F2744" s="312">
        <v>1825</v>
      </c>
      <c r="G2744" s="312" t="s">
        <v>108</v>
      </c>
      <c r="H2744" s="312">
        <v>1827</v>
      </c>
      <c r="I2744" s="312" t="s">
        <v>107</v>
      </c>
      <c r="J2744" s="312">
        <v>1913</v>
      </c>
      <c r="K2744" s="312" t="s">
        <v>109</v>
      </c>
    </row>
    <row r="2745" spans="1:11">
      <c r="A2745" s="312" t="s">
        <v>5806</v>
      </c>
      <c r="B2745" s="312" t="s">
        <v>5807</v>
      </c>
      <c r="C2745" s="312" t="s">
        <v>105</v>
      </c>
      <c r="D2745" s="312" t="s">
        <v>570</v>
      </c>
      <c r="E2745" s="312" t="s">
        <v>684</v>
      </c>
      <c r="F2745" s="312">
        <v>1750</v>
      </c>
      <c r="G2745" s="312" t="s">
        <v>685</v>
      </c>
      <c r="H2745" s="312">
        <v>1754</v>
      </c>
      <c r="I2745" s="312" t="s">
        <v>684</v>
      </c>
      <c r="J2745" s="312">
        <v>1920</v>
      </c>
      <c r="K2745" s="312" t="s">
        <v>686</v>
      </c>
    </row>
    <row r="2746" spans="1:11">
      <c r="A2746" s="312" t="s">
        <v>5808</v>
      </c>
      <c r="B2746" s="312" t="s">
        <v>5809</v>
      </c>
      <c r="C2746" s="312" t="s">
        <v>105</v>
      </c>
      <c r="D2746" s="312" t="s">
        <v>312</v>
      </c>
      <c r="E2746" s="312" t="s">
        <v>107</v>
      </c>
      <c r="F2746" s="312">
        <v>1825</v>
      </c>
      <c r="G2746" s="312" t="s">
        <v>108</v>
      </c>
      <c r="H2746" s="312">
        <v>1827</v>
      </c>
      <c r="I2746" s="312" t="s">
        <v>107</v>
      </c>
      <c r="J2746" s="312">
        <v>1913</v>
      </c>
      <c r="K2746" s="312" t="s">
        <v>109</v>
      </c>
    </row>
    <row r="2747" spans="1:11">
      <c r="A2747" s="312" t="s">
        <v>5810</v>
      </c>
      <c r="B2747" s="312" t="s">
        <v>5811</v>
      </c>
      <c r="C2747" s="312" t="s">
        <v>105</v>
      </c>
      <c r="D2747" s="312" t="s">
        <v>556</v>
      </c>
      <c r="E2747" s="312" t="s">
        <v>107</v>
      </c>
      <c r="F2747" s="312">
        <v>1825</v>
      </c>
      <c r="G2747" s="312" t="s">
        <v>108</v>
      </c>
      <c r="H2747" s="312">
        <v>1827</v>
      </c>
      <c r="I2747" s="312" t="s">
        <v>107</v>
      </c>
      <c r="J2747" s="312">
        <v>1913</v>
      </c>
      <c r="K2747" s="312" t="s">
        <v>109</v>
      </c>
    </row>
    <row r="2748" spans="1:11">
      <c r="A2748" s="312" t="s">
        <v>5812</v>
      </c>
      <c r="B2748" s="312" t="s">
        <v>5813</v>
      </c>
      <c r="C2748" s="312" t="s">
        <v>105</v>
      </c>
      <c r="D2748" s="312" t="s">
        <v>1156</v>
      </c>
      <c r="E2748" s="312" t="s">
        <v>107</v>
      </c>
      <c r="F2748" s="312">
        <v>1825</v>
      </c>
      <c r="G2748" s="312" t="s">
        <v>108</v>
      </c>
      <c r="H2748" s="312">
        <v>1827</v>
      </c>
      <c r="I2748" s="312" t="s">
        <v>107</v>
      </c>
      <c r="J2748" s="312">
        <v>1913</v>
      </c>
      <c r="K2748" s="312" t="s">
        <v>109</v>
      </c>
    </row>
    <row r="2749" spans="1:11">
      <c r="A2749" s="312" t="s">
        <v>5814</v>
      </c>
      <c r="B2749" s="312" t="s">
        <v>5815</v>
      </c>
      <c r="C2749" s="312" t="s">
        <v>105</v>
      </c>
      <c r="D2749" s="312" t="s">
        <v>4753</v>
      </c>
      <c r="E2749" s="312" t="s">
        <v>167</v>
      </c>
      <c r="F2749" s="312">
        <v>1705</v>
      </c>
      <c r="G2749" s="312" t="s">
        <v>168</v>
      </c>
      <c r="H2749" s="312">
        <v>1707</v>
      </c>
      <c r="I2749" s="312" t="s">
        <v>167</v>
      </c>
      <c r="J2749" s="312">
        <v>1899</v>
      </c>
      <c r="K2749" s="312" t="s">
        <v>169</v>
      </c>
    </row>
    <row r="2750" spans="1:11">
      <c r="A2750" s="312" t="s">
        <v>5816</v>
      </c>
      <c r="B2750" s="312" t="s">
        <v>5817</v>
      </c>
      <c r="C2750" s="312" t="s">
        <v>105</v>
      </c>
      <c r="D2750" s="312" t="s">
        <v>1314</v>
      </c>
      <c r="E2750" s="312" t="s">
        <v>167</v>
      </c>
      <c r="F2750" s="312">
        <v>1705</v>
      </c>
      <c r="G2750" s="312" t="s">
        <v>168</v>
      </c>
      <c r="H2750" s="312">
        <v>1707</v>
      </c>
      <c r="I2750" s="312" t="s">
        <v>167</v>
      </c>
      <c r="J2750" s="312">
        <v>1899</v>
      </c>
      <c r="K2750" s="312" t="s">
        <v>169</v>
      </c>
    </row>
    <row r="2751" spans="1:11">
      <c r="A2751" s="312" t="s">
        <v>5818</v>
      </c>
      <c r="B2751" s="312" t="s">
        <v>5819</v>
      </c>
      <c r="C2751" s="312" t="s">
        <v>105</v>
      </c>
      <c r="D2751" s="312" t="s">
        <v>252</v>
      </c>
      <c r="E2751" s="312" t="s">
        <v>167</v>
      </c>
      <c r="F2751" s="312">
        <v>1705</v>
      </c>
      <c r="G2751" s="312" t="s">
        <v>168</v>
      </c>
      <c r="H2751" s="312">
        <v>1707</v>
      </c>
      <c r="I2751" s="312" t="s">
        <v>167</v>
      </c>
      <c r="J2751" s="312">
        <v>1899</v>
      </c>
      <c r="K2751" s="312" t="s">
        <v>169</v>
      </c>
    </row>
    <row r="2752" spans="1:11">
      <c r="A2752" s="312" t="s">
        <v>5820</v>
      </c>
      <c r="B2752" s="312" t="s">
        <v>5821</v>
      </c>
      <c r="C2752" s="312" t="s">
        <v>105</v>
      </c>
      <c r="D2752" s="312" t="s">
        <v>252</v>
      </c>
      <c r="E2752" s="312" t="s">
        <v>167</v>
      </c>
      <c r="F2752" s="312">
        <v>1705</v>
      </c>
      <c r="G2752" s="312" t="s">
        <v>168</v>
      </c>
      <c r="H2752" s="312">
        <v>1707</v>
      </c>
      <c r="I2752" s="312" t="s">
        <v>167</v>
      </c>
      <c r="J2752" s="312">
        <v>1899</v>
      </c>
      <c r="K2752" s="312" t="s">
        <v>169</v>
      </c>
    </row>
    <row r="2753" spans="1:11">
      <c r="A2753" s="312" t="s">
        <v>5822</v>
      </c>
      <c r="B2753" s="312" t="s">
        <v>5823</v>
      </c>
      <c r="C2753" s="312" t="s">
        <v>105</v>
      </c>
      <c r="D2753" s="312" t="s">
        <v>252</v>
      </c>
      <c r="E2753" s="312" t="s">
        <v>167</v>
      </c>
      <c r="F2753" s="312">
        <v>1705</v>
      </c>
      <c r="G2753" s="312" t="s">
        <v>168</v>
      </c>
      <c r="H2753" s="312">
        <v>1707</v>
      </c>
      <c r="I2753" s="312" t="s">
        <v>167</v>
      </c>
      <c r="J2753" s="312">
        <v>1899</v>
      </c>
      <c r="K2753" s="312" t="s">
        <v>169</v>
      </c>
    </row>
    <row r="2754" spans="1:11">
      <c r="A2754" s="312" t="s">
        <v>5824</v>
      </c>
      <c r="B2754" s="312" t="s">
        <v>5825</v>
      </c>
      <c r="C2754" s="312" t="s">
        <v>105</v>
      </c>
      <c r="D2754" s="312" t="s">
        <v>114</v>
      </c>
      <c r="E2754" s="312" t="s">
        <v>107</v>
      </c>
      <c r="F2754" s="312">
        <v>1825</v>
      </c>
      <c r="G2754" s="312" t="s">
        <v>108</v>
      </c>
      <c r="H2754" s="312">
        <v>1827</v>
      </c>
      <c r="I2754" s="312" t="s">
        <v>107</v>
      </c>
      <c r="J2754" s="312">
        <v>1913</v>
      </c>
      <c r="K2754" s="312" t="s">
        <v>109</v>
      </c>
    </row>
    <row r="2755" spans="1:11">
      <c r="A2755" s="312" t="s">
        <v>5826</v>
      </c>
      <c r="B2755" s="1" t="s">
        <v>5827</v>
      </c>
      <c r="C2755" s="312" t="s">
        <v>105</v>
      </c>
      <c r="D2755" s="312" t="s">
        <v>327</v>
      </c>
      <c r="E2755" s="312" t="s">
        <v>167</v>
      </c>
      <c r="F2755" s="312">
        <v>1705</v>
      </c>
      <c r="G2755" s="312" t="s">
        <v>168</v>
      </c>
      <c r="H2755" s="312">
        <v>1707</v>
      </c>
      <c r="I2755" s="312" t="s">
        <v>167</v>
      </c>
      <c r="J2755" s="312">
        <v>1899</v>
      </c>
      <c r="K2755" s="312" t="s">
        <v>169</v>
      </c>
    </row>
    <row r="2756" spans="1:11">
      <c r="A2756" s="312" t="s">
        <v>5828</v>
      </c>
      <c r="B2756" s="312" t="s">
        <v>5829</v>
      </c>
      <c r="C2756" s="312" t="s">
        <v>105</v>
      </c>
      <c r="D2756" s="312" t="s">
        <v>3395</v>
      </c>
      <c r="E2756" s="312" t="s">
        <v>107</v>
      </c>
      <c r="F2756" s="312">
        <v>1825</v>
      </c>
      <c r="G2756" s="312" t="s">
        <v>108</v>
      </c>
      <c r="H2756" s="312">
        <v>1827</v>
      </c>
      <c r="I2756" s="312" t="s">
        <v>107</v>
      </c>
      <c r="J2756" s="312">
        <v>1913</v>
      </c>
      <c r="K2756" s="312" t="s">
        <v>109</v>
      </c>
    </row>
    <row r="2757" spans="1:11">
      <c r="A2757" s="312" t="s">
        <v>5830</v>
      </c>
      <c r="B2757" s="312" t="s">
        <v>5831</v>
      </c>
      <c r="C2757" s="312" t="s">
        <v>105</v>
      </c>
      <c r="D2757" s="312" t="s">
        <v>114</v>
      </c>
      <c r="E2757" s="312" t="s">
        <v>107</v>
      </c>
      <c r="F2757" s="312">
        <v>1825</v>
      </c>
      <c r="G2757" s="312" t="s">
        <v>108</v>
      </c>
      <c r="H2757" s="312">
        <v>1827</v>
      </c>
      <c r="I2757" s="312" t="s">
        <v>107</v>
      </c>
      <c r="J2757" s="312">
        <v>1913</v>
      </c>
      <c r="K2757" s="312" t="s">
        <v>109</v>
      </c>
    </row>
    <row r="2758" spans="1:11">
      <c r="A2758" s="312" t="s">
        <v>5832</v>
      </c>
      <c r="B2758" s="312" t="s">
        <v>5833</v>
      </c>
      <c r="C2758" s="312" t="s">
        <v>105</v>
      </c>
      <c r="D2758" s="312" t="s">
        <v>114</v>
      </c>
      <c r="E2758" s="312" t="s">
        <v>167</v>
      </c>
      <c r="F2758" s="312">
        <v>1705</v>
      </c>
      <c r="G2758" s="312" t="s">
        <v>168</v>
      </c>
      <c r="H2758" s="312">
        <v>1707</v>
      </c>
      <c r="I2758" s="312" t="s">
        <v>167</v>
      </c>
      <c r="J2758" s="312">
        <v>1899</v>
      </c>
      <c r="K2758" s="312" t="s">
        <v>169</v>
      </c>
    </row>
    <row r="2759" spans="1:11">
      <c r="A2759" s="312" t="s">
        <v>5834</v>
      </c>
      <c r="B2759" s="312" t="s">
        <v>5835</v>
      </c>
      <c r="C2759" s="312" t="s">
        <v>105</v>
      </c>
      <c r="D2759" s="312" t="s">
        <v>114</v>
      </c>
      <c r="E2759" s="312" t="s">
        <v>107</v>
      </c>
      <c r="F2759" s="312">
        <v>1825</v>
      </c>
      <c r="G2759" s="312" t="s">
        <v>108</v>
      </c>
      <c r="H2759" s="312">
        <v>1827</v>
      </c>
      <c r="I2759" s="312" t="s">
        <v>107</v>
      </c>
      <c r="J2759" s="312">
        <v>1913</v>
      </c>
      <c r="K2759" s="312" t="s">
        <v>109</v>
      </c>
    </row>
    <row r="2760" spans="1:11">
      <c r="A2760" s="312" t="s">
        <v>5836</v>
      </c>
      <c r="B2760" s="312" t="s">
        <v>5837</v>
      </c>
      <c r="C2760" s="312" t="s">
        <v>105</v>
      </c>
      <c r="D2760" s="312" t="s">
        <v>114</v>
      </c>
      <c r="E2760" s="312" t="s">
        <v>167</v>
      </c>
      <c r="F2760" s="312">
        <v>1705</v>
      </c>
      <c r="G2760" s="312" t="s">
        <v>168</v>
      </c>
      <c r="H2760" s="312">
        <v>1707</v>
      </c>
      <c r="I2760" s="312" t="s">
        <v>167</v>
      </c>
      <c r="J2760" s="312">
        <v>1899</v>
      </c>
      <c r="K2760" s="312" t="s">
        <v>169</v>
      </c>
    </row>
    <row r="2761" spans="1:11">
      <c r="A2761" s="312" t="s">
        <v>5838</v>
      </c>
      <c r="B2761" s="312" t="s">
        <v>5839</v>
      </c>
      <c r="C2761" s="312" t="s">
        <v>105</v>
      </c>
      <c r="D2761" s="312" t="s">
        <v>114</v>
      </c>
      <c r="E2761" s="312" t="s">
        <v>107</v>
      </c>
      <c r="F2761" s="312">
        <v>1825</v>
      </c>
      <c r="G2761" s="312" t="s">
        <v>108</v>
      </c>
      <c r="H2761" s="312">
        <v>1827</v>
      </c>
      <c r="I2761" s="312" t="s">
        <v>107</v>
      </c>
      <c r="J2761" s="312">
        <v>1913</v>
      </c>
      <c r="K2761" s="312" t="s">
        <v>109</v>
      </c>
    </row>
    <row r="2762" spans="1:11">
      <c r="A2762" s="312" t="s">
        <v>5840</v>
      </c>
      <c r="B2762" s="312" t="s">
        <v>5841</v>
      </c>
      <c r="C2762" s="312" t="s">
        <v>105</v>
      </c>
      <c r="D2762" s="312" t="s">
        <v>114</v>
      </c>
      <c r="E2762" s="312" t="s">
        <v>167</v>
      </c>
      <c r="F2762" s="312">
        <v>1705</v>
      </c>
      <c r="G2762" s="312" t="s">
        <v>168</v>
      </c>
      <c r="H2762" s="312">
        <v>1707</v>
      </c>
      <c r="I2762" s="312" t="s">
        <v>167</v>
      </c>
      <c r="J2762" s="312">
        <v>1899</v>
      </c>
      <c r="K2762" s="312" t="s">
        <v>169</v>
      </c>
    </row>
    <row r="2763" spans="1:11">
      <c r="A2763" s="312" t="s">
        <v>5842</v>
      </c>
      <c r="B2763" s="312" t="s">
        <v>5843</v>
      </c>
      <c r="C2763" s="312" t="s">
        <v>105</v>
      </c>
      <c r="D2763" s="312" t="s">
        <v>114</v>
      </c>
      <c r="E2763" s="312" t="s">
        <v>107</v>
      </c>
      <c r="F2763" s="312">
        <v>1825</v>
      </c>
      <c r="G2763" s="312" t="s">
        <v>108</v>
      </c>
      <c r="H2763" s="312">
        <v>1827</v>
      </c>
      <c r="I2763" s="312" t="s">
        <v>107</v>
      </c>
      <c r="J2763" s="312">
        <v>1913</v>
      </c>
      <c r="K2763" s="312" t="s">
        <v>109</v>
      </c>
    </row>
    <row r="2764" spans="1:11">
      <c r="A2764" s="312" t="s">
        <v>5844</v>
      </c>
      <c r="B2764" s="312" t="s">
        <v>5845</v>
      </c>
      <c r="C2764" s="312" t="s">
        <v>105</v>
      </c>
      <c r="D2764" s="312" t="s">
        <v>114</v>
      </c>
      <c r="E2764" s="312" t="s">
        <v>167</v>
      </c>
      <c r="F2764" s="312">
        <v>1705</v>
      </c>
      <c r="G2764" s="312" t="s">
        <v>168</v>
      </c>
      <c r="H2764" s="312">
        <v>1707</v>
      </c>
      <c r="I2764" s="312" t="s">
        <v>167</v>
      </c>
      <c r="J2764" s="312">
        <v>1899</v>
      </c>
      <c r="K2764" s="312" t="s">
        <v>169</v>
      </c>
    </row>
    <row r="2765" spans="1:11">
      <c r="A2765" s="312" t="s">
        <v>5846</v>
      </c>
      <c r="B2765" s="312" t="s">
        <v>5847</v>
      </c>
      <c r="C2765" s="312" t="s">
        <v>105</v>
      </c>
      <c r="D2765" s="312" t="s">
        <v>114</v>
      </c>
      <c r="E2765" s="312" t="s">
        <v>107</v>
      </c>
      <c r="F2765" s="312">
        <v>1825</v>
      </c>
      <c r="G2765" s="312" t="s">
        <v>108</v>
      </c>
      <c r="H2765" s="312">
        <v>1827</v>
      </c>
      <c r="I2765" s="312" t="s">
        <v>107</v>
      </c>
      <c r="J2765" s="312">
        <v>1913</v>
      </c>
      <c r="K2765" s="312" t="s">
        <v>109</v>
      </c>
    </row>
    <row r="2766" spans="1:11">
      <c r="A2766" s="312" t="s">
        <v>5848</v>
      </c>
      <c r="B2766" s="312" t="s">
        <v>5849</v>
      </c>
      <c r="C2766" s="312" t="s">
        <v>105</v>
      </c>
      <c r="D2766" s="312" t="s">
        <v>114</v>
      </c>
      <c r="E2766" s="312" t="s">
        <v>167</v>
      </c>
      <c r="F2766" s="312">
        <v>1705</v>
      </c>
      <c r="G2766" s="312" t="s">
        <v>168</v>
      </c>
      <c r="H2766" s="312">
        <v>1707</v>
      </c>
      <c r="I2766" s="312" t="s">
        <v>167</v>
      </c>
      <c r="J2766" s="312">
        <v>1899</v>
      </c>
      <c r="K2766" s="312" t="s">
        <v>169</v>
      </c>
    </row>
    <row r="2767" spans="1:11">
      <c r="A2767" s="312" t="s">
        <v>5850</v>
      </c>
      <c r="B2767" s="312" t="s">
        <v>5851</v>
      </c>
      <c r="C2767" s="312" t="s">
        <v>105</v>
      </c>
      <c r="D2767" s="312" t="s">
        <v>3395</v>
      </c>
      <c r="E2767" s="312" t="s">
        <v>107</v>
      </c>
      <c r="F2767" s="312">
        <v>1825</v>
      </c>
      <c r="G2767" s="312" t="s">
        <v>108</v>
      </c>
      <c r="H2767" s="312">
        <v>1827</v>
      </c>
      <c r="I2767" s="312" t="s">
        <v>107</v>
      </c>
      <c r="J2767" s="312">
        <v>1913</v>
      </c>
      <c r="K2767" s="312" t="s">
        <v>109</v>
      </c>
    </row>
    <row r="2768" spans="1:11">
      <c r="A2768" s="312" t="s">
        <v>5852</v>
      </c>
      <c r="B2768" s="312" t="s">
        <v>5853</v>
      </c>
      <c r="C2768" s="312" t="s">
        <v>105</v>
      </c>
      <c r="D2768" s="312" t="s">
        <v>404</v>
      </c>
      <c r="E2768" s="312" t="s">
        <v>107</v>
      </c>
      <c r="F2768" s="312">
        <v>1825</v>
      </c>
      <c r="G2768" s="312" t="s">
        <v>108</v>
      </c>
      <c r="H2768" s="312">
        <v>1827</v>
      </c>
      <c r="I2768" s="312" t="s">
        <v>107</v>
      </c>
      <c r="J2768" s="312">
        <v>1913</v>
      </c>
      <c r="K2768" s="312" t="s">
        <v>109</v>
      </c>
    </row>
    <row r="2769" spans="1:11">
      <c r="A2769" s="312" t="s">
        <v>5854</v>
      </c>
      <c r="B2769" s="312" t="s">
        <v>5855</v>
      </c>
      <c r="C2769" s="312" t="s">
        <v>105</v>
      </c>
      <c r="D2769" s="312" t="s">
        <v>404</v>
      </c>
      <c r="E2769" s="312" t="s">
        <v>107</v>
      </c>
      <c r="F2769" s="312">
        <v>1825</v>
      </c>
      <c r="G2769" s="312" t="s">
        <v>108</v>
      </c>
      <c r="H2769" s="312">
        <v>1827</v>
      </c>
      <c r="I2769" s="312" t="s">
        <v>107</v>
      </c>
      <c r="J2769" s="312">
        <v>1913</v>
      </c>
      <c r="K2769" s="312" t="s">
        <v>109</v>
      </c>
    </row>
    <row r="2770" spans="1:11">
      <c r="A2770" s="312" t="s">
        <v>5856</v>
      </c>
      <c r="B2770" s="312" t="s">
        <v>5857</v>
      </c>
      <c r="C2770" s="312" t="s">
        <v>105</v>
      </c>
      <c r="D2770" s="312" t="s">
        <v>746</v>
      </c>
      <c r="E2770" s="312" t="s">
        <v>107</v>
      </c>
      <c r="F2770" s="312">
        <v>1825</v>
      </c>
      <c r="G2770" s="312" t="s">
        <v>108</v>
      </c>
      <c r="H2770" s="312">
        <v>1827</v>
      </c>
      <c r="I2770" s="312" t="s">
        <v>107</v>
      </c>
      <c r="J2770" s="312">
        <v>1913</v>
      </c>
      <c r="K2770" s="312" t="s">
        <v>109</v>
      </c>
    </row>
    <row r="2771" spans="1:11">
      <c r="A2771" s="312" t="s">
        <v>5858</v>
      </c>
      <c r="B2771" s="312" t="s">
        <v>5859</v>
      </c>
      <c r="C2771" s="312" t="s">
        <v>105</v>
      </c>
      <c r="D2771" s="312" t="s">
        <v>746</v>
      </c>
      <c r="E2771" s="312" t="s">
        <v>107</v>
      </c>
      <c r="F2771" s="312">
        <v>1825</v>
      </c>
      <c r="G2771" s="312" t="s">
        <v>108</v>
      </c>
      <c r="H2771" s="312">
        <v>1827</v>
      </c>
      <c r="I2771" s="312" t="s">
        <v>107</v>
      </c>
      <c r="J2771" s="312">
        <v>1913</v>
      </c>
      <c r="K2771" s="312" t="s">
        <v>109</v>
      </c>
    </row>
    <row r="2772" spans="1:11">
      <c r="A2772" s="312" t="s">
        <v>5860</v>
      </c>
      <c r="B2772" s="312" t="s">
        <v>5861</v>
      </c>
      <c r="C2772" s="312" t="s">
        <v>105</v>
      </c>
      <c r="D2772" s="312" t="s">
        <v>184</v>
      </c>
      <c r="E2772" s="312" t="s">
        <v>107</v>
      </c>
      <c r="F2772" s="312">
        <v>1825</v>
      </c>
      <c r="G2772" s="312" t="s">
        <v>108</v>
      </c>
      <c r="H2772" s="312">
        <v>1827</v>
      </c>
      <c r="I2772" s="312" t="s">
        <v>107</v>
      </c>
      <c r="J2772" s="312">
        <v>1913</v>
      </c>
      <c r="K2772" s="312" t="s">
        <v>109</v>
      </c>
    </row>
    <row r="2773" spans="1:11">
      <c r="A2773" s="312" t="s">
        <v>5862</v>
      </c>
      <c r="B2773" s="312" t="s">
        <v>5863</v>
      </c>
      <c r="C2773" s="312" t="s">
        <v>105</v>
      </c>
      <c r="D2773" s="312" t="s">
        <v>379</v>
      </c>
      <c r="E2773" s="312" t="s">
        <v>107</v>
      </c>
      <c r="F2773" s="312">
        <v>1825</v>
      </c>
      <c r="G2773" s="312" t="s">
        <v>108</v>
      </c>
      <c r="H2773" s="312">
        <v>1827</v>
      </c>
      <c r="I2773" s="312" t="s">
        <v>107</v>
      </c>
      <c r="J2773" s="312">
        <v>1913</v>
      </c>
      <c r="K2773" s="312" t="s">
        <v>109</v>
      </c>
    </row>
    <row r="2774" spans="1:11">
      <c r="A2774" s="312" t="s">
        <v>5864</v>
      </c>
      <c r="B2774" s="312" t="s">
        <v>5865</v>
      </c>
      <c r="C2774" s="312" t="s">
        <v>105</v>
      </c>
      <c r="D2774" s="312" t="s">
        <v>1307</v>
      </c>
      <c r="E2774" s="312" t="s">
        <v>107</v>
      </c>
      <c r="F2774" s="312">
        <v>1825</v>
      </c>
      <c r="G2774" s="312" t="s">
        <v>108</v>
      </c>
      <c r="H2774" s="312">
        <v>1827</v>
      </c>
      <c r="I2774" s="312" t="s">
        <v>107</v>
      </c>
      <c r="J2774" s="312">
        <v>1913</v>
      </c>
      <c r="K2774" s="312" t="s">
        <v>109</v>
      </c>
    </row>
    <row r="2775" spans="1:11">
      <c r="A2775" s="312" t="s">
        <v>5866</v>
      </c>
      <c r="B2775" s="312" t="s">
        <v>5867</v>
      </c>
      <c r="C2775" s="312" t="s">
        <v>105</v>
      </c>
      <c r="D2775" s="312" t="s">
        <v>5401</v>
      </c>
      <c r="E2775" s="312" t="s">
        <v>107</v>
      </c>
      <c r="F2775" s="312">
        <v>1825</v>
      </c>
      <c r="G2775" s="312" t="s">
        <v>108</v>
      </c>
      <c r="H2775" s="312">
        <v>1827</v>
      </c>
      <c r="I2775" s="312" t="s">
        <v>107</v>
      </c>
      <c r="J2775" s="312">
        <v>1913</v>
      </c>
      <c r="K2775" s="312" t="s">
        <v>109</v>
      </c>
    </row>
    <row r="2776" spans="1:11">
      <c r="A2776" s="312" t="s">
        <v>5868</v>
      </c>
      <c r="B2776" s="312" t="s">
        <v>5869</v>
      </c>
      <c r="C2776" s="312" t="s">
        <v>105</v>
      </c>
      <c r="D2776" s="312" t="s">
        <v>1288</v>
      </c>
      <c r="E2776" s="312" t="s">
        <v>107</v>
      </c>
      <c r="F2776" s="312">
        <v>1825</v>
      </c>
      <c r="G2776" s="312" t="s">
        <v>108</v>
      </c>
      <c r="H2776" s="312">
        <v>1827</v>
      </c>
      <c r="I2776" s="312" t="s">
        <v>107</v>
      </c>
      <c r="J2776" s="312">
        <v>1913</v>
      </c>
      <c r="K2776" s="312" t="s">
        <v>109</v>
      </c>
    </row>
    <row r="2777" spans="1:11">
      <c r="A2777" s="312" t="s">
        <v>5870</v>
      </c>
      <c r="B2777" s="312" t="s">
        <v>5871</v>
      </c>
      <c r="C2777" s="312" t="s">
        <v>105</v>
      </c>
      <c r="D2777" s="312" t="s">
        <v>600</v>
      </c>
      <c r="E2777" s="312" t="s">
        <v>107</v>
      </c>
      <c r="F2777" s="312">
        <v>1825</v>
      </c>
      <c r="G2777" s="312" t="s">
        <v>108</v>
      </c>
      <c r="H2777" s="312">
        <v>1827</v>
      </c>
      <c r="I2777" s="312" t="s">
        <v>107</v>
      </c>
      <c r="J2777" s="312">
        <v>1913</v>
      </c>
      <c r="K2777" s="312" t="s">
        <v>109</v>
      </c>
    </row>
    <row r="2778" spans="1:11">
      <c r="A2778" s="312" t="s">
        <v>5872</v>
      </c>
      <c r="B2778" s="312" t="s">
        <v>5873</v>
      </c>
      <c r="C2778" s="312" t="s">
        <v>105</v>
      </c>
      <c r="D2778" s="312" t="s">
        <v>379</v>
      </c>
      <c r="E2778" s="312" t="s">
        <v>107</v>
      </c>
      <c r="F2778" s="312">
        <v>1825</v>
      </c>
      <c r="G2778" s="312" t="s">
        <v>108</v>
      </c>
      <c r="H2778" s="312">
        <v>1827</v>
      </c>
      <c r="I2778" s="312" t="s">
        <v>107</v>
      </c>
      <c r="J2778" s="312">
        <v>1913</v>
      </c>
      <c r="K2778" s="312" t="s">
        <v>109</v>
      </c>
    </row>
    <row r="2779" spans="1:11">
      <c r="A2779" s="312" t="s">
        <v>5874</v>
      </c>
      <c r="B2779" s="312" t="s">
        <v>5875</v>
      </c>
      <c r="C2779" s="312" t="s">
        <v>105</v>
      </c>
      <c r="D2779" s="312" t="s">
        <v>1300</v>
      </c>
      <c r="E2779" s="312" t="s">
        <v>167</v>
      </c>
      <c r="F2779" s="312">
        <v>1705</v>
      </c>
      <c r="G2779" s="312" t="s">
        <v>168</v>
      </c>
      <c r="H2779" s="312">
        <v>1707</v>
      </c>
      <c r="I2779" s="312" t="s">
        <v>167</v>
      </c>
      <c r="J2779" s="312">
        <v>1899</v>
      </c>
      <c r="K2779" s="312" t="s">
        <v>169</v>
      </c>
    </row>
    <row r="2780" spans="1:11">
      <c r="A2780" s="312" t="s">
        <v>5876</v>
      </c>
      <c r="B2780" s="312" t="s">
        <v>5877</v>
      </c>
      <c r="C2780" s="312" t="s">
        <v>105</v>
      </c>
      <c r="D2780" s="312" t="s">
        <v>645</v>
      </c>
      <c r="E2780" s="312" t="s">
        <v>107</v>
      </c>
      <c r="F2780" s="312">
        <v>1825</v>
      </c>
      <c r="G2780" s="312" t="s">
        <v>108</v>
      </c>
      <c r="H2780" s="312">
        <v>1827</v>
      </c>
      <c r="I2780" s="312" t="s">
        <v>107</v>
      </c>
      <c r="J2780" s="312">
        <v>1913</v>
      </c>
      <c r="K2780" s="312" t="s">
        <v>109</v>
      </c>
    </row>
    <row r="2781" spans="1:11">
      <c r="A2781" s="312" t="s">
        <v>5878</v>
      </c>
      <c r="B2781" s="312" t="s">
        <v>5879</v>
      </c>
      <c r="C2781" s="312" t="s">
        <v>105</v>
      </c>
      <c r="D2781" s="312" t="s">
        <v>504</v>
      </c>
      <c r="E2781" s="312" t="s">
        <v>167</v>
      </c>
      <c r="F2781" s="312">
        <v>1705</v>
      </c>
      <c r="G2781" s="312" t="s">
        <v>168</v>
      </c>
      <c r="H2781" s="312">
        <v>1707</v>
      </c>
      <c r="I2781" s="312" t="s">
        <v>167</v>
      </c>
      <c r="J2781" s="312">
        <v>1899</v>
      </c>
      <c r="K2781" s="312" t="s">
        <v>169</v>
      </c>
    </row>
    <row r="2782" spans="1:11">
      <c r="A2782" s="312" t="s">
        <v>5880</v>
      </c>
      <c r="B2782" s="312" t="s">
        <v>5881</v>
      </c>
      <c r="C2782" s="312" t="s">
        <v>105</v>
      </c>
      <c r="D2782" s="312" t="s">
        <v>252</v>
      </c>
      <c r="E2782" s="312" t="s">
        <v>167</v>
      </c>
      <c r="F2782" s="312">
        <v>1705</v>
      </c>
      <c r="G2782" s="312" t="s">
        <v>168</v>
      </c>
      <c r="H2782" s="312">
        <v>1707</v>
      </c>
      <c r="I2782" s="312" t="s">
        <v>167</v>
      </c>
      <c r="J2782" s="312">
        <v>1899</v>
      </c>
      <c r="K2782" s="312" t="s">
        <v>169</v>
      </c>
    </row>
    <row r="2783" spans="1:11">
      <c r="A2783" s="312" t="s">
        <v>5882</v>
      </c>
      <c r="B2783" s="312" t="s">
        <v>5883</v>
      </c>
      <c r="C2783" s="312" t="s">
        <v>105</v>
      </c>
      <c r="D2783" s="312" t="s">
        <v>252</v>
      </c>
      <c r="E2783" s="312" t="s">
        <v>167</v>
      </c>
      <c r="F2783" s="312">
        <v>1705</v>
      </c>
      <c r="G2783" s="312" t="s">
        <v>168</v>
      </c>
      <c r="H2783" s="312">
        <v>1707</v>
      </c>
      <c r="I2783" s="312" t="s">
        <v>167</v>
      </c>
      <c r="J2783" s="312">
        <v>1899</v>
      </c>
      <c r="K2783" s="312" t="s">
        <v>169</v>
      </c>
    </row>
    <row r="2784" spans="1:11">
      <c r="A2784" s="312" t="s">
        <v>5884</v>
      </c>
      <c r="B2784" s="312" t="s">
        <v>5885</v>
      </c>
      <c r="C2784" s="312" t="s">
        <v>105</v>
      </c>
      <c r="D2784" s="312" t="s">
        <v>1291</v>
      </c>
      <c r="E2784" s="312" t="s">
        <v>107</v>
      </c>
      <c r="F2784" s="312">
        <v>1825</v>
      </c>
      <c r="G2784" s="312" t="s">
        <v>108</v>
      </c>
      <c r="H2784" s="312">
        <v>1827</v>
      </c>
      <c r="I2784" s="312" t="s">
        <v>107</v>
      </c>
      <c r="J2784" s="312">
        <v>1913</v>
      </c>
      <c r="K2784" s="312" t="s">
        <v>109</v>
      </c>
    </row>
    <row r="2785" spans="1:11">
      <c r="A2785" s="312" t="s">
        <v>5886</v>
      </c>
      <c r="B2785" s="312" t="s">
        <v>5887</v>
      </c>
      <c r="C2785" s="312" t="s">
        <v>105</v>
      </c>
      <c r="D2785" s="312" t="s">
        <v>252</v>
      </c>
      <c r="E2785" s="312" t="s">
        <v>167</v>
      </c>
      <c r="F2785" s="312">
        <v>1705</v>
      </c>
      <c r="G2785" s="312" t="s">
        <v>168</v>
      </c>
      <c r="H2785" s="312">
        <v>1707</v>
      </c>
      <c r="I2785" s="312" t="s">
        <v>167</v>
      </c>
      <c r="J2785" s="312">
        <v>1899</v>
      </c>
      <c r="K2785" s="312" t="s">
        <v>169</v>
      </c>
    </row>
    <row r="2786" spans="1:11">
      <c r="A2786" s="312" t="s">
        <v>5888</v>
      </c>
      <c r="B2786" s="312" t="s">
        <v>5889</v>
      </c>
      <c r="C2786" s="312" t="s">
        <v>105</v>
      </c>
      <c r="D2786" s="312" t="s">
        <v>5890</v>
      </c>
      <c r="E2786" s="312" t="s">
        <v>167</v>
      </c>
      <c r="F2786" s="312">
        <v>1705</v>
      </c>
      <c r="G2786" s="312" t="s">
        <v>168</v>
      </c>
      <c r="H2786" s="312">
        <v>1707</v>
      </c>
      <c r="I2786" s="312" t="s">
        <v>167</v>
      </c>
      <c r="J2786" s="312">
        <v>1899</v>
      </c>
      <c r="K2786" s="312" t="s">
        <v>169</v>
      </c>
    </row>
    <row r="2787" spans="1:11">
      <c r="A2787" s="312" t="s">
        <v>5891</v>
      </c>
      <c r="B2787" s="312" t="s">
        <v>5892</v>
      </c>
      <c r="C2787" s="312" t="s">
        <v>105</v>
      </c>
      <c r="D2787" s="312" t="s">
        <v>5890</v>
      </c>
      <c r="E2787" s="312" t="s">
        <v>167</v>
      </c>
      <c r="F2787" s="312">
        <v>1705</v>
      </c>
      <c r="G2787" s="312" t="s">
        <v>168</v>
      </c>
      <c r="H2787" s="312">
        <v>1707</v>
      </c>
      <c r="I2787" s="312" t="s">
        <v>167</v>
      </c>
      <c r="J2787" s="312">
        <v>1899</v>
      </c>
      <c r="K2787" s="312" t="s">
        <v>169</v>
      </c>
    </row>
    <row r="2788" spans="1:11">
      <c r="A2788" s="312" t="s">
        <v>5893</v>
      </c>
      <c r="B2788" s="312" t="s">
        <v>5894</v>
      </c>
      <c r="C2788" s="312" t="s">
        <v>105</v>
      </c>
      <c r="D2788" s="312" t="s">
        <v>166</v>
      </c>
      <c r="E2788" s="312" t="s">
        <v>167</v>
      </c>
      <c r="F2788" s="312">
        <v>1705</v>
      </c>
      <c r="G2788" s="312" t="s">
        <v>168</v>
      </c>
      <c r="H2788" s="312">
        <v>1707</v>
      </c>
      <c r="I2788" s="312" t="s">
        <v>167</v>
      </c>
      <c r="J2788" s="312">
        <v>1899</v>
      </c>
      <c r="K2788" s="312" t="s">
        <v>169</v>
      </c>
    </row>
    <row r="2789" spans="1:11">
      <c r="A2789" s="312" t="s">
        <v>5895</v>
      </c>
      <c r="B2789" s="312" t="s">
        <v>5896</v>
      </c>
      <c r="C2789" s="312" t="s">
        <v>105</v>
      </c>
      <c r="D2789" s="312" t="s">
        <v>166</v>
      </c>
      <c r="E2789" s="312" t="s">
        <v>167</v>
      </c>
      <c r="F2789" s="312">
        <v>1705</v>
      </c>
      <c r="G2789" s="312" t="s">
        <v>168</v>
      </c>
      <c r="H2789" s="312">
        <v>1707</v>
      </c>
      <c r="I2789" s="312" t="s">
        <v>167</v>
      </c>
      <c r="J2789" s="312">
        <v>1899</v>
      </c>
      <c r="K2789" s="312" t="s">
        <v>169</v>
      </c>
    </row>
    <row r="2790" spans="1:11">
      <c r="A2790" s="312" t="s">
        <v>5897</v>
      </c>
      <c r="B2790" s="312" t="s">
        <v>5898</v>
      </c>
      <c r="C2790" s="312" t="s">
        <v>105</v>
      </c>
      <c r="D2790" s="312" t="s">
        <v>166</v>
      </c>
      <c r="E2790" s="312" t="s">
        <v>320</v>
      </c>
      <c r="F2790" s="312">
        <v>1716</v>
      </c>
      <c r="G2790" s="312" t="s">
        <v>321</v>
      </c>
      <c r="H2790" s="312">
        <v>1725</v>
      </c>
      <c r="I2790" s="312" t="s">
        <v>320</v>
      </c>
      <c r="J2790" s="312">
        <v>1910</v>
      </c>
      <c r="K2790" s="312" t="s">
        <v>322</v>
      </c>
    </row>
    <row r="2791" spans="1:11">
      <c r="A2791" s="312" t="s">
        <v>5899</v>
      </c>
      <c r="B2791" s="312" t="s">
        <v>5900</v>
      </c>
      <c r="C2791" s="312" t="s">
        <v>105</v>
      </c>
      <c r="D2791" s="312" t="s">
        <v>1799</v>
      </c>
      <c r="E2791" s="312" t="s">
        <v>2368</v>
      </c>
      <c r="F2791" s="312">
        <v>1810</v>
      </c>
      <c r="G2791" s="312" t="s">
        <v>2369</v>
      </c>
      <c r="H2791" s="312">
        <v>1816</v>
      </c>
      <c r="I2791" s="312" t="s">
        <v>2368</v>
      </c>
      <c r="J2791" s="312">
        <v>1919</v>
      </c>
      <c r="K2791" s="312" t="s">
        <v>2370</v>
      </c>
    </row>
    <row r="2792" spans="1:11">
      <c r="A2792" s="312" t="s">
        <v>5901</v>
      </c>
      <c r="B2792" s="312" t="s">
        <v>5902</v>
      </c>
      <c r="C2792" s="312" t="s">
        <v>105</v>
      </c>
      <c r="D2792" s="312" t="s">
        <v>1799</v>
      </c>
      <c r="E2792" s="312" t="s">
        <v>2368</v>
      </c>
      <c r="F2792" s="312">
        <v>1810</v>
      </c>
      <c r="G2792" s="312" t="s">
        <v>2369</v>
      </c>
      <c r="H2792" s="312">
        <v>1816</v>
      </c>
      <c r="I2792" s="312" t="s">
        <v>2368</v>
      </c>
      <c r="J2792" s="312">
        <v>1919</v>
      </c>
      <c r="K2792" s="312" t="s">
        <v>2370</v>
      </c>
    </row>
    <row r="2793" spans="1:11">
      <c r="A2793" s="312" t="s">
        <v>5903</v>
      </c>
      <c r="B2793" s="312" t="s">
        <v>5904</v>
      </c>
      <c r="C2793" s="312" t="s">
        <v>105</v>
      </c>
      <c r="D2793" s="312" t="s">
        <v>1799</v>
      </c>
      <c r="E2793" s="312" t="s">
        <v>167</v>
      </c>
      <c r="F2793" s="312">
        <v>1705</v>
      </c>
      <c r="G2793" s="312" t="s">
        <v>168</v>
      </c>
      <c r="H2793" s="312">
        <v>1707</v>
      </c>
      <c r="I2793" s="312" t="s">
        <v>167</v>
      </c>
      <c r="J2793" s="312">
        <v>1899</v>
      </c>
      <c r="K2793" s="312" t="s">
        <v>169</v>
      </c>
    </row>
    <row r="2794" spans="1:11">
      <c r="A2794" s="312" t="s">
        <v>5905</v>
      </c>
      <c r="B2794" s="312" t="s">
        <v>5906</v>
      </c>
      <c r="C2794" s="312" t="s">
        <v>105</v>
      </c>
      <c r="D2794" s="312" t="s">
        <v>1799</v>
      </c>
      <c r="E2794" s="312" t="s">
        <v>167</v>
      </c>
      <c r="F2794" s="312">
        <v>1705</v>
      </c>
      <c r="G2794" s="312" t="s">
        <v>168</v>
      </c>
      <c r="H2794" s="312">
        <v>1707</v>
      </c>
      <c r="I2794" s="312" t="s">
        <v>167</v>
      </c>
      <c r="J2794" s="312">
        <v>1899</v>
      </c>
      <c r="K2794" s="312" t="s">
        <v>169</v>
      </c>
    </row>
    <row r="2795" spans="1:11">
      <c r="A2795" s="312" t="s">
        <v>5907</v>
      </c>
      <c r="B2795" s="312" t="s">
        <v>5908</v>
      </c>
      <c r="C2795" s="312" t="s">
        <v>105</v>
      </c>
      <c r="D2795" s="312" t="s">
        <v>1799</v>
      </c>
      <c r="E2795" s="312" t="s">
        <v>167</v>
      </c>
      <c r="F2795" s="312">
        <v>1705</v>
      </c>
      <c r="G2795" s="312" t="s">
        <v>168</v>
      </c>
      <c r="H2795" s="312">
        <v>1707</v>
      </c>
      <c r="I2795" s="312" t="s">
        <v>167</v>
      </c>
      <c r="J2795" s="312">
        <v>1899</v>
      </c>
      <c r="K2795" s="312" t="s">
        <v>169</v>
      </c>
    </row>
    <row r="2796" spans="1:11">
      <c r="A2796" s="312" t="s">
        <v>5909</v>
      </c>
      <c r="B2796" s="312" t="s">
        <v>5910</v>
      </c>
      <c r="C2796" s="312" t="s">
        <v>105</v>
      </c>
      <c r="D2796" s="312" t="s">
        <v>1799</v>
      </c>
      <c r="E2796" s="312" t="s">
        <v>167</v>
      </c>
      <c r="F2796" s="312">
        <v>1705</v>
      </c>
      <c r="G2796" s="312" t="s">
        <v>168</v>
      </c>
      <c r="H2796" s="312">
        <v>1707</v>
      </c>
      <c r="I2796" s="312" t="s">
        <v>167</v>
      </c>
      <c r="J2796" s="312">
        <v>1899</v>
      </c>
      <c r="K2796" s="312" t="s">
        <v>169</v>
      </c>
    </row>
    <row r="2797" spans="1:11">
      <c r="A2797" s="312" t="s">
        <v>5911</v>
      </c>
      <c r="B2797" s="312" t="s">
        <v>5912</v>
      </c>
      <c r="C2797" s="312" t="s">
        <v>105</v>
      </c>
      <c r="D2797" s="312" t="s">
        <v>1799</v>
      </c>
      <c r="E2797" s="312" t="s">
        <v>167</v>
      </c>
      <c r="F2797" s="312">
        <v>1705</v>
      </c>
      <c r="G2797" s="312" t="s">
        <v>168</v>
      </c>
      <c r="H2797" s="312">
        <v>1707</v>
      </c>
      <c r="I2797" s="312" t="s">
        <v>167</v>
      </c>
      <c r="J2797" s="312">
        <v>1899</v>
      </c>
      <c r="K2797" s="312" t="s">
        <v>169</v>
      </c>
    </row>
    <row r="2798" spans="1:11">
      <c r="A2798" s="312" t="s">
        <v>5913</v>
      </c>
      <c r="B2798" s="312" t="s">
        <v>5914</v>
      </c>
      <c r="C2798" s="312" t="s">
        <v>105</v>
      </c>
      <c r="D2798" s="312" t="s">
        <v>1799</v>
      </c>
      <c r="E2798" s="312" t="s">
        <v>167</v>
      </c>
      <c r="F2798" s="312">
        <v>1705</v>
      </c>
      <c r="G2798" s="312" t="s">
        <v>168</v>
      </c>
      <c r="H2798" s="312">
        <v>1707</v>
      </c>
      <c r="I2798" s="312" t="s">
        <v>167</v>
      </c>
      <c r="J2798" s="312">
        <v>1899</v>
      </c>
      <c r="K2798" s="312" t="s">
        <v>169</v>
      </c>
    </row>
    <row r="2799" spans="1:11">
      <c r="A2799" s="312" t="s">
        <v>5915</v>
      </c>
      <c r="B2799" s="312" t="s">
        <v>5916</v>
      </c>
      <c r="C2799" s="312" t="s">
        <v>105</v>
      </c>
      <c r="D2799" s="312" t="s">
        <v>114</v>
      </c>
      <c r="E2799" s="312" t="s">
        <v>107</v>
      </c>
      <c r="F2799" s="312">
        <v>1825</v>
      </c>
      <c r="G2799" s="312" t="s">
        <v>108</v>
      </c>
      <c r="H2799" s="312">
        <v>1827</v>
      </c>
      <c r="I2799" s="312" t="s">
        <v>107</v>
      </c>
      <c r="J2799" s="312">
        <v>1913</v>
      </c>
      <c r="K2799" s="312" t="s">
        <v>109</v>
      </c>
    </row>
    <row r="2800" spans="1:11">
      <c r="A2800" s="312" t="s">
        <v>5917</v>
      </c>
      <c r="B2800" s="312" t="s">
        <v>5918</v>
      </c>
      <c r="C2800" s="312" t="s">
        <v>105</v>
      </c>
      <c r="D2800" s="312" t="s">
        <v>114</v>
      </c>
      <c r="E2800" s="312" t="s">
        <v>107</v>
      </c>
      <c r="F2800" s="312">
        <v>1825</v>
      </c>
      <c r="G2800" s="312" t="s">
        <v>108</v>
      </c>
      <c r="H2800" s="312">
        <v>1827</v>
      </c>
      <c r="I2800" s="312" t="s">
        <v>107</v>
      </c>
      <c r="J2800" s="312">
        <v>1913</v>
      </c>
      <c r="K2800" s="312" t="s">
        <v>109</v>
      </c>
    </row>
    <row r="2801" spans="1:11">
      <c r="A2801" s="312" t="s">
        <v>5919</v>
      </c>
      <c r="B2801" s="312" t="s">
        <v>5920</v>
      </c>
      <c r="C2801" s="312" t="s">
        <v>105</v>
      </c>
      <c r="D2801" s="312" t="s">
        <v>438</v>
      </c>
      <c r="E2801" s="312" t="s">
        <v>107</v>
      </c>
      <c r="F2801" s="312">
        <v>1825</v>
      </c>
      <c r="G2801" s="312" t="s">
        <v>108</v>
      </c>
      <c r="H2801" s="312">
        <v>1827</v>
      </c>
      <c r="I2801" s="312" t="s">
        <v>107</v>
      </c>
      <c r="J2801" s="312">
        <v>1913</v>
      </c>
      <c r="K2801" s="312" t="s">
        <v>109</v>
      </c>
    </row>
    <row r="2802" spans="1:11">
      <c r="A2802" s="312" t="s">
        <v>5921</v>
      </c>
      <c r="B2802" s="312" t="s">
        <v>5922</v>
      </c>
      <c r="C2802" s="312" t="s">
        <v>105</v>
      </c>
      <c r="D2802" s="312" t="s">
        <v>483</v>
      </c>
      <c r="E2802" s="312" t="s">
        <v>107</v>
      </c>
      <c r="F2802" s="312">
        <v>1825</v>
      </c>
      <c r="G2802" s="312" t="s">
        <v>108</v>
      </c>
      <c r="H2802" s="312">
        <v>1827</v>
      </c>
      <c r="I2802" s="312" t="s">
        <v>107</v>
      </c>
      <c r="J2802" s="312">
        <v>1913</v>
      </c>
      <c r="K2802" s="312" t="s">
        <v>109</v>
      </c>
    </row>
    <row r="2803" spans="1:11">
      <c r="A2803" s="312" t="s">
        <v>5923</v>
      </c>
      <c r="B2803" s="312" t="s">
        <v>5924</v>
      </c>
      <c r="C2803" s="312" t="s">
        <v>105</v>
      </c>
      <c r="D2803" s="312" t="s">
        <v>483</v>
      </c>
      <c r="E2803" s="312" t="s">
        <v>107</v>
      </c>
      <c r="F2803" s="312">
        <v>1825</v>
      </c>
      <c r="G2803" s="312" t="s">
        <v>108</v>
      </c>
      <c r="H2803" s="312">
        <v>1827</v>
      </c>
      <c r="I2803" s="312" t="s">
        <v>107</v>
      </c>
      <c r="J2803" s="312">
        <v>1913</v>
      </c>
      <c r="K2803" s="312" t="s">
        <v>109</v>
      </c>
    </row>
    <row r="2804" spans="1:11">
      <c r="A2804" s="312" t="s">
        <v>5925</v>
      </c>
      <c r="B2804" s="312" t="s">
        <v>5926</v>
      </c>
      <c r="C2804" s="312" t="s">
        <v>105</v>
      </c>
      <c r="D2804" s="312" t="s">
        <v>483</v>
      </c>
      <c r="E2804" s="312" t="s">
        <v>107</v>
      </c>
      <c r="F2804" s="312">
        <v>1825</v>
      </c>
      <c r="G2804" s="312" t="s">
        <v>108</v>
      </c>
      <c r="H2804" s="312">
        <v>1827</v>
      </c>
      <c r="I2804" s="312" t="s">
        <v>107</v>
      </c>
      <c r="J2804" s="312">
        <v>1913</v>
      </c>
      <c r="K2804" s="312" t="s">
        <v>109</v>
      </c>
    </row>
    <row r="2805" spans="1:11">
      <c r="A2805" s="312" t="s">
        <v>5927</v>
      </c>
      <c r="B2805" s="312" t="s">
        <v>5928</v>
      </c>
      <c r="C2805" s="312" t="s">
        <v>105</v>
      </c>
      <c r="D2805" s="312" t="s">
        <v>1288</v>
      </c>
      <c r="E2805" s="312" t="s">
        <v>107</v>
      </c>
      <c r="F2805" s="312">
        <v>1825</v>
      </c>
      <c r="G2805" s="312" t="s">
        <v>108</v>
      </c>
      <c r="H2805" s="312">
        <v>1827</v>
      </c>
      <c r="I2805" s="312" t="s">
        <v>107</v>
      </c>
      <c r="J2805" s="312">
        <v>1913</v>
      </c>
      <c r="K2805" s="312" t="s">
        <v>109</v>
      </c>
    </row>
    <row r="2806" spans="1:11">
      <c r="A2806" s="312" t="s">
        <v>5929</v>
      </c>
      <c r="B2806" s="312" t="s">
        <v>5930</v>
      </c>
      <c r="C2806" s="312" t="s">
        <v>105</v>
      </c>
      <c r="D2806" s="312" t="s">
        <v>184</v>
      </c>
      <c r="E2806" s="312" t="s">
        <v>107</v>
      </c>
      <c r="F2806" s="312">
        <v>1825</v>
      </c>
      <c r="G2806" s="312" t="s">
        <v>108</v>
      </c>
      <c r="H2806" s="312">
        <v>1827</v>
      </c>
      <c r="I2806" s="312" t="s">
        <v>107</v>
      </c>
      <c r="J2806" s="312">
        <v>1913</v>
      </c>
      <c r="K2806" s="312" t="s">
        <v>109</v>
      </c>
    </row>
    <row r="2807" spans="1:11">
      <c r="A2807" s="312" t="s">
        <v>5931</v>
      </c>
      <c r="B2807" s="312" t="s">
        <v>5932</v>
      </c>
      <c r="C2807" s="312" t="s">
        <v>105</v>
      </c>
      <c r="D2807" s="312" t="s">
        <v>114</v>
      </c>
      <c r="E2807" s="312" t="s">
        <v>107</v>
      </c>
      <c r="F2807" s="312">
        <v>1825</v>
      </c>
      <c r="G2807" s="312" t="s">
        <v>108</v>
      </c>
      <c r="H2807" s="312">
        <v>1827</v>
      </c>
      <c r="I2807" s="312" t="s">
        <v>107</v>
      </c>
      <c r="J2807" s="312">
        <v>1913</v>
      </c>
      <c r="K2807" s="312" t="s">
        <v>109</v>
      </c>
    </row>
    <row r="2808" spans="1:11">
      <c r="A2808" s="312" t="s">
        <v>5933</v>
      </c>
      <c r="B2808" s="312" t="s">
        <v>5934</v>
      </c>
      <c r="C2808" s="312" t="s">
        <v>105</v>
      </c>
      <c r="D2808" s="312" t="s">
        <v>184</v>
      </c>
      <c r="E2808" s="312" t="s">
        <v>107</v>
      </c>
      <c r="F2808" s="312">
        <v>1825</v>
      </c>
      <c r="G2808" s="312" t="s">
        <v>108</v>
      </c>
      <c r="H2808" s="312">
        <v>1827</v>
      </c>
      <c r="I2808" s="312" t="s">
        <v>107</v>
      </c>
      <c r="J2808" s="312">
        <v>1913</v>
      </c>
      <c r="K2808" s="312" t="s">
        <v>109</v>
      </c>
    </row>
    <row r="2809" spans="1:11">
      <c r="A2809" s="312" t="s">
        <v>5935</v>
      </c>
      <c r="B2809" s="312" t="s">
        <v>5936</v>
      </c>
      <c r="C2809" s="312" t="s">
        <v>105</v>
      </c>
      <c r="D2809" s="312" t="s">
        <v>114</v>
      </c>
      <c r="E2809" s="312" t="s">
        <v>107</v>
      </c>
      <c r="F2809" s="312">
        <v>1825</v>
      </c>
      <c r="G2809" s="312" t="s">
        <v>108</v>
      </c>
      <c r="H2809" s="312">
        <v>1827</v>
      </c>
      <c r="I2809" s="312" t="s">
        <v>107</v>
      </c>
      <c r="J2809" s="312">
        <v>1913</v>
      </c>
      <c r="K2809" s="312" t="s">
        <v>109</v>
      </c>
    </row>
    <row r="2810" spans="1:11">
      <c r="A2810" s="312" t="s">
        <v>5937</v>
      </c>
      <c r="B2810" s="312" t="s">
        <v>5938</v>
      </c>
      <c r="C2810" s="312" t="s">
        <v>105</v>
      </c>
      <c r="D2810" s="312" t="s">
        <v>252</v>
      </c>
      <c r="E2810" s="312" t="s">
        <v>167</v>
      </c>
      <c r="F2810" s="312">
        <v>1705</v>
      </c>
      <c r="G2810" s="312" t="s">
        <v>168</v>
      </c>
      <c r="H2810" s="312">
        <v>1707</v>
      </c>
      <c r="I2810" s="312" t="s">
        <v>167</v>
      </c>
      <c r="J2810" s="312">
        <v>1899</v>
      </c>
      <c r="K2810" s="312" t="s">
        <v>169</v>
      </c>
    </row>
    <row r="2811" spans="1:11">
      <c r="A2811" s="312" t="s">
        <v>5939</v>
      </c>
      <c r="B2811" s="312" t="s">
        <v>5940</v>
      </c>
      <c r="C2811" s="312" t="s">
        <v>105</v>
      </c>
      <c r="D2811" s="312" t="s">
        <v>891</v>
      </c>
      <c r="E2811" s="312" t="s">
        <v>466</v>
      </c>
      <c r="F2811" s="312">
        <v>1796</v>
      </c>
      <c r="G2811" s="312" t="s">
        <v>467</v>
      </c>
      <c r="H2811" s="312">
        <v>1799</v>
      </c>
      <c r="I2811" s="312" t="s">
        <v>466</v>
      </c>
      <c r="J2811" s="312">
        <v>1918</v>
      </c>
      <c r="K2811" s="312" t="s">
        <v>468</v>
      </c>
    </row>
    <row r="2812" spans="1:11">
      <c r="A2812" s="312" t="s">
        <v>5941</v>
      </c>
      <c r="B2812" s="312" t="s">
        <v>5942</v>
      </c>
      <c r="C2812" s="312" t="s">
        <v>105</v>
      </c>
      <c r="D2812" s="312" t="s">
        <v>1300</v>
      </c>
      <c r="E2812" s="312" t="s">
        <v>167</v>
      </c>
      <c r="F2812" s="312">
        <v>1705</v>
      </c>
      <c r="G2812" s="312" t="s">
        <v>168</v>
      </c>
      <c r="H2812" s="312">
        <v>1707</v>
      </c>
      <c r="I2812" s="312" t="s">
        <v>167</v>
      </c>
      <c r="J2812" s="312">
        <v>1899</v>
      </c>
      <c r="K2812" s="312" t="s">
        <v>169</v>
      </c>
    </row>
    <row r="2813" spans="1:11">
      <c r="A2813" s="312" t="s">
        <v>5943</v>
      </c>
      <c r="B2813" s="312" t="s">
        <v>5944</v>
      </c>
      <c r="C2813" s="312" t="s">
        <v>105</v>
      </c>
      <c r="D2813" s="312" t="s">
        <v>5945</v>
      </c>
      <c r="E2813" s="312" t="s">
        <v>107</v>
      </c>
      <c r="F2813" s="312">
        <v>1825</v>
      </c>
      <c r="G2813" s="312" t="s">
        <v>108</v>
      </c>
      <c r="H2813" s="312">
        <v>1827</v>
      </c>
      <c r="I2813" s="312" t="s">
        <v>107</v>
      </c>
      <c r="J2813" s="312">
        <v>1913</v>
      </c>
      <c r="K2813" s="312" t="s">
        <v>109</v>
      </c>
    </row>
    <row r="2814" spans="1:11">
      <c r="A2814" s="312" t="s">
        <v>5946</v>
      </c>
      <c r="B2814" s="312" t="s">
        <v>5947</v>
      </c>
      <c r="C2814" s="312" t="s">
        <v>105</v>
      </c>
      <c r="D2814" s="312" t="s">
        <v>853</v>
      </c>
      <c r="E2814" s="312" t="s">
        <v>167</v>
      </c>
      <c r="F2814" s="312">
        <v>1705</v>
      </c>
      <c r="G2814" s="312" t="s">
        <v>168</v>
      </c>
      <c r="H2814" s="312">
        <v>1707</v>
      </c>
      <c r="I2814" s="312" t="s">
        <v>167</v>
      </c>
      <c r="J2814" s="312">
        <v>1899</v>
      </c>
      <c r="K2814" s="312" t="s">
        <v>169</v>
      </c>
    </row>
    <row r="2815" spans="1:11">
      <c r="A2815" s="312" t="s">
        <v>5948</v>
      </c>
      <c r="B2815" s="312" t="s">
        <v>5949</v>
      </c>
      <c r="C2815" s="312" t="s">
        <v>105</v>
      </c>
      <c r="D2815" s="312" t="s">
        <v>600</v>
      </c>
      <c r="E2815" s="312" t="s">
        <v>107</v>
      </c>
      <c r="F2815" s="312">
        <v>1825</v>
      </c>
      <c r="G2815" s="312" t="s">
        <v>108</v>
      </c>
      <c r="H2815" s="312">
        <v>1827</v>
      </c>
      <c r="I2815" s="312" t="s">
        <v>107</v>
      </c>
      <c r="J2815" s="312">
        <v>1913</v>
      </c>
      <c r="K2815" s="312" t="s">
        <v>109</v>
      </c>
    </row>
    <row r="2816" spans="1:11">
      <c r="A2816" s="312" t="s">
        <v>5950</v>
      </c>
      <c r="B2816" s="312" t="s">
        <v>5951</v>
      </c>
      <c r="C2816" s="312" t="s">
        <v>105</v>
      </c>
      <c r="D2816" s="312" t="s">
        <v>1288</v>
      </c>
      <c r="E2816" s="312" t="s">
        <v>107</v>
      </c>
      <c r="F2816" s="312">
        <v>1825</v>
      </c>
      <c r="G2816" s="312" t="s">
        <v>108</v>
      </c>
      <c r="H2816" s="312">
        <v>1827</v>
      </c>
      <c r="I2816" s="312" t="s">
        <v>107</v>
      </c>
      <c r="J2816" s="312">
        <v>1913</v>
      </c>
      <c r="K2816" s="312" t="s">
        <v>109</v>
      </c>
    </row>
    <row r="2817" spans="1:11">
      <c r="A2817" s="312" t="s">
        <v>5952</v>
      </c>
      <c r="B2817" s="312" t="s">
        <v>5953</v>
      </c>
      <c r="C2817" s="312" t="s">
        <v>105</v>
      </c>
      <c r="D2817" s="312" t="s">
        <v>600</v>
      </c>
      <c r="E2817" s="312" t="s">
        <v>107</v>
      </c>
      <c r="F2817" s="312">
        <v>1825</v>
      </c>
      <c r="G2817" s="312" t="s">
        <v>108</v>
      </c>
      <c r="H2817" s="312">
        <v>1827</v>
      </c>
      <c r="I2817" s="312" t="s">
        <v>107</v>
      </c>
      <c r="J2817" s="312">
        <v>1913</v>
      </c>
      <c r="K2817" s="312" t="s">
        <v>109</v>
      </c>
    </row>
    <row r="2818" spans="1:11">
      <c r="A2818" s="312" t="s">
        <v>5954</v>
      </c>
      <c r="B2818" s="312" t="s">
        <v>5955</v>
      </c>
      <c r="C2818" s="312" t="s">
        <v>105</v>
      </c>
      <c r="D2818" s="312" t="s">
        <v>252</v>
      </c>
      <c r="E2818" s="312" t="s">
        <v>167</v>
      </c>
      <c r="F2818" s="312">
        <v>1705</v>
      </c>
      <c r="G2818" s="312" t="s">
        <v>168</v>
      </c>
      <c r="H2818" s="312">
        <v>1707</v>
      </c>
      <c r="I2818" s="312" t="s">
        <v>167</v>
      </c>
      <c r="J2818" s="312">
        <v>1899</v>
      </c>
      <c r="K2818" s="312" t="s">
        <v>169</v>
      </c>
    </row>
    <row r="2819" spans="1:11">
      <c r="A2819" s="312" t="s">
        <v>5956</v>
      </c>
      <c r="B2819" s="312" t="s">
        <v>5957</v>
      </c>
      <c r="C2819" s="312" t="s">
        <v>105</v>
      </c>
      <c r="D2819" s="312" t="s">
        <v>379</v>
      </c>
      <c r="E2819" s="312" t="s">
        <v>107</v>
      </c>
      <c r="F2819" s="312">
        <v>1825</v>
      </c>
      <c r="G2819" s="312" t="s">
        <v>108</v>
      </c>
      <c r="H2819" s="312">
        <v>1827</v>
      </c>
      <c r="I2819" s="312" t="s">
        <v>107</v>
      </c>
      <c r="J2819" s="312">
        <v>1913</v>
      </c>
      <c r="K2819" s="312" t="s">
        <v>109</v>
      </c>
    </row>
    <row r="2820" spans="1:11">
      <c r="A2820" s="312" t="s">
        <v>5958</v>
      </c>
      <c r="B2820" s="312" t="s">
        <v>5959</v>
      </c>
      <c r="C2820" s="312" t="s">
        <v>105</v>
      </c>
      <c r="D2820" s="312" t="s">
        <v>379</v>
      </c>
      <c r="E2820" s="312" t="s">
        <v>107</v>
      </c>
      <c r="F2820" s="312">
        <v>1825</v>
      </c>
      <c r="G2820" s="312" t="s">
        <v>108</v>
      </c>
      <c r="H2820" s="312">
        <v>1827</v>
      </c>
      <c r="I2820" s="312" t="s">
        <v>107</v>
      </c>
      <c r="J2820" s="312">
        <v>1913</v>
      </c>
      <c r="K2820" s="312" t="s">
        <v>109</v>
      </c>
    </row>
    <row r="2821" spans="1:11">
      <c r="A2821" s="312" t="s">
        <v>5960</v>
      </c>
      <c r="B2821" s="312" t="s">
        <v>5961</v>
      </c>
      <c r="C2821" s="312" t="s">
        <v>105</v>
      </c>
      <c r="D2821" s="312" t="s">
        <v>379</v>
      </c>
      <c r="E2821" s="312" t="s">
        <v>107</v>
      </c>
      <c r="F2821" s="312">
        <v>1825</v>
      </c>
      <c r="G2821" s="312" t="s">
        <v>108</v>
      </c>
      <c r="H2821" s="312">
        <v>1827</v>
      </c>
      <c r="I2821" s="312" t="s">
        <v>107</v>
      </c>
      <c r="J2821" s="312">
        <v>1913</v>
      </c>
      <c r="K2821" s="312" t="s">
        <v>109</v>
      </c>
    </row>
    <row r="2822" spans="1:11">
      <c r="A2822" s="312" t="s">
        <v>5962</v>
      </c>
      <c r="B2822" s="312" t="s">
        <v>5963</v>
      </c>
      <c r="C2822" s="312" t="s">
        <v>105</v>
      </c>
      <c r="D2822" s="312" t="s">
        <v>379</v>
      </c>
      <c r="E2822" s="312" t="s">
        <v>107</v>
      </c>
      <c r="F2822" s="312">
        <v>1825</v>
      </c>
      <c r="G2822" s="312" t="s">
        <v>108</v>
      </c>
      <c r="H2822" s="312">
        <v>1827</v>
      </c>
      <c r="I2822" s="312" t="s">
        <v>107</v>
      </c>
      <c r="J2822" s="312">
        <v>1913</v>
      </c>
      <c r="K2822" s="312" t="s">
        <v>109</v>
      </c>
    </row>
    <row r="2823" spans="1:11">
      <c r="A2823" s="312" t="s">
        <v>5964</v>
      </c>
      <c r="B2823" s="312" t="s">
        <v>5965</v>
      </c>
      <c r="C2823" s="312" t="s">
        <v>105</v>
      </c>
      <c r="D2823" s="312" t="s">
        <v>379</v>
      </c>
      <c r="E2823" s="312" t="s">
        <v>107</v>
      </c>
      <c r="F2823" s="312">
        <v>1825</v>
      </c>
      <c r="G2823" s="312" t="s">
        <v>108</v>
      </c>
      <c r="H2823" s="312">
        <v>1827</v>
      </c>
      <c r="I2823" s="312" t="s">
        <v>107</v>
      </c>
      <c r="J2823" s="312">
        <v>1913</v>
      </c>
      <c r="K2823" s="312" t="s">
        <v>109</v>
      </c>
    </row>
    <row r="2824" spans="1:11">
      <c r="A2824" s="312" t="s">
        <v>5966</v>
      </c>
      <c r="B2824" s="312" t="s">
        <v>5967</v>
      </c>
      <c r="C2824" s="312" t="s">
        <v>105</v>
      </c>
      <c r="D2824" s="312" t="s">
        <v>2252</v>
      </c>
      <c r="E2824" s="312" t="s">
        <v>107</v>
      </c>
      <c r="F2824" s="312">
        <v>1825</v>
      </c>
      <c r="G2824" s="312" t="s">
        <v>108</v>
      </c>
      <c r="H2824" s="312">
        <v>1827</v>
      </c>
      <c r="I2824" s="312" t="s">
        <v>107</v>
      </c>
      <c r="J2824" s="312">
        <v>1913</v>
      </c>
      <c r="K2824" s="312" t="s">
        <v>109</v>
      </c>
    </row>
    <row r="2825" spans="1:11">
      <c r="A2825" s="312" t="s">
        <v>5968</v>
      </c>
      <c r="B2825" s="312" t="s">
        <v>5969</v>
      </c>
      <c r="C2825" s="312" t="s">
        <v>105</v>
      </c>
      <c r="D2825" s="312" t="s">
        <v>2252</v>
      </c>
      <c r="E2825" s="312" t="s">
        <v>107</v>
      </c>
      <c r="F2825" s="312">
        <v>1825</v>
      </c>
      <c r="G2825" s="312" t="s">
        <v>108</v>
      </c>
      <c r="H2825" s="312">
        <v>1827</v>
      </c>
      <c r="I2825" s="312" t="s">
        <v>107</v>
      </c>
      <c r="J2825" s="312">
        <v>1913</v>
      </c>
      <c r="K2825" s="312" t="s">
        <v>109</v>
      </c>
    </row>
    <row r="2826" spans="1:11">
      <c r="A2826" s="312" t="s">
        <v>5970</v>
      </c>
      <c r="B2826" s="312" t="s">
        <v>5971</v>
      </c>
      <c r="C2826" s="312" t="s">
        <v>105</v>
      </c>
      <c r="D2826" s="312" t="s">
        <v>2252</v>
      </c>
      <c r="E2826" s="312" t="s">
        <v>107</v>
      </c>
      <c r="F2826" s="312">
        <v>1825</v>
      </c>
      <c r="G2826" s="312" t="s">
        <v>108</v>
      </c>
      <c r="H2826" s="312">
        <v>1827</v>
      </c>
      <c r="I2826" s="312" t="s">
        <v>107</v>
      </c>
      <c r="J2826" s="312">
        <v>1913</v>
      </c>
      <c r="K2826" s="312" t="s">
        <v>109</v>
      </c>
    </row>
    <row r="2827" spans="1:11">
      <c r="A2827" s="312" t="s">
        <v>5972</v>
      </c>
      <c r="B2827" s="312" t="s">
        <v>5973</v>
      </c>
      <c r="C2827" s="312" t="s">
        <v>105</v>
      </c>
      <c r="D2827" s="312" t="s">
        <v>2252</v>
      </c>
      <c r="E2827" s="312" t="s">
        <v>107</v>
      </c>
      <c r="F2827" s="312">
        <v>1825</v>
      </c>
      <c r="G2827" s="312" t="s">
        <v>108</v>
      </c>
      <c r="H2827" s="312">
        <v>1827</v>
      </c>
      <c r="I2827" s="312" t="s">
        <v>107</v>
      </c>
      <c r="J2827" s="312">
        <v>1913</v>
      </c>
      <c r="K2827" s="312" t="s">
        <v>109</v>
      </c>
    </row>
    <row r="2828" spans="1:11">
      <c r="A2828" s="312" t="s">
        <v>5974</v>
      </c>
      <c r="B2828" s="312" t="s">
        <v>5975</v>
      </c>
      <c r="C2828" s="312" t="s">
        <v>105</v>
      </c>
      <c r="D2828" s="312" t="s">
        <v>2252</v>
      </c>
      <c r="E2828" s="312" t="s">
        <v>107</v>
      </c>
      <c r="F2828" s="312">
        <v>1825</v>
      </c>
      <c r="G2828" s="312" t="s">
        <v>108</v>
      </c>
      <c r="H2828" s="312">
        <v>1827</v>
      </c>
      <c r="I2828" s="312" t="s">
        <v>107</v>
      </c>
      <c r="J2828" s="312">
        <v>1913</v>
      </c>
      <c r="K2828" s="312" t="s">
        <v>109</v>
      </c>
    </row>
    <row r="2829" spans="1:11">
      <c r="A2829" s="312" t="s">
        <v>5976</v>
      </c>
      <c r="B2829" s="312" t="s">
        <v>5977</v>
      </c>
      <c r="C2829" s="312" t="s">
        <v>105</v>
      </c>
      <c r="D2829" s="312" t="s">
        <v>252</v>
      </c>
      <c r="E2829" s="312" t="s">
        <v>167</v>
      </c>
      <c r="F2829" s="312">
        <v>1705</v>
      </c>
      <c r="G2829" s="312" t="s">
        <v>168</v>
      </c>
      <c r="H2829" s="312">
        <v>1707</v>
      </c>
      <c r="I2829" s="312" t="s">
        <v>167</v>
      </c>
      <c r="J2829" s="312">
        <v>1899</v>
      </c>
      <c r="K2829" s="312" t="s">
        <v>169</v>
      </c>
    </row>
    <row r="2830" spans="1:11">
      <c r="A2830" s="312" t="s">
        <v>5978</v>
      </c>
      <c r="B2830" s="312" t="s">
        <v>5979</v>
      </c>
      <c r="C2830" s="312" t="s">
        <v>105</v>
      </c>
      <c r="D2830" s="312" t="s">
        <v>379</v>
      </c>
      <c r="E2830" s="312" t="s">
        <v>107</v>
      </c>
      <c r="F2830" s="312">
        <v>1825</v>
      </c>
      <c r="G2830" s="312" t="s">
        <v>108</v>
      </c>
      <c r="H2830" s="312">
        <v>1827</v>
      </c>
      <c r="I2830" s="312" t="s">
        <v>107</v>
      </c>
      <c r="J2830" s="312">
        <v>1913</v>
      </c>
      <c r="K2830" s="312" t="s">
        <v>109</v>
      </c>
    </row>
    <row r="2831" spans="1:11">
      <c r="A2831" s="312" t="s">
        <v>5980</v>
      </c>
      <c r="B2831" s="312" t="s">
        <v>5981</v>
      </c>
      <c r="C2831" s="312" t="s">
        <v>105</v>
      </c>
      <c r="D2831" s="312" t="s">
        <v>1307</v>
      </c>
      <c r="E2831" s="312" t="s">
        <v>167</v>
      </c>
      <c r="F2831" s="312">
        <v>1705</v>
      </c>
      <c r="G2831" s="312" t="s">
        <v>168</v>
      </c>
      <c r="H2831" s="312">
        <v>1707</v>
      </c>
      <c r="I2831" s="312" t="s">
        <v>167</v>
      </c>
      <c r="J2831" s="312">
        <v>1899</v>
      </c>
      <c r="K2831" s="312" t="s">
        <v>169</v>
      </c>
    </row>
    <row r="2832" spans="1:11">
      <c r="A2832" s="312" t="s">
        <v>5982</v>
      </c>
      <c r="B2832" s="312" t="s">
        <v>5983</v>
      </c>
      <c r="C2832" s="312" t="s">
        <v>105</v>
      </c>
      <c r="D2832" s="312" t="s">
        <v>1307</v>
      </c>
      <c r="E2832" s="312" t="s">
        <v>167</v>
      </c>
      <c r="F2832" s="312">
        <v>1705</v>
      </c>
      <c r="G2832" s="312" t="s">
        <v>168</v>
      </c>
      <c r="H2832" s="312">
        <v>1707</v>
      </c>
      <c r="I2832" s="312" t="s">
        <v>167</v>
      </c>
      <c r="J2832" s="312">
        <v>1899</v>
      </c>
      <c r="K2832" s="312" t="s">
        <v>169</v>
      </c>
    </row>
    <row r="2833" spans="1:11">
      <c r="A2833" s="312" t="s">
        <v>5984</v>
      </c>
      <c r="B2833" s="312" t="s">
        <v>5985</v>
      </c>
      <c r="C2833" s="312" t="s">
        <v>105</v>
      </c>
      <c r="D2833" s="312" t="s">
        <v>1307</v>
      </c>
      <c r="E2833" s="312" t="s">
        <v>167</v>
      </c>
      <c r="F2833" s="312">
        <v>1705</v>
      </c>
      <c r="G2833" s="312" t="s">
        <v>168</v>
      </c>
      <c r="H2833" s="312">
        <v>1707</v>
      </c>
      <c r="I2833" s="312" t="s">
        <v>167</v>
      </c>
      <c r="J2833" s="312">
        <v>1899</v>
      </c>
      <c r="K2833" s="312" t="s">
        <v>169</v>
      </c>
    </row>
    <row r="2834" spans="1:11">
      <c r="A2834" s="312" t="s">
        <v>5986</v>
      </c>
      <c r="B2834" s="312" t="s">
        <v>5987</v>
      </c>
      <c r="C2834" s="312" t="s">
        <v>105</v>
      </c>
      <c r="D2834" s="312" t="s">
        <v>1307</v>
      </c>
      <c r="E2834" s="312" t="s">
        <v>167</v>
      </c>
      <c r="F2834" s="312">
        <v>1705</v>
      </c>
      <c r="G2834" s="312" t="s">
        <v>168</v>
      </c>
      <c r="H2834" s="312">
        <v>1707</v>
      </c>
      <c r="I2834" s="312" t="s">
        <v>167</v>
      </c>
      <c r="J2834" s="312">
        <v>1899</v>
      </c>
      <c r="K2834" s="312" t="s">
        <v>169</v>
      </c>
    </row>
    <row r="2835" spans="1:11">
      <c r="A2835" s="312" t="s">
        <v>5988</v>
      </c>
      <c r="B2835" s="312" t="s">
        <v>5989</v>
      </c>
      <c r="C2835" s="312" t="s">
        <v>105</v>
      </c>
      <c r="D2835" s="312" t="s">
        <v>1307</v>
      </c>
      <c r="E2835" s="312" t="s">
        <v>167</v>
      </c>
      <c r="F2835" s="312">
        <v>1705</v>
      </c>
      <c r="G2835" s="312" t="s">
        <v>168</v>
      </c>
      <c r="H2835" s="312">
        <v>1707</v>
      </c>
      <c r="I2835" s="312" t="s">
        <v>167</v>
      </c>
      <c r="J2835" s="312">
        <v>1899</v>
      </c>
      <c r="K2835" s="312" t="s">
        <v>169</v>
      </c>
    </row>
    <row r="2836" spans="1:11">
      <c r="A2836" s="312" t="s">
        <v>5990</v>
      </c>
      <c r="B2836" s="312" t="s">
        <v>5991</v>
      </c>
      <c r="C2836" s="312" t="s">
        <v>105</v>
      </c>
      <c r="D2836" s="312" t="s">
        <v>483</v>
      </c>
      <c r="E2836" s="312" t="s">
        <v>696</v>
      </c>
      <c r="F2836" s="312">
        <v>1736</v>
      </c>
      <c r="G2836" s="312" t="s">
        <v>697</v>
      </c>
      <c r="H2836" s="312">
        <v>1741</v>
      </c>
      <c r="I2836" s="312" t="s">
        <v>696</v>
      </c>
      <c r="J2836" s="312">
        <v>1929</v>
      </c>
      <c r="K2836" s="312" t="s">
        <v>698</v>
      </c>
    </row>
    <row r="2837" spans="1:11">
      <c r="A2837" s="312" t="s">
        <v>5992</v>
      </c>
      <c r="B2837" s="312" t="s">
        <v>5993</v>
      </c>
      <c r="C2837" s="312" t="s">
        <v>105</v>
      </c>
      <c r="D2837" s="312" t="s">
        <v>483</v>
      </c>
      <c r="E2837" s="312" t="s">
        <v>696</v>
      </c>
      <c r="F2837" s="312">
        <v>1736</v>
      </c>
      <c r="G2837" s="312" t="s">
        <v>697</v>
      </c>
      <c r="H2837" s="312">
        <v>1741</v>
      </c>
      <c r="I2837" s="312" t="s">
        <v>696</v>
      </c>
      <c r="J2837" s="312">
        <v>1929</v>
      </c>
      <c r="K2837" s="312" t="s">
        <v>698</v>
      </c>
    </row>
    <row r="2838" spans="1:11">
      <c r="A2838" s="312" t="s">
        <v>5994</v>
      </c>
      <c r="B2838" s="312" t="s">
        <v>5995</v>
      </c>
      <c r="C2838" s="312" t="s">
        <v>105</v>
      </c>
      <c r="D2838" s="312" t="s">
        <v>4444</v>
      </c>
      <c r="E2838" s="312" t="s">
        <v>167</v>
      </c>
      <c r="F2838" s="312">
        <v>1705</v>
      </c>
      <c r="G2838" s="312" t="s">
        <v>168</v>
      </c>
      <c r="H2838" s="312">
        <v>1707</v>
      </c>
      <c r="I2838" s="312" t="s">
        <v>167</v>
      </c>
      <c r="J2838" s="312">
        <v>1899</v>
      </c>
      <c r="K2838" s="312" t="s">
        <v>169</v>
      </c>
    </row>
    <row r="2839" spans="1:11">
      <c r="A2839" s="312" t="s">
        <v>5996</v>
      </c>
      <c r="B2839" s="312" t="s">
        <v>5997</v>
      </c>
      <c r="C2839" s="312" t="s">
        <v>105</v>
      </c>
      <c r="D2839" s="312" t="s">
        <v>1307</v>
      </c>
      <c r="E2839" s="312" t="s">
        <v>167</v>
      </c>
      <c r="F2839" s="312">
        <v>1705</v>
      </c>
      <c r="G2839" s="312" t="s">
        <v>168</v>
      </c>
      <c r="H2839" s="312">
        <v>1707</v>
      </c>
      <c r="I2839" s="312" t="s">
        <v>167</v>
      </c>
      <c r="J2839" s="312">
        <v>1899</v>
      </c>
      <c r="K2839" s="312" t="s">
        <v>169</v>
      </c>
    </row>
    <row r="2840" spans="1:11">
      <c r="A2840" s="312" t="s">
        <v>5998</v>
      </c>
      <c r="B2840" s="312" t="s">
        <v>5999</v>
      </c>
      <c r="C2840" s="312" t="s">
        <v>105</v>
      </c>
      <c r="D2840" s="312" t="s">
        <v>1307</v>
      </c>
      <c r="E2840" s="312" t="s">
        <v>320</v>
      </c>
      <c r="F2840" s="312">
        <v>1716</v>
      </c>
      <c r="G2840" s="312" t="s">
        <v>321</v>
      </c>
      <c r="H2840" s="312">
        <v>1725</v>
      </c>
      <c r="I2840" s="312" t="s">
        <v>320</v>
      </c>
      <c r="J2840" s="312">
        <v>1910</v>
      </c>
      <c r="K2840" s="312" t="s">
        <v>322</v>
      </c>
    </row>
    <row r="2841" spans="1:11">
      <c r="A2841" s="312" t="s">
        <v>6000</v>
      </c>
      <c r="B2841" s="312" t="s">
        <v>6001</v>
      </c>
      <c r="C2841" s="312" t="s">
        <v>105</v>
      </c>
      <c r="D2841" s="312" t="s">
        <v>1307</v>
      </c>
      <c r="E2841" s="312" t="s">
        <v>167</v>
      </c>
      <c r="F2841" s="312">
        <v>1705</v>
      </c>
      <c r="G2841" s="312" t="s">
        <v>168</v>
      </c>
      <c r="H2841" s="312">
        <v>1707</v>
      </c>
      <c r="I2841" s="312" t="s">
        <v>167</v>
      </c>
      <c r="J2841" s="312">
        <v>1899</v>
      </c>
      <c r="K2841" s="312" t="s">
        <v>169</v>
      </c>
    </row>
    <row r="2842" spans="1:11">
      <c r="A2842" s="312" t="s">
        <v>6002</v>
      </c>
      <c r="B2842" s="312" t="s">
        <v>6003</v>
      </c>
      <c r="C2842" s="312" t="s">
        <v>105</v>
      </c>
      <c r="D2842" s="312" t="s">
        <v>1307</v>
      </c>
      <c r="E2842" s="312" t="s">
        <v>167</v>
      </c>
      <c r="F2842" s="312">
        <v>1705</v>
      </c>
      <c r="G2842" s="312" t="s">
        <v>168</v>
      </c>
      <c r="H2842" s="312">
        <v>1707</v>
      </c>
      <c r="I2842" s="312" t="s">
        <v>167</v>
      </c>
      <c r="J2842" s="312">
        <v>1899</v>
      </c>
      <c r="K2842" s="312" t="s">
        <v>169</v>
      </c>
    </row>
    <row r="2843" spans="1:11">
      <c r="A2843" s="312" t="s">
        <v>6004</v>
      </c>
      <c r="B2843" s="312" t="s">
        <v>6005</v>
      </c>
      <c r="C2843" s="312" t="s">
        <v>105</v>
      </c>
      <c r="D2843" s="312" t="s">
        <v>4753</v>
      </c>
      <c r="E2843" s="312" t="s">
        <v>107</v>
      </c>
      <c r="F2843" s="312">
        <v>1825</v>
      </c>
      <c r="G2843" s="312" t="s">
        <v>108</v>
      </c>
      <c r="H2843" s="312">
        <v>1827</v>
      </c>
      <c r="I2843" s="312" t="s">
        <v>107</v>
      </c>
      <c r="J2843" s="312">
        <v>1913</v>
      </c>
      <c r="K2843" s="312" t="s">
        <v>109</v>
      </c>
    </row>
    <row r="2844" spans="1:11">
      <c r="A2844" s="312" t="s">
        <v>6006</v>
      </c>
      <c r="B2844" s="312" t="s">
        <v>6007</v>
      </c>
      <c r="C2844" s="312" t="s">
        <v>105</v>
      </c>
      <c r="D2844" s="312" t="s">
        <v>4753</v>
      </c>
      <c r="E2844" s="312" t="s">
        <v>107</v>
      </c>
      <c r="F2844" s="312">
        <v>1825</v>
      </c>
      <c r="G2844" s="312" t="s">
        <v>108</v>
      </c>
      <c r="H2844" s="312">
        <v>1827</v>
      </c>
      <c r="I2844" s="312" t="s">
        <v>107</v>
      </c>
      <c r="J2844" s="312">
        <v>1913</v>
      </c>
      <c r="K2844" s="312" t="s">
        <v>109</v>
      </c>
    </row>
    <row r="2845" spans="1:11">
      <c r="A2845" s="312" t="s">
        <v>6008</v>
      </c>
      <c r="B2845" s="312" t="s">
        <v>6009</v>
      </c>
      <c r="C2845" s="312" t="s">
        <v>105</v>
      </c>
      <c r="D2845" s="312" t="s">
        <v>4753</v>
      </c>
      <c r="E2845" s="312" t="s">
        <v>107</v>
      </c>
      <c r="F2845" s="312">
        <v>1825</v>
      </c>
      <c r="G2845" s="312" t="s">
        <v>108</v>
      </c>
      <c r="H2845" s="312">
        <v>1827</v>
      </c>
      <c r="I2845" s="312" t="s">
        <v>107</v>
      </c>
      <c r="J2845" s="312">
        <v>1913</v>
      </c>
      <c r="K2845" s="312" t="s">
        <v>109</v>
      </c>
    </row>
    <row r="2846" spans="1:11">
      <c r="A2846" s="312" t="s">
        <v>6010</v>
      </c>
      <c r="B2846" s="312" t="s">
        <v>6011</v>
      </c>
      <c r="C2846" s="312" t="s">
        <v>105</v>
      </c>
      <c r="D2846" s="312" t="s">
        <v>4753</v>
      </c>
      <c r="E2846" s="312" t="s">
        <v>107</v>
      </c>
      <c r="F2846" s="312">
        <v>1825</v>
      </c>
      <c r="G2846" s="312" t="s">
        <v>108</v>
      </c>
      <c r="H2846" s="312">
        <v>1827</v>
      </c>
      <c r="I2846" s="312" t="s">
        <v>107</v>
      </c>
      <c r="J2846" s="312">
        <v>1913</v>
      </c>
      <c r="K2846" s="312" t="s">
        <v>109</v>
      </c>
    </row>
    <row r="2847" spans="1:11">
      <c r="A2847" s="312" t="s">
        <v>6012</v>
      </c>
      <c r="B2847" s="312" t="s">
        <v>6013</v>
      </c>
      <c r="C2847" s="312" t="s">
        <v>105</v>
      </c>
      <c r="D2847" s="312" t="s">
        <v>4753</v>
      </c>
      <c r="E2847" s="312" t="s">
        <v>107</v>
      </c>
      <c r="F2847" s="312">
        <v>1825</v>
      </c>
      <c r="G2847" s="312" t="s">
        <v>108</v>
      </c>
      <c r="H2847" s="312">
        <v>1827</v>
      </c>
      <c r="I2847" s="312" t="s">
        <v>107</v>
      </c>
      <c r="J2847" s="312">
        <v>1913</v>
      </c>
      <c r="K2847" s="312" t="s">
        <v>109</v>
      </c>
    </row>
    <row r="2848" spans="1:11">
      <c r="A2848" s="312" t="s">
        <v>6014</v>
      </c>
      <c r="B2848" s="312" t="s">
        <v>6015</v>
      </c>
      <c r="C2848" s="312" t="s">
        <v>105</v>
      </c>
      <c r="D2848" s="312" t="s">
        <v>117</v>
      </c>
      <c r="E2848" s="312" t="s">
        <v>107</v>
      </c>
      <c r="F2848" s="312">
        <v>1825</v>
      </c>
      <c r="G2848" s="312" t="s">
        <v>108</v>
      </c>
      <c r="H2848" s="312">
        <v>1827</v>
      </c>
      <c r="I2848" s="312" t="s">
        <v>107</v>
      </c>
      <c r="J2848" s="312">
        <v>1913</v>
      </c>
      <c r="K2848" s="312" t="s">
        <v>109</v>
      </c>
    </row>
    <row r="2849" spans="1:11">
      <c r="A2849" s="312" t="s">
        <v>6016</v>
      </c>
      <c r="B2849" s="312" t="s">
        <v>6017</v>
      </c>
      <c r="C2849" s="312" t="s">
        <v>105</v>
      </c>
      <c r="D2849" s="312" t="s">
        <v>1047</v>
      </c>
      <c r="E2849" s="312" t="s">
        <v>107</v>
      </c>
      <c r="F2849" s="312">
        <v>1825</v>
      </c>
      <c r="G2849" s="312" t="s">
        <v>108</v>
      </c>
      <c r="H2849" s="312">
        <v>1827</v>
      </c>
      <c r="I2849" s="312" t="s">
        <v>107</v>
      </c>
      <c r="J2849" s="312">
        <v>1913</v>
      </c>
      <c r="K2849" s="312" t="s">
        <v>109</v>
      </c>
    </row>
    <row r="2850" spans="1:11">
      <c r="A2850" s="312" t="s">
        <v>6018</v>
      </c>
      <c r="B2850" s="312" t="s">
        <v>6019</v>
      </c>
      <c r="C2850" s="312" t="s">
        <v>105</v>
      </c>
      <c r="D2850" s="312" t="s">
        <v>1047</v>
      </c>
      <c r="E2850" s="312" t="s">
        <v>107</v>
      </c>
      <c r="F2850" s="312">
        <v>1825</v>
      </c>
      <c r="G2850" s="312" t="s">
        <v>108</v>
      </c>
      <c r="H2850" s="312">
        <v>1827</v>
      </c>
      <c r="I2850" s="312" t="s">
        <v>107</v>
      </c>
      <c r="J2850" s="312">
        <v>1913</v>
      </c>
      <c r="K2850" s="312" t="s">
        <v>109</v>
      </c>
    </row>
    <row r="2851" spans="1:11">
      <c r="A2851" s="312" t="s">
        <v>6020</v>
      </c>
      <c r="B2851" s="312" t="s">
        <v>6021</v>
      </c>
      <c r="C2851" s="312" t="s">
        <v>105</v>
      </c>
      <c r="D2851" s="312" t="s">
        <v>5294</v>
      </c>
      <c r="E2851" s="312" t="s">
        <v>107</v>
      </c>
      <c r="F2851" s="312">
        <v>1825</v>
      </c>
      <c r="G2851" s="312" t="s">
        <v>108</v>
      </c>
      <c r="H2851" s="312">
        <v>1827</v>
      </c>
      <c r="I2851" s="312" t="s">
        <v>107</v>
      </c>
      <c r="J2851" s="312">
        <v>1913</v>
      </c>
      <c r="K2851" s="312" t="s">
        <v>109</v>
      </c>
    </row>
    <row r="2852" spans="1:11">
      <c r="A2852" s="312" t="s">
        <v>6022</v>
      </c>
      <c r="B2852" s="312" t="s">
        <v>6023</v>
      </c>
      <c r="C2852" s="312" t="s">
        <v>105</v>
      </c>
      <c r="D2852" s="312" t="s">
        <v>2859</v>
      </c>
      <c r="E2852" s="312" t="s">
        <v>466</v>
      </c>
      <c r="F2852" s="312">
        <v>1796</v>
      </c>
      <c r="G2852" s="312" t="s">
        <v>467</v>
      </c>
      <c r="H2852" s="312">
        <v>1799</v>
      </c>
      <c r="I2852" s="312" t="s">
        <v>466</v>
      </c>
      <c r="J2852" s="312">
        <v>1918</v>
      </c>
      <c r="K2852" s="312" t="s">
        <v>468</v>
      </c>
    </row>
    <row r="2853" spans="1:11">
      <c r="A2853" s="312" t="s">
        <v>6024</v>
      </c>
      <c r="B2853" s="312" t="s">
        <v>6025</v>
      </c>
      <c r="C2853" s="312" t="s">
        <v>105</v>
      </c>
      <c r="D2853" s="312" t="s">
        <v>352</v>
      </c>
      <c r="E2853" s="312" t="s">
        <v>320</v>
      </c>
      <c r="F2853" s="312">
        <v>1716</v>
      </c>
      <c r="G2853" s="312" t="s">
        <v>321</v>
      </c>
      <c r="H2853" s="312">
        <v>1725</v>
      </c>
      <c r="I2853" s="312" t="s">
        <v>320</v>
      </c>
      <c r="J2853" s="312">
        <v>1910</v>
      </c>
      <c r="K2853" s="312" t="s">
        <v>322</v>
      </c>
    </row>
    <row r="2854" spans="1:11">
      <c r="A2854" s="312" t="s">
        <v>6026</v>
      </c>
      <c r="B2854" s="312" t="s">
        <v>6027</v>
      </c>
      <c r="C2854" s="312" t="s">
        <v>105</v>
      </c>
      <c r="D2854" s="312" t="s">
        <v>352</v>
      </c>
      <c r="E2854" s="312" t="s">
        <v>320</v>
      </c>
      <c r="F2854" s="312">
        <v>1716</v>
      </c>
      <c r="G2854" s="312" t="s">
        <v>321</v>
      </c>
      <c r="H2854" s="312">
        <v>1725</v>
      </c>
      <c r="I2854" s="312" t="s">
        <v>320</v>
      </c>
      <c r="J2854" s="312">
        <v>1910</v>
      </c>
      <c r="K2854" s="312" t="s">
        <v>322</v>
      </c>
    </row>
    <row r="2855" spans="1:11">
      <c r="A2855" s="312" t="s">
        <v>6028</v>
      </c>
      <c r="B2855" s="312" t="s">
        <v>6029</v>
      </c>
      <c r="C2855" s="312" t="s">
        <v>105</v>
      </c>
      <c r="D2855" s="312" t="s">
        <v>352</v>
      </c>
      <c r="E2855" s="312" t="s">
        <v>320</v>
      </c>
      <c r="F2855" s="312">
        <v>1716</v>
      </c>
      <c r="G2855" s="312" t="s">
        <v>321</v>
      </c>
      <c r="H2855" s="312">
        <v>1725</v>
      </c>
      <c r="I2855" s="312" t="s">
        <v>320</v>
      </c>
      <c r="J2855" s="312">
        <v>1910</v>
      </c>
      <c r="K2855" s="312" t="s">
        <v>322</v>
      </c>
    </row>
    <row r="2856" spans="1:11">
      <c r="A2856" s="312" t="s">
        <v>6030</v>
      </c>
      <c r="B2856" s="312" t="s">
        <v>6031</v>
      </c>
      <c r="C2856" s="312" t="s">
        <v>105</v>
      </c>
      <c r="D2856" s="312" t="s">
        <v>798</v>
      </c>
      <c r="E2856" s="312" t="s">
        <v>107</v>
      </c>
      <c r="F2856" s="312">
        <v>1825</v>
      </c>
      <c r="G2856" s="312" t="s">
        <v>108</v>
      </c>
      <c r="H2856" s="312">
        <v>1827</v>
      </c>
      <c r="I2856" s="312" t="s">
        <v>107</v>
      </c>
      <c r="J2856" s="312">
        <v>1913</v>
      </c>
      <c r="K2856" s="312" t="s">
        <v>109</v>
      </c>
    </row>
    <row r="2857" spans="1:11">
      <c r="A2857" s="312" t="s">
        <v>6032</v>
      </c>
      <c r="B2857" s="312" t="s">
        <v>6033</v>
      </c>
      <c r="C2857" s="312" t="s">
        <v>105</v>
      </c>
      <c r="D2857" s="312" t="s">
        <v>798</v>
      </c>
      <c r="E2857" s="312" t="s">
        <v>107</v>
      </c>
      <c r="F2857" s="312">
        <v>1825</v>
      </c>
      <c r="G2857" s="312" t="s">
        <v>108</v>
      </c>
      <c r="H2857" s="312">
        <v>1827</v>
      </c>
      <c r="I2857" s="312" t="s">
        <v>107</v>
      </c>
      <c r="J2857" s="312">
        <v>1913</v>
      </c>
      <c r="K2857" s="312" t="s">
        <v>109</v>
      </c>
    </row>
    <row r="2858" spans="1:11">
      <c r="A2858" s="312" t="s">
        <v>6034</v>
      </c>
      <c r="B2858" s="312" t="s">
        <v>6035</v>
      </c>
      <c r="C2858" s="312" t="s">
        <v>105</v>
      </c>
      <c r="D2858" s="312" t="s">
        <v>798</v>
      </c>
      <c r="E2858" s="312" t="s">
        <v>107</v>
      </c>
      <c r="F2858" s="312">
        <v>1825</v>
      </c>
      <c r="G2858" s="312" t="s">
        <v>108</v>
      </c>
      <c r="H2858" s="312">
        <v>1827</v>
      </c>
      <c r="I2858" s="312" t="s">
        <v>107</v>
      </c>
      <c r="J2858" s="312">
        <v>1913</v>
      </c>
      <c r="K2858" s="312" t="s">
        <v>109</v>
      </c>
    </row>
    <row r="2859" spans="1:11">
      <c r="A2859" s="312" t="s">
        <v>6036</v>
      </c>
      <c r="B2859" s="312" t="s">
        <v>6037</v>
      </c>
      <c r="C2859" s="312" t="s">
        <v>105</v>
      </c>
      <c r="D2859" s="312" t="s">
        <v>573</v>
      </c>
      <c r="E2859" s="312" t="s">
        <v>107</v>
      </c>
      <c r="F2859" s="312">
        <v>1825</v>
      </c>
      <c r="G2859" s="312" t="s">
        <v>108</v>
      </c>
      <c r="H2859" s="312">
        <v>1827</v>
      </c>
      <c r="I2859" s="312" t="s">
        <v>107</v>
      </c>
      <c r="J2859" s="312">
        <v>1913</v>
      </c>
      <c r="K2859" s="312" t="s">
        <v>109</v>
      </c>
    </row>
    <row r="2860" spans="1:11">
      <c r="A2860" s="312" t="s">
        <v>6038</v>
      </c>
      <c r="B2860" s="312" t="s">
        <v>6039</v>
      </c>
      <c r="C2860" s="312" t="s">
        <v>105</v>
      </c>
      <c r="D2860" s="312" t="s">
        <v>576</v>
      </c>
      <c r="E2860" s="312" t="s">
        <v>107</v>
      </c>
      <c r="F2860" s="312">
        <v>1825</v>
      </c>
      <c r="G2860" s="312" t="s">
        <v>108</v>
      </c>
      <c r="H2860" s="312">
        <v>1827</v>
      </c>
      <c r="I2860" s="312" t="s">
        <v>107</v>
      </c>
      <c r="J2860" s="312">
        <v>1913</v>
      </c>
      <c r="K2860" s="312" t="s">
        <v>109</v>
      </c>
    </row>
    <row r="2861" spans="1:11">
      <c r="A2861" s="312" t="s">
        <v>6040</v>
      </c>
      <c r="B2861" s="312" t="s">
        <v>6041</v>
      </c>
      <c r="C2861" s="312" t="s">
        <v>105</v>
      </c>
      <c r="D2861" s="312" t="s">
        <v>576</v>
      </c>
      <c r="E2861" s="312" t="s">
        <v>107</v>
      </c>
      <c r="F2861" s="312">
        <v>1825</v>
      </c>
      <c r="G2861" s="312" t="s">
        <v>108</v>
      </c>
      <c r="H2861" s="312">
        <v>1827</v>
      </c>
      <c r="I2861" s="312" t="s">
        <v>107</v>
      </c>
      <c r="J2861" s="312">
        <v>1913</v>
      </c>
      <c r="K2861" s="312" t="s">
        <v>109</v>
      </c>
    </row>
    <row r="2862" spans="1:11">
      <c r="A2862" s="312" t="s">
        <v>6042</v>
      </c>
      <c r="B2862" s="312" t="s">
        <v>6043</v>
      </c>
      <c r="C2862" s="312" t="s">
        <v>105</v>
      </c>
      <c r="D2862" s="312" t="s">
        <v>576</v>
      </c>
      <c r="E2862" s="312" t="s">
        <v>107</v>
      </c>
      <c r="F2862" s="312">
        <v>1825</v>
      </c>
      <c r="G2862" s="312" t="s">
        <v>108</v>
      </c>
      <c r="H2862" s="312">
        <v>1827</v>
      </c>
      <c r="I2862" s="312" t="s">
        <v>107</v>
      </c>
      <c r="J2862" s="312">
        <v>1913</v>
      </c>
      <c r="K2862" s="312" t="s">
        <v>109</v>
      </c>
    </row>
    <row r="2863" spans="1:11">
      <c r="A2863" s="312" t="s">
        <v>6044</v>
      </c>
      <c r="B2863" s="312" t="s">
        <v>6045</v>
      </c>
      <c r="C2863" s="312" t="s">
        <v>105</v>
      </c>
      <c r="D2863" s="312" t="s">
        <v>573</v>
      </c>
      <c r="E2863" s="312" t="s">
        <v>107</v>
      </c>
      <c r="F2863" s="312">
        <v>1825</v>
      </c>
      <c r="G2863" s="312" t="s">
        <v>108</v>
      </c>
      <c r="H2863" s="312">
        <v>1827</v>
      </c>
      <c r="I2863" s="312" t="s">
        <v>107</v>
      </c>
      <c r="J2863" s="312">
        <v>1913</v>
      </c>
      <c r="K2863" s="312" t="s">
        <v>109</v>
      </c>
    </row>
    <row r="2864" spans="1:11">
      <c r="A2864" s="312" t="s">
        <v>6046</v>
      </c>
      <c r="B2864" s="312" t="s">
        <v>6047</v>
      </c>
      <c r="C2864" s="312" t="s">
        <v>105</v>
      </c>
      <c r="D2864" s="312" t="s">
        <v>573</v>
      </c>
      <c r="E2864" s="312" t="s">
        <v>107</v>
      </c>
      <c r="F2864" s="312">
        <v>1825</v>
      </c>
      <c r="G2864" s="312" t="s">
        <v>108</v>
      </c>
      <c r="H2864" s="312">
        <v>1827</v>
      </c>
      <c r="I2864" s="312" t="s">
        <v>107</v>
      </c>
      <c r="J2864" s="312">
        <v>1913</v>
      </c>
      <c r="K2864" s="312" t="s">
        <v>109</v>
      </c>
    </row>
    <row r="2865" spans="1:11">
      <c r="A2865" s="312" t="s">
        <v>6048</v>
      </c>
      <c r="B2865" s="312" t="s">
        <v>6049</v>
      </c>
      <c r="C2865" s="312" t="s">
        <v>105</v>
      </c>
      <c r="D2865" s="312" t="s">
        <v>587</v>
      </c>
      <c r="E2865" s="312" t="s">
        <v>107</v>
      </c>
      <c r="F2865" s="312">
        <v>1825</v>
      </c>
      <c r="G2865" s="312" t="s">
        <v>108</v>
      </c>
      <c r="H2865" s="312">
        <v>1827</v>
      </c>
      <c r="I2865" s="312" t="s">
        <v>107</v>
      </c>
      <c r="J2865" s="312">
        <v>1913</v>
      </c>
      <c r="K2865" s="312" t="s">
        <v>109</v>
      </c>
    </row>
    <row r="2866" spans="1:11">
      <c r="A2866" s="312" t="s">
        <v>6050</v>
      </c>
      <c r="B2866" s="312" t="s">
        <v>6051</v>
      </c>
      <c r="C2866" s="312" t="s">
        <v>105</v>
      </c>
      <c r="D2866" s="312" t="s">
        <v>587</v>
      </c>
      <c r="E2866" s="312" t="s">
        <v>107</v>
      </c>
      <c r="F2866" s="312">
        <v>1825</v>
      </c>
      <c r="G2866" s="312" t="s">
        <v>108</v>
      </c>
      <c r="H2866" s="312">
        <v>1827</v>
      </c>
      <c r="I2866" s="312" t="s">
        <v>107</v>
      </c>
      <c r="J2866" s="312">
        <v>1913</v>
      </c>
      <c r="K2866" s="312" t="s">
        <v>109</v>
      </c>
    </row>
    <row r="2867" spans="1:11">
      <c r="A2867" s="312" t="s">
        <v>6052</v>
      </c>
      <c r="B2867" s="312" t="s">
        <v>6053</v>
      </c>
      <c r="C2867" s="312" t="s">
        <v>105</v>
      </c>
      <c r="D2867" s="312" t="s">
        <v>587</v>
      </c>
      <c r="E2867" s="312" t="s">
        <v>107</v>
      </c>
      <c r="F2867" s="312">
        <v>1825</v>
      </c>
      <c r="G2867" s="312" t="s">
        <v>108</v>
      </c>
      <c r="H2867" s="312">
        <v>1827</v>
      </c>
      <c r="I2867" s="312" t="s">
        <v>107</v>
      </c>
      <c r="J2867" s="312">
        <v>1913</v>
      </c>
      <c r="K2867" s="312" t="s">
        <v>109</v>
      </c>
    </row>
    <row r="2868" spans="1:11">
      <c r="A2868" s="312" t="s">
        <v>6054</v>
      </c>
      <c r="B2868" s="312" t="s">
        <v>6055</v>
      </c>
      <c r="C2868" s="312" t="s">
        <v>105</v>
      </c>
      <c r="D2868" s="312" t="s">
        <v>3822</v>
      </c>
      <c r="E2868" s="312" t="s">
        <v>107</v>
      </c>
      <c r="F2868" s="312">
        <v>1825</v>
      </c>
      <c r="G2868" s="312" t="s">
        <v>108</v>
      </c>
      <c r="H2868" s="312">
        <v>1827</v>
      </c>
      <c r="I2868" s="312" t="s">
        <v>107</v>
      </c>
      <c r="J2868" s="312">
        <v>1913</v>
      </c>
      <c r="K2868" s="312" t="s">
        <v>109</v>
      </c>
    </row>
    <row r="2869" spans="1:11">
      <c r="A2869" s="312" t="s">
        <v>6056</v>
      </c>
      <c r="B2869" s="312" t="s">
        <v>6057</v>
      </c>
      <c r="C2869" s="312" t="s">
        <v>105</v>
      </c>
      <c r="D2869" s="312" t="s">
        <v>517</v>
      </c>
      <c r="E2869" s="312" t="s">
        <v>107</v>
      </c>
      <c r="F2869" s="312">
        <v>1825</v>
      </c>
      <c r="G2869" s="312" t="s">
        <v>108</v>
      </c>
      <c r="H2869" s="312">
        <v>1827</v>
      </c>
      <c r="I2869" s="312" t="s">
        <v>107</v>
      </c>
      <c r="J2869" s="312">
        <v>1913</v>
      </c>
      <c r="K2869" s="312" t="s">
        <v>109</v>
      </c>
    </row>
    <row r="2870" spans="1:11">
      <c r="A2870" s="312" t="s">
        <v>6058</v>
      </c>
      <c r="B2870" s="312" t="s">
        <v>6059</v>
      </c>
      <c r="C2870" s="312" t="s">
        <v>105</v>
      </c>
      <c r="D2870" s="312" t="s">
        <v>1156</v>
      </c>
      <c r="E2870" s="312" t="s">
        <v>107</v>
      </c>
      <c r="F2870" s="312">
        <v>1825</v>
      </c>
      <c r="G2870" s="312" t="s">
        <v>108</v>
      </c>
      <c r="H2870" s="312">
        <v>1827</v>
      </c>
      <c r="I2870" s="312" t="s">
        <v>107</v>
      </c>
      <c r="J2870" s="312">
        <v>1913</v>
      </c>
      <c r="K2870" s="312" t="s">
        <v>109</v>
      </c>
    </row>
    <row r="2871" spans="1:11">
      <c r="A2871" s="312" t="s">
        <v>6060</v>
      </c>
      <c r="B2871" s="312" t="s">
        <v>6061</v>
      </c>
      <c r="C2871" s="312" t="s">
        <v>105</v>
      </c>
      <c r="D2871" s="312" t="s">
        <v>117</v>
      </c>
      <c r="E2871" s="312" t="s">
        <v>107</v>
      </c>
      <c r="F2871" s="312">
        <v>1825</v>
      </c>
      <c r="G2871" s="312" t="s">
        <v>108</v>
      </c>
      <c r="H2871" s="312">
        <v>1827</v>
      </c>
      <c r="I2871" s="312" t="s">
        <v>107</v>
      </c>
      <c r="J2871" s="312">
        <v>1913</v>
      </c>
      <c r="K2871" s="312" t="s">
        <v>109</v>
      </c>
    </row>
    <row r="2872" spans="1:11">
      <c r="A2872" s="312" t="s">
        <v>6062</v>
      </c>
      <c r="B2872" s="312" t="s">
        <v>6063</v>
      </c>
      <c r="C2872" s="312" t="s">
        <v>105</v>
      </c>
      <c r="D2872" s="312" t="s">
        <v>504</v>
      </c>
      <c r="E2872" s="312" t="s">
        <v>167</v>
      </c>
      <c r="F2872" s="312">
        <v>1705</v>
      </c>
      <c r="G2872" s="312" t="s">
        <v>168</v>
      </c>
      <c r="H2872" s="312">
        <v>1707</v>
      </c>
      <c r="I2872" s="312" t="s">
        <v>167</v>
      </c>
      <c r="J2872" s="312">
        <v>1899</v>
      </c>
      <c r="K2872" s="312" t="s">
        <v>169</v>
      </c>
    </row>
    <row r="2873" spans="1:11">
      <c r="A2873" s="312" t="s">
        <v>6064</v>
      </c>
      <c r="B2873" s="312" t="s">
        <v>6065</v>
      </c>
      <c r="C2873" s="312" t="s">
        <v>105</v>
      </c>
      <c r="D2873" s="312" t="s">
        <v>1307</v>
      </c>
      <c r="E2873" s="312" t="s">
        <v>167</v>
      </c>
      <c r="F2873" s="312">
        <v>1705</v>
      </c>
      <c r="G2873" s="312" t="s">
        <v>168</v>
      </c>
      <c r="H2873" s="312">
        <v>1707</v>
      </c>
      <c r="I2873" s="312" t="s">
        <v>167</v>
      </c>
      <c r="J2873" s="312">
        <v>1899</v>
      </c>
      <c r="K2873" s="312" t="s">
        <v>169</v>
      </c>
    </row>
    <row r="2874" spans="1:11">
      <c r="A2874" s="312" t="s">
        <v>6066</v>
      </c>
      <c r="B2874" s="312" t="s">
        <v>6067</v>
      </c>
      <c r="C2874" s="312" t="s">
        <v>105</v>
      </c>
      <c r="D2874" s="312" t="s">
        <v>1307</v>
      </c>
      <c r="E2874" s="312" t="s">
        <v>167</v>
      </c>
      <c r="F2874" s="312">
        <v>1705</v>
      </c>
      <c r="G2874" s="312" t="s">
        <v>168</v>
      </c>
      <c r="H2874" s="312">
        <v>1707</v>
      </c>
      <c r="I2874" s="312" t="s">
        <v>167</v>
      </c>
      <c r="J2874" s="312">
        <v>1899</v>
      </c>
      <c r="K2874" s="312" t="s">
        <v>169</v>
      </c>
    </row>
    <row r="2875" spans="1:11">
      <c r="A2875" s="312" t="s">
        <v>6068</v>
      </c>
      <c r="B2875" s="312" t="s">
        <v>6069</v>
      </c>
      <c r="C2875" s="312" t="s">
        <v>105</v>
      </c>
      <c r="D2875" s="312" t="s">
        <v>1307</v>
      </c>
      <c r="E2875" s="312" t="s">
        <v>167</v>
      </c>
      <c r="F2875" s="312">
        <v>1705</v>
      </c>
      <c r="G2875" s="312" t="s">
        <v>168</v>
      </c>
      <c r="H2875" s="312">
        <v>1707</v>
      </c>
      <c r="I2875" s="312" t="s">
        <v>167</v>
      </c>
      <c r="J2875" s="312">
        <v>1899</v>
      </c>
      <c r="K2875" s="312" t="s">
        <v>169</v>
      </c>
    </row>
    <row r="2876" spans="1:11">
      <c r="A2876" s="312" t="s">
        <v>6070</v>
      </c>
      <c r="B2876" s="312" t="s">
        <v>6071</v>
      </c>
      <c r="C2876" s="312" t="s">
        <v>105</v>
      </c>
      <c r="D2876" s="312" t="s">
        <v>1307</v>
      </c>
      <c r="E2876" s="312" t="s">
        <v>167</v>
      </c>
      <c r="F2876" s="312">
        <v>1705</v>
      </c>
      <c r="G2876" s="312" t="s">
        <v>168</v>
      </c>
      <c r="H2876" s="312">
        <v>1707</v>
      </c>
      <c r="I2876" s="312" t="s">
        <v>167</v>
      </c>
      <c r="J2876" s="312">
        <v>1899</v>
      </c>
      <c r="K2876" s="312" t="s">
        <v>169</v>
      </c>
    </row>
    <row r="2877" spans="1:11">
      <c r="A2877" s="312" t="s">
        <v>6072</v>
      </c>
      <c r="B2877" s="312" t="s">
        <v>6073</v>
      </c>
      <c r="C2877" s="312" t="s">
        <v>105</v>
      </c>
      <c r="D2877" s="312" t="s">
        <v>507</v>
      </c>
      <c r="E2877" s="312" t="s">
        <v>167</v>
      </c>
      <c r="F2877" s="312">
        <v>1705</v>
      </c>
      <c r="G2877" s="312" t="s">
        <v>168</v>
      </c>
      <c r="H2877" s="312">
        <v>1707</v>
      </c>
      <c r="I2877" s="312" t="s">
        <v>167</v>
      </c>
      <c r="J2877" s="312">
        <v>1899</v>
      </c>
      <c r="K2877" s="312" t="s">
        <v>169</v>
      </c>
    </row>
    <row r="2878" spans="1:11">
      <c r="A2878" s="312" t="s">
        <v>6074</v>
      </c>
      <c r="B2878" s="312" t="s">
        <v>6075</v>
      </c>
      <c r="C2878" s="312" t="s">
        <v>105</v>
      </c>
      <c r="D2878" s="312" t="s">
        <v>507</v>
      </c>
      <c r="E2878" s="312" t="s">
        <v>167</v>
      </c>
      <c r="F2878" s="312">
        <v>1705</v>
      </c>
      <c r="G2878" s="312" t="s">
        <v>168</v>
      </c>
      <c r="H2878" s="312">
        <v>1707</v>
      </c>
      <c r="I2878" s="312" t="s">
        <v>167</v>
      </c>
      <c r="J2878" s="312">
        <v>1899</v>
      </c>
      <c r="K2878" s="312" t="s">
        <v>169</v>
      </c>
    </row>
    <row r="2879" spans="1:11">
      <c r="A2879" s="312" t="s">
        <v>6076</v>
      </c>
      <c r="B2879" s="312" t="s">
        <v>6077</v>
      </c>
      <c r="C2879" s="312" t="s">
        <v>105</v>
      </c>
      <c r="D2879" s="312" t="s">
        <v>507</v>
      </c>
      <c r="E2879" s="312" t="s">
        <v>167</v>
      </c>
      <c r="F2879" s="312">
        <v>1705</v>
      </c>
      <c r="G2879" s="312" t="s">
        <v>168</v>
      </c>
      <c r="H2879" s="312">
        <v>1707</v>
      </c>
      <c r="I2879" s="312" t="s">
        <v>167</v>
      </c>
      <c r="J2879" s="312">
        <v>1899</v>
      </c>
      <c r="K2879" s="312" t="s">
        <v>169</v>
      </c>
    </row>
    <row r="2880" spans="1:11">
      <c r="A2880" s="312" t="s">
        <v>6078</v>
      </c>
      <c r="B2880" s="312" t="s">
        <v>6079</v>
      </c>
      <c r="C2880" s="312" t="s">
        <v>105</v>
      </c>
      <c r="D2880" s="312" t="s">
        <v>507</v>
      </c>
      <c r="E2880" s="312" t="s">
        <v>167</v>
      </c>
      <c r="F2880" s="312">
        <v>1705</v>
      </c>
      <c r="G2880" s="312" t="s">
        <v>168</v>
      </c>
      <c r="H2880" s="312">
        <v>1707</v>
      </c>
      <c r="I2880" s="312" t="s">
        <v>167</v>
      </c>
      <c r="J2880" s="312">
        <v>1899</v>
      </c>
      <c r="K2880" s="312" t="s">
        <v>169</v>
      </c>
    </row>
    <row r="2881" spans="1:11">
      <c r="A2881" s="312" t="s">
        <v>6080</v>
      </c>
      <c r="B2881" s="312" t="s">
        <v>6081</v>
      </c>
      <c r="C2881" s="312" t="s">
        <v>105</v>
      </c>
      <c r="D2881" s="312" t="s">
        <v>507</v>
      </c>
      <c r="E2881" s="312" t="s">
        <v>167</v>
      </c>
      <c r="F2881" s="312">
        <v>1705</v>
      </c>
      <c r="G2881" s="312" t="s">
        <v>168</v>
      </c>
      <c r="H2881" s="312">
        <v>1707</v>
      </c>
      <c r="I2881" s="312" t="s">
        <v>167</v>
      </c>
      <c r="J2881" s="312">
        <v>1899</v>
      </c>
      <c r="K2881" s="312" t="s">
        <v>169</v>
      </c>
    </row>
    <row r="2882" spans="1:11">
      <c r="A2882" s="312" t="s">
        <v>6082</v>
      </c>
      <c r="B2882" s="312" t="s">
        <v>6083</v>
      </c>
      <c r="C2882" s="312" t="s">
        <v>105</v>
      </c>
      <c r="D2882" s="312" t="s">
        <v>507</v>
      </c>
      <c r="E2882" s="312" t="s">
        <v>167</v>
      </c>
      <c r="F2882" s="312">
        <v>1705</v>
      </c>
      <c r="G2882" s="312" t="s">
        <v>168</v>
      </c>
      <c r="H2882" s="312">
        <v>1707</v>
      </c>
      <c r="I2882" s="312" t="s">
        <v>167</v>
      </c>
      <c r="J2882" s="312">
        <v>1899</v>
      </c>
      <c r="K2882" s="312" t="s">
        <v>169</v>
      </c>
    </row>
    <row r="2883" spans="1:11">
      <c r="A2883" s="312" t="s">
        <v>6084</v>
      </c>
      <c r="B2883" s="312" t="s">
        <v>6085</v>
      </c>
      <c r="C2883" s="312" t="s">
        <v>105</v>
      </c>
      <c r="D2883" s="312" t="s">
        <v>507</v>
      </c>
      <c r="E2883" s="312" t="s">
        <v>167</v>
      </c>
      <c r="F2883" s="312">
        <v>1705</v>
      </c>
      <c r="G2883" s="312" t="s">
        <v>168</v>
      </c>
      <c r="H2883" s="312">
        <v>1707</v>
      </c>
      <c r="I2883" s="312" t="s">
        <v>167</v>
      </c>
      <c r="J2883" s="312">
        <v>1899</v>
      </c>
      <c r="K2883" s="312" t="s">
        <v>169</v>
      </c>
    </row>
    <row r="2884" spans="1:11">
      <c r="A2884" s="312" t="s">
        <v>6086</v>
      </c>
      <c r="B2884" s="312" t="s">
        <v>6087</v>
      </c>
      <c r="C2884" s="312" t="s">
        <v>105</v>
      </c>
      <c r="D2884" s="312" t="s">
        <v>1235</v>
      </c>
      <c r="E2884" s="312" t="s">
        <v>466</v>
      </c>
      <c r="F2884" s="312">
        <v>1796</v>
      </c>
      <c r="G2884" s="312" t="s">
        <v>467</v>
      </c>
      <c r="H2884" s="312">
        <v>1799</v>
      </c>
      <c r="I2884" s="312" t="s">
        <v>466</v>
      </c>
      <c r="J2884" s="312">
        <v>1918</v>
      </c>
      <c r="K2884" s="312" t="s">
        <v>468</v>
      </c>
    </row>
    <row r="2885" spans="1:11">
      <c r="A2885" s="312" t="s">
        <v>6088</v>
      </c>
      <c r="B2885" s="312" t="s">
        <v>6089</v>
      </c>
      <c r="C2885" s="312" t="s">
        <v>105</v>
      </c>
      <c r="D2885" s="312" t="s">
        <v>746</v>
      </c>
      <c r="E2885" s="312" t="s">
        <v>466</v>
      </c>
      <c r="F2885" s="312">
        <v>1796</v>
      </c>
      <c r="G2885" s="312" t="s">
        <v>467</v>
      </c>
      <c r="H2885" s="312">
        <v>1799</v>
      </c>
      <c r="I2885" s="312" t="s">
        <v>466</v>
      </c>
      <c r="J2885" s="312">
        <v>1918</v>
      </c>
      <c r="K2885" s="312" t="s">
        <v>468</v>
      </c>
    </row>
    <row r="2886" spans="1:11">
      <c r="A2886" s="312" t="s">
        <v>6090</v>
      </c>
      <c r="B2886" s="312" t="s">
        <v>6091</v>
      </c>
      <c r="C2886" s="312" t="s">
        <v>105</v>
      </c>
      <c r="D2886" s="312" t="s">
        <v>1646</v>
      </c>
      <c r="E2886" s="312" t="s">
        <v>466</v>
      </c>
      <c r="F2886" s="312">
        <v>1796</v>
      </c>
      <c r="G2886" s="312" t="s">
        <v>467</v>
      </c>
      <c r="H2886" s="312">
        <v>1799</v>
      </c>
      <c r="I2886" s="312" t="s">
        <v>466</v>
      </c>
      <c r="J2886" s="312">
        <v>1918</v>
      </c>
      <c r="K2886" s="312" t="s">
        <v>468</v>
      </c>
    </row>
    <row r="2887" spans="1:11">
      <c r="A2887" s="312" t="s">
        <v>6092</v>
      </c>
      <c r="B2887" s="312" t="s">
        <v>6093</v>
      </c>
      <c r="C2887" s="312" t="s">
        <v>105</v>
      </c>
      <c r="D2887" s="312" t="s">
        <v>1235</v>
      </c>
      <c r="E2887" s="312" t="s">
        <v>466</v>
      </c>
      <c r="F2887" s="312">
        <v>1796</v>
      </c>
      <c r="G2887" s="312" t="s">
        <v>467</v>
      </c>
      <c r="H2887" s="312">
        <v>1799</v>
      </c>
      <c r="I2887" s="312" t="s">
        <v>466</v>
      </c>
      <c r="J2887" s="312">
        <v>1918</v>
      </c>
      <c r="K2887" s="312" t="s">
        <v>468</v>
      </c>
    </row>
    <row r="2888" spans="1:11">
      <c r="A2888" s="312" t="s">
        <v>6094</v>
      </c>
      <c r="B2888" s="312" t="s">
        <v>6095</v>
      </c>
      <c r="C2888" s="312" t="s">
        <v>105</v>
      </c>
      <c r="D2888" s="312" t="s">
        <v>312</v>
      </c>
      <c r="E2888" s="312" t="s">
        <v>107</v>
      </c>
      <c r="F2888" s="312">
        <v>1825</v>
      </c>
      <c r="G2888" s="312" t="s">
        <v>108</v>
      </c>
      <c r="H2888" s="312">
        <v>1827</v>
      </c>
      <c r="I2888" s="312" t="s">
        <v>107</v>
      </c>
      <c r="J2888" s="312">
        <v>1913</v>
      </c>
      <c r="K2888" s="312" t="s">
        <v>109</v>
      </c>
    </row>
    <row r="2889" spans="1:11">
      <c r="A2889" s="312" t="s">
        <v>6096</v>
      </c>
      <c r="B2889" s="312" t="s">
        <v>6097</v>
      </c>
      <c r="C2889" s="312" t="s">
        <v>105</v>
      </c>
      <c r="D2889" s="312" t="s">
        <v>603</v>
      </c>
      <c r="E2889" s="312" t="s">
        <v>107</v>
      </c>
      <c r="F2889" s="312">
        <v>1825</v>
      </c>
      <c r="G2889" s="312" t="s">
        <v>108</v>
      </c>
      <c r="H2889" s="312">
        <v>1827</v>
      </c>
      <c r="I2889" s="312" t="s">
        <v>107</v>
      </c>
      <c r="J2889" s="312">
        <v>1913</v>
      </c>
      <c r="K2889" s="312" t="s">
        <v>109</v>
      </c>
    </row>
    <row r="2890" spans="1:11">
      <c r="A2890" s="312" t="s">
        <v>6098</v>
      </c>
      <c r="B2890" s="312" t="s">
        <v>6099</v>
      </c>
      <c r="C2890" s="312" t="s">
        <v>105</v>
      </c>
      <c r="D2890" s="312" t="s">
        <v>848</v>
      </c>
      <c r="E2890" s="312" t="s">
        <v>886</v>
      </c>
      <c r="F2890" s="312">
        <v>1857</v>
      </c>
      <c r="G2890" s="312" t="s">
        <v>887</v>
      </c>
      <c r="H2890" s="312">
        <v>1858</v>
      </c>
      <c r="I2890" s="312" t="s">
        <v>886</v>
      </c>
      <c r="J2890" s="312">
        <v>1924</v>
      </c>
      <c r="K2890" s="312" t="s">
        <v>888</v>
      </c>
    </row>
    <row r="2891" spans="1:11">
      <c r="A2891" s="312" t="s">
        <v>6100</v>
      </c>
      <c r="B2891" s="312" t="s">
        <v>6101</v>
      </c>
      <c r="C2891" s="312" t="s">
        <v>105</v>
      </c>
      <c r="D2891" s="312" t="s">
        <v>848</v>
      </c>
      <c r="E2891" s="312" t="s">
        <v>886</v>
      </c>
      <c r="F2891" s="312">
        <v>1857</v>
      </c>
      <c r="G2891" s="312" t="s">
        <v>887</v>
      </c>
      <c r="H2891" s="312">
        <v>1858</v>
      </c>
      <c r="I2891" s="312" t="s">
        <v>886</v>
      </c>
      <c r="J2891" s="312">
        <v>1924</v>
      </c>
      <c r="K2891" s="312" t="s">
        <v>888</v>
      </c>
    </row>
    <row r="2892" spans="1:11">
      <c r="A2892" s="312" t="s">
        <v>6102</v>
      </c>
      <c r="B2892" s="312" t="s">
        <v>6103</v>
      </c>
      <c r="C2892" s="312" t="s">
        <v>105</v>
      </c>
      <c r="D2892" s="312" t="s">
        <v>567</v>
      </c>
      <c r="E2892" s="312" t="s">
        <v>107</v>
      </c>
      <c r="F2892" s="312">
        <v>1825</v>
      </c>
      <c r="G2892" s="312" t="s">
        <v>108</v>
      </c>
      <c r="H2892" s="312">
        <v>1827</v>
      </c>
      <c r="I2892" s="312" t="s">
        <v>107</v>
      </c>
      <c r="J2892" s="312">
        <v>1913</v>
      </c>
      <c r="K2892" s="312" t="s">
        <v>109</v>
      </c>
    </row>
    <row r="2893" spans="1:11">
      <c r="A2893" s="312" t="s">
        <v>6104</v>
      </c>
      <c r="B2893" s="312" t="s">
        <v>6105</v>
      </c>
      <c r="C2893" s="312" t="s">
        <v>105</v>
      </c>
      <c r="D2893" s="312" t="s">
        <v>6106</v>
      </c>
      <c r="E2893" s="312" t="s">
        <v>107</v>
      </c>
      <c r="F2893" s="312">
        <v>1825</v>
      </c>
      <c r="G2893" s="312" t="s">
        <v>108</v>
      </c>
      <c r="H2893" s="312">
        <v>1827</v>
      </c>
      <c r="I2893" s="312" t="s">
        <v>107</v>
      </c>
      <c r="J2893" s="312">
        <v>1913</v>
      </c>
      <c r="K2893" s="312" t="s">
        <v>109</v>
      </c>
    </row>
    <row r="2894" spans="1:11">
      <c r="A2894" s="312" t="s">
        <v>6107</v>
      </c>
      <c r="B2894" s="312" t="s">
        <v>6108</v>
      </c>
      <c r="C2894" s="312" t="s">
        <v>105</v>
      </c>
      <c r="D2894" s="312" t="s">
        <v>570</v>
      </c>
      <c r="E2894" s="312" t="s">
        <v>107</v>
      </c>
      <c r="F2894" s="312">
        <v>1825</v>
      </c>
      <c r="G2894" s="312" t="s">
        <v>108</v>
      </c>
      <c r="H2894" s="312">
        <v>1827</v>
      </c>
      <c r="I2894" s="312" t="s">
        <v>107</v>
      </c>
      <c r="J2894" s="312">
        <v>1913</v>
      </c>
      <c r="K2894" s="312" t="s">
        <v>109</v>
      </c>
    </row>
    <row r="2895" spans="1:11">
      <c r="A2895" s="312" t="s">
        <v>6109</v>
      </c>
      <c r="B2895" s="312" t="s">
        <v>6110</v>
      </c>
      <c r="C2895" s="312" t="s">
        <v>105</v>
      </c>
      <c r="D2895" s="312" t="s">
        <v>379</v>
      </c>
      <c r="E2895" s="312" t="s">
        <v>107</v>
      </c>
      <c r="F2895" s="312">
        <v>1825</v>
      </c>
      <c r="G2895" s="312" t="s">
        <v>108</v>
      </c>
      <c r="H2895" s="312">
        <v>1827</v>
      </c>
      <c r="I2895" s="312" t="s">
        <v>107</v>
      </c>
      <c r="J2895" s="312">
        <v>1913</v>
      </c>
      <c r="K2895" s="312" t="s">
        <v>109</v>
      </c>
    </row>
    <row r="2896" spans="1:11">
      <c r="A2896" s="312" t="s">
        <v>6111</v>
      </c>
      <c r="B2896" s="312" t="s">
        <v>6112</v>
      </c>
      <c r="C2896" s="312" t="s">
        <v>105</v>
      </c>
      <c r="D2896" s="312" t="s">
        <v>848</v>
      </c>
      <c r="E2896" s="312" t="s">
        <v>107</v>
      </c>
      <c r="F2896" s="312">
        <v>1825</v>
      </c>
      <c r="G2896" s="312" t="s">
        <v>108</v>
      </c>
      <c r="H2896" s="312">
        <v>1827</v>
      </c>
      <c r="I2896" s="312" t="s">
        <v>107</v>
      </c>
      <c r="J2896" s="312">
        <v>1913</v>
      </c>
      <c r="K2896" s="312" t="s">
        <v>109</v>
      </c>
    </row>
    <row r="2897" spans="1:11">
      <c r="A2897" s="312" t="s">
        <v>6113</v>
      </c>
      <c r="B2897" s="312" t="s">
        <v>6114</v>
      </c>
      <c r="C2897" s="312" t="s">
        <v>105</v>
      </c>
      <c r="D2897" s="312" t="s">
        <v>1646</v>
      </c>
      <c r="E2897" s="312" t="s">
        <v>466</v>
      </c>
      <c r="F2897" s="312">
        <v>1796</v>
      </c>
      <c r="G2897" s="312" t="s">
        <v>467</v>
      </c>
      <c r="H2897" s="312">
        <v>1799</v>
      </c>
      <c r="I2897" s="312" t="s">
        <v>466</v>
      </c>
      <c r="J2897" s="312">
        <v>1918</v>
      </c>
      <c r="K2897" s="312" t="s">
        <v>468</v>
      </c>
    </row>
    <row r="2898" spans="1:11">
      <c r="A2898" s="312" t="s">
        <v>6115</v>
      </c>
      <c r="B2898" s="312" t="s">
        <v>6116</v>
      </c>
      <c r="C2898" s="312" t="s">
        <v>105</v>
      </c>
      <c r="D2898" s="312" t="s">
        <v>3299</v>
      </c>
      <c r="E2898" s="312" t="s">
        <v>167</v>
      </c>
      <c r="F2898" s="312">
        <v>1705</v>
      </c>
      <c r="G2898" s="312" t="s">
        <v>168</v>
      </c>
      <c r="H2898" s="312">
        <v>1707</v>
      </c>
      <c r="I2898" s="312" t="s">
        <v>167</v>
      </c>
      <c r="J2898" s="312">
        <v>1899</v>
      </c>
      <c r="K2898" s="312" t="s">
        <v>169</v>
      </c>
    </row>
    <row r="2899" spans="1:11">
      <c r="A2899" s="312" t="s">
        <v>6117</v>
      </c>
      <c r="B2899" s="312" t="s">
        <v>6118</v>
      </c>
      <c r="C2899" s="312" t="s">
        <v>105</v>
      </c>
      <c r="D2899" s="312" t="s">
        <v>567</v>
      </c>
      <c r="E2899" s="312" t="s">
        <v>107</v>
      </c>
      <c r="F2899" s="312">
        <v>1825</v>
      </c>
      <c r="G2899" s="312" t="s">
        <v>108</v>
      </c>
      <c r="H2899" s="312">
        <v>1827</v>
      </c>
      <c r="I2899" s="312" t="s">
        <v>107</v>
      </c>
      <c r="J2899" s="312">
        <v>1913</v>
      </c>
      <c r="K2899" s="312" t="s">
        <v>109</v>
      </c>
    </row>
    <row r="2900" spans="1:11">
      <c r="A2900" s="312" t="s">
        <v>6119</v>
      </c>
      <c r="B2900" s="312" t="s">
        <v>6120</v>
      </c>
      <c r="C2900" s="312" t="s">
        <v>105</v>
      </c>
      <c r="D2900" s="312" t="s">
        <v>252</v>
      </c>
      <c r="E2900" s="312" t="s">
        <v>167</v>
      </c>
      <c r="F2900" s="312">
        <v>1705</v>
      </c>
      <c r="G2900" s="312" t="s">
        <v>168</v>
      </c>
      <c r="H2900" s="312">
        <v>1707</v>
      </c>
      <c r="I2900" s="312" t="s">
        <v>167</v>
      </c>
      <c r="J2900" s="312">
        <v>1899</v>
      </c>
      <c r="K2900" s="312" t="s">
        <v>169</v>
      </c>
    </row>
    <row r="2901" spans="1:11">
      <c r="A2901" s="312" t="s">
        <v>6121</v>
      </c>
      <c r="B2901" s="312" t="s">
        <v>6122</v>
      </c>
      <c r="C2901" s="312" t="s">
        <v>105</v>
      </c>
      <c r="D2901" s="312" t="s">
        <v>252</v>
      </c>
      <c r="E2901" s="312" t="s">
        <v>167</v>
      </c>
      <c r="F2901" s="312">
        <v>1705</v>
      </c>
      <c r="G2901" s="312" t="s">
        <v>168</v>
      </c>
      <c r="H2901" s="312">
        <v>1707</v>
      </c>
      <c r="I2901" s="312" t="s">
        <v>167</v>
      </c>
      <c r="J2901" s="312">
        <v>1899</v>
      </c>
      <c r="K2901" s="312" t="s">
        <v>169</v>
      </c>
    </row>
    <row r="2902" spans="1:11">
      <c r="A2902" s="312" t="s">
        <v>6123</v>
      </c>
      <c r="B2902" s="312" t="s">
        <v>6124</v>
      </c>
      <c r="C2902" s="312" t="s">
        <v>105</v>
      </c>
      <c r="D2902" s="312" t="s">
        <v>252</v>
      </c>
      <c r="E2902" s="312" t="s">
        <v>167</v>
      </c>
      <c r="F2902" s="312">
        <v>1705</v>
      </c>
      <c r="G2902" s="312" t="s">
        <v>168</v>
      </c>
      <c r="H2902" s="312">
        <v>1707</v>
      </c>
      <c r="I2902" s="312" t="s">
        <v>167</v>
      </c>
      <c r="J2902" s="312">
        <v>1899</v>
      </c>
      <c r="K2902" s="312" t="s">
        <v>169</v>
      </c>
    </row>
    <row r="2903" spans="1:11">
      <c r="A2903" s="312" t="s">
        <v>6125</v>
      </c>
      <c r="B2903" s="312" t="s">
        <v>6126</v>
      </c>
      <c r="C2903" s="312" t="s">
        <v>105</v>
      </c>
      <c r="D2903" s="312" t="s">
        <v>252</v>
      </c>
      <c r="E2903" s="312" t="s">
        <v>167</v>
      </c>
      <c r="F2903" s="312">
        <v>1705</v>
      </c>
      <c r="G2903" s="312" t="s">
        <v>168</v>
      </c>
      <c r="H2903" s="312">
        <v>1707</v>
      </c>
      <c r="I2903" s="312" t="s">
        <v>167</v>
      </c>
      <c r="J2903" s="312">
        <v>1899</v>
      </c>
      <c r="K2903" s="312" t="s">
        <v>169</v>
      </c>
    </row>
    <row r="2904" spans="1:11">
      <c r="A2904" s="312" t="s">
        <v>6127</v>
      </c>
      <c r="B2904" s="312" t="s">
        <v>6128</v>
      </c>
      <c r="C2904" s="312" t="s">
        <v>105</v>
      </c>
      <c r="D2904" s="312" t="s">
        <v>252</v>
      </c>
      <c r="E2904" s="312" t="s">
        <v>167</v>
      </c>
      <c r="F2904" s="312">
        <v>1705</v>
      </c>
      <c r="G2904" s="312" t="s">
        <v>168</v>
      </c>
      <c r="H2904" s="312">
        <v>1707</v>
      </c>
      <c r="I2904" s="312" t="s">
        <v>167</v>
      </c>
      <c r="J2904" s="312">
        <v>1899</v>
      </c>
      <c r="K2904" s="312" t="s">
        <v>169</v>
      </c>
    </row>
    <row r="2905" spans="1:11">
      <c r="A2905" s="312" t="s">
        <v>6129</v>
      </c>
      <c r="B2905" s="312" t="s">
        <v>6130</v>
      </c>
      <c r="C2905" s="312" t="s">
        <v>105</v>
      </c>
      <c r="D2905" s="312" t="s">
        <v>567</v>
      </c>
      <c r="E2905" s="312" t="s">
        <v>107</v>
      </c>
      <c r="F2905" s="312">
        <v>1825</v>
      </c>
      <c r="G2905" s="312" t="s">
        <v>108</v>
      </c>
      <c r="H2905" s="312">
        <v>1827</v>
      </c>
      <c r="I2905" s="312" t="s">
        <v>107</v>
      </c>
      <c r="J2905" s="312">
        <v>1913</v>
      </c>
      <c r="K2905" s="312" t="s">
        <v>109</v>
      </c>
    </row>
    <row r="2906" spans="1:11">
      <c r="A2906" s="312" t="s">
        <v>6131</v>
      </c>
      <c r="B2906" s="312" t="s">
        <v>6132</v>
      </c>
      <c r="C2906" s="312" t="s">
        <v>105</v>
      </c>
      <c r="D2906" s="312" t="s">
        <v>567</v>
      </c>
      <c r="E2906" s="312" t="s">
        <v>107</v>
      </c>
      <c r="F2906" s="312">
        <v>1825</v>
      </c>
      <c r="G2906" s="312" t="s">
        <v>108</v>
      </c>
      <c r="H2906" s="312">
        <v>1827</v>
      </c>
      <c r="I2906" s="312" t="s">
        <v>107</v>
      </c>
      <c r="J2906" s="312">
        <v>1913</v>
      </c>
      <c r="K2906" s="312" t="s">
        <v>109</v>
      </c>
    </row>
    <row r="2907" spans="1:11">
      <c r="A2907" s="312" t="s">
        <v>6133</v>
      </c>
      <c r="B2907" s="312" t="s">
        <v>6134</v>
      </c>
      <c r="C2907" s="312" t="s">
        <v>105</v>
      </c>
      <c r="D2907" s="312" t="s">
        <v>567</v>
      </c>
      <c r="E2907" s="312" t="s">
        <v>107</v>
      </c>
      <c r="F2907" s="312">
        <v>1825</v>
      </c>
      <c r="G2907" s="312" t="s">
        <v>108</v>
      </c>
      <c r="H2907" s="312">
        <v>1827</v>
      </c>
      <c r="I2907" s="312" t="s">
        <v>107</v>
      </c>
      <c r="J2907" s="312">
        <v>1913</v>
      </c>
      <c r="K2907" s="312" t="s">
        <v>109</v>
      </c>
    </row>
    <row r="2908" spans="1:11">
      <c r="A2908" s="312" t="s">
        <v>6135</v>
      </c>
      <c r="B2908" s="312" t="s">
        <v>6136</v>
      </c>
      <c r="C2908" s="312" t="s">
        <v>105</v>
      </c>
      <c r="D2908" s="312" t="s">
        <v>567</v>
      </c>
      <c r="E2908" s="312" t="s">
        <v>107</v>
      </c>
      <c r="F2908" s="312">
        <v>1825</v>
      </c>
      <c r="G2908" s="312" t="s">
        <v>108</v>
      </c>
      <c r="H2908" s="312">
        <v>1827</v>
      </c>
      <c r="I2908" s="312" t="s">
        <v>107</v>
      </c>
      <c r="J2908" s="312">
        <v>1913</v>
      </c>
      <c r="K2908" s="312" t="s">
        <v>109</v>
      </c>
    </row>
    <row r="2909" spans="1:11">
      <c r="A2909" s="312" t="s">
        <v>6137</v>
      </c>
      <c r="B2909" s="312" t="s">
        <v>6138</v>
      </c>
      <c r="C2909" s="312" t="s">
        <v>105</v>
      </c>
      <c r="D2909" s="312" t="s">
        <v>567</v>
      </c>
      <c r="E2909" s="312" t="s">
        <v>107</v>
      </c>
      <c r="F2909" s="312">
        <v>1825</v>
      </c>
      <c r="G2909" s="312" t="s">
        <v>108</v>
      </c>
      <c r="H2909" s="312">
        <v>1827</v>
      </c>
      <c r="I2909" s="312" t="s">
        <v>107</v>
      </c>
      <c r="J2909" s="312">
        <v>1913</v>
      </c>
      <c r="K2909" s="312" t="s">
        <v>109</v>
      </c>
    </row>
    <row r="2910" spans="1:11">
      <c r="A2910" s="312" t="s">
        <v>6139</v>
      </c>
      <c r="B2910" s="312" t="s">
        <v>6140</v>
      </c>
      <c r="C2910" s="312" t="s">
        <v>105</v>
      </c>
      <c r="D2910" s="312" t="s">
        <v>567</v>
      </c>
      <c r="E2910" s="312" t="s">
        <v>107</v>
      </c>
      <c r="F2910" s="312">
        <v>1825</v>
      </c>
      <c r="G2910" s="312" t="s">
        <v>108</v>
      </c>
      <c r="H2910" s="312">
        <v>1827</v>
      </c>
      <c r="I2910" s="312" t="s">
        <v>107</v>
      </c>
      <c r="J2910" s="312">
        <v>1913</v>
      </c>
      <c r="K2910" s="312" t="s">
        <v>109</v>
      </c>
    </row>
    <row r="2911" spans="1:11">
      <c r="A2911" s="312" t="s">
        <v>6141</v>
      </c>
      <c r="B2911" s="312" t="s">
        <v>6142</v>
      </c>
      <c r="C2911" s="312" t="s">
        <v>105</v>
      </c>
      <c r="D2911" s="312" t="s">
        <v>567</v>
      </c>
      <c r="E2911" s="312" t="s">
        <v>107</v>
      </c>
      <c r="F2911" s="312">
        <v>1825</v>
      </c>
      <c r="G2911" s="312" t="s">
        <v>108</v>
      </c>
      <c r="H2911" s="312">
        <v>1827</v>
      </c>
      <c r="I2911" s="312" t="s">
        <v>107</v>
      </c>
      <c r="J2911" s="312">
        <v>1913</v>
      </c>
      <c r="K2911" s="312" t="s">
        <v>109</v>
      </c>
    </row>
    <row r="2912" spans="1:11">
      <c r="A2912" s="312" t="s">
        <v>6143</v>
      </c>
      <c r="B2912" s="312" t="s">
        <v>6144</v>
      </c>
      <c r="C2912" s="312" t="s">
        <v>105</v>
      </c>
      <c r="D2912" s="312" t="s">
        <v>567</v>
      </c>
      <c r="E2912" s="312" t="s">
        <v>107</v>
      </c>
      <c r="F2912" s="312">
        <v>1825</v>
      </c>
      <c r="G2912" s="312" t="s">
        <v>108</v>
      </c>
      <c r="H2912" s="312">
        <v>1827</v>
      </c>
      <c r="I2912" s="312" t="s">
        <v>107</v>
      </c>
      <c r="J2912" s="312">
        <v>1913</v>
      </c>
      <c r="K2912" s="312" t="s">
        <v>109</v>
      </c>
    </row>
    <row r="2913" spans="1:11">
      <c r="A2913" s="312" t="s">
        <v>6145</v>
      </c>
      <c r="B2913" s="312" t="s">
        <v>6146</v>
      </c>
      <c r="C2913" s="312" t="s">
        <v>105</v>
      </c>
      <c r="D2913" s="312" t="s">
        <v>567</v>
      </c>
      <c r="E2913" s="312" t="s">
        <v>107</v>
      </c>
      <c r="F2913" s="312">
        <v>1825</v>
      </c>
      <c r="G2913" s="312" t="s">
        <v>108</v>
      </c>
      <c r="H2913" s="312">
        <v>1827</v>
      </c>
      <c r="I2913" s="312" t="s">
        <v>107</v>
      </c>
      <c r="J2913" s="312">
        <v>1913</v>
      </c>
      <c r="K2913" s="312" t="s">
        <v>109</v>
      </c>
    </row>
    <row r="2914" spans="1:11">
      <c r="A2914" s="312" t="s">
        <v>6147</v>
      </c>
      <c r="B2914" s="312" t="s">
        <v>6148</v>
      </c>
      <c r="C2914" s="312" t="s">
        <v>105</v>
      </c>
      <c r="D2914" s="312" t="s">
        <v>567</v>
      </c>
      <c r="E2914" s="312" t="s">
        <v>107</v>
      </c>
      <c r="F2914" s="312">
        <v>1825</v>
      </c>
      <c r="G2914" s="312" t="s">
        <v>108</v>
      </c>
      <c r="H2914" s="312">
        <v>1827</v>
      </c>
      <c r="I2914" s="312" t="s">
        <v>107</v>
      </c>
      <c r="J2914" s="312">
        <v>1913</v>
      </c>
      <c r="K2914" s="312" t="s">
        <v>109</v>
      </c>
    </row>
    <row r="2915" spans="1:11">
      <c r="A2915" s="312" t="s">
        <v>6149</v>
      </c>
      <c r="B2915" s="312" t="s">
        <v>6150</v>
      </c>
      <c r="C2915" s="312" t="s">
        <v>105</v>
      </c>
      <c r="D2915" s="312" t="s">
        <v>567</v>
      </c>
      <c r="E2915" s="312" t="s">
        <v>107</v>
      </c>
      <c r="F2915" s="312">
        <v>1825</v>
      </c>
      <c r="G2915" s="312" t="s">
        <v>108</v>
      </c>
      <c r="H2915" s="312">
        <v>1827</v>
      </c>
      <c r="I2915" s="312" t="s">
        <v>107</v>
      </c>
      <c r="J2915" s="312">
        <v>1913</v>
      </c>
      <c r="K2915" s="312" t="s">
        <v>109</v>
      </c>
    </row>
    <row r="2916" spans="1:11">
      <c r="A2916" s="312" t="s">
        <v>6151</v>
      </c>
      <c r="B2916" s="312" t="s">
        <v>6152</v>
      </c>
      <c r="C2916" s="312" t="s">
        <v>105</v>
      </c>
      <c r="D2916" s="312" t="s">
        <v>567</v>
      </c>
      <c r="E2916" s="312" t="s">
        <v>107</v>
      </c>
      <c r="F2916" s="312">
        <v>1825</v>
      </c>
      <c r="G2916" s="312" t="s">
        <v>108</v>
      </c>
      <c r="H2916" s="312">
        <v>1827</v>
      </c>
      <c r="I2916" s="312" t="s">
        <v>107</v>
      </c>
      <c r="J2916" s="312">
        <v>1913</v>
      </c>
      <c r="K2916" s="312" t="s">
        <v>109</v>
      </c>
    </row>
    <row r="2917" spans="1:11">
      <c r="A2917" s="312" t="s">
        <v>6153</v>
      </c>
      <c r="B2917" s="312" t="s">
        <v>6154</v>
      </c>
      <c r="C2917" s="312" t="s">
        <v>105</v>
      </c>
      <c r="D2917" s="312" t="s">
        <v>567</v>
      </c>
      <c r="E2917" s="312" t="s">
        <v>107</v>
      </c>
      <c r="F2917" s="312">
        <v>1825</v>
      </c>
      <c r="G2917" s="312" t="s">
        <v>108</v>
      </c>
      <c r="H2917" s="312">
        <v>1827</v>
      </c>
      <c r="I2917" s="312" t="s">
        <v>107</v>
      </c>
      <c r="J2917" s="312">
        <v>1913</v>
      </c>
      <c r="K2917" s="312" t="s">
        <v>109</v>
      </c>
    </row>
    <row r="2918" spans="1:11">
      <c r="A2918" s="312" t="s">
        <v>6155</v>
      </c>
      <c r="B2918" s="312" t="s">
        <v>6156</v>
      </c>
      <c r="C2918" s="312" t="s">
        <v>105</v>
      </c>
      <c r="D2918" s="312" t="s">
        <v>567</v>
      </c>
      <c r="E2918" s="312" t="s">
        <v>107</v>
      </c>
      <c r="F2918" s="312">
        <v>1825</v>
      </c>
      <c r="G2918" s="312" t="s">
        <v>108</v>
      </c>
      <c r="H2918" s="312">
        <v>1827</v>
      </c>
      <c r="I2918" s="312" t="s">
        <v>107</v>
      </c>
      <c r="J2918" s="312">
        <v>1913</v>
      </c>
      <c r="K2918" s="312" t="s">
        <v>109</v>
      </c>
    </row>
    <row r="2919" spans="1:11">
      <c r="A2919" s="312" t="s">
        <v>6157</v>
      </c>
      <c r="B2919" s="312" t="s">
        <v>6158</v>
      </c>
      <c r="C2919" s="312" t="s">
        <v>105</v>
      </c>
      <c r="D2919" s="312" t="s">
        <v>567</v>
      </c>
      <c r="E2919" s="312" t="s">
        <v>107</v>
      </c>
      <c r="F2919" s="312">
        <v>1825</v>
      </c>
      <c r="G2919" s="312" t="s">
        <v>108</v>
      </c>
      <c r="H2919" s="312">
        <v>1827</v>
      </c>
      <c r="I2919" s="312" t="s">
        <v>107</v>
      </c>
      <c r="J2919" s="312">
        <v>1913</v>
      </c>
      <c r="K2919" s="312" t="s">
        <v>109</v>
      </c>
    </row>
    <row r="2920" spans="1:11">
      <c r="A2920" s="312" t="s">
        <v>6159</v>
      </c>
      <c r="B2920" s="312" t="s">
        <v>6160</v>
      </c>
      <c r="C2920" s="312" t="s">
        <v>105</v>
      </c>
      <c r="D2920" s="312" t="s">
        <v>567</v>
      </c>
      <c r="E2920" s="312" t="s">
        <v>107</v>
      </c>
      <c r="F2920" s="312">
        <v>1825</v>
      </c>
      <c r="G2920" s="312" t="s">
        <v>108</v>
      </c>
      <c r="H2920" s="312">
        <v>1827</v>
      </c>
      <c r="I2920" s="312" t="s">
        <v>107</v>
      </c>
      <c r="J2920" s="312">
        <v>1913</v>
      </c>
      <c r="K2920" s="312" t="s">
        <v>109</v>
      </c>
    </row>
    <row r="2921" spans="1:11">
      <c r="A2921" s="312" t="s">
        <v>6161</v>
      </c>
      <c r="B2921" s="312" t="s">
        <v>6162</v>
      </c>
      <c r="C2921" s="312" t="s">
        <v>105</v>
      </c>
      <c r="D2921" s="312" t="s">
        <v>567</v>
      </c>
      <c r="E2921" s="312" t="s">
        <v>107</v>
      </c>
      <c r="F2921" s="312">
        <v>1825</v>
      </c>
      <c r="G2921" s="312" t="s">
        <v>108</v>
      </c>
      <c r="H2921" s="312">
        <v>1827</v>
      </c>
      <c r="I2921" s="312" t="s">
        <v>107</v>
      </c>
      <c r="J2921" s="312">
        <v>1913</v>
      </c>
      <c r="K2921" s="312" t="s">
        <v>109</v>
      </c>
    </row>
    <row r="2922" spans="1:11">
      <c r="A2922" s="312" t="s">
        <v>6163</v>
      </c>
      <c r="B2922" s="312" t="s">
        <v>6164</v>
      </c>
      <c r="C2922" s="312" t="s">
        <v>105</v>
      </c>
      <c r="D2922" s="312" t="s">
        <v>567</v>
      </c>
      <c r="E2922" s="312" t="s">
        <v>107</v>
      </c>
      <c r="F2922" s="312">
        <v>1825</v>
      </c>
      <c r="G2922" s="312" t="s">
        <v>108</v>
      </c>
      <c r="H2922" s="312">
        <v>1827</v>
      </c>
      <c r="I2922" s="312" t="s">
        <v>107</v>
      </c>
      <c r="J2922" s="312">
        <v>1913</v>
      </c>
      <c r="K2922" s="312" t="s">
        <v>109</v>
      </c>
    </row>
    <row r="2923" spans="1:11">
      <c r="A2923" s="312" t="s">
        <v>6165</v>
      </c>
      <c r="B2923" s="312" t="s">
        <v>6166</v>
      </c>
      <c r="C2923" s="312" t="s">
        <v>105</v>
      </c>
      <c r="D2923" s="312" t="s">
        <v>106</v>
      </c>
      <c r="E2923" s="312" t="s">
        <v>107</v>
      </c>
      <c r="F2923" s="312">
        <v>1825</v>
      </c>
      <c r="G2923" s="312" t="s">
        <v>108</v>
      </c>
      <c r="H2923" s="312">
        <v>1827</v>
      </c>
      <c r="I2923" s="312" t="s">
        <v>107</v>
      </c>
      <c r="J2923" s="312">
        <v>1913</v>
      </c>
      <c r="K2923" s="312" t="s">
        <v>109</v>
      </c>
    </row>
    <row r="2924" spans="1:11">
      <c r="A2924" s="312" t="s">
        <v>6167</v>
      </c>
      <c r="B2924" s="312" t="s">
        <v>6168</v>
      </c>
      <c r="C2924" s="312" t="s">
        <v>105</v>
      </c>
      <c r="D2924" s="312" t="s">
        <v>106</v>
      </c>
      <c r="E2924" s="312" t="s">
        <v>107</v>
      </c>
      <c r="F2924" s="312">
        <v>1825</v>
      </c>
      <c r="G2924" s="312" t="s">
        <v>108</v>
      </c>
      <c r="H2924" s="312">
        <v>1827</v>
      </c>
      <c r="I2924" s="312" t="s">
        <v>107</v>
      </c>
      <c r="J2924" s="312">
        <v>1913</v>
      </c>
      <c r="K2924" s="312" t="s">
        <v>109</v>
      </c>
    </row>
    <row r="2925" spans="1:11">
      <c r="A2925" s="312" t="s">
        <v>6169</v>
      </c>
      <c r="B2925" s="1" t="s">
        <v>6170</v>
      </c>
      <c r="C2925" s="312" t="s">
        <v>105</v>
      </c>
      <c r="D2925" s="312" t="s">
        <v>106</v>
      </c>
      <c r="E2925" s="312" t="s">
        <v>107</v>
      </c>
      <c r="F2925" s="312">
        <v>1825</v>
      </c>
      <c r="G2925" s="312" t="s">
        <v>108</v>
      </c>
      <c r="H2925" s="312">
        <v>1827</v>
      </c>
      <c r="I2925" s="312" t="s">
        <v>107</v>
      </c>
      <c r="J2925" s="312">
        <v>1913</v>
      </c>
      <c r="K2925" s="312" t="s">
        <v>109</v>
      </c>
    </row>
    <row r="2926" spans="1:11">
      <c r="A2926" s="312" t="s">
        <v>6171</v>
      </c>
      <c r="B2926" s="312" t="s">
        <v>6172</v>
      </c>
      <c r="C2926" s="312" t="s">
        <v>105</v>
      </c>
      <c r="D2926" s="312" t="s">
        <v>106</v>
      </c>
      <c r="E2926" s="312" t="s">
        <v>107</v>
      </c>
      <c r="F2926" s="312">
        <v>1825</v>
      </c>
      <c r="G2926" s="312" t="s">
        <v>108</v>
      </c>
      <c r="H2926" s="312">
        <v>1827</v>
      </c>
      <c r="I2926" s="312" t="s">
        <v>107</v>
      </c>
      <c r="J2926" s="312">
        <v>1913</v>
      </c>
      <c r="K2926" s="312" t="s">
        <v>109</v>
      </c>
    </row>
    <row r="2927" spans="1:11">
      <c r="A2927" s="312" t="s">
        <v>6173</v>
      </c>
      <c r="B2927" s="312" t="s">
        <v>6174</v>
      </c>
      <c r="C2927" s="312" t="s">
        <v>105</v>
      </c>
      <c r="D2927" s="312" t="s">
        <v>106</v>
      </c>
      <c r="E2927" s="312" t="s">
        <v>107</v>
      </c>
      <c r="F2927" s="312">
        <v>1825</v>
      </c>
      <c r="G2927" s="312" t="s">
        <v>108</v>
      </c>
      <c r="H2927" s="312">
        <v>1827</v>
      </c>
      <c r="I2927" s="312" t="s">
        <v>107</v>
      </c>
      <c r="J2927" s="312">
        <v>1913</v>
      </c>
      <c r="K2927" s="312" t="s">
        <v>109</v>
      </c>
    </row>
    <row r="2928" spans="1:11">
      <c r="A2928" s="312" t="s">
        <v>6175</v>
      </c>
      <c r="B2928" s="312" t="s">
        <v>6176</v>
      </c>
      <c r="C2928" s="312" t="s">
        <v>105</v>
      </c>
      <c r="D2928" s="312" t="s">
        <v>106</v>
      </c>
      <c r="E2928" s="312" t="s">
        <v>107</v>
      </c>
      <c r="F2928" s="312">
        <v>1825</v>
      </c>
      <c r="G2928" s="312" t="s">
        <v>108</v>
      </c>
      <c r="H2928" s="312">
        <v>1827</v>
      </c>
      <c r="I2928" s="312" t="s">
        <v>107</v>
      </c>
      <c r="J2928" s="312">
        <v>1913</v>
      </c>
      <c r="K2928" s="312" t="s">
        <v>109</v>
      </c>
    </row>
    <row r="2929" spans="1:11">
      <c r="A2929" s="312" t="s">
        <v>6177</v>
      </c>
      <c r="B2929" s="312" t="s">
        <v>6178</v>
      </c>
      <c r="C2929" s="312" t="s">
        <v>105</v>
      </c>
      <c r="D2929" s="312" t="s">
        <v>106</v>
      </c>
      <c r="E2929" s="312" t="s">
        <v>107</v>
      </c>
      <c r="F2929" s="312">
        <v>1825</v>
      </c>
      <c r="G2929" s="312" t="s">
        <v>108</v>
      </c>
      <c r="H2929" s="312">
        <v>1827</v>
      </c>
      <c r="I2929" s="312" t="s">
        <v>107</v>
      </c>
      <c r="J2929" s="312">
        <v>1913</v>
      </c>
      <c r="K2929" s="312" t="s">
        <v>109</v>
      </c>
    </row>
    <row r="2930" spans="1:11">
      <c r="A2930" s="312" t="s">
        <v>6179</v>
      </c>
      <c r="B2930" s="312" t="s">
        <v>6180</v>
      </c>
      <c r="C2930" s="312" t="s">
        <v>105</v>
      </c>
      <c r="D2930" s="312" t="s">
        <v>106</v>
      </c>
      <c r="E2930" s="312" t="s">
        <v>107</v>
      </c>
      <c r="F2930" s="312">
        <v>1825</v>
      </c>
      <c r="G2930" s="312" t="s">
        <v>108</v>
      </c>
      <c r="H2930" s="312">
        <v>1827</v>
      </c>
      <c r="I2930" s="312" t="s">
        <v>107</v>
      </c>
      <c r="J2930" s="312">
        <v>1913</v>
      </c>
      <c r="K2930" s="312" t="s">
        <v>109</v>
      </c>
    </row>
    <row r="2931" spans="1:11">
      <c r="A2931" s="312" t="s">
        <v>6181</v>
      </c>
      <c r="B2931" s="312" t="s">
        <v>6182</v>
      </c>
      <c r="C2931" s="312" t="s">
        <v>105</v>
      </c>
      <c r="D2931" s="312" t="s">
        <v>106</v>
      </c>
      <c r="E2931" s="312" t="s">
        <v>107</v>
      </c>
      <c r="F2931" s="312">
        <v>1825</v>
      </c>
      <c r="G2931" s="312" t="s">
        <v>108</v>
      </c>
      <c r="H2931" s="312">
        <v>1827</v>
      </c>
      <c r="I2931" s="312" t="s">
        <v>107</v>
      </c>
      <c r="J2931" s="312">
        <v>1913</v>
      </c>
      <c r="K2931" s="312" t="s">
        <v>109</v>
      </c>
    </row>
    <row r="2932" spans="1:11">
      <c r="A2932" s="312" t="s">
        <v>6183</v>
      </c>
      <c r="B2932" s="312" t="s">
        <v>6184</v>
      </c>
      <c r="C2932" s="312" t="s">
        <v>105</v>
      </c>
      <c r="D2932" s="312" t="s">
        <v>567</v>
      </c>
      <c r="E2932" s="312" t="s">
        <v>107</v>
      </c>
      <c r="F2932" s="312">
        <v>1825</v>
      </c>
      <c r="G2932" s="312" t="s">
        <v>108</v>
      </c>
      <c r="H2932" s="312">
        <v>1827</v>
      </c>
      <c r="I2932" s="312" t="s">
        <v>107</v>
      </c>
      <c r="J2932" s="312">
        <v>1913</v>
      </c>
      <c r="K2932" s="312" t="s">
        <v>109</v>
      </c>
    </row>
    <row r="2933" spans="1:11">
      <c r="A2933" s="312" t="s">
        <v>6185</v>
      </c>
      <c r="B2933" s="312" t="s">
        <v>6186</v>
      </c>
      <c r="C2933" s="312" t="s">
        <v>105</v>
      </c>
      <c r="D2933" s="312" t="s">
        <v>570</v>
      </c>
      <c r="E2933" s="312" t="s">
        <v>684</v>
      </c>
      <c r="F2933" s="312">
        <v>1750</v>
      </c>
      <c r="G2933" s="312" t="s">
        <v>685</v>
      </c>
      <c r="H2933" s="312">
        <v>1754</v>
      </c>
      <c r="I2933" s="312" t="s">
        <v>684</v>
      </c>
      <c r="J2933" s="312">
        <v>1920</v>
      </c>
      <c r="K2933" s="312" t="s">
        <v>686</v>
      </c>
    </row>
    <row r="2934" spans="1:11">
      <c r="A2934" s="312" t="s">
        <v>6187</v>
      </c>
      <c r="B2934" s="312" t="s">
        <v>6188</v>
      </c>
      <c r="C2934" s="312" t="s">
        <v>105</v>
      </c>
      <c r="D2934" s="312" t="s">
        <v>252</v>
      </c>
      <c r="E2934" s="312" t="s">
        <v>167</v>
      </c>
      <c r="F2934" s="312">
        <v>1705</v>
      </c>
      <c r="G2934" s="312" t="s">
        <v>168</v>
      </c>
      <c r="H2934" s="312">
        <v>1707</v>
      </c>
      <c r="I2934" s="312" t="s">
        <v>167</v>
      </c>
      <c r="J2934" s="312">
        <v>1899</v>
      </c>
      <c r="K2934" s="312" t="s">
        <v>169</v>
      </c>
    </row>
    <row r="2935" spans="1:11">
      <c r="A2935" s="312" t="s">
        <v>6189</v>
      </c>
      <c r="B2935" s="1" t="s">
        <v>6190</v>
      </c>
      <c r="C2935" s="312" t="s">
        <v>105</v>
      </c>
      <c r="D2935" s="312" t="s">
        <v>252</v>
      </c>
      <c r="E2935" s="312" t="s">
        <v>167</v>
      </c>
      <c r="F2935" s="312">
        <v>1705</v>
      </c>
      <c r="G2935" s="312" t="s">
        <v>168</v>
      </c>
      <c r="H2935" s="312">
        <v>1707</v>
      </c>
      <c r="I2935" s="312" t="s">
        <v>167</v>
      </c>
      <c r="J2935" s="312">
        <v>1899</v>
      </c>
      <c r="K2935" s="312" t="s">
        <v>169</v>
      </c>
    </row>
    <row r="2936" spans="1:11">
      <c r="A2936" s="312" t="s">
        <v>6191</v>
      </c>
      <c r="B2936" s="312" t="s">
        <v>6192</v>
      </c>
      <c r="C2936" s="312" t="s">
        <v>105</v>
      </c>
      <c r="D2936" s="312" t="s">
        <v>544</v>
      </c>
      <c r="E2936" s="312" t="s">
        <v>107</v>
      </c>
      <c r="F2936" s="312">
        <v>1825</v>
      </c>
      <c r="G2936" s="312" t="s">
        <v>108</v>
      </c>
      <c r="H2936" s="312">
        <v>1827</v>
      </c>
      <c r="I2936" s="312" t="s">
        <v>107</v>
      </c>
      <c r="J2936" s="312">
        <v>1913</v>
      </c>
      <c r="K2936" s="312" t="s">
        <v>109</v>
      </c>
    </row>
    <row r="2937" spans="1:11">
      <c r="A2937" s="312" t="s">
        <v>6193</v>
      </c>
      <c r="B2937" s="312" t="s">
        <v>6194</v>
      </c>
      <c r="C2937" s="312" t="s">
        <v>105</v>
      </c>
      <c r="D2937" s="312" t="s">
        <v>114</v>
      </c>
      <c r="E2937" s="312" t="s">
        <v>107</v>
      </c>
      <c r="F2937" s="312">
        <v>1825</v>
      </c>
      <c r="G2937" s="312" t="s">
        <v>108</v>
      </c>
      <c r="H2937" s="312">
        <v>1827</v>
      </c>
      <c r="I2937" s="312" t="s">
        <v>107</v>
      </c>
      <c r="J2937" s="312">
        <v>1913</v>
      </c>
      <c r="K2937" s="312" t="s">
        <v>109</v>
      </c>
    </row>
    <row r="2938" spans="1:11">
      <c r="A2938" s="312" t="s">
        <v>6195</v>
      </c>
      <c r="B2938" s="312" t="s">
        <v>6196</v>
      </c>
      <c r="C2938" s="312" t="s">
        <v>105</v>
      </c>
      <c r="D2938" s="312" t="s">
        <v>114</v>
      </c>
      <c r="E2938" s="312" t="s">
        <v>107</v>
      </c>
      <c r="F2938" s="312">
        <v>1825</v>
      </c>
      <c r="G2938" s="312" t="s">
        <v>108</v>
      </c>
      <c r="H2938" s="312">
        <v>1827</v>
      </c>
      <c r="I2938" s="312" t="s">
        <v>107</v>
      </c>
      <c r="J2938" s="312">
        <v>1913</v>
      </c>
      <c r="K2938" s="312" t="s">
        <v>109</v>
      </c>
    </row>
    <row r="2939" spans="1:11">
      <c r="A2939" s="312" t="s">
        <v>6197</v>
      </c>
      <c r="B2939" s="312" t="s">
        <v>6198</v>
      </c>
      <c r="C2939" s="312" t="s">
        <v>105</v>
      </c>
      <c r="D2939" s="312" t="s">
        <v>1994</v>
      </c>
      <c r="E2939" s="312" t="s">
        <v>107</v>
      </c>
      <c r="F2939" s="312">
        <v>1825</v>
      </c>
      <c r="G2939" s="312" t="s">
        <v>108</v>
      </c>
      <c r="H2939" s="312">
        <v>1827</v>
      </c>
      <c r="I2939" s="312" t="s">
        <v>107</v>
      </c>
      <c r="J2939" s="312">
        <v>1913</v>
      </c>
      <c r="K2939" s="312" t="s">
        <v>109</v>
      </c>
    </row>
    <row r="2940" spans="1:11">
      <c r="A2940" s="312" t="s">
        <v>6199</v>
      </c>
      <c r="B2940" s="312" t="s">
        <v>6200</v>
      </c>
      <c r="C2940" s="312" t="s">
        <v>105</v>
      </c>
      <c r="D2940" s="312" t="s">
        <v>1994</v>
      </c>
      <c r="E2940" s="312" t="s">
        <v>107</v>
      </c>
      <c r="F2940" s="312">
        <v>1825</v>
      </c>
      <c r="G2940" s="312" t="s">
        <v>108</v>
      </c>
      <c r="H2940" s="312">
        <v>1827</v>
      </c>
      <c r="I2940" s="312" t="s">
        <v>107</v>
      </c>
      <c r="J2940" s="312">
        <v>1913</v>
      </c>
      <c r="K2940" s="312" t="s">
        <v>109</v>
      </c>
    </row>
    <row r="2941" spans="1:11">
      <c r="A2941" s="312" t="s">
        <v>6201</v>
      </c>
      <c r="B2941" s="312" t="s">
        <v>6202</v>
      </c>
      <c r="C2941" s="312" t="s">
        <v>105</v>
      </c>
      <c r="D2941" s="312" t="s">
        <v>1994</v>
      </c>
      <c r="E2941" s="312" t="s">
        <v>107</v>
      </c>
      <c r="F2941" s="312">
        <v>1825</v>
      </c>
      <c r="G2941" s="312" t="s">
        <v>108</v>
      </c>
      <c r="H2941" s="312">
        <v>1827</v>
      </c>
      <c r="I2941" s="312" t="s">
        <v>107</v>
      </c>
      <c r="J2941" s="312">
        <v>1913</v>
      </c>
      <c r="K2941" s="312" t="s">
        <v>109</v>
      </c>
    </row>
    <row r="2942" spans="1:11">
      <c r="A2942" s="312" t="s">
        <v>6203</v>
      </c>
      <c r="B2942" s="312" t="s">
        <v>6204</v>
      </c>
      <c r="C2942" s="312" t="s">
        <v>105</v>
      </c>
      <c r="D2942" s="312" t="s">
        <v>1994</v>
      </c>
      <c r="E2942" s="312" t="s">
        <v>107</v>
      </c>
      <c r="F2942" s="312">
        <v>1825</v>
      </c>
      <c r="G2942" s="312" t="s">
        <v>108</v>
      </c>
      <c r="H2942" s="312">
        <v>1827</v>
      </c>
      <c r="I2942" s="312" t="s">
        <v>107</v>
      </c>
      <c r="J2942" s="312">
        <v>1913</v>
      </c>
      <c r="K2942" s="312" t="s">
        <v>109</v>
      </c>
    </row>
    <row r="2943" spans="1:11">
      <c r="A2943" s="312" t="s">
        <v>6205</v>
      </c>
      <c r="B2943" s="312" t="s">
        <v>6206</v>
      </c>
      <c r="C2943" s="312" t="s">
        <v>105</v>
      </c>
      <c r="D2943" s="312" t="s">
        <v>865</v>
      </c>
      <c r="E2943" s="312" t="s">
        <v>107</v>
      </c>
      <c r="F2943" s="312">
        <v>1825</v>
      </c>
      <c r="G2943" s="312" t="s">
        <v>108</v>
      </c>
      <c r="H2943" s="312">
        <v>1827</v>
      </c>
      <c r="I2943" s="312" t="s">
        <v>107</v>
      </c>
      <c r="J2943" s="312">
        <v>1913</v>
      </c>
      <c r="K2943" s="312" t="s">
        <v>109</v>
      </c>
    </row>
    <row r="2944" spans="1:11">
      <c r="A2944" s="312" t="s">
        <v>6207</v>
      </c>
      <c r="B2944" s="312" t="s">
        <v>6208</v>
      </c>
      <c r="C2944" s="312" t="s">
        <v>105</v>
      </c>
      <c r="D2944" s="312" t="s">
        <v>556</v>
      </c>
      <c r="E2944" s="312" t="s">
        <v>107</v>
      </c>
      <c r="F2944" s="312">
        <v>1825</v>
      </c>
      <c r="G2944" s="312" t="s">
        <v>108</v>
      </c>
      <c r="H2944" s="312">
        <v>1827</v>
      </c>
      <c r="I2944" s="312" t="s">
        <v>107</v>
      </c>
      <c r="J2944" s="312">
        <v>1913</v>
      </c>
      <c r="K2944" s="312" t="s">
        <v>109</v>
      </c>
    </row>
    <row r="2945" spans="1:11">
      <c r="A2945" s="312" t="s">
        <v>6209</v>
      </c>
      <c r="B2945" s="312" t="s">
        <v>6210</v>
      </c>
      <c r="C2945" s="312" t="s">
        <v>105</v>
      </c>
      <c r="D2945" s="312" t="s">
        <v>556</v>
      </c>
      <c r="E2945" s="312" t="s">
        <v>107</v>
      </c>
      <c r="F2945" s="312">
        <v>1825</v>
      </c>
      <c r="G2945" s="312" t="s">
        <v>108</v>
      </c>
      <c r="H2945" s="312">
        <v>1827</v>
      </c>
      <c r="I2945" s="312" t="s">
        <v>107</v>
      </c>
      <c r="J2945" s="312">
        <v>1913</v>
      </c>
      <c r="K2945" s="312" t="s">
        <v>109</v>
      </c>
    </row>
    <row r="2946" spans="1:11">
      <c r="A2946" s="312" t="s">
        <v>6211</v>
      </c>
      <c r="B2946" s="312" t="s">
        <v>6212</v>
      </c>
      <c r="C2946" s="312" t="s">
        <v>105</v>
      </c>
      <c r="D2946" s="312" t="s">
        <v>294</v>
      </c>
      <c r="E2946" s="312" t="s">
        <v>107</v>
      </c>
      <c r="F2946" s="312">
        <v>1825</v>
      </c>
      <c r="G2946" s="312" t="s">
        <v>108</v>
      </c>
      <c r="H2946" s="312">
        <v>1827</v>
      </c>
      <c r="I2946" s="312" t="s">
        <v>107</v>
      </c>
      <c r="J2946" s="312">
        <v>1913</v>
      </c>
      <c r="K2946" s="312" t="s">
        <v>109</v>
      </c>
    </row>
    <row r="2947" spans="1:11">
      <c r="A2947" s="312" t="s">
        <v>6213</v>
      </c>
      <c r="B2947" s="312" t="s">
        <v>6214</v>
      </c>
      <c r="C2947" s="312" t="s">
        <v>105</v>
      </c>
      <c r="D2947" s="312" t="s">
        <v>294</v>
      </c>
      <c r="E2947" s="312" t="s">
        <v>107</v>
      </c>
      <c r="F2947" s="312">
        <v>1825</v>
      </c>
      <c r="G2947" s="312" t="s">
        <v>108</v>
      </c>
      <c r="H2947" s="312">
        <v>1827</v>
      </c>
      <c r="I2947" s="312" t="s">
        <v>107</v>
      </c>
      <c r="J2947" s="312">
        <v>1913</v>
      </c>
      <c r="K2947" s="312" t="s">
        <v>109</v>
      </c>
    </row>
    <row r="2948" spans="1:11">
      <c r="A2948" s="312" t="s">
        <v>6215</v>
      </c>
      <c r="B2948" s="312" t="s">
        <v>6216</v>
      </c>
      <c r="C2948" s="312" t="s">
        <v>105</v>
      </c>
      <c r="D2948" s="312" t="s">
        <v>556</v>
      </c>
      <c r="E2948" s="312" t="s">
        <v>107</v>
      </c>
      <c r="F2948" s="312">
        <v>1825</v>
      </c>
      <c r="G2948" s="312" t="s">
        <v>108</v>
      </c>
      <c r="H2948" s="312">
        <v>1827</v>
      </c>
      <c r="I2948" s="312" t="s">
        <v>107</v>
      </c>
      <c r="J2948" s="312">
        <v>1913</v>
      </c>
      <c r="K2948" s="312" t="s">
        <v>109</v>
      </c>
    </row>
    <row r="2949" spans="1:11">
      <c r="A2949" s="312" t="s">
        <v>6217</v>
      </c>
      <c r="B2949" s="312" t="s">
        <v>6218</v>
      </c>
      <c r="C2949" s="312" t="s">
        <v>105</v>
      </c>
      <c r="D2949" s="312" t="s">
        <v>352</v>
      </c>
      <c r="E2949" s="312" t="s">
        <v>466</v>
      </c>
      <c r="F2949" s="312">
        <v>1796</v>
      </c>
      <c r="G2949" s="312" t="s">
        <v>467</v>
      </c>
      <c r="H2949" s="312">
        <v>1799</v>
      </c>
      <c r="I2949" s="312" t="s">
        <v>466</v>
      </c>
      <c r="J2949" s="312">
        <v>1918</v>
      </c>
      <c r="K2949" s="312" t="s">
        <v>468</v>
      </c>
    </row>
    <row r="2950" spans="1:11">
      <c r="A2950" s="312" t="s">
        <v>6219</v>
      </c>
      <c r="B2950" s="312" t="s">
        <v>6220</v>
      </c>
      <c r="C2950" s="312" t="s">
        <v>105</v>
      </c>
      <c r="D2950" s="312" t="s">
        <v>352</v>
      </c>
      <c r="E2950" s="312" t="s">
        <v>466</v>
      </c>
      <c r="F2950" s="312">
        <v>1796</v>
      </c>
      <c r="G2950" s="312" t="s">
        <v>467</v>
      </c>
      <c r="H2950" s="312">
        <v>1799</v>
      </c>
      <c r="I2950" s="312" t="s">
        <v>466</v>
      </c>
      <c r="J2950" s="312">
        <v>1918</v>
      </c>
      <c r="K2950" s="312" t="s">
        <v>468</v>
      </c>
    </row>
    <row r="2951" spans="1:11">
      <c r="A2951" s="312" t="s">
        <v>6221</v>
      </c>
      <c r="B2951" s="312" t="s">
        <v>6222</v>
      </c>
      <c r="C2951" s="312" t="s">
        <v>105</v>
      </c>
      <c r="D2951" s="312" t="s">
        <v>352</v>
      </c>
      <c r="E2951" s="312" t="s">
        <v>466</v>
      </c>
      <c r="F2951" s="312">
        <v>1796</v>
      </c>
      <c r="G2951" s="312" t="s">
        <v>467</v>
      </c>
      <c r="H2951" s="312">
        <v>1799</v>
      </c>
      <c r="I2951" s="312" t="s">
        <v>466</v>
      </c>
      <c r="J2951" s="312">
        <v>1918</v>
      </c>
      <c r="K2951" s="312" t="s">
        <v>468</v>
      </c>
    </row>
    <row r="2952" spans="1:11">
      <c r="A2952" s="312" t="s">
        <v>6223</v>
      </c>
      <c r="B2952" s="312" t="s">
        <v>6224</v>
      </c>
      <c r="C2952" s="312" t="s">
        <v>105</v>
      </c>
      <c r="D2952" s="312" t="s">
        <v>556</v>
      </c>
      <c r="E2952" s="312" t="s">
        <v>107</v>
      </c>
      <c r="F2952" s="312">
        <v>1825</v>
      </c>
      <c r="G2952" s="312" t="s">
        <v>108</v>
      </c>
      <c r="H2952" s="312">
        <v>1827</v>
      </c>
      <c r="I2952" s="312" t="s">
        <v>107</v>
      </c>
      <c r="J2952" s="312">
        <v>1913</v>
      </c>
      <c r="K2952" s="312" t="s">
        <v>109</v>
      </c>
    </row>
    <row r="2953" spans="1:11">
      <c r="A2953" s="312" t="s">
        <v>6225</v>
      </c>
      <c r="B2953" s="312" t="s">
        <v>6226</v>
      </c>
      <c r="C2953" s="312" t="s">
        <v>105</v>
      </c>
      <c r="D2953" s="312" t="s">
        <v>114</v>
      </c>
      <c r="E2953" s="312" t="s">
        <v>107</v>
      </c>
      <c r="F2953" s="312">
        <v>1825</v>
      </c>
      <c r="G2953" s="312" t="s">
        <v>108</v>
      </c>
      <c r="H2953" s="312">
        <v>1827</v>
      </c>
      <c r="I2953" s="312" t="s">
        <v>107</v>
      </c>
      <c r="J2953" s="312">
        <v>1913</v>
      </c>
      <c r="K2953" s="312" t="s">
        <v>109</v>
      </c>
    </row>
    <row r="2954" spans="1:11">
      <c r="A2954" s="312" t="s">
        <v>6227</v>
      </c>
      <c r="B2954" s="312" t="s">
        <v>6228</v>
      </c>
      <c r="C2954" s="312" t="s">
        <v>105</v>
      </c>
      <c r="D2954" s="312" t="s">
        <v>114</v>
      </c>
      <c r="E2954" s="312" t="s">
        <v>107</v>
      </c>
      <c r="F2954" s="312">
        <v>1825</v>
      </c>
      <c r="G2954" s="312" t="s">
        <v>108</v>
      </c>
      <c r="H2954" s="312">
        <v>1827</v>
      </c>
      <c r="I2954" s="312" t="s">
        <v>107</v>
      </c>
      <c r="J2954" s="312">
        <v>1913</v>
      </c>
      <c r="K2954" s="312" t="s">
        <v>109</v>
      </c>
    </row>
    <row r="2955" spans="1:11">
      <c r="A2955" s="312" t="s">
        <v>6229</v>
      </c>
      <c r="B2955" s="312" t="s">
        <v>6230</v>
      </c>
      <c r="C2955" s="312" t="s">
        <v>105</v>
      </c>
      <c r="D2955" s="312" t="s">
        <v>379</v>
      </c>
      <c r="E2955" s="312" t="s">
        <v>107</v>
      </c>
      <c r="F2955" s="312">
        <v>1825</v>
      </c>
      <c r="G2955" s="312" t="s">
        <v>108</v>
      </c>
      <c r="H2955" s="312">
        <v>1827</v>
      </c>
      <c r="I2955" s="312" t="s">
        <v>107</v>
      </c>
      <c r="J2955" s="312">
        <v>1913</v>
      </c>
      <c r="K2955" s="312" t="s">
        <v>109</v>
      </c>
    </row>
    <row r="2956" spans="1:11">
      <c r="A2956" s="312" t="s">
        <v>6231</v>
      </c>
      <c r="B2956" s="312" t="s">
        <v>6232</v>
      </c>
      <c r="C2956" s="312" t="s">
        <v>105</v>
      </c>
      <c r="D2956" s="312" t="s">
        <v>312</v>
      </c>
      <c r="E2956" s="312" t="s">
        <v>107</v>
      </c>
      <c r="F2956" s="312">
        <v>1825</v>
      </c>
      <c r="G2956" s="312" t="s">
        <v>108</v>
      </c>
      <c r="H2956" s="312">
        <v>1827</v>
      </c>
      <c r="I2956" s="312" t="s">
        <v>107</v>
      </c>
      <c r="J2956" s="312">
        <v>1913</v>
      </c>
      <c r="K2956" s="312" t="s">
        <v>109</v>
      </c>
    </row>
    <row r="2957" spans="1:11">
      <c r="A2957" s="312" t="s">
        <v>6233</v>
      </c>
      <c r="B2957" s="312" t="s">
        <v>6234</v>
      </c>
      <c r="C2957" s="312" t="s">
        <v>105</v>
      </c>
      <c r="D2957" s="312" t="s">
        <v>556</v>
      </c>
      <c r="E2957" s="312" t="s">
        <v>107</v>
      </c>
      <c r="F2957" s="312">
        <v>1825</v>
      </c>
      <c r="G2957" s="312" t="s">
        <v>108</v>
      </c>
      <c r="H2957" s="312">
        <v>1827</v>
      </c>
      <c r="I2957" s="312" t="s">
        <v>107</v>
      </c>
      <c r="J2957" s="312">
        <v>1913</v>
      </c>
      <c r="K2957" s="312" t="s">
        <v>109</v>
      </c>
    </row>
    <row r="2958" spans="1:11">
      <c r="A2958" s="312" t="s">
        <v>6235</v>
      </c>
      <c r="B2958" s="312" t="s">
        <v>6236</v>
      </c>
      <c r="C2958" s="312" t="s">
        <v>105</v>
      </c>
      <c r="D2958" s="312" t="s">
        <v>114</v>
      </c>
      <c r="E2958" s="312" t="s">
        <v>107</v>
      </c>
      <c r="F2958" s="312">
        <v>1825</v>
      </c>
      <c r="G2958" s="312" t="s">
        <v>108</v>
      </c>
      <c r="H2958" s="312">
        <v>1827</v>
      </c>
      <c r="I2958" s="312" t="s">
        <v>107</v>
      </c>
      <c r="J2958" s="312">
        <v>1913</v>
      </c>
      <c r="K2958" s="312" t="s">
        <v>109</v>
      </c>
    </row>
    <row r="2959" spans="1:11">
      <c r="A2959" s="312" t="s">
        <v>6237</v>
      </c>
      <c r="B2959" s="312" t="s">
        <v>6238</v>
      </c>
      <c r="C2959" s="312" t="s">
        <v>105</v>
      </c>
      <c r="D2959" s="312" t="s">
        <v>517</v>
      </c>
      <c r="E2959" s="312" t="s">
        <v>107</v>
      </c>
      <c r="F2959" s="312">
        <v>1825</v>
      </c>
      <c r="G2959" s="312" t="s">
        <v>108</v>
      </c>
      <c r="H2959" s="312">
        <v>1827</v>
      </c>
      <c r="I2959" s="312" t="s">
        <v>107</v>
      </c>
      <c r="J2959" s="312">
        <v>1913</v>
      </c>
      <c r="K2959" s="312" t="s">
        <v>109</v>
      </c>
    </row>
  </sheetData>
  <sortState xmlns:xlrd2="http://schemas.microsoft.com/office/spreadsheetml/2017/richdata2" ref="A2:L2959">
    <sortCondition ref="A2:A295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4AA4-AD9D-47CB-AF50-01F9005002B5}">
  <sheetPr codeName="Sheet4"/>
  <dimension ref="A1:K2959"/>
  <sheetViews>
    <sheetView workbookViewId="0">
      <pane xSplit="1" ySplit="1" topLeftCell="B1756" activePane="bottomRight" state="frozen"/>
      <selection pane="topRight" activeCell="E1" sqref="E1"/>
      <selection pane="bottomLeft" activeCell="E1" sqref="E1"/>
      <selection pane="bottomRight" activeCell="E1" sqref="E1"/>
    </sheetView>
  </sheetViews>
  <sheetFormatPr defaultRowHeight="14.4"/>
  <cols>
    <col min="1" max="1" width="94.44140625" customWidth="1"/>
    <col min="4" max="4" width="46" customWidth="1"/>
  </cols>
  <sheetData>
    <row r="1" spans="1:11">
      <c r="A1" s="312" t="s">
        <v>92</v>
      </c>
      <c r="B1" s="312" t="s">
        <v>93</v>
      </c>
      <c r="C1" s="312" t="s">
        <v>94</v>
      </c>
      <c r="D1" s="312" t="s">
        <v>95</v>
      </c>
      <c r="E1" s="312" t="s">
        <v>96</v>
      </c>
      <c r="F1" s="312" t="s">
        <v>97</v>
      </c>
      <c r="G1" s="312" t="s">
        <v>98</v>
      </c>
      <c r="H1" s="312" t="s">
        <v>99</v>
      </c>
      <c r="I1" s="312" t="s">
        <v>100</v>
      </c>
      <c r="J1" s="312" t="s">
        <v>101</v>
      </c>
      <c r="K1" s="312" t="s">
        <v>102</v>
      </c>
    </row>
    <row r="2" spans="1:11">
      <c r="A2" s="312" t="s">
        <v>571</v>
      </c>
      <c r="B2" s="312" t="s">
        <v>572</v>
      </c>
      <c r="C2" s="312" t="s">
        <v>105</v>
      </c>
      <c r="D2" s="312" t="s">
        <v>573</v>
      </c>
      <c r="E2" s="312" t="s">
        <v>107</v>
      </c>
      <c r="F2" s="312">
        <v>1825</v>
      </c>
      <c r="G2" s="312" t="s">
        <v>108</v>
      </c>
      <c r="H2" s="312">
        <v>1827</v>
      </c>
      <c r="I2" s="312" t="s">
        <v>107</v>
      </c>
      <c r="J2" s="312">
        <v>1913</v>
      </c>
      <c r="K2" s="312" t="s">
        <v>109</v>
      </c>
    </row>
    <row r="3" spans="1:11">
      <c r="A3" s="312" t="s">
        <v>581</v>
      </c>
      <c r="B3" s="312" t="s">
        <v>582</v>
      </c>
      <c r="C3" s="312" t="s">
        <v>105</v>
      </c>
      <c r="D3" s="312" t="s">
        <v>573</v>
      </c>
      <c r="E3" s="312" t="s">
        <v>107</v>
      </c>
      <c r="F3" s="312">
        <v>1825</v>
      </c>
      <c r="G3" s="312" t="s">
        <v>108</v>
      </c>
      <c r="H3" s="312">
        <v>1827</v>
      </c>
      <c r="I3" s="312" t="s">
        <v>107</v>
      </c>
      <c r="J3" s="312">
        <v>1913</v>
      </c>
      <c r="K3" s="312" t="s">
        <v>109</v>
      </c>
    </row>
    <row r="4" spans="1:11">
      <c r="A4" s="312" t="s">
        <v>583</v>
      </c>
      <c r="B4" s="312" t="s">
        <v>584</v>
      </c>
      <c r="C4" s="312" t="s">
        <v>105</v>
      </c>
      <c r="D4" s="312" t="s">
        <v>573</v>
      </c>
      <c r="E4" s="312" t="s">
        <v>107</v>
      </c>
      <c r="F4" s="312">
        <v>1825</v>
      </c>
      <c r="G4" s="312" t="s">
        <v>108</v>
      </c>
      <c r="H4" s="312">
        <v>1827</v>
      </c>
      <c r="I4" s="312" t="s">
        <v>107</v>
      </c>
      <c r="J4" s="312">
        <v>1913</v>
      </c>
      <c r="K4" s="312" t="s">
        <v>109</v>
      </c>
    </row>
    <row r="5" spans="1:11">
      <c r="A5" s="312" t="s">
        <v>1020</v>
      </c>
      <c r="B5" s="312" t="s">
        <v>1021</v>
      </c>
      <c r="C5" s="312" t="s">
        <v>105</v>
      </c>
      <c r="D5" s="312" t="s">
        <v>573</v>
      </c>
      <c r="E5" s="312" t="s">
        <v>107</v>
      </c>
      <c r="F5" s="312">
        <v>1825</v>
      </c>
      <c r="G5" s="312" t="s">
        <v>108</v>
      </c>
      <c r="H5" s="312">
        <v>1827</v>
      </c>
      <c r="I5" s="312" t="s">
        <v>107</v>
      </c>
      <c r="J5" s="312">
        <v>1913</v>
      </c>
      <c r="K5" s="312" t="s">
        <v>109</v>
      </c>
    </row>
    <row r="6" spans="1:11">
      <c r="A6" s="312" t="s">
        <v>1160</v>
      </c>
      <c r="B6" s="312" t="s">
        <v>1161</v>
      </c>
      <c r="C6" s="312" t="s">
        <v>105</v>
      </c>
      <c r="D6" s="312" t="s">
        <v>573</v>
      </c>
      <c r="E6" s="312" t="s">
        <v>107</v>
      </c>
      <c r="F6" s="312">
        <v>1825</v>
      </c>
      <c r="G6" s="312" t="s">
        <v>108</v>
      </c>
      <c r="H6" s="312">
        <v>1827</v>
      </c>
      <c r="I6" s="312" t="s">
        <v>107</v>
      </c>
      <c r="J6" s="312">
        <v>1913</v>
      </c>
      <c r="K6" s="312" t="s">
        <v>109</v>
      </c>
    </row>
    <row r="7" spans="1:11">
      <c r="A7" s="312" t="s">
        <v>1941</v>
      </c>
      <c r="B7" s="312" t="s">
        <v>1942</v>
      </c>
      <c r="C7" s="312" t="s">
        <v>105</v>
      </c>
      <c r="D7" s="312" t="s">
        <v>573</v>
      </c>
      <c r="E7" s="312" t="s">
        <v>107</v>
      </c>
      <c r="F7" s="312">
        <v>1825</v>
      </c>
      <c r="G7" s="312" t="s">
        <v>108</v>
      </c>
      <c r="H7" s="312">
        <v>1827</v>
      </c>
      <c r="I7" s="312" t="s">
        <v>107</v>
      </c>
      <c r="J7" s="312">
        <v>1913</v>
      </c>
      <c r="K7" s="312" t="s">
        <v>109</v>
      </c>
    </row>
    <row r="8" spans="1:11">
      <c r="A8" s="312" t="s">
        <v>1943</v>
      </c>
      <c r="B8" s="312" t="s">
        <v>1944</v>
      </c>
      <c r="C8" s="312" t="s">
        <v>105</v>
      </c>
      <c r="D8" s="312" t="s">
        <v>573</v>
      </c>
      <c r="E8" s="312" t="s">
        <v>107</v>
      </c>
      <c r="F8" s="312">
        <v>1825</v>
      </c>
      <c r="G8" s="312" t="s">
        <v>108</v>
      </c>
      <c r="H8" s="312">
        <v>1827</v>
      </c>
      <c r="I8" s="312" t="s">
        <v>107</v>
      </c>
      <c r="J8" s="312">
        <v>1913</v>
      </c>
      <c r="K8" s="312" t="s">
        <v>109</v>
      </c>
    </row>
    <row r="9" spans="1:11">
      <c r="A9" s="312" t="s">
        <v>2826</v>
      </c>
      <c r="B9" s="312" t="s">
        <v>2827</v>
      </c>
      <c r="C9" s="312" t="s">
        <v>105</v>
      </c>
      <c r="D9" s="312" t="s">
        <v>573</v>
      </c>
      <c r="E9" s="312" t="s">
        <v>107</v>
      </c>
      <c r="F9" s="312">
        <v>1825</v>
      </c>
      <c r="G9" s="312" t="s">
        <v>108</v>
      </c>
      <c r="H9" s="312">
        <v>1827</v>
      </c>
      <c r="I9" s="312" t="s">
        <v>107</v>
      </c>
      <c r="J9" s="312">
        <v>1913</v>
      </c>
      <c r="K9" s="312" t="s">
        <v>109</v>
      </c>
    </row>
    <row r="10" spans="1:11">
      <c r="A10" s="312" t="s">
        <v>2929</v>
      </c>
      <c r="B10" s="312" t="s">
        <v>2930</v>
      </c>
      <c r="C10" s="312" t="s">
        <v>105</v>
      </c>
      <c r="D10" s="312" t="s">
        <v>573</v>
      </c>
      <c r="E10" s="312" t="s">
        <v>107</v>
      </c>
      <c r="F10" s="312">
        <v>1825</v>
      </c>
      <c r="G10" s="312" t="s">
        <v>108</v>
      </c>
      <c r="H10" s="312">
        <v>1827</v>
      </c>
      <c r="I10" s="312" t="s">
        <v>107</v>
      </c>
      <c r="J10" s="312">
        <v>1913</v>
      </c>
      <c r="K10" s="312" t="s">
        <v>109</v>
      </c>
    </row>
    <row r="11" spans="1:11">
      <c r="A11" s="312" t="s">
        <v>2988</v>
      </c>
      <c r="B11" s="312" t="s">
        <v>2989</v>
      </c>
      <c r="C11" s="312" t="s">
        <v>105</v>
      </c>
      <c r="D11" s="312" t="s">
        <v>573</v>
      </c>
      <c r="E11" s="312" t="s">
        <v>107</v>
      </c>
      <c r="F11" s="312">
        <v>1825</v>
      </c>
      <c r="G11" s="312" t="s">
        <v>108</v>
      </c>
      <c r="H11" s="312">
        <v>1827</v>
      </c>
      <c r="I11" s="312" t="s">
        <v>107</v>
      </c>
      <c r="J11" s="312">
        <v>1913</v>
      </c>
      <c r="K11" s="312" t="s">
        <v>109</v>
      </c>
    </row>
    <row r="12" spans="1:11">
      <c r="A12" s="312" t="s">
        <v>2990</v>
      </c>
      <c r="B12" s="312" t="s">
        <v>2991</v>
      </c>
      <c r="C12" s="312" t="s">
        <v>105</v>
      </c>
      <c r="D12" s="312" t="s">
        <v>573</v>
      </c>
      <c r="E12" s="312" t="s">
        <v>107</v>
      </c>
      <c r="F12" s="312">
        <v>1825</v>
      </c>
      <c r="G12" s="312" t="s">
        <v>108</v>
      </c>
      <c r="H12" s="312">
        <v>1827</v>
      </c>
      <c r="I12" s="312" t="s">
        <v>107</v>
      </c>
      <c r="J12" s="312">
        <v>1913</v>
      </c>
      <c r="K12" s="312" t="s">
        <v>109</v>
      </c>
    </row>
    <row r="13" spans="1:11">
      <c r="A13" s="312" t="s">
        <v>3183</v>
      </c>
      <c r="B13" s="312" t="s">
        <v>3184</v>
      </c>
      <c r="C13" s="312" t="s">
        <v>105</v>
      </c>
      <c r="D13" s="312" t="s">
        <v>573</v>
      </c>
      <c r="E13" s="312" t="s">
        <v>107</v>
      </c>
      <c r="F13" s="312">
        <v>1825</v>
      </c>
      <c r="G13" s="312" t="s">
        <v>108</v>
      </c>
      <c r="H13" s="312">
        <v>1827</v>
      </c>
      <c r="I13" s="312" t="s">
        <v>107</v>
      </c>
      <c r="J13" s="312">
        <v>1913</v>
      </c>
      <c r="K13" s="312" t="s">
        <v>109</v>
      </c>
    </row>
    <row r="14" spans="1:11">
      <c r="A14" s="312" t="s">
        <v>3191</v>
      </c>
      <c r="B14" s="312" t="s">
        <v>3192</v>
      </c>
      <c r="C14" s="312" t="s">
        <v>105</v>
      </c>
      <c r="D14" s="312" t="s">
        <v>573</v>
      </c>
      <c r="E14" s="312" t="s">
        <v>107</v>
      </c>
      <c r="F14" s="312">
        <v>1825</v>
      </c>
      <c r="G14" s="312" t="s">
        <v>108</v>
      </c>
      <c r="H14" s="312">
        <v>1827</v>
      </c>
      <c r="I14" s="312" t="s">
        <v>107</v>
      </c>
      <c r="J14" s="312">
        <v>1913</v>
      </c>
      <c r="K14" s="312" t="s">
        <v>109</v>
      </c>
    </row>
    <row r="15" spans="1:11">
      <c r="A15" s="312" t="s">
        <v>3193</v>
      </c>
      <c r="B15" s="312" t="s">
        <v>3194</v>
      </c>
      <c r="C15" s="312" t="s">
        <v>105</v>
      </c>
      <c r="D15" s="312" t="s">
        <v>573</v>
      </c>
      <c r="E15" s="312" t="s">
        <v>107</v>
      </c>
      <c r="F15" s="312">
        <v>1825</v>
      </c>
      <c r="G15" s="312" t="s">
        <v>108</v>
      </c>
      <c r="H15" s="312">
        <v>1827</v>
      </c>
      <c r="I15" s="312" t="s">
        <v>107</v>
      </c>
      <c r="J15" s="312">
        <v>1913</v>
      </c>
      <c r="K15" s="312" t="s">
        <v>109</v>
      </c>
    </row>
    <row r="16" spans="1:11">
      <c r="A16" s="312" t="s">
        <v>3195</v>
      </c>
      <c r="B16" s="312" t="s">
        <v>3196</v>
      </c>
      <c r="C16" s="312" t="s">
        <v>105</v>
      </c>
      <c r="D16" s="312" t="s">
        <v>573</v>
      </c>
      <c r="E16" s="312" t="s">
        <v>107</v>
      </c>
      <c r="F16" s="312">
        <v>1825</v>
      </c>
      <c r="G16" s="312" t="s">
        <v>108</v>
      </c>
      <c r="H16" s="312">
        <v>1827</v>
      </c>
      <c r="I16" s="312" t="s">
        <v>107</v>
      </c>
      <c r="J16" s="312">
        <v>1913</v>
      </c>
      <c r="K16" s="312" t="s">
        <v>109</v>
      </c>
    </row>
    <row r="17" spans="1:11">
      <c r="A17" s="312" t="s">
        <v>3199</v>
      </c>
      <c r="B17" s="312" t="s">
        <v>3200</v>
      </c>
      <c r="C17" s="312" t="s">
        <v>105</v>
      </c>
      <c r="D17" s="312" t="s">
        <v>573</v>
      </c>
      <c r="E17" s="312" t="s">
        <v>107</v>
      </c>
      <c r="F17" s="312">
        <v>1825</v>
      </c>
      <c r="G17" s="312" t="s">
        <v>108</v>
      </c>
      <c r="H17" s="312">
        <v>1827</v>
      </c>
      <c r="I17" s="312" t="s">
        <v>107</v>
      </c>
      <c r="J17" s="312">
        <v>1913</v>
      </c>
      <c r="K17" s="312" t="s">
        <v>109</v>
      </c>
    </row>
    <row r="18" spans="1:11">
      <c r="A18" s="312" t="s">
        <v>3203</v>
      </c>
      <c r="B18" s="312" t="s">
        <v>3204</v>
      </c>
      <c r="C18" s="312" t="s">
        <v>105</v>
      </c>
      <c r="D18" s="312" t="s">
        <v>573</v>
      </c>
      <c r="E18" s="312" t="s">
        <v>107</v>
      </c>
      <c r="F18" s="312">
        <v>1825</v>
      </c>
      <c r="G18" s="312" t="s">
        <v>108</v>
      </c>
      <c r="H18" s="312">
        <v>1827</v>
      </c>
      <c r="I18" s="312" t="s">
        <v>107</v>
      </c>
      <c r="J18" s="312">
        <v>1913</v>
      </c>
      <c r="K18" s="312" t="s">
        <v>109</v>
      </c>
    </row>
    <row r="19" spans="1:11">
      <c r="A19" s="312" t="s">
        <v>3370</v>
      </c>
      <c r="B19" s="312" t="s">
        <v>3371</v>
      </c>
      <c r="C19" s="312" t="s">
        <v>105</v>
      </c>
      <c r="D19" s="312" t="s">
        <v>573</v>
      </c>
      <c r="E19" s="312" t="s">
        <v>107</v>
      </c>
      <c r="F19" s="312">
        <v>1825</v>
      </c>
      <c r="G19" s="312" t="s">
        <v>108</v>
      </c>
      <c r="H19" s="312">
        <v>1827</v>
      </c>
      <c r="I19" s="312" t="s">
        <v>107</v>
      </c>
      <c r="J19" s="312">
        <v>1913</v>
      </c>
      <c r="K19" s="312" t="s">
        <v>109</v>
      </c>
    </row>
    <row r="20" spans="1:11">
      <c r="A20" s="312" t="s">
        <v>3485</v>
      </c>
      <c r="B20" s="1" t="s">
        <v>3486</v>
      </c>
      <c r="C20" s="312" t="s">
        <v>105</v>
      </c>
      <c r="D20" s="312" t="s">
        <v>573</v>
      </c>
      <c r="E20" s="312" t="s">
        <v>107</v>
      </c>
      <c r="F20" s="312">
        <v>1825</v>
      </c>
      <c r="G20" s="312" t="s">
        <v>108</v>
      </c>
      <c r="H20" s="312">
        <v>1827</v>
      </c>
      <c r="I20" s="312" t="s">
        <v>107</v>
      </c>
      <c r="J20" s="312">
        <v>1913</v>
      </c>
      <c r="K20" s="312" t="s">
        <v>109</v>
      </c>
    </row>
    <row r="21" spans="1:11">
      <c r="A21" s="312" t="s">
        <v>3628</v>
      </c>
      <c r="B21" s="312" t="s">
        <v>3629</v>
      </c>
      <c r="C21" s="312" t="s">
        <v>105</v>
      </c>
      <c r="D21" s="312" t="s">
        <v>573</v>
      </c>
      <c r="E21" s="312" t="s">
        <v>107</v>
      </c>
      <c r="F21" s="312">
        <v>1825</v>
      </c>
      <c r="G21" s="312" t="s">
        <v>108</v>
      </c>
      <c r="H21" s="312">
        <v>1827</v>
      </c>
      <c r="I21" s="312" t="s">
        <v>107</v>
      </c>
      <c r="J21" s="312">
        <v>1913</v>
      </c>
      <c r="K21" s="312" t="s">
        <v>109</v>
      </c>
    </row>
    <row r="22" spans="1:11">
      <c r="A22" s="312" t="s">
        <v>3634</v>
      </c>
      <c r="B22" s="312" t="s">
        <v>3635</v>
      </c>
      <c r="C22" s="312" t="s">
        <v>105</v>
      </c>
      <c r="D22" s="312" t="s">
        <v>573</v>
      </c>
      <c r="E22" s="312" t="s">
        <v>107</v>
      </c>
      <c r="F22" s="312">
        <v>1825</v>
      </c>
      <c r="G22" s="312" t="s">
        <v>108</v>
      </c>
      <c r="H22" s="312">
        <v>1827</v>
      </c>
      <c r="I22" s="312" t="s">
        <v>107</v>
      </c>
      <c r="J22" s="312">
        <v>1913</v>
      </c>
      <c r="K22" s="312" t="s">
        <v>109</v>
      </c>
    </row>
    <row r="23" spans="1:11">
      <c r="A23" s="312" t="s">
        <v>3889</v>
      </c>
      <c r="B23" s="312" t="s">
        <v>3890</v>
      </c>
      <c r="C23" s="312" t="s">
        <v>105</v>
      </c>
      <c r="D23" s="312" t="s">
        <v>573</v>
      </c>
      <c r="E23" s="312" t="s">
        <v>107</v>
      </c>
      <c r="F23" s="312">
        <v>1825</v>
      </c>
      <c r="G23" s="312" t="s">
        <v>108</v>
      </c>
      <c r="H23" s="312">
        <v>1827</v>
      </c>
      <c r="I23" s="312" t="s">
        <v>107</v>
      </c>
      <c r="J23" s="312">
        <v>1913</v>
      </c>
      <c r="K23" s="312" t="s">
        <v>109</v>
      </c>
    </row>
    <row r="24" spans="1:11">
      <c r="A24" s="312" t="s">
        <v>3891</v>
      </c>
      <c r="B24" s="312" t="s">
        <v>3892</v>
      </c>
      <c r="C24" s="312" t="s">
        <v>105</v>
      </c>
      <c r="D24" s="312" t="s">
        <v>573</v>
      </c>
      <c r="E24" s="312" t="s">
        <v>107</v>
      </c>
      <c r="F24" s="312">
        <v>1825</v>
      </c>
      <c r="G24" s="312" t="s">
        <v>108</v>
      </c>
      <c r="H24" s="312">
        <v>1827</v>
      </c>
      <c r="I24" s="312" t="s">
        <v>107</v>
      </c>
      <c r="J24" s="312">
        <v>1913</v>
      </c>
      <c r="K24" s="312" t="s">
        <v>109</v>
      </c>
    </row>
    <row r="25" spans="1:11">
      <c r="A25" s="312" t="s">
        <v>4422</v>
      </c>
      <c r="B25" s="312" t="s">
        <v>4423</v>
      </c>
      <c r="C25" s="312" t="s">
        <v>105</v>
      </c>
      <c r="D25" s="312" t="s">
        <v>573</v>
      </c>
      <c r="E25" s="312" t="s">
        <v>107</v>
      </c>
      <c r="F25" s="312">
        <v>1825</v>
      </c>
      <c r="G25" s="312" t="s">
        <v>108</v>
      </c>
      <c r="H25" s="312">
        <v>1827</v>
      </c>
      <c r="I25" s="312" t="s">
        <v>107</v>
      </c>
      <c r="J25" s="312">
        <v>1913</v>
      </c>
      <c r="K25" s="312" t="s">
        <v>109</v>
      </c>
    </row>
    <row r="26" spans="1:11">
      <c r="A26" s="312" t="s">
        <v>4426</v>
      </c>
      <c r="B26" s="312" t="s">
        <v>4427</v>
      </c>
      <c r="C26" s="312" t="s">
        <v>105</v>
      </c>
      <c r="D26" s="312" t="s">
        <v>573</v>
      </c>
      <c r="E26" s="312" t="s">
        <v>107</v>
      </c>
      <c r="F26" s="312">
        <v>1825</v>
      </c>
      <c r="G26" s="312" t="s">
        <v>108</v>
      </c>
      <c r="H26" s="312">
        <v>1827</v>
      </c>
      <c r="I26" s="312" t="s">
        <v>107</v>
      </c>
      <c r="J26" s="312">
        <v>1913</v>
      </c>
      <c r="K26" s="312" t="s">
        <v>109</v>
      </c>
    </row>
    <row r="27" spans="1:11">
      <c r="A27" s="312" t="s">
        <v>4428</v>
      </c>
      <c r="B27" s="312" t="s">
        <v>4429</v>
      </c>
      <c r="C27" s="312" t="s">
        <v>105</v>
      </c>
      <c r="D27" s="312" t="s">
        <v>573</v>
      </c>
      <c r="E27" s="312" t="s">
        <v>107</v>
      </c>
      <c r="F27" s="312">
        <v>1825</v>
      </c>
      <c r="G27" s="312" t="s">
        <v>108</v>
      </c>
      <c r="H27" s="312">
        <v>1827</v>
      </c>
      <c r="I27" s="312" t="s">
        <v>107</v>
      </c>
      <c r="J27" s="312">
        <v>1913</v>
      </c>
      <c r="K27" s="312" t="s">
        <v>109</v>
      </c>
    </row>
    <row r="28" spans="1:11">
      <c r="A28" s="312" t="s">
        <v>4485</v>
      </c>
      <c r="B28" s="312" t="s">
        <v>4486</v>
      </c>
      <c r="C28" s="312" t="s">
        <v>105</v>
      </c>
      <c r="D28" s="312" t="s">
        <v>573</v>
      </c>
      <c r="E28" s="312" t="s">
        <v>107</v>
      </c>
      <c r="F28" s="312">
        <v>1825</v>
      </c>
      <c r="G28" s="312" t="s">
        <v>108</v>
      </c>
      <c r="H28" s="312">
        <v>1827</v>
      </c>
      <c r="I28" s="312" t="s">
        <v>107</v>
      </c>
      <c r="J28" s="312">
        <v>1913</v>
      </c>
      <c r="K28" s="312" t="s">
        <v>109</v>
      </c>
    </row>
    <row r="29" spans="1:11">
      <c r="A29" s="312" t="s">
        <v>4489</v>
      </c>
      <c r="B29" s="312" t="s">
        <v>4490</v>
      </c>
      <c r="C29" s="312" t="s">
        <v>105</v>
      </c>
      <c r="D29" s="312" t="s">
        <v>573</v>
      </c>
      <c r="E29" s="312" t="s">
        <v>107</v>
      </c>
      <c r="F29" s="312">
        <v>1825</v>
      </c>
      <c r="G29" s="312" t="s">
        <v>108</v>
      </c>
      <c r="H29" s="312">
        <v>1827</v>
      </c>
      <c r="I29" s="312" t="s">
        <v>107</v>
      </c>
      <c r="J29" s="312">
        <v>1913</v>
      </c>
      <c r="K29" s="312" t="s">
        <v>109</v>
      </c>
    </row>
    <row r="30" spans="1:11">
      <c r="A30" s="312" t="s">
        <v>4493</v>
      </c>
      <c r="B30" s="312" t="s">
        <v>4494</v>
      </c>
      <c r="C30" s="312" t="s">
        <v>105</v>
      </c>
      <c r="D30" s="312" t="s">
        <v>573</v>
      </c>
      <c r="E30" s="312" t="s">
        <v>107</v>
      </c>
      <c r="F30" s="312">
        <v>1825</v>
      </c>
      <c r="G30" s="312" t="s">
        <v>108</v>
      </c>
      <c r="H30" s="312">
        <v>1827</v>
      </c>
      <c r="I30" s="312" t="s">
        <v>107</v>
      </c>
      <c r="J30" s="312">
        <v>1913</v>
      </c>
      <c r="K30" s="312" t="s">
        <v>109</v>
      </c>
    </row>
    <row r="31" spans="1:11">
      <c r="A31" s="312" t="s">
        <v>4604</v>
      </c>
      <c r="B31" s="312" t="s">
        <v>4605</v>
      </c>
      <c r="C31" s="312" t="s">
        <v>105</v>
      </c>
      <c r="D31" s="312" t="s">
        <v>573</v>
      </c>
      <c r="E31" s="312" t="s">
        <v>107</v>
      </c>
      <c r="F31" s="312">
        <v>1825</v>
      </c>
      <c r="G31" s="312" t="s">
        <v>108</v>
      </c>
      <c r="H31" s="312">
        <v>1827</v>
      </c>
      <c r="I31" s="312" t="s">
        <v>107</v>
      </c>
      <c r="J31" s="312">
        <v>1913</v>
      </c>
      <c r="K31" s="312" t="s">
        <v>109</v>
      </c>
    </row>
    <row r="32" spans="1:11">
      <c r="A32" s="312" t="s">
        <v>4610</v>
      </c>
      <c r="B32" s="312" t="s">
        <v>4611</v>
      </c>
      <c r="C32" s="312" t="s">
        <v>105</v>
      </c>
      <c r="D32" s="312" t="s">
        <v>573</v>
      </c>
      <c r="E32" s="312" t="s">
        <v>107</v>
      </c>
      <c r="F32" s="312">
        <v>1825</v>
      </c>
      <c r="G32" s="312" t="s">
        <v>108</v>
      </c>
      <c r="H32" s="312">
        <v>1827</v>
      </c>
      <c r="I32" s="312" t="s">
        <v>107</v>
      </c>
      <c r="J32" s="312">
        <v>1913</v>
      </c>
      <c r="K32" s="312" t="s">
        <v>109</v>
      </c>
    </row>
    <row r="33" spans="1:11">
      <c r="A33" s="312" t="s">
        <v>4612</v>
      </c>
      <c r="B33" s="312" t="s">
        <v>4613</v>
      </c>
      <c r="C33" s="312" t="s">
        <v>105</v>
      </c>
      <c r="D33" s="312" t="s">
        <v>573</v>
      </c>
      <c r="E33" s="312" t="s">
        <v>107</v>
      </c>
      <c r="F33" s="312">
        <v>1825</v>
      </c>
      <c r="G33" s="312" t="s">
        <v>108</v>
      </c>
      <c r="H33" s="312">
        <v>1827</v>
      </c>
      <c r="I33" s="312" t="s">
        <v>107</v>
      </c>
      <c r="J33" s="312">
        <v>1913</v>
      </c>
      <c r="K33" s="312" t="s">
        <v>109</v>
      </c>
    </row>
    <row r="34" spans="1:11">
      <c r="A34" s="312" t="s">
        <v>4776</v>
      </c>
      <c r="B34" s="312" t="s">
        <v>4777</v>
      </c>
      <c r="C34" s="312" t="s">
        <v>105</v>
      </c>
      <c r="D34" s="312" t="s">
        <v>573</v>
      </c>
      <c r="E34" s="312" t="s">
        <v>107</v>
      </c>
      <c r="F34" s="312">
        <v>1825</v>
      </c>
      <c r="G34" s="312" t="s">
        <v>108</v>
      </c>
      <c r="H34" s="312">
        <v>1827</v>
      </c>
      <c r="I34" s="312" t="s">
        <v>107</v>
      </c>
      <c r="J34" s="312">
        <v>1913</v>
      </c>
      <c r="K34" s="312" t="s">
        <v>109</v>
      </c>
    </row>
    <row r="35" spans="1:11">
      <c r="A35" s="312" t="s">
        <v>5023</v>
      </c>
      <c r="B35" s="312" t="s">
        <v>5024</v>
      </c>
      <c r="C35" s="312" t="s">
        <v>105</v>
      </c>
      <c r="D35" s="312" t="s">
        <v>573</v>
      </c>
      <c r="E35" s="312" t="s">
        <v>107</v>
      </c>
      <c r="F35" s="312">
        <v>1825</v>
      </c>
      <c r="G35" s="312" t="s">
        <v>108</v>
      </c>
      <c r="H35" s="312">
        <v>1827</v>
      </c>
      <c r="I35" s="312" t="s">
        <v>107</v>
      </c>
      <c r="J35" s="312">
        <v>1913</v>
      </c>
      <c r="K35" s="312" t="s">
        <v>109</v>
      </c>
    </row>
    <row r="36" spans="1:11">
      <c r="A36" s="312" t="s">
        <v>5039</v>
      </c>
      <c r="B36" s="312" t="s">
        <v>5040</v>
      </c>
      <c r="C36" s="312" t="s">
        <v>105</v>
      </c>
      <c r="D36" s="312" t="s">
        <v>573</v>
      </c>
      <c r="E36" s="312" t="s">
        <v>107</v>
      </c>
      <c r="F36" s="312">
        <v>1825</v>
      </c>
      <c r="G36" s="312" t="s">
        <v>108</v>
      </c>
      <c r="H36" s="312">
        <v>1827</v>
      </c>
      <c r="I36" s="312" t="s">
        <v>107</v>
      </c>
      <c r="J36" s="312">
        <v>1913</v>
      </c>
      <c r="K36" s="312" t="s">
        <v>109</v>
      </c>
    </row>
    <row r="37" spans="1:11">
      <c r="A37" s="312" t="s">
        <v>5041</v>
      </c>
      <c r="B37" s="312" t="s">
        <v>5042</v>
      </c>
      <c r="C37" s="312" t="s">
        <v>105</v>
      </c>
      <c r="D37" s="312" t="s">
        <v>573</v>
      </c>
      <c r="E37" s="312" t="s">
        <v>107</v>
      </c>
      <c r="F37" s="312">
        <v>1825</v>
      </c>
      <c r="G37" s="312" t="s">
        <v>108</v>
      </c>
      <c r="H37" s="312">
        <v>1827</v>
      </c>
      <c r="I37" s="312" t="s">
        <v>107</v>
      </c>
      <c r="J37" s="312">
        <v>1913</v>
      </c>
      <c r="K37" s="312" t="s">
        <v>109</v>
      </c>
    </row>
    <row r="38" spans="1:11">
      <c r="A38" s="312" t="s">
        <v>5133</v>
      </c>
      <c r="B38" s="312" t="s">
        <v>5134</v>
      </c>
      <c r="C38" s="312" t="s">
        <v>105</v>
      </c>
      <c r="D38" s="312" t="s">
        <v>573</v>
      </c>
      <c r="E38" s="312" t="s">
        <v>107</v>
      </c>
      <c r="F38" s="312">
        <v>1825</v>
      </c>
      <c r="G38" s="312" t="s">
        <v>108</v>
      </c>
      <c r="H38" s="312">
        <v>1827</v>
      </c>
      <c r="I38" s="312" t="s">
        <v>107</v>
      </c>
      <c r="J38" s="312">
        <v>1913</v>
      </c>
      <c r="K38" s="312" t="s">
        <v>109</v>
      </c>
    </row>
    <row r="39" spans="1:11">
      <c r="A39" s="312" t="s">
        <v>5135</v>
      </c>
      <c r="B39" s="312" t="s">
        <v>5136</v>
      </c>
      <c r="C39" s="312" t="s">
        <v>105</v>
      </c>
      <c r="D39" s="312" t="s">
        <v>573</v>
      </c>
      <c r="E39" s="312" t="s">
        <v>107</v>
      </c>
      <c r="F39" s="312">
        <v>1825</v>
      </c>
      <c r="G39" s="312" t="s">
        <v>108</v>
      </c>
      <c r="H39" s="312">
        <v>1827</v>
      </c>
      <c r="I39" s="312" t="s">
        <v>107</v>
      </c>
      <c r="J39" s="312">
        <v>1913</v>
      </c>
      <c r="K39" s="312" t="s">
        <v>109</v>
      </c>
    </row>
    <row r="40" spans="1:11">
      <c r="A40" s="312" t="s">
        <v>5137</v>
      </c>
      <c r="B40" s="312" t="s">
        <v>5138</v>
      </c>
      <c r="C40" s="312" t="s">
        <v>105</v>
      </c>
      <c r="D40" s="312" t="s">
        <v>573</v>
      </c>
      <c r="E40" s="312" t="s">
        <v>107</v>
      </c>
      <c r="F40" s="312">
        <v>1825</v>
      </c>
      <c r="G40" s="312" t="s">
        <v>108</v>
      </c>
      <c r="H40" s="312">
        <v>1827</v>
      </c>
      <c r="I40" s="312" t="s">
        <v>107</v>
      </c>
      <c r="J40" s="312">
        <v>1913</v>
      </c>
      <c r="K40" s="312" t="s">
        <v>109</v>
      </c>
    </row>
    <row r="41" spans="1:11">
      <c r="A41" s="312" t="s">
        <v>5208</v>
      </c>
      <c r="B41" s="312" t="s">
        <v>5209</v>
      </c>
      <c r="C41" s="312" t="s">
        <v>105</v>
      </c>
      <c r="D41" s="312" t="s">
        <v>573</v>
      </c>
      <c r="E41" s="312" t="s">
        <v>107</v>
      </c>
      <c r="F41" s="312">
        <v>1825</v>
      </c>
      <c r="G41" s="312" t="s">
        <v>108</v>
      </c>
      <c r="H41" s="312">
        <v>1827</v>
      </c>
      <c r="I41" s="312" t="s">
        <v>107</v>
      </c>
      <c r="J41" s="312">
        <v>1913</v>
      </c>
      <c r="K41" s="312" t="s">
        <v>109</v>
      </c>
    </row>
    <row r="42" spans="1:11">
      <c r="A42" s="312" t="s">
        <v>5212</v>
      </c>
      <c r="B42" s="312" t="s">
        <v>5213</v>
      </c>
      <c r="C42" s="312" t="s">
        <v>105</v>
      </c>
      <c r="D42" s="312" t="s">
        <v>573</v>
      </c>
      <c r="E42" s="312" t="s">
        <v>107</v>
      </c>
      <c r="F42" s="312">
        <v>1825</v>
      </c>
      <c r="G42" s="312" t="s">
        <v>108</v>
      </c>
      <c r="H42" s="312">
        <v>1827</v>
      </c>
      <c r="I42" s="312" t="s">
        <v>107</v>
      </c>
      <c r="J42" s="312">
        <v>1913</v>
      </c>
      <c r="K42" s="312" t="s">
        <v>109</v>
      </c>
    </row>
    <row r="43" spans="1:11">
      <c r="A43" s="312" t="s">
        <v>5224</v>
      </c>
      <c r="B43" s="312" t="s">
        <v>5225</v>
      </c>
      <c r="C43" s="312" t="s">
        <v>105</v>
      </c>
      <c r="D43" s="312" t="s">
        <v>573</v>
      </c>
      <c r="E43" s="312" t="s">
        <v>107</v>
      </c>
      <c r="F43" s="312">
        <v>1825</v>
      </c>
      <c r="G43" s="312" t="s">
        <v>108</v>
      </c>
      <c r="H43" s="312">
        <v>1827</v>
      </c>
      <c r="I43" s="312" t="s">
        <v>107</v>
      </c>
      <c r="J43" s="312">
        <v>1913</v>
      </c>
      <c r="K43" s="312" t="s">
        <v>109</v>
      </c>
    </row>
    <row r="44" spans="1:11">
      <c r="A44" s="312" t="s">
        <v>5228</v>
      </c>
      <c r="B44" s="312" t="s">
        <v>5229</v>
      </c>
      <c r="C44" s="312" t="s">
        <v>105</v>
      </c>
      <c r="D44" s="312" t="s">
        <v>573</v>
      </c>
      <c r="E44" s="312" t="s">
        <v>107</v>
      </c>
      <c r="F44" s="312">
        <v>1825</v>
      </c>
      <c r="G44" s="312" t="s">
        <v>108</v>
      </c>
      <c r="H44" s="312">
        <v>1827</v>
      </c>
      <c r="I44" s="312" t="s">
        <v>107</v>
      </c>
      <c r="J44" s="312">
        <v>1913</v>
      </c>
      <c r="K44" s="312" t="s">
        <v>109</v>
      </c>
    </row>
    <row r="45" spans="1:11">
      <c r="A45" s="312" t="s">
        <v>5230</v>
      </c>
      <c r="B45" s="312" t="s">
        <v>5231</v>
      </c>
      <c r="C45" s="312" t="s">
        <v>105</v>
      </c>
      <c r="D45" s="312" t="s">
        <v>573</v>
      </c>
      <c r="E45" s="312" t="s">
        <v>107</v>
      </c>
      <c r="F45" s="312">
        <v>1825</v>
      </c>
      <c r="G45" s="312" t="s">
        <v>108</v>
      </c>
      <c r="H45" s="312">
        <v>1827</v>
      </c>
      <c r="I45" s="312" t="s">
        <v>107</v>
      </c>
      <c r="J45" s="312">
        <v>1913</v>
      </c>
      <c r="K45" s="312" t="s">
        <v>109</v>
      </c>
    </row>
    <row r="46" spans="1:11">
      <c r="A46" s="312" t="s">
        <v>6036</v>
      </c>
      <c r="B46" s="312" t="s">
        <v>6037</v>
      </c>
      <c r="C46" s="312" t="s">
        <v>105</v>
      </c>
      <c r="D46" s="312" t="s">
        <v>573</v>
      </c>
      <c r="E46" s="312" t="s">
        <v>107</v>
      </c>
      <c r="F46" s="312">
        <v>1825</v>
      </c>
      <c r="G46" s="312" t="s">
        <v>108</v>
      </c>
      <c r="H46" s="312">
        <v>1827</v>
      </c>
      <c r="I46" s="312" t="s">
        <v>107</v>
      </c>
      <c r="J46" s="312">
        <v>1913</v>
      </c>
      <c r="K46" s="312" t="s">
        <v>109</v>
      </c>
    </row>
    <row r="47" spans="1:11">
      <c r="A47" s="312" t="s">
        <v>6044</v>
      </c>
      <c r="B47" s="312" t="s">
        <v>6045</v>
      </c>
      <c r="C47" s="312" t="s">
        <v>105</v>
      </c>
      <c r="D47" s="312" t="s">
        <v>573</v>
      </c>
      <c r="E47" s="312" t="s">
        <v>107</v>
      </c>
      <c r="F47" s="312">
        <v>1825</v>
      </c>
      <c r="G47" s="312" t="s">
        <v>108</v>
      </c>
      <c r="H47" s="312">
        <v>1827</v>
      </c>
      <c r="I47" s="312" t="s">
        <v>107</v>
      </c>
      <c r="J47" s="312">
        <v>1913</v>
      </c>
      <c r="K47" s="312" t="s">
        <v>109</v>
      </c>
    </row>
    <row r="48" spans="1:11">
      <c r="A48" s="312" t="s">
        <v>6046</v>
      </c>
      <c r="B48" s="312" t="s">
        <v>6047</v>
      </c>
      <c r="C48" s="312" t="s">
        <v>105</v>
      </c>
      <c r="D48" s="312" t="s">
        <v>573</v>
      </c>
      <c r="E48" s="312" t="s">
        <v>107</v>
      </c>
      <c r="F48" s="312">
        <v>1825</v>
      </c>
      <c r="G48" s="312" t="s">
        <v>108</v>
      </c>
      <c r="H48" s="312">
        <v>1827</v>
      </c>
      <c r="I48" s="312" t="s">
        <v>107</v>
      </c>
      <c r="J48" s="312">
        <v>1913</v>
      </c>
      <c r="K48" s="312" t="s">
        <v>109</v>
      </c>
    </row>
    <row r="49" spans="1:11">
      <c r="A49" s="312" t="s">
        <v>4577</v>
      </c>
      <c r="B49" s="312" t="s">
        <v>4578</v>
      </c>
      <c r="C49" s="312" t="s">
        <v>105</v>
      </c>
      <c r="D49" s="312" t="s">
        <v>4579</v>
      </c>
      <c r="E49" s="312" t="s">
        <v>107</v>
      </c>
      <c r="F49" s="312">
        <v>1825</v>
      </c>
      <c r="G49" s="312" t="s">
        <v>108</v>
      </c>
      <c r="H49" s="312">
        <v>1827</v>
      </c>
      <c r="I49" s="312" t="s">
        <v>107</v>
      </c>
      <c r="J49" s="312">
        <v>1913</v>
      </c>
      <c r="K49" s="312" t="s">
        <v>109</v>
      </c>
    </row>
    <row r="50" spans="1:11">
      <c r="A50" s="312" t="s">
        <v>4580</v>
      </c>
      <c r="B50" s="312" t="s">
        <v>4581</v>
      </c>
      <c r="C50" s="312" t="s">
        <v>105</v>
      </c>
      <c r="D50" s="312" t="s">
        <v>4579</v>
      </c>
      <c r="E50" s="312" t="s">
        <v>107</v>
      </c>
      <c r="F50" s="312">
        <v>1825</v>
      </c>
      <c r="G50" s="312" t="s">
        <v>108</v>
      </c>
      <c r="H50" s="312">
        <v>1827</v>
      </c>
      <c r="I50" s="312" t="s">
        <v>107</v>
      </c>
      <c r="J50" s="312">
        <v>1913</v>
      </c>
      <c r="K50" s="312" t="s">
        <v>109</v>
      </c>
    </row>
    <row r="51" spans="1:11">
      <c r="A51" s="312" t="s">
        <v>515</v>
      </c>
      <c r="B51" s="312" t="s">
        <v>516</v>
      </c>
      <c r="C51" s="312" t="s">
        <v>105</v>
      </c>
      <c r="D51" s="312" t="s">
        <v>517</v>
      </c>
      <c r="E51" s="312" t="s">
        <v>107</v>
      </c>
      <c r="F51" s="312">
        <v>1825</v>
      </c>
      <c r="G51" s="312" t="s">
        <v>108</v>
      </c>
      <c r="H51" s="312">
        <v>1827</v>
      </c>
      <c r="I51" s="312" t="s">
        <v>107</v>
      </c>
      <c r="J51" s="312">
        <v>1913</v>
      </c>
      <c r="K51" s="312" t="s">
        <v>109</v>
      </c>
    </row>
    <row r="52" spans="1:11">
      <c r="A52" s="312" t="s">
        <v>801</v>
      </c>
      <c r="B52" s="312" t="s">
        <v>802</v>
      </c>
      <c r="C52" s="312" t="s">
        <v>105</v>
      </c>
      <c r="D52" s="312" t="s">
        <v>517</v>
      </c>
      <c r="E52" s="312" t="s">
        <v>107</v>
      </c>
      <c r="F52" s="312">
        <v>1825</v>
      </c>
      <c r="G52" s="312" t="s">
        <v>108</v>
      </c>
      <c r="H52" s="312">
        <v>1827</v>
      </c>
      <c r="I52" s="312" t="s">
        <v>107</v>
      </c>
      <c r="J52" s="312">
        <v>1913</v>
      </c>
      <c r="K52" s="312" t="s">
        <v>109</v>
      </c>
    </row>
    <row r="53" spans="1:11">
      <c r="A53" s="312" t="s">
        <v>878</v>
      </c>
      <c r="B53" s="1" t="s">
        <v>879</v>
      </c>
      <c r="C53" s="312" t="s">
        <v>105</v>
      </c>
      <c r="D53" s="312" t="s">
        <v>517</v>
      </c>
      <c r="E53" s="312" t="s">
        <v>107</v>
      </c>
      <c r="F53" s="312">
        <v>1825</v>
      </c>
      <c r="G53" s="312" t="s">
        <v>108</v>
      </c>
      <c r="H53" s="312">
        <v>1827</v>
      </c>
      <c r="I53" s="312" t="s">
        <v>107</v>
      </c>
      <c r="J53" s="312">
        <v>1913</v>
      </c>
      <c r="K53" s="312" t="s">
        <v>109</v>
      </c>
    </row>
    <row r="54" spans="1:11">
      <c r="A54" s="312" t="s">
        <v>880</v>
      </c>
      <c r="B54" s="312" t="s">
        <v>881</v>
      </c>
      <c r="C54" s="312" t="s">
        <v>105</v>
      </c>
      <c r="D54" s="312" t="s">
        <v>517</v>
      </c>
      <c r="E54" s="312" t="s">
        <v>107</v>
      </c>
      <c r="F54" s="312">
        <v>1825</v>
      </c>
      <c r="G54" s="312" t="s">
        <v>108</v>
      </c>
      <c r="H54" s="312">
        <v>1827</v>
      </c>
      <c r="I54" s="312" t="s">
        <v>107</v>
      </c>
      <c r="J54" s="312">
        <v>1913</v>
      </c>
      <c r="K54" s="312" t="s">
        <v>109</v>
      </c>
    </row>
    <row r="55" spans="1:11">
      <c r="A55" s="312" t="s">
        <v>972</v>
      </c>
      <c r="B55" s="312" t="s">
        <v>973</v>
      </c>
      <c r="C55" s="312" t="s">
        <v>105</v>
      </c>
      <c r="D55" s="312" t="s">
        <v>517</v>
      </c>
      <c r="E55" s="312" t="s">
        <v>107</v>
      </c>
      <c r="F55" s="312">
        <v>1825</v>
      </c>
      <c r="G55" s="312" t="s">
        <v>108</v>
      </c>
      <c r="H55" s="312">
        <v>1827</v>
      </c>
      <c r="I55" s="312" t="s">
        <v>107</v>
      </c>
      <c r="J55" s="312">
        <v>1913</v>
      </c>
      <c r="K55" s="312" t="s">
        <v>109</v>
      </c>
    </row>
    <row r="56" spans="1:11">
      <c r="A56" s="312" t="s">
        <v>976</v>
      </c>
      <c r="B56" s="312" t="s">
        <v>977</v>
      </c>
      <c r="C56" s="312" t="s">
        <v>105</v>
      </c>
      <c r="D56" s="312" t="s">
        <v>517</v>
      </c>
      <c r="E56" s="312" t="s">
        <v>107</v>
      </c>
      <c r="F56" s="312">
        <v>1825</v>
      </c>
      <c r="G56" s="312" t="s">
        <v>108</v>
      </c>
      <c r="H56" s="312">
        <v>1827</v>
      </c>
      <c r="I56" s="312" t="s">
        <v>107</v>
      </c>
      <c r="J56" s="312">
        <v>1913</v>
      </c>
      <c r="K56" s="312" t="s">
        <v>109</v>
      </c>
    </row>
    <row r="57" spans="1:11">
      <c r="A57" s="312" t="s">
        <v>1048</v>
      </c>
      <c r="B57" s="312" t="s">
        <v>1049</v>
      </c>
      <c r="C57" s="312" t="s">
        <v>105</v>
      </c>
      <c r="D57" s="312" t="s">
        <v>517</v>
      </c>
      <c r="E57" s="312" t="s">
        <v>107</v>
      </c>
      <c r="F57" s="312">
        <v>1825</v>
      </c>
      <c r="G57" s="312" t="s">
        <v>108</v>
      </c>
      <c r="H57" s="312">
        <v>1827</v>
      </c>
      <c r="I57" s="312" t="s">
        <v>107</v>
      </c>
      <c r="J57" s="312">
        <v>1913</v>
      </c>
      <c r="K57" s="312" t="s">
        <v>109</v>
      </c>
    </row>
    <row r="58" spans="1:11">
      <c r="A58" s="312" t="s">
        <v>1050</v>
      </c>
      <c r="B58" s="312" t="s">
        <v>1051</v>
      </c>
      <c r="C58" s="312" t="s">
        <v>105</v>
      </c>
      <c r="D58" s="312" t="s">
        <v>517</v>
      </c>
      <c r="E58" s="312" t="s">
        <v>107</v>
      </c>
      <c r="F58" s="312">
        <v>1825</v>
      </c>
      <c r="G58" s="312" t="s">
        <v>108</v>
      </c>
      <c r="H58" s="312">
        <v>1827</v>
      </c>
      <c r="I58" s="312" t="s">
        <v>107</v>
      </c>
      <c r="J58" s="312">
        <v>1913</v>
      </c>
      <c r="K58" s="312" t="s">
        <v>109</v>
      </c>
    </row>
    <row r="59" spans="1:11">
      <c r="A59" s="312" t="s">
        <v>1475</v>
      </c>
      <c r="B59" s="312" t="s">
        <v>1476</v>
      </c>
      <c r="C59" s="312" t="s">
        <v>105</v>
      </c>
      <c r="D59" s="312" t="s">
        <v>517</v>
      </c>
      <c r="E59" s="312" t="s">
        <v>107</v>
      </c>
      <c r="F59" s="312">
        <v>1825</v>
      </c>
      <c r="G59" s="312" t="s">
        <v>108</v>
      </c>
      <c r="H59" s="312">
        <v>1827</v>
      </c>
      <c r="I59" s="312" t="s">
        <v>107</v>
      </c>
      <c r="J59" s="312">
        <v>1913</v>
      </c>
      <c r="K59" s="312" t="s">
        <v>109</v>
      </c>
    </row>
    <row r="60" spans="1:11">
      <c r="A60" s="312" t="s">
        <v>1947</v>
      </c>
      <c r="B60" s="312" t="s">
        <v>1948</v>
      </c>
      <c r="C60" s="312" t="s">
        <v>105</v>
      </c>
      <c r="D60" s="312" t="s">
        <v>517</v>
      </c>
      <c r="E60" s="312" t="s">
        <v>107</v>
      </c>
      <c r="F60" s="312">
        <v>1825</v>
      </c>
      <c r="G60" s="312" t="s">
        <v>108</v>
      </c>
      <c r="H60" s="312">
        <v>1827</v>
      </c>
      <c r="I60" s="312" t="s">
        <v>107</v>
      </c>
      <c r="J60" s="312">
        <v>1913</v>
      </c>
      <c r="K60" s="312" t="s">
        <v>109</v>
      </c>
    </row>
    <row r="61" spans="1:11">
      <c r="A61" s="312" t="s">
        <v>2348</v>
      </c>
      <c r="B61" s="312" t="s">
        <v>2349</v>
      </c>
      <c r="C61" s="312" t="s">
        <v>105</v>
      </c>
      <c r="D61" s="312" t="s">
        <v>517</v>
      </c>
      <c r="E61" s="312" t="s">
        <v>107</v>
      </c>
      <c r="F61" s="312">
        <v>1825</v>
      </c>
      <c r="G61" s="312" t="s">
        <v>108</v>
      </c>
      <c r="H61" s="312">
        <v>1827</v>
      </c>
      <c r="I61" s="312" t="s">
        <v>107</v>
      </c>
      <c r="J61" s="312">
        <v>1913</v>
      </c>
      <c r="K61" s="312" t="s">
        <v>109</v>
      </c>
    </row>
    <row r="62" spans="1:11">
      <c r="A62" s="312" t="s">
        <v>2627</v>
      </c>
      <c r="B62" s="312" t="s">
        <v>2628</v>
      </c>
      <c r="C62" s="312" t="s">
        <v>105</v>
      </c>
      <c r="D62" s="312" t="s">
        <v>517</v>
      </c>
      <c r="E62" s="312" t="s">
        <v>107</v>
      </c>
      <c r="F62" s="312">
        <v>1825</v>
      </c>
      <c r="G62" s="312" t="s">
        <v>108</v>
      </c>
      <c r="H62" s="312">
        <v>1827</v>
      </c>
      <c r="I62" s="312" t="s">
        <v>107</v>
      </c>
      <c r="J62" s="312">
        <v>1913</v>
      </c>
      <c r="K62" s="312" t="s">
        <v>109</v>
      </c>
    </row>
    <row r="63" spans="1:11">
      <c r="A63" s="312" t="s">
        <v>2933</v>
      </c>
      <c r="B63" s="312" t="s">
        <v>2934</v>
      </c>
      <c r="C63" s="312" t="s">
        <v>105</v>
      </c>
      <c r="D63" s="312" t="s">
        <v>517</v>
      </c>
      <c r="E63" s="312" t="s">
        <v>107</v>
      </c>
      <c r="F63" s="312">
        <v>1825</v>
      </c>
      <c r="G63" s="312" t="s">
        <v>108</v>
      </c>
      <c r="H63" s="312">
        <v>1827</v>
      </c>
      <c r="I63" s="312" t="s">
        <v>107</v>
      </c>
      <c r="J63" s="312">
        <v>1913</v>
      </c>
      <c r="K63" s="312" t="s">
        <v>109</v>
      </c>
    </row>
    <row r="64" spans="1:11">
      <c r="A64" s="312" t="s">
        <v>3283</v>
      </c>
      <c r="B64" s="312" t="s">
        <v>3284</v>
      </c>
      <c r="C64" s="312" t="s">
        <v>105</v>
      </c>
      <c r="D64" s="312" t="s">
        <v>517</v>
      </c>
      <c r="E64" s="312" t="s">
        <v>107</v>
      </c>
      <c r="F64" s="312">
        <v>1825</v>
      </c>
      <c r="G64" s="312" t="s">
        <v>108</v>
      </c>
      <c r="H64" s="312">
        <v>1827</v>
      </c>
      <c r="I64" s="312" t="s">
        <v>107</v>
      </c>
      <c r="J64" s="312">
        <v>1913</v>
      </c>
      <c r="K64" s="312" t="s">
        <v>109</v>
      </c>
    </row>
    <row r="65" spans="1:11">
      <c r="A65" s="312" t="s">
        <v>3665</v>
      </c>
      <c r="B65" s="312" t="s">
        <v>3666</v>
      </c>
      <c r="C65" s="312" t="s">
        <v>105</v>
      </c>
      <c r="D65" s="312" t="s">
        <v>517</v>
      </c>
      <c r="E65" s="312" t="s">
        <v>107</v>
      </c>
      <c r="F65" s="312">
        <v>1825</v>
      </c>
      <c r="G65" s="312" t="s">
        <v>108</v>
      </c>
      <c r="H65" s="312">
        <v>1827</v>
      </c>
      <c r="I65" s="312" t="s">
        <v>107</v>
      </c>
      <c r="J65" s="312">
        <v>1913</v>
      </c>
      <c r="K65" s="312" t="s">
        <v>109</v>
      </c>
    </row>
    <row r="66" spans="1:11">
      <c r="A66" s="312" t="s">
        <v>3865</v>
      </c>
      <c r="B66" s="312" t="s">
        <v>3866</v>
      </c>
      <c r="C66" s="312" t="s">
        <v>105</v>
      </c>
      <c r="D66" s="312" t="s">
        <v>517</v>
      </c>
      <c r="E66" s="312" t="s">
        <v>107</v>
      </c>
      <c r="F66" s="312">
        <v>1825</v>
      </c>
      <c r="G66" s="312" t="s">
        <v>108</v>
      </c>
      <c r="H66" s="312">
        <v>1827</v>
      </c>
      <c r="I66" s="312" t="s">
        <v>107</v>
      </c>
      <c r="J66" s="312">
        <v>1913</v>
      </c>
      <c r="K66" s="312" t="s">
        <v>109</v>
      </c>
    </row>
    <row r="67" spans="1:11">
      <c r="A67" s="312" t="s">
        <v>4267</v>
      </c>
      <c r="B67" s="312" t="s">
        <v>4268</v>
      </c>
      <c r="C67" s="312" t="s">
        <v>105</v>
      </c>
      <c r="D67" s="312" t="s">
        <v>517</v>
      </c>
      <c r="E67" s="312" t="s">
        <v>107</v>
      </c>
      <c r="F67" s="312">
        <v>1825</v>
      </c>
      <c r="G67" s="312" t="s">
        <v>108</v>
      </c>
      <c r="H67" s="312">
        <v>1827</v>
      </c>
      <c r="I67" s="312" t="s">
        <v>107</v>
      </c>
      <c r="J67" s="312">
        <v>1913</v>
      </c>
      <c r="K67" s="312" t="s">
        <v>109</v>
      </c>
    </row>
    <row r="68" spans="1:11">
      <c r="A68" s="312" t="s">
        <v>4275</v>
      </c>
      <c r="B68" s="312" t="s">
        <v>4276</v>
      </c>
      <c r="C68" s="312" t="s">
        <v>105</v>
      </c>
      <c r="D68" s="312" t="s">
        <v>517</v>
      </c>
      <c r="E68" s="312" t="s">
        <v>107</v>
      </c>
      <c r="F68" s="312">
        <v>1825</v>
      </c>
      <c r="G68" s="312" t="s">
        <v>108</v>
      </c>
      <c r="H68" s="312">
        <v>1827</v>
      </c>
      <c r="I68" s="312" t="s">
        <v>107</v>
      </c>
      <c r="J68" s="312">
        <v>1913</v>
      </c>
      <c r="K68" s="312" t="s">
        <v>109</v>
      </c>
    </row>
    <row r="69" spans="1:11">
      <c r="A69" s="312" t="s">
        <v>4279</v>
      </c>
      <c r="B69" s="312" t="s">
        <v>4280</v>
      </c>
      <c r="C69" s="312" t="s">
        <v>105</v>
      </c>
      <c r="D69" s="312" t="s">
        <v>517</v>
      </c>
      <c r="E69" s="312" t="s">
        <v>107</v>
      </c>
      <c r="F69" s="312">
        <v>1825</v>
      </c>
      <c r="G69" s="312" t="s">
        <v>108</v>
      </c>
      <c r="H69" s="312">
        <v>1827</v>
      </c>
      <c r="I69" s="312" t="s">
        <v>107</v>
      </c>
      <c r="J69" s="312">
        <v>1913</v>
      </c>
      <c r="K69" s="312" t="s">
        <v>109</v>
      </c>
    </row>
    <row r="70" spans="1:11">
      <c r="A70" s="312" t="s">
        <v>4283</v>
      </c>
      <c r="B70" s="312" t="s">
        <v>4284</v>
      </c>
      <c r="C70" s="312" t="s">
        <v>105</v>
      </c>
      <c r="D70" s="312" t="s">
        <v>517</v>
      </c>
      <c r="E70" s="312" t="s">
        <v>107</v>
      </c>
      <c r="F70" s="312">
        <v>1825</v>
      </c>
      <c r="G70" s="312" t="s">
        <v>108</v>
      </c>
      <c r="H70" s="312">
        <v>1827</v>
      </c>
      <c r="I70" s="312" t="s">
        <v>107</v>
      </c>
      <c r="J70" s="312">
        <v>1913</v>
      </c>
      <c r="K70" s="312" t="s">
        <v>109</v>
      </c>
    </row>
    <row r="71" spans="1:11">
      <c r="A71" s="312" t="s">
        <v>4289</v>
      </c>
      <c r="B71" s="312" t="s">
        <v>4290</v>
      </c>
      <c r="C71" s="312" t="s">
        <v>105</v>
      </c>
      <c r="D71" s="312" t="s">
        <v>517</v>
      </c>
      <c r="E71" s="312" t="s">
        <v>107</v>
      </c>
      <c r="F71" s="312">
        <v>1825</v>
      </c>
      <c r="G71" s="312" t="s">
        <v>108</v>
      </c>
      <c r="H71" s="312">
        <v>1827</v>
      </c>
      <c r="I71" s="312" t="s">
        <v>107</v>
      </c>
      <c r="J71" s="312">
        <v>1913</v>
      </c>
      <c r="K71" s="312" t="s">
        <v>109</v>
      </c>
    </row>
    <row r="72" spans="1:11">
      <c r="A72" s="312" t="s">
        <v>4291</v>
      </c>
      <c r="B72" s="312" t="s">
        <v>4292</v>
      </c>
      <c r="C72" s="312" t="s">
        <v>105</v>
      </c>
      <c r="D72" s="312" t="s">
        <v>517</v>
      </c>
      <c r="E72" s="312" t="s">
        <v>107</v>
      </c>
      <c r="F72" s="312">
        <v>1825</v>
      </c>
      <c r="G72" s="312" t="s">
        <v>108</v>
      </c>
      <c r="H72" s="312">
        <v>1827</v>
      </c>
      <c r="I72" s="312" t="s">
        <v>107</v>
      </c>
      <c r="J72" s="312">
        <v>1913</v>
      </c>
      <c r="K72" s="312" t="s">
        <v>109</v>
      </c>
    </row>
    <row r="73" spans="1:11">
      <c r="A73" s="312" t="s">
        <v>4475</v>
      </c>
      <c r="B73" s="312" t="s">
        <v>4476</v>
      </c>
      <c r="C73" s="312" t="s">
        <v>105</v>
      </c>
      <c r="D73" s="312" t="s">
        <v>517</v>
      </c>
      <c r="E73" s="312" t="s">
        <v>107</v>
      </c>
      <c r="F73" s="312">
        <v>1825</v>
      </c>
      <c r="G73" s="312" t="s">
        <v>108</v>
      </c>
      <c r="H73" s="312">
        <v>1827</v>
      </c>
      <c r="I73" s="312" t="s">
        <v>107</v>
      </c>
      <c r="J73" s="312">
        <v>1913</v>
      </c>
      <c r="K73" s="312" t="s">
        <v>109</v>
      </c>
    </row>
    <row r="74" spans="1:11">
      <c r="A74" s="312" t="s">
        <v>5047</v>
      </c>
      <c r="B74" s="312" t="s">
        <v>5048</v>
      </c>
      <c r="C74" s="312" t="s">
        <v>105</v>
      </c>
      <c r="D74" s="312" t="s">
        <v>517</v>
      </c>
      <c r="E74" s="312" t="s">
        <v>107</v>
      </c>
      <c r="F74" s="312">
        <v>1825</v>
      </c>
      <c r="G74" s="312" t="s">
        <v>108</v>
      </c>
      <c r="H74" s="312">
        <v>1827</v>
      </c>
      <c r="I74" s="312" t="s">
        <v>107</v>
      </c>
      <c r="J74" s="312">
        <v>1913</v>
      </c>
      <c r="K74" s="312" t="s">
        <v>109</v>
      </c>
    </row>
    <row r="75" spans="1:11">
      <c r="A75" s="312" t="s">
        <v>5159</v>
      </c>
      <c r="B75" s="312" t="s">
        <v>5160</v>
      </c>
      <c r="C75" s="312" t="s">
        <v>105</v>
      </c>
      <c r="D75" s="312" t="s">
        <v>517</v>
      </c>
      <c r="E75" s="312" t="s">
        <v>107</v>
      </c>
      <c r="F75" s="312">
        <v>1825</v>
      </c>
      <c r="G75" s="312" t="s">
        <v>108</v>
      </c>
      <c r="H75" s="312">
        <v>1827</v>
      </c>
      <c r="I75" s="312" t="s">
        <v>107</v>
      </c>
      <c r="J75" s="312">
        <v>1913</v>
      </c>
      <c r="K75" s="312" t="s">
        <v>109</v>
      </c>
    </row>
    <row r="76" spans="1:11">
      <c r="A76" s="312" t="s">
        <v>5395</v>
      </c>
      <c r="B76" s="312" t="s">
        <v>5396</v>
      </c>
      <c r="C76" s="312" t="s">
        <v>105</v>
      </c>
      <c r="D76" s="312" t="s">
        <v>517</v>
      </c>
      <c r="E76" s="312" t="s">
        <v>107</v>
      </c>
      <c r="F76" s="312">
        <v>1825</v>
      </c>
      <c r="G76" s="312" t="s">
        <v>108</v>
      </c>
      <c r="H76" s="312">
        <v>1827</v>
      </c>
      <c r="I76" s="312" t="s">
        <v>107</v>
      </c>
      <c r="J76" s="312">
        <v>1913</v>
      </c>
      <c r="K76" s="312" t="s">
        <v>109</v>
      </c>
    </row>
    <row r="77" spans="1:11">
      <c r="A77" s="312" t="s">
        <v>5397</v>
      </c>
      <c r="B77" s="312" t="s">
        <v>5398</v>
      </c>
      <c r="C77" s="312" t="s">
        <v>105</v>
      </c>
      <c r="D77" s="312" t="s">
        <v>517</v>
      </c>
      <c r="E77" s="312" t="s">
        <v>107</v>
      </c>
      <c r="F77" s="312">
        <v>1825</v>
      </c>
      <c r="G77" s="312" t="s">
        <v>108</v>
      </c>
      <c r="H77" s="312">
        <v>1827</v>
      </c>
      <c r="I77" s="312" t="s">
        <v>107</v>
      </c>
      <c r="J77" s="312">
        <v>1913</v>
      </c>
      <c r="K77" s="312" t="s">
        <v>109</v>
      </c>
    </row>
    <row r="78" spans="1:11">
      <c r="A78" s="312" t="s">
        <v>6056</v>
      </c>
      <c r="B78" s="312" t="s">
        <v>6057</v>
      </c>
      <c r="C78" s="312" t="s">
        <v>105</v>
      </c>
      <c r="D78" s="312" t="s">
        <v>517</v>
      </c>
      <c r="E78" s="312" t="s">
        <v>107</v>
      </c>
      <c r="F78" s="312">
        <v>1825</v>
      </c>
      <c r="G78" s="312" t="s">
        <v>108</v>
      </c>
      <c r="H78" s="312">
        <v>1827</v>
      </c>
      <c r="I78" s="312" t="s">
        <v>107</v>
      </c>
      <c r="J78" s="312">
        <v>1913</v>
      </c>
      <c r="K78" s="312" t="s">
        <v>109</v>
      </c>
    </row>
    <row r="79" spans="1:11">
      <c r="A79" s="312" t="s">
        <v>6237</v>
      </c>
      <c r="B79" s="312" t="s">
        <v>6238</v>
      </c>
      <c r="C79" s="312" t="s">
        <v>105</v>
      </c>
      <c r="D79" s="312" t="s">
        <v>517</v>
      </c>
      <c r="E79" s="312" t="s">
        <v>107</v>
      </c>
      <c r="F79" s="312">
        <v>1825</v>
      </c>
      <c r="G79" s="312" t="s">
        <v>108</v>
      </c>
      <c r="H79" s="312">
        <v>1827</v>
      </c>
      <c r="I79" s="312" t="s">
        <v>107</v>
      </c>
      <c r="J79" s="312">
        <v>1913</v>
      </c>
      <c r="K79" s="312" t="s">
        <v>109</v>
      </c>
    </row>
    <row r="80" spans="1:11">
      <c r="A80" s="312" t="s">
        <v>5171</v>
      </c>
      <c r="B80" s="312" t="s">
        <v>5172</v>
      </c>
      <c r="C80" s="312" t="s">
        <v>105</v>
      </c>
      <c r="D80" s="312" t="s">
        <v>5173</v>
      </c>
      <c r="E80" s="312" t="s">
        <v>107</v>
      </c>
      <c r="F80" s="312">
        <v>1825</v>
      </c>
      <c r="G80" s="312" t="s">
        <v>108</v>
      </c>
      <c r="H80" s="312">
        <v>1827</v>
      </c>
      <c r="I80" s="312" t="s">
        <v>107</v>
      </c>
      <c r="J80" s="312">
        <v>1913</v>
      </c>
      <c r="K80" s="312" t="s">
        <v>109</v>
      </c>
    </row>
    <row r="81" spans="1:11">
      <c r="A81" s="312" t="s">
        <v>2063</v>
      </c>
      <c r="B81" s="312" t="s">
        <v>2064</v>
      </c>
      <c r="C81" s="312" t="s">
        <v>105</v>
      </c>
      <c r="D81" s="312" t="s">
        <v>2065</v>
      </c>
      <c r="E81" s="312" t="s">
        <v>107</v>
      </c>
      <c r="F81" s="312">
        <v>1825</v>
      </c>
      <c r="G81" s="312" t="s">
        <v>108</v>
      </c>
      <c r="H81" s="312">
        <v>1827</v>
      </c>
      <c r="I81" s="312" t="s">
        <v>107</v>
      </c>
      <c r="J81" s="312">
        <v>1913</v>
      </c>
      <c r="K81" s="312" t="s">
        <v>109</v>
      </c>
    </row>
    <row r="82" spans="1:11">
      <c r="A82" s="312" t="s">
        <v>2830</v>
      </c>
      <c r="B82" s="1" t="s">
        <v>2831</v>
      </c>
      <c r="C82" s="312" t="s">
        <v>105</v>
      </c>
      <c r="D82" s="312" t="s">
        <v>2065</v>
      </c>
      <c r="E82" s="312" t="s">
        <v>107</v>
      </c>
      <c r="F82" s="312">
        <v>1825</v>
      </c>
      <c r="G82" s="312" t="s">
        <v>108</v>
      </c>
      <c r="H82" s="312">
        <v>1827</v>
      </c>
      <c r="I82" s="312" t="s">
        <v>107</v>
      </c>
      <c r="J82" s="312">
        <v>1913</v>
      </c>
      <c r="K82" s="312" t="s">
        <v>109</v>
      </c>
    </row>
    <row r="83" spans="1:11">
      <c r="A83" s="312" t="s">
        <v>2834</v>
      </c>
      <c r="B83" s="312" t="s">
        <v>2835</v>
      </c>
      <c r="C83" s="312" t="s">
        <v>105</v>
      </c>
      <c r="D83" s="312" t="s">
        <v>2065</v>
      </c>
      <c r="E83" s="312" t="s">
        <v>107</v>
      </c>
      <c r="F83" s="312">
        <v>1825</v>
      </c>
      <c r="G83" s="312" t="s">
        <v>108</v>
      </c>
      <c r="H83" s="312">
        <v>1827</v>
      </c>
      <c r="I83" s="312" t="s">
        <v>107</v>
      </c>
      <c r="J83" s="312">
        <v>1913</v>
      </c>
      <c r="K83" s="312" t="s">
        <v>109</v>
      </c>
    </row>
    <row r="84" spans="1:11">
      <c r="A84" s="312" t="s">
        <v>4758</v>
      </c>
      <c r="B84" s="312" t="s">
        <v>4759</v>
      </c>
      <c r="C84" s="312" t="s">
        <v>105</v>
      </c>
      <c r="D84" s="312" t="s">
        <v>2065</v>
      </c>
      <c r="E84" s="312" t="s">
        <v>107</v>
      </c>
      <c r="F84" s="312">
        <v>1825</v>
      </c>
      <c r="G84" s="312" t="s">
        <v>108</v>
      </c>
      <c r="H84" s="312">
        <v>1827</v>
      </c>
      <c r="I84" s="312" t="s">
        <v>107</v>
      </c>
      <c r="J84" s="312">
        <v>1913</v>
      </c>
      <c r="K84" s="312" t="s">
        <v>109</v>
      </c>
    </row>
    <row r="85" spans="1:11">
      <c r="A85" s="312" t="s">
        <v>4760</v>
      </c>
      <c r="B85" s="312" t="s">
        <v>4761</v>
      </c>
      <c r="C85" s="312" t="s">
        <v>105</v>
      </c>
      <c r="D85" s="312" t="s">
        <v>2065</v>
      </c>
      <c r="E85" s="312" t="s">
        <v>107</v>
      </c>
      <c r="F85" s="312">
        <v>1825</v>
      </c>
      <c r="G85" s="312" t="s">
        <v>108</v>
      </c>
      <c r="H85" s="312">
        <v>1827</v>
      </c>
      <c r="I85" s="312" t="s">
        <v>107</v>
      </c>
      <c r="J85" s="312">
        <v>1913</v>
      </c>
      <c r="K85" s="312" t="s">
        <v>109</v>
      </c>
    </row>
    <row r="86" spans="1:11">
      <c r="A86" s="312" t="s">
        <v>5216</v>
      </c>
      <c r="B86" s="312" t="s">
        <v>5217</v>
      </c>
      <c r="C86" s="312" t="s">
        <v>105</v>
      </c>
      <c r="D86" s="312" t="s">
        <v>2065</v>
      </c>
      <c r="E86" s="312" t="s">
        <v>107</v>
      </c>
      <c r="F86" s="312">
        <v>1825</v>
      </c>
      <c r="G86" s="312" t="s">
        <v>108</v>
      </c>
      <c r="H86" s="312">
        <v>1827</v>
      </c>
      <c r="I86" s="312" t="s">
        <v>107</v>
      </c>
      <c r="J86" s="312">
        <v>1913</v>
      </c>
      <c r="K86" s="312" t="s">
        <v>109</v>
      </c>
    </row>
    <row r="87" spans="1:11">
      <c r="A87" s="312" t="s">
        <v>281</v>
      </c>
      <c r="B87" s="312" t="s">
        <v>282</v>
      </c>
      <c r="C87" s="312" t="s">
        <v>105</v>
      </c>
      <c r="D87" s="312" t="s">
        <v>283</v>
      </c>
      <c r="E87" s="312" t="s">
        <v>107</v>
      </c>
      <c r="F87" s="312">
        <v>1825</v>
      </c>
      <c r="G87" s="312" t="s">
        <v>108</v>
      </c>
      <c r="H87" s="312">
        <v>1827</v>
      </c>
      <c r="I87" s="312" t="s">
        <v>107</v>
      </c>
      <c r="J87" s="312">
        <v>1913</v>
      </c>
      <c r="K87" s="312" t="s">
        <v>109</v>
      </c>
    </row>
    <row r="88" spans="1:11">
      <c r="A88" s="312" t="s">
        <v>284</v>
      </c>
      <c r="B88" s="312" t="s">
        <v>285</v>
      </c>
      <c r="C88" s="312" t="s">
        <v>105</v>
      </c>
      <c r="D88" s="312" t="s">
        <v>283</v>
      </c>
      <c r="E88" s="312" t="s">
        <v>107</v>
      </c>
      <c r="F88" s="312">
        <v>1825</v>
      </c>
      <c r="G88" s="312" t="s">
        <v>108</v>
      </c>
      <c r="H88" s="312">
        <v>1827</v>
      </c>
      <c r="I88" s="312" t="s">
        <v>107</v>
      </c>
      <c r="J88" s="312">
        <v>1913</v>
      </c>
      <c r="K88" s="312" t="s">
        <v>109</v>
      </c>
    </row>
    <row r="89" spans="1:11">
      <c r="A89" s="312" t="s">
        <v>1253</v>
      </c>
      <c r="B89" s="312" t="s">
        <v>1254</v>
      </c>
      <c r="C89" s="312" t="s">
        <v>105</v>
      </c>
      <c r="D89" s="312" t="s">
        <v>283</v>
      </c>
      <c r="E89" s="312" t="s">
        <v>107</v>
      </c>
      <c r="F89" s="312">
        <v>1825</v>
      </c>
      <c r="G89" s="312" t="s">
        <v>108</v>
      </c>
      <c r="H89" s="312">
        <v>1827</v>
      </c>
      <c r="I89" s="312" t="s">
        <v>107</v>
      </c>
      <c r="J89" s="312">
        <v>1913</v>
      </c>
      <c r="K89" s="312" t="s">
        <v>109</v>
      </c>
    </row>
    <row r="90" spans="1:11">
      <c r="A90" s="312" t="s">
        <v>1439</v>
      </c>
      <c r="B90" s="312" t="s">
        <v>1440</v>
      </c>
      <c r="C90" s="312" t="s">
        <v>105</v>
      </c>
      <c r="D90" s="312" t="s">
        <v>283</v>
      </c>
      <c r="E90" s="312" t="s">
        <v>107</v>
      </c>
      <c r="F90" s="312">
        <v>1825</v>
      </c>
      <c r="G90" s="312" t="s">
        <v>108</v>
      </c>
      <c r="H90" s="312">
        <v>1827</v>
      </c>
      <c r="I90" s="312" t="s">
        <v>107</v>
      </c>
      <c r="J90" s="312">
        <v>1913</v>
      </c>
      <c r="K90" s="312" t="s">
        <v>109</v>
      </c>
    </row>
    <row r="91" spans="1:11">
      <c r="A91" s="312" t="s">
        <v>2100</v>
      </c>
      <c r="B91" s="312" t="s">
        <v>2101</v>
      </c>
      <c r="C91" s="312" t="s">
        <v>105</v>
      </c>
      <c r="D91" s="312" t="s">
        <v>283</v>
      </c>
      <c r="E91" s="312" t="s">
        <v>107</v>
      </c>
      <c r="F91" s="312">
        <v>1825</v>
      </c>
      <c r="G91" s="312" t="s">
        <v>108</v>
      </c>
      <c r="H91" s="312">
        <v>1827</v>
      </c>
      <c r="I91" s="312" t="s">
        <v>107</v>
      </c>
      <c r="J91" s="312">
        <v>1913</v>
      </c>
      <c r="K91" s="312" t="s">
        <v>109</v>
      </c>
    </row>
    <row r="92" spans="1:11">
      <c r="A92" s="312" t="s">
        <v>2330</v>
      </c>
      <c r="B92" s="312" t="s">
        <v>2331</v>
      </c>
      <c r="C92" s="312" t="s">
        <v>105</v>
      </c>
      <c r="D92" s="312" t="s">
        <v>283</v>
      </c>
      <c r="E92" s="312" t="s">
        <v>107</v>
      </c>
      <c r="F92" s="312">
        <v>1825</v>
      </c>
      <c r="G92" s="312" t="s">
        <v>108</v>
      </c>
      <c r="H92" s="312">
        <v>1827</v>
      </c>
      <c r="I92" s="312" t="s">
        <v>107</v>
      </c>
      <c r="J92" s="312">
        <v>1913</v>
      </c>
      <c r="K92" s="312" t="s">
        <v>109</v>
      </c>
    </row>
    <row r="93" spans="1:11">
      <c r="A93" s="312" t="s">
        <v>2334</v>
      </c>
      <c r="B93" s="312" t="s">
        <v>2335</v>
      </c>
      <c r="C93" s="312" t="s">
        <v>105</v>
      </c>
      <c r="D93" s="312" t="s">
        <v>283</v>
      </c>
      <c r="E93" s="312" t="s">
        <v>107</v>
      </c>
      <c r="F93" s="312">
        <v>1825</v>
      </c>
      <c r="G93" s="312" t="s">
        <v>108</v>
      </c>
      <c r="H93" s="312">
        <v>1827</v>
      </c>
      <c r="I93" s="312" t="s">
        <v>107</v>
      </c>
      <c r="J93" s="312">
        <v>1913</v>
      </c>
      <c r="K93" s="312" t="s">
        <v>109</v>
      </c>
    </row>
    <row r="94" spans="1:11">
      <c r="A94" s="312" t="s">
        <v>2336</v>
      </c>
      <c r="B94" s="312" t="s">
        <v>2337</v>
      </c>
      <c r="C94" s="312" t="s">
        <v>105</v>
      </c>
      <c r="D94" s="312" t="s">
        <v>283</v>
      </c>
      <c r="E94" s="312" t="s">
        <v>107</v>
      </c>
      <c r="F94" s="312">
        <v>1825</v>
      </c>
      <c r="G94" s="312" t="s">
        <v>108</v>
      </c>
      <c r="H94" s="312">
        <v>1827</v>
      </c>
      <c r="I94" s="312" t="s">
        <v>107</v>
      </c>
      <c r="J94" s="312">
        <v>1913</v>
      </c>
      <c r="K94" s="312" t="s">
        <v>109</v>
      </c>
    </row>
    <row r="95" spans="1:11">
      <c r="A95" s="312" t="s">
        <v>2338</v>
      </c>
      <c r="B95" s="312" t="s">
        <v>2339</v>
      </c>
      <c r="C95" s="312" t="s">
        <v>105</v>
      </c>
      <c r="D95" s="312" t="s">
        <v>283</v>
      </c>
      <c r="E95" s="312" t="s">
        <v>107</v>
      </c>
      <c r="F95" s="312">
        <v>1825</v>
      </c>
      <c r="G95" s="312" t="s">
        <v>108</v>
      </c>
      <c r="H95" s="312">
        <v>1827</v>
      </c>
      <c r="I95" s="312" t="s">
        <v>107</v>
      </c>
      <c r="J95" s="312">
        <v>1913</v>
      </c>
      <c r="K95" s="312" t="s">
        <v>109</v>
      </c>
    </row>
    <row r="96" spans="1:11">
      <c r="A96" s="312" t="s">
        <v>2340</v>
      </c>
      <c r="B96" s="312" t="s">
        <v>2341</v>
      </c>
      <c r="C96" s="312" t="s">
        <v>105</v>
      </c>
      <c r="D96" s="312" t="s">
        <v>283</v>
      </c>
      <c r="E96" s="312" t="s">
        <v>107</v>
      </c>
      <c r="F96" s="312">
        <v>1825</v>
      </c>
      <c r="G96" s="312" t="s">
        <v>108</v>
      </c>
      <c r="H96" s="312">
        <v>1827</v>
      </c>
      <c r="I96" s="312" t="s">
        <v>107</v>
      </c>
      <c r="J96" s="312">
        <v>1913</v>
      </c>
      <c r="K96" s="312" t="s">
        <v>109</v>
      </c>
    </row>
    <row r="97" spans="1:11">
      <c r="A97" s="312" t="s">
        <v>2417</v>
      </c>
      <c r="B97" s="312" t="s">
        <v>2418</v>
      </c>
      <c r="C97" s="312" t="s">
        <v>105</v>
      </c>
      <c r="D97" s="312" t="s">
        <v>283</v>
      </c>
      <c r="E97" s="312" t="s">
        <v>107</v>
      </c>
      <c r="F97" s="312">
        <v>1825</v>
      </c>
      <c r="G97" s="312" t="s">
        <v>108</v>
      </c>
      <c r="H97" s="312">
        <v>1827</v>
      </c>
      <c r="I97" s="312" t="s">
        <v>107</v>
      </c>
      <c r="J97" s="312">
        <v>1913</v>
      </c>
      <c r="K97" s="312" t="s">
        <v>109</v>
      </c>
    </row>
    <row r="98" spans="1:11">
      <c r="A98" s="312" t="s">
        <v>2419</v>
      </c>
      <c r="B98" s="312" t="s">
        <v>2420</v>
      </c>
      <c r="C98" s="312" t="s">
        <v>105</v>
      </c>
      <c r="D98" s="312" t="s">
        <v>283</v>
      </c>
      <c r="E98" s="312" t="s">
        <v>107</v>
      </c>
      <c r="F98" s="312">
        <v>1825</v>
      </c>
      <c r="G98" s="312" t="s">
        <v>108</v>
      </c>
      <c r="H98" s="312">
        <v>1827</v>
      </c>
      <c r="I98" s="312" t="s">
        <v>107</v>
      </c>
      <c r="J98" s="312">
        <v>1913</v>
      </c>
      <c r="K98" s="312" t="s">
        <v>109</v>
      </c>
    </row>
    <row r="99" spans="1:11">
      <c r="A99" s="312" t="s">
        <v>2421</v>
      </c>
      <c r="B99" s="312" t="s">
        <v>2422</v>
      </c>
      <c r="C99" s="312" t="s">
        <v>105</v>
      </c>
      <c r="D99" s="312" t="s">
        <v>283</v>
      </c>
      <c r="E99" s="312" t="s">
        <v>107</v>
      </c>
      <c r="F99" s="312">
        <v>1825</v>
      </c>
      <c r="G99" s="312" t="s">
        <v>108</v>
      </c>
      <c r="H99" s="312">
        <v>1827</v>
      </c>
      <c r="I99" s="312" t="s">
        <v>107</v>
      </c>
      <c r="J99" s="312">
        <v>1913</v>
      </c>
      <c r="K99" s="312" t="s">
        <v>109</v>
      </c>
    </row>
    <row r="100" spans="1:11">
      <c r="A100" s="312" t="s">
        <v>2423</v>
      </c>
      <c r="B100" s="312" t="s">
        <v>2424</v>
      </c>
      <c r="C100" s="312" t="s">
        <v>105</v>
      </c>
      <c r="D100" s="312" t="s">
        <v>283</v>
      </c>
      <c r="E100" s="312" t="s">
        <v>107</v>
      </c>
      <c r="F100" s="312">
        <v>1825</v>
      </c>
      <c r="G100" s="312" t="s">
        <v>108</v>
      </c>
      <c r="H100" s="312">
        <v>1827</v>
      </c>
      <c r="I100" s="312" t="s">
        <v>107</v>
      </c>
      <c r="J100" s="312">
        <v>1913</v>
      </c>
      <c r="K100" s="312" t="s">
        <v>109</v>
      </c>
    </row>
    <row r="101" spans="1:11">
      <c r="A101" s="312" t="s">
        <v>3207</v>
      </c>
      <c r="B101" s="312" t="s">
        <v>3208</v>
      </c>
      <c r="C101" s="312" t="s">
        <v>105</v>
      </c>
      <c r="D101" s="312" t="s">
        <v>283</v>
      </c>
      <c r="E101" s="312" t="s">
        <v>107</v>
      </c>
      <c r="F101" s="312">
        <v>1825</v>
      </c>
      <c r="G101" s="312" t="s">
        <v>108</v>
      </c>
      <c r="H101" s="312">
        <v>1827</v>
      </c>
      <c r="I101" s="312" t="s">
        <v>107</v>
      </c>
      <c r="J101" s="312">
        <v>1913</v>
      </c>
      <c r="K101" s="312" t="s">
        <v>109</v>
      </c>
    </row>
    <row r="102" spans="1:11">
      <c r="A102" s="312" t="s">
        <v>3209</v>
      </c>
      <c r="B102" s="312" t="s">
        <v>3210</v>
      </c>
      <c r="C102" s="312" t="s">
        <v>105</v>
      </c>
      <c r="D102" s="312" t="s">
        <v>283</v>
      </c>
      <c r="E102" s="312" t="s">
        <v>107</v>
      </c>
      <c r="F102" s="312">
        <v>1825</v>
      </c>
      <c r="G102" s="312" t="s">
        <v>108</v>
      </c>
      <c r="H102" s="312">
        <v>1827</v>
      </c>
      <c r="I102" s="312" t="s">
        <v>107</v>
      </c>
      <c r="J102" s="312">
        <v>1913</v>
      </c>
      <c r="K102" s="312" t="s">
        <v>109</v>
      </c>
    </row>
    <row r="103" spans="1:11">
      <c r="A103" s="312" t="s">
        <v>3211</v>
      </c>
      <c r="B103" s="312" t="s">
        <v>3212</v>
      </c>
      <c r="C103" s="312" t="s">
        <v>105</v>
      </c>
      <c r="D103" s="312" t="s">
        <v>283</v>
      </c>
      <c r="E103" s="312" t="s">
        <v>107</v>
      </c>
      <c r="F103" s="312">
        <v>1825</v>
      </c>
      <c r="G103" s="312" t="s">
        <v>108</v>
      </c>
      <c r="H103" s="312">
        <v>1827</v>
      </c>
      <c r="I103" s="312" t="s">
        <v>107</v>
      </c>
      <c r="J103" s="312">
        <v>1913</v>
      </c>
      <c r="K103" s="312" t="s">
        <v>109</v>
      </c>
    </row>
    <row r="104" spans="1:11">
      <c r="A104" s="312" t="s">
        <v>2317</v>
      </c>
      <c r="B104" s="312" t="s">
        <v>2318</v>
      </c>
      <c r="C104" s="312" t="s">
        <v>105</v>
      </c>
      <c r="D104" s="312" t="s">
        <v>2319</v>
      </c>
      <c r="E104" s="312" t="s">
        <v>107</v>
      </c>
      <c r="F104" s="312">
        <v>1825</v>
      </c>
      <c r="G104" s="312" t="s">
        <v>108</v>
      </c>
      <c r="H104" s="312">
        <v>1827</v>
      </c>
      <c r="I104" s="312" t="s">
        <v>107</v>
      </c>
      <c r="J104" s="312">
        <v>1913</v>
      </c>
      <c r="K104" s="312" t="s">
        <v>109</v>
      </c>
    </row>
    <row r="105" spans="1:11">
      <c r="A105" s="312" t="s">
        <v>522</v>
      </c>
      <c r="B105" s="312" t="s">
        <v>523</v>
      </c>
      <c r="C105" s="312" t="s">
        <v>105</v>
      </c>
      <c r="D105" s="312" t="s">
        <v>524</v>
      </c>
      <c r="E105" s="312" t="s">
        <v>107</v>
      </c>
      <c r="F105" s="312">
        <v>1825</v>
      </c>
      <c r="G105" s="312" t="s">
        <v>108</v>
      </c>
      <c r="H105" s="312">
        <v>1827</v>
      </c>
      <c r="I105" s="312" t="s">
        <v>107</v>
      </c>
      <c r="J105" s="312">
        <v>1913</v>
      </c>
      <c r="K105" s="312" t="s">
        <v>109</v>
      </c>
    </row>
    <row r="106" spans="1:11">
      <c r="A106" s="312" t="s">
        <v>547</v>
      </c>
      <c r="B106" s="312" t="s">
        <v>548</v>
      </c>
      <c r="C106" s="312" t="s">
        <v>105</v>
      </c>
      <c r="D106" s="312" t="s">
        <v>524</v>
      </c>
      <c r="E106" s="312" t="s">
        <v>107</v>
      </c>
      <c r="F106" s="312">
        <v>1825</v>
      </c>
      <c r="G106" s="312" t="s">
        <v>108</v>
      </c>
      <c r="H106" s="312">
        <v>1827</v>
      </c>
      <c r="I106" s="312" t="s">
        <v>107</v>
      </c>
      <c r="J106" s="312">
        <v>1913</v>
      </c>
      <c r="K106" s="312" t="s">
        <v>109</v>
      </c>
    </row>
    <row r="107" spans="1:11">
      <c r="A107" s="312" t="s">
        <v>3239</v>
      </c>
      <c r="B107" s="312" t="s">
        <v>3240</v>
      </c>
      <c r="C107" s="312" t="s">
        <v>105</v>
      </c>
      <c r="D107" s="312" t="s">
        <v>524</v>
      </c>
      <c r="E107" s="312" t="s">
        <v>107</v>
      </c>
      <c r="F107" s="312">
        <v>1825</v>
      </c>
      <c r="G107" s="312" t="s">
        <v>108</v>
      </c>
      <c r="H107" s="312">
        <v>1827</v>
      </c>
      <c r="I107" s="312" t="s">
        <v>107</v>
      </c>
      <c r="J107" s="312">
        <v>1913</v>
      </c>
      <c r="K107" s="312" t="s">
        <v>109</v>
      </c>
    </row>
    <row r="108" spans="1:11">
      <c r="A108" s="312" t="s">
        <v>3818</v>
      </c>
      <c r="B108" s="312" t="s">
        <v>3819</v>
      </c>
      <c r="C108" s="312" t="s">
        <v>105</v>
      </c>
      <c r="D108" s="312" t="s">
        <v>524</v>
      </c>
      <c r="E108" s="312" t="s">
        <v>107</v>
      </c>
      <c r="F108" s="312">
        <v>1825</v>
      </c>
      <c r="G108" s="312" t="s">
        <v>108</v>
      </c>
      <c r="H108" s="312">
        <v>1827</v>
      </c>
      <c r="I108" s="312" t="s">
        <v>107</v>
      </c>
      <c r="J108" s="312">
        <v>1913</v>
      </c>
      <c r="K108" s="312" t="s">
        <v>109</v>
      </c>
    </row>
    <row r="109" spans="1:11">
      <c r="A109" s="312" t="s">
        <v>3825</v>
      </c>
      <c r="B109" s="312" t="s">
        <v>3826</v>
      </c>
      <c r="C109" s="312" t="s">
        <v>105</v>
      </c>
      <c r="D109" s="312" t="s">
        <v>524</v>
      </c>
      <c r="E109" s="312" t="s">
        <v>107</v>
      </c>
      <c r="F109" s="312">
        <v>1825</v>
      </c>
      <c r="G109" s="312" t="s">
        <v>108</v>
      </c>
      <c r="H109" s="312">
        <v>1827</v>
      </c>
      <c r="I109" s="312" t="s">
        <v>107</v>
      </c>
      <c r="J109" s="312">
        <v>1913</v>
      </c>
      <c r="K109" s="312" t="s">
        <v>109</v>
      </c>
    </row>
    <row r="110" spans="1:11">
      <c r="A110" s="312" t="s">
        <v>3839</v>
      </c>
      <c r="B110" s="312" t="s">
        <v>3840</v>
      </c>
      <c r="C110" s="312" t="s">
        <v>105</v>
      </c>
      <c r="D110" s="312" t="s">
        <v>524</v>
      </c>
      <c r="E110" s="312" t="s">
        <v>107</v>
      </c>
      <c r="F110" s="312">
        <v>1825</v>
      </c>
      <c r="G110" s="312" t="s">
        <v>108</v>
      </c>
      <c r="H110" s="312">
        <v>1827</v>
      </c>
      <c r="I110" s="312" t="s">
        <v>107</v>
      </c>
      <c r="J110" s="312">
        <v>1913</v>
      </c>
      <c r="K110" s="312" t="s">
        <v>109</v>
      </c>
    </row>
    <row r="111" spans="1:11">
      <c r="A111" s="312" t="s">
        <v>4066</v>
      </c>
      <c r="B111" s="312" t="s">
        <v>4067</v>
      </c>
      <c r="C111" s="312" t="s">
        <v>105</v>
      </c>
      <c r="D111" s="312" t="s">
        <v>524</v>
      </c>
      <c r="E111" s="312" t="s">
        <v>107</v>
      </c>
      <c r="F111" s="312">
        <v>1825</v>
      </c>
      <c r="G111" s="312" t="s">
        <v>108</v>
      </c>
      <c r="H111" s="312">
        <v>1827</v>
      </c>
      <c r="I111" s="312" t="s">
        <v>107</v>
      </c>
      <c r="J111" s="312">
        <v>1913</v>
      </c>
      <c r="K111" s="312" t="s">
        <v>109</v>
      </c>
    </row>
    <row r="112" spans="1:11">
      <c r="A112" s="312" t="s">
        <v>2926</v>
      </c>
      <c r="B112" s="312" t="s">
        <v>2927</v>
      </c>
      <c r="C112" s="312" t="s">
        <v>105</v>
      </c>
      <c r="D112" s="312" t="s">
        <v>2928</v>
      </c>
      <c r="E112" s="312" t="s">
        <v>107</v>
      </c>
      <c r="F112" s="312">
        <v>1825</v>
      </c>
      <c r="G112" s="312" t="s">
        <v>108</v>
      </c>
      <c r="H112" s="312">
        <v>1827</v>
      </c>
      <c r="I112" s="312" t="s">
        <v>107</v>
      </c>
      <c r="J112" s="312">
        <v>1913</v>
      </c>
      <c r="K112" s="312" t="s">
        <v>109</v>
      </c>
    </row>
    <row r="113" spans="1:11">
      <c r="A113" s="312" t="s">
        <v>3223</v>
      </c>
      <c r="B113" s="312" t="s">
        <v>3224</v>
      </c>
      <c r="C113" s="312" t="s">
        <v>105</v>
      </c>
      <c r="D113" s="312" t="s">
        <v>2928</v>
      </c>
      <c r="E113" s="312" t="s">
        <v>107</v>
      </c>
      <c r="F113" s="312">
        <v>1825</v>
      </c>
      <c r="G113" s="312" t="s">
        <v>108</v>
      </c>
      <c r="H113" s="312">
        <v>1827</v>
      </c>
      <c r="I113" s="312" t="s">
        <v>107</v>
      </c>
      <c r="J113" s="312">
        <v>1913</v>
      </c>
      <c r="K113" s="312" t="s">
        <v>109</v>
      </c>
    </row>
    <row r="114" spans="1:11">
      <c r="A114" s="312" t="s">
        <v>3225</v>
      </c>
      <c r="B114" s="312" t="s">
        <v>3226</v>
      </c>
      <c r="C114" s="312" t="s">
        <v>105</v>
      </c>
      <c r="D114" s="312" t="s">
        <v>2928</v>
      </c>
      <c r="E114" s="312" t="s">
        <v>107</v>
      </c>
      <c r="F114" s="312">
        <v>1825</v>
      </c>
      <c r="G114" s="312" t="s">
        <v>108</v>
      </c>
      <c r="H114" s="312">
        <v>1827</v>
      </c>
      <c r="I114" s="312" t="s">
        <v>107</v>
      </c>
      <c r="J114" s="312">
        <v>1913</v>
      </c>
      <c r="K114" s="312" t="s">
        <v>109</v>
      </c>
    </row>
    <row r="115" spans="1:11">
      <c r="A115" s="312" t="s">
        <v>3227</v>
      </c>
      <c r="B115" s="312" t="s">
        <v>3228</v>
      </c>
      <c r="C115" s="312" t="s">
        <v>105</v>
      </c>
      <c r="D115" s="312" t="s">
        <v>2928</v>
      </c>
      <c r="E115" s="312" t="s">
        <v>107</v>
      </c>
      <c r="F115" s="312">
        <v>1825</v>
      </c>
      <c r="G115" s="312" t="s">
        <v>108</v>
      </c>
      <c r="H115" s="312">
        <v>1827</v>
      </c>
      <c r="I115" s="312" t="s">
        <v>107</v>
      </c>
      <c r="J115" s="312">
        <v>1913</v>
      </c>
      <c r="K115" s="312" t="s">
        <v>109</v>
      </c>
    </row>
    <row r="116" spans="1:11">
      <c r="A116" s="312" t="s">
        <v>3751</v>
      </c>
      <c r="B116" s="312" t="s">
        <v>3752</v>
      </c>
      <c r="C116" s="312" t="s">
        <v>105</v>
      </c>
      <c r="D116" s="312" t="s">
        <v>2928</v>
      </c>
      <c r="E116" s="312" t="s">
        <v>107</v>
      </c>
      <c r="F116" s="312">
        <v>1825</v>
      </c>
      <c r="G116" s="312" t="s">
        <v>108</v>
      </c>
      <c r="H116" s="312">
        <v>1827</v>
      </c>
      <c r="I116" s="312" t="s">
        <v>107</v>
      </c>
      <c r="J116" s="312">
        <v>1913</v>
      </c>
      <c r="K116" s="312" t="s">
        <v>109</v>
      </c>
    </row>
    <row r="117" spans="1:11">
      <c r="A117" s="312" t="s">
        <v>3753</v>
      </c>
      <c r="B117" s="312" t="s">
        <v>3754</v>
      </c>
      <c r="C117" s="312" t="s">
        <v>105</v>
      </c>
      <c r="D117" s="312" t="s">
        <v>2928</v>
      </c>
      <c r="E117" s="312" t="s">
        <v>107</v>
      </c>
      <c r="F117" s="312">
        <v>1825</v>
      </c>
      <c r="G117" s="312" t="s">
        <v>108</v>
      </c>
      <c r="H117" s="312">
        <v>1827</v>
      </c>
      <c r="I117" s="312" t="s">
        <v>107</v>
      </c>
      <c r="J117" s="312">
        <v>1913</v>
      </c>
      <c r="K117" s="312" t="s">
        <v>109</v>
      </c>
    </row>
    <row r="118" spans="1:11">
      <c r="A118" s="312" t="s">
        <v>478</v>
      </c>
      <c r="B118" s="312" t="s">
        <v>479</v>
      </c>
      <c r="C118" s="312" t="s">
        <v>105</v>
      </c>
      <c r="D118" s="312" t="s">
        <v>480</v>
      </c>
      <c r="E118" s="312" t="s">
        <v>107</v>
      </c>
      <c r="F118" s="312">
        <v>1825</v>
      </c>
      <c r="G118" s="312" t="s">
        <v>108</v>
      </c>
      <c r="H118" s="312">
        <v>1827</v>
      </c>
      <c r="I118" s="312" t="s">
        <v>107</v>
      </c>
      <c r="J118" s="312">
        <v>1913</v>
      </c>
      <c r="K118" s="312" t="s">
        <v>109</v>
      </c>
    </row>
    <row r="119" spans="1:11">
      <c r="A119" s="312" t="s">
        <v>484</v>
      </c>
      <c r="B119" s="312" t="s">
        <v>485</v>
      </c>
      <c r="C119" s="312" t="s">
        <v>105</v>
      </c>
      <c r="D119" s="312" t="s">
        <v>480</v>
      </c>
      <c r="E119" s="312" t="s">
        <v>107</v>
      </c>
      <c r="F119" s="312">
        <v>1825</v>
      </c>
      <c r="G119" s="312" t="s">
        <v>108</v>
      </c>
      <c r="H119" s="312">
        <v>1827</v>
      </c>
      <c r="I119" s="312" t="s">
        <v>107</v>
      </c>
      <c r="J119" s="312">
        <v>1913</v>
      </c>
      <c r="K119" s="312" t="s">
        <v>109</v>
      </c>
    </row>
    <row r="120" spans="1:11">
      <c r="A120" s="312" t="s">
        <v>3887</v>
      </c>
      <c r="B120" s="312" t="s">
        <v>3888</v>
      </c>
      <c r="C120" s="312" t="s">
        <v>105</v>
      </c>
      <c r="D120" s="312" t="s">
        <v>480</v>
      </c>
      <c r="E120" s="312" t="s">
        <v>107</v>
      </c>
      <c r="F120" s="312">
        <v>1825</v>
      </c>
      <c r="G120" s="312" t="s">
        <v>108</v>
      </c>
      <c r="H120" s="312">
        <v>1827</v>
      </c>
      <c r="I120" s="312" t="s">
        <v>107</v>
      </c>
      <c r="J120" s="312">
        <v>1913</v>
      </c>
      <c r="K120" s="312" t="s">
        <v>109</v>
      </c>
    </row>
    <row r="121" spans="1:11">
      <c r="A121" s="312" t="s">
        <v>3895</v>
      </c>
      <c r="B121" s="312" t="s">
        <v>3896</v>
      </c>
      <c r="C121" s="312" t="s">
        <v>105</v>
      </c>
      <c r="D121" s="312" t="s">
        <v>480</v>
      </c>
      <c r="E121" s="312" t="s">
        <v>107</v>
      </c>
      <c r="F121" s="312">
        <v>1825</v>
      </c>
      <c r="G121" s="312" t="s">
        <v>108</v>
      </c>
      <c r="H121" s="312">
        <v>1827</v>
      </c>
      <c r="I121" s="312" t="s">
        <v>107</v>
      </c>
      <c r="J121" s="312">
        <v>1913</v>
      </c>
      <c r="K121" s="312" t="s">
        <v>109</v>
      </c>
    </row>
    <row r="122" spans="1:11">
      <c r="A122" s="312" t="s">
        <v>4233</v>
      </c>
      <c r="B122" s="312" t="s">
        <v>4234</v>
      </c>
      <c r="C122" s="312" t="s">
        <v>105</v>
      </c>
      <c r="D122" s="312" t="s">
        <v>480</v>
      </c>
      <c r="E122" s="312" t="s">
        <v>107</v>
      </c>
      <c r="F122" s="312">
        <v>1825</v>
      </c>
      <c r="G122" s="312" t="s">
        <v>108</v>
      </c>
      <c r="H122" s="312">
        <v>1827</v>
      </c>
      <c r="I122" s="312" t="s">
        <v>107</v>
      </c>
      <c r="J122" s="312">
        <v>1913</v>
      </c>
      <c r="K122" s="312" t="s">
        <v>109</v>
      </c>
    </row>
    <row r="123" spans="1:11">
      <c r="A123" s="312" t="s">
        <v>303</v>
      </c>
      <c r="B123" s="312" t="s">
        <v>304</v>
      </c>
      <c r="C123" s="312" t="s">
        <v>105</v>
      </c>
      <c r="D123" s="312" t="s">
        <v>305</v>
      </c>
      <c r="E123" s="312" t="s">
        <v>107</v>
      </c>
      <c r="F123" s="312">
        <v>1825</v>
      </c>
      <c r="G123" s="312" t="s">
        <v>108</v>
      </c>
      <c r="H123" s="312">
        <v>1827</v>
      </c>
      <c r="I123" s="312" t="s">
        <v>107</v>
      </c>
      <c r="J123" s="312">
        <v>1913</v>
      </c>
      <c r="K123" s="312" t="s">
        <v>109</v>
      </c>
    </row>
    <row r="124" spans="1:11">
      <c r="A124" s="312" t="s">
        <v>982</v>
      </c>
      <c r="B124" s="312" t="s">
        <v>983</v>
      </c>
      <c r="C124" s="312" t="s">
        <v>105</v>
      </c>
      <c r="D124" s="312" t="s">
        <v>305</v>
      </c>
      <c r="E124" s="312" t="s">
        <v>107</v>
      </c>
      <c r="F124" s="312">
        <v>1825</v>
      </c>
      <c r="G124" s="312" t="s">
        <v>108</v>
      </c>
      <c r="H124" s="312">
        <v>1827</v>
      </c>
      <c r="I124" s="312" t="s">
        <v>107</v>
      </c>
      <c r="J124" s="312">
        <v>1913</v>
      </c>
      <c r="K124" s="312" t="s">
        <v>109</v>
      </c>
    </row>
    <row r="125" spans="1:11">
      <c r="A125" s="312" t="s">
        <v>2840</v>
      </c>
      <c r="B125" s="312" t="s">
        <v>2841</v>
      </c>
      <c r="C125" s="312" t="s">
        <v>105</v>
      </c>
      <c r="D125" s="312" t="s">
        <v>305</v>
      </c>
      <c r="E125" s="312" t="s">
        <v>107</v>
      </c>
      <c r="F125" s="312">
        <v>1825</v>
      </c>
      <c r="G125" s="312" t="s">
        <v>108</v>
      </c>
      <c r="H125" s="312">
        <v>1827</v>
      </c>
      <c r="I125" s="312" t="s">
        <v>107</v>
      </c>
      <c r="J125" s="312">
        <v>1913</v>
      </c>
      <c r="K125" s="312" t="s">
        <v>109</v>
      </c>
    </row>
    <row r="126" spans="1:11">
      <c r="A126" s="312" t="s">
        <v>5139</v>
      </c>
      <c r="B126" s="312" t="s">
        <v>5140</v>
      </c>
      <c r="C126" s="312" t="s">
        <v>105</v>
      </c>
      <c r="D126" s="312" t="s">
        <v>305</v>
      </c>
      <c r="E126" s="312" t="s">
        <v>107</v>
      </c>
      <c r="F126" s="312">
        <v>1825</v>
      </c>
      <c r="G126" s="312" t="s">
        <v>108</v>
      </c>
      <c r="H126" s="312">
        <v>1827</v>
      </c>
      <c r="I126" s="312" t="s">
        <v>107</v>
      </c>
      <c r="J126" s="312">
        <v>1913</v>
      </c>
      <c r="K126" s="312" t="s">
        <v>109</v>
      </c>
    </row>
    <row r="127" spans="1:11">
      <c r="A127" s="312" t="s">
        <v>1292</v>
      </c>
      <c r="B127" s="312" t="s">
        <v>1293</v>
      </c>
      <c r="C127" s="312" t="s">
        <v>105</v>
      </c>
      <c r="D127" s="312" t="s">
        <v>1294</v>
      </c>
      <c r="E127" s="312" t="s">
        <v>107</v>
      </c>
      <c r="F127" s="312">
        <v>1825</v>
      </c>
      <c r="G127" s="312" t="s">
        <v>108</v>
      </c>
      <c r="H127" s="312">
        <v>1827</v>
      </c>
      <c r="I127" s="312" t="s">
        <v>107</v>
      </c>
      <c r="J127" s="312">
        <v>1913</v>
      </c>
      <c r="K127" s="312" t="s">
        <v>109</v>
      </c>
    </row>
    <row r="128" spans="1:11">
      <c r="A128" s="312" t="s">
        <v>3663</v>
      </c>
      <c r="B128" s="312" t="s">
        <v>3664</v>
      </c>
      <c r="C128" s="312" t="s">
        <v>105</v>
      </c>
      <c r="D128" s="312" t="s">
        <v>1294</v>
      </c>
      <c r="E128" s="312" t="s">
        <v>107</v>
      </c>
      <c r="F128" s="312">
        <v>1825</v>
      </c>
      <c r="G128" s="312" t="s">
        <v>108</v>
      </c>
      <c r="H128" s="312">
        <v>1827</v>
      </c>
      <c r="I128" s="312" t="s">
        <v>107</v>
      </c>
      <c r="J128" s="312">
        <v>1913</v>
      </c>
      <c r="K128" s="312" t="s">
        <v>109</v>
      </c>
    </row>
    <row r="129" spans="1:11">
      <c r="A129" s="312" t="s">
        <v>3827</v>
      </c>
      <c r="B129" s="312" t="s">
        <v>3828</v>
      </c>
      <c r="C129" s="312" t="s">
        <v>105</v>
      </c>
      <c r="D129" s="312" t="s">
        <v>1294</v>
      </c>
      <c r="E129" s="312" t="s">
        <v>107</v>
      </c>
      <c r="F129" s="312">
        <v>1825</v>
      </c>
      <c r="G129" s="312" t="s">
        <v>108</v>
      </c>
      <c r="H129" s="312">
        <v>1827</v>
      </c>
      <c r="I129" s="312" t="s">
        <v>107</v>
      </c>
      <c r="J129" s="312">
        <v>1913</v>
      </c>
      <c r="K129" s="312" t="s">
        <v>109</v>
      </c>
    </row>
    <row r="130" spans="1:11">
      <c r="A130" s="312" t="s">
        <v>1283</v>
      </c>
      <c r="B130" s="312" t="s">
        <v>1284</v>
      </c>
      <c r="C130" s="312" t="s">
        <v>105</v>
      </c>
      <c r="D130" s="312" t="s">
        <v>1285</v>
      </c>
      <c r="E130" s="312" t="s">
        <v>107</v>
      </c>
      <c r="F130" s="312">
        <v>1825</v>
      </c>
      <c r="G130" s="312" t="s">
        <v>108</v>
      </c>
      <c r="H130" s="312">
        <v>1827</v>
      </c>
      <c r="I130" s="312" t="s">
        <v>107</v>
      </c>
      <c r="J130" s="312">
        <v>1913</v>
      </c>
      <c r="K130" s="312" t="s">
        <v>109</v>
      </c>
    </row>
    <row r="131" spans="1:11">
      <c r="A131" s="312" t="s">
        <v>1301</v>
      </c>
      <c r="B131" s="312" t="s">
        <v>1302</v>
      </c>
      <c r="C131" s="312" t="s">
        <v>105</v>
      </c>
      <c r="D131" s="312" t="s">
        <v>1285</v>
      </c>
      <c r="E131" s="312" t="s">
        <v>107</v>
      </c>
      <c r="F131" s="312">
        <v>1825</v>
      </c>
      <c r="G131" s="312" t="s">
        <v>108</v>
      </c>
      <c r="H131" s="312">
        <v>1827</v>
      </c>
      <c r="I131" s="312" t="s">
        <v>107</v>
      </c>
      <c r="J131" s="312">
        <v>1913</v>
      </c>
      <c r="K131" s="312" t="s">
        <v>109</v>
      </c>
    </row>
    <row r="132" spans="1:11">
      <c r="A132" s="312" t="s">
        <v>3470</v>
      </c>
      <c r="B132" s="312" t="s">
        <v>3471</v>
      </c>
      <c r="C132" s="312" t="s">
        <v>105</v>
      </c>
      <c r="D132" s="312" t="s">
        <v>1285</v>
      </c>
      <c r="E132" s="312" t="s">
        <v>107</v>
      </c>
      <c r="F132" s="312">
        <v>1825</v>
      </c>
      <c r="G132" s="312" t="s">
        <v>108</v>
      </c>
      <c r="H132" s="312">
        <v>1827</v>
      </c>
      <c r="I132" s="312" t="s">
        <v>107</v>
      </c>
      <c r="J132" s="312">
        <v>1913</v>
      </c>
      <c r="K132" s="312" t="s">
        <v>109</v>
      </c>
    </row>
    <row r="133" spans="1:11">
      <c r="A133" s="312" t="s">
        <v>5262</v>
      </c>
      <c r="B133" s="312" t="s">
        <v>5263</v>
      </c>
      <c r="C133" s="312" t="s">
        <v>105</v>
      </c>
      <c r="D133" s="312" t="s">
        <v>1285</v>
      </c>
      <c r="E133" s="312" t="s">
        <v>107</v>
      </c>
      <c r="F133" s="312">
        <v>1825</v>
      </c>
      <c r="G133" s="312" t="s">
        <v>108</v>
      </c>
      <c r="H133" s="312">
        <v>1827</v>
      </c>
      <c r="I133" s="312" t="s">
        <v>107</v>
      </c>
      <c r="J133" s="312">
        <v>1913</v>
      </c>
      <c r="K133" s="312" t="s">
        <v>109</v>
      </c>
    </row>
    <row r="134" spans="1:11">
      <c r="A134" s="312" t="s">
        <v>643</v>
      </c>
      <c r="B134" s="312" t="s">
        <v>644</v>
      </c>
      <c r="C134" s="312" t="s">
        <v>105</v>
      </c>
      <c r="D134" s="312" t="s">
        <v>645</v>
      </c>
      <c r="E134" s="312" t="s">
        <v>107</v>
      </c>
      <c r="F134" s="312">
        <v>1825</v>
      </c>
      <c r="G134" s="312" t="s">
        <v>108</v>
      </c>
      <c r="H134" s="312">
        <v>1827</v>
      </c>
      <c r="I134" s="312" t="s">
        <v>107</v>
      </c>
      <c r="J134" s="312">
        <v>1913</v>
      </c>
      <c r="K134" s="312" t="s">
        <v>109</v>
      </c>
    </row>
    <row r="135" spans="1:11">
      <c r="A135" s="312" t="s">
        <v>1162</v>
      </c>
      <c r="B135" s="312" t="s">
        <v>1163</v>
      </c>
      <c r="C135" s="312" t="s">
        <v>105</v>
      </c>
      <c r="D135" s="312" t="s">
        <v>645</v>
      </c>
      <c r="E135" s="312" t="s">
        <v>107</v>
      </c>
      <c r="F135" s="312">
        <v>1825</v>
      </c>
      <c r="G135" s="312" t="s">
        <v>108</v>
      </c>
      <c r="H135" s="312">
        <v>1827</v>
      </c>
      <c r="I135" s="312" t="s">
        <v>107</v>
      </c>
      <c r="J135" s="312">
        <v>1913</v>
      </c>
      <c r="K135" s="312" t="s">
        <v>109</v>
      </c>
    </row>
    <row r="136" spans="1:11">
      <c r="A136" s="312" t="s">
        <v>3420</v>
      </c>
      <c r="B136" s="312" t="s">
        <v>3421</v>
      </c>
      <c r="C136" s="312" t="s">
        <v>105</v>
      </c>
      <c r="D136" s="312" t="s">
        <v>645</v>
      </c>
      <c r="E136" s="312" t="s">
        <v>107</v>
      </c>
      <c r="F136" s="312">
        <v>1825</v>
      </c>
      <c r="G136" s="312" t="s">
        <v>108</v>
      </c>
      <c r="H136" s="312">
        <v>1827</v>
      </c>
      <c r="I136" s="312" t="s">
        <v>107</v>
      </c>
      <c r="J136" s="312">
        <v>1913</v>
      </c>
      <c r="K136" s="312" t="s">
        <v>109</v>
      </c>
    </row>
    <row r="137" spans="1:11">
      <c r="A137" s="312" t="s">
        <v>5876</v>
      </c>
      <c r="B137" s="312" t="s">
        <v>5877</v>
      </c>
      <c r="C137" s="312" t="s">
        <v>105</v>
      </c>
      <c r="D137" s="312" t="s">
        <v>645</v>
      </c>
      <c r="E137" s="312" t="s">
        <v>107</v>
      </c>
      <c r="F137" s="312">
        <v>1825</v>
      </c>
      <c r="G137" s="312" t="s">
        <v>108</v>
      </c>
      <c r="H137" s="312">
        <v>1827</v>
      </c>
      <c r="I137" s="312" t="s">
        <v>107</v>
      </c>
      <c r="J137" s="312">
        <v>1913</v>
      </c>
      <c r="K137" s="312" t="s">
        <v>109</v>
      </c>
    </row>
    <row r="138" spans="1:11">
      <c r="A138" s="312" t="s">
        <v>6104</v>
      </c>
      <c r="B138" s="312" t="s">
        <v>6105</v>
      </c>
      <c r="C138" s="312" t="s">
        <v>105</v>
      </c>
      <c r="D138" s="312" t="s">
        <v>6106</v>
      </c>
      <c r="E138" s="312" t="s">
        <v>107</v>
      </c>
      <c r="F138" s="312">
        <v>1825</v>
      </c>
      <c r="G138" s="312" t="s">
        <v>108</v>
      </c>
      <c r="H138" s="312">
        <v>1827</v>
      </c>
      <c r="I138" s="312" t="s">
        <v>107</v>
      </c>
      <c r="J138" s="312">
        <v>1913</v>
      </c>
      <c r="K138" s="312" t="s">
        <v>109</v>
      </c>
    </row>
    <row r="139" spans="1:11">
      <c r="A139" s="312" t="s">
        <v>502</v>
      </c>
      <c r="B139" s="312" t="s">
        <v>503</v>
      </c>
      <c r="C139" s="312" t="s">
        <v>105</v>
      </c>
      <c r="D139" s="312" t="s">
        <v>504</v>
      </c>
      <c r="E139" s="312" t="s">
        <v>167</v>
      </c>
      <c r="F139" s="312">
        <v>1705</v>
      </c>
      <c r="G139" s="312" t="s">
        <v>168</v>
      </c>
      <c r="H139" s="312">
        <v>1707</v>
      </c>
      <c r="I139" s="312" t="s">
        <v>167</v>
      </c>
      <c r="J139" s="312">
        <v>1899</v>
      </c>
      <c r="K139" s="312" t="s">
        <v>169</v>
      </c>
    </row>
    <row r="140" spans="1:11">
      <c r="A140" s="312" t="s">
        <v>1881</v>
      </c>
      <c r="B140" s="312" t="s">
        <v>1882</v>
      </c>
      <c r="C140" s="312" t="s">
        <v>105</v>
      </c>
      <c r="D140" s="312" t="s">
        <v>504</v>
      </c>
      <c r="E140" s="312" t="s">
        <v>167</v>
      </c>
      <c r="F140" s="312">
        <v>1705</v>
      </c>
      <c r="G140" s="312" t="s">
        <v>168</v>
      </c>
      <c r="H140" s="312">
        <v>1707</v>
      </c>
      <c r="I140" s="312" t="s">
        <v>167</v>
      </c>
      <c r="J140" s="312">
        <v>1899</v>
      </c>
      <c r="K140" s="312" t="s">
        <v>169</v>
      </c>
    </row>
    <row r="141" spans="1:11">
      <c r="A141" s="312" t="s">
        <v>2137</v>
      </c>
      <c r="B141" s="312" t="s">
        <v>2138</v>
      </c>
      <c r="C141" s="312" t="s">
        <v>105</v>
      </c>
      <c r="D141" s="312" t="s">
        <v>504</v>
      </c>
      <c r="E141" s="312" t="s">
        <v>167</v>
      </c>
      <c r="F141" s="312">
        <v>1705</v>
      </c>
      <c r="G141" s="312" t="s">
        <v>168</v>
      </c>
      <c r="H141" s="312">
        <v>1707</v>
      </c>
      <c r="I141" s="312" t="s">
        <v>167</v>
      </c>
      <c r="J141" s="312">
        <v>1899</v>
      </c>
      <c r="K141" s="312" t="s">
        <v>169</v>
      </c>
    </row>
    <row r="142" spans="1:11">
      <c r="A142" s="312" t="s">
        <v>3241</v>
      </c>
      <c r="B142" s="312" t="s">
        <v>3242</v>
      </c>
      <c r="C142" s="312" t="s">
        <v>105</v>
      </c>
      <c r="D142" s="312" t="s">
        <v>504</v>
      </c>
      <c r="E142" s="312" t="s">
        <v>167</v>
      </c>
      <c r="F142" s="312">
        <v>1705</v>
      </c>
      <c r="G142" s="312" t="s">
        <v>168</v>
      </c>
      <c r="H142" s="312">
        <v>1707</v>
      </c>
      <c r="I142" s="312" t="s">
        <v>167</v>
      </c>
      <c r="J142" s="312">
        <v>1899</v>
      </c>
      <c r="K142" s="312" t="s">
        <v>169</v>
      </c>
    </row>
    <row r="143" spans="1:11">
      <c r="A143" s="312" t="s">
        <v>3422</v>
      </c>
      <c r="B143" s="312" t="s">
        <v>3423</v>
      </c>
      <c r="C143" s="312" t="s">
        <v>105</v>
      </c>
      <c r="D143" s="312" t="s">
        <v>504</v>
      </c>
      <c r="E143" s="312" t="s">
        <v>167</v>
      </c>
      <c r="F143" s="312">
        <v>1705</v>
      </c>
      <c r="G143" s="312" t="s">
        <v>168</v>
      </c>
      <c r="H143" s="312">
        <v>1707</v>
      </c>
      <c r="I143" s="312" t="s">
        <v>167</v>
      </c>
      <c r="J143" s="312">
        <v>1899</v>
      </c>
      <c r="K143" s="312" t="s">
        <v>169</v>
      </c>
    </row>
    <row r="144" spans="1:11">
      <c r="A144" s="312" t="s">
        <v>3424</v>
      </c>
      <c r="B144" s="312" t="s">
        <v>3425</v>
      </c>
      <c r="C144" s="312" t="s">
        <v>105</v>
      </c>
      <c r="D144" s="312" t="s">
        <v>504</v>
      </c>
      <c r="E144" s="312" t="s">
        <v>167</v>
      </c>
      <c r="F144" s="312">
        <v>1705</v>
      </c>
      <c r="G144" s="312" t="s">
        <v>168</v>
      </c>
      <c r="H144" s="312">
        <v>1707</v>
      </c>
      <c r="I144" s="312" t="s">
        <v>167</v>
      </c>
      <c r="J144" s="312">
        <v>1899</v>
      </c>
      <c r="K144" s="312" t="s">
        <v>169</v>
      </c>
    </row>
    <row r="145" spans="1:11">
      <c r="A145" s="312" t="s">
        <v>3426</v>
      </c>
      <c r="B145" s="312" t="s">
        <v>3427</v>
      </c>
      <c r="C145" s="312" t="s">
        <v>105</v>
      </c>
      <c r="D145" s="312" t="s">
        <v>504</v>
      </c>
      <c r="E145" s="312" t="s">
        <v>107</v>
      </c>
      <c r="F145" s="312">
        <v>1825</v>
      </c>
      <c r="G145" s="312" t="s">
        <v>108</v>
      </c>
      <c r="H145" s="312">
        <v>1827</v>
      </c>
      <c r="I145" s="312" t="s">
        <v>107</v>
      </c>
      <c r="J145" s="312">
        <v>1913</v>
      </c>
      <c r="K145" s="312" t="s">
        <v>109</v>
      </c>
    </row>
    <row r="146" spans="1:11">
      <c r="A146" s="312" t="s">
        <v>3667</v>
      </c>
      <c r="B146" s="312" t="s">
        <v>3668</v>
      </c>
      <c r="C146" s="312" t="s">
        <v>105</v>
      </c>
      <c r="D146" s="312" t="s">
        <v>504</v>
      </c>
      <c r="E146" s="312" t="s">
        <v>167</v>
      </c>
      <c r="F146" s="312">
        <v>1705</v>
      </c>
      <c r="G146" s="312" t="s">
        <v>168</v>
      </c>
      <c r="H146" s="312">
        <v>1707</v>
      </c>
      <c r="I146" s="312" t="s">
        <v>167</v>
      </c>
      <c r="J146" s="312">
        <v>1899</v>
      </c>
      <c r="K146" s="312" t="s">
        <v>169</v>
      </c>
    </row>
    <row r="147" spans="1:11">
      <c r="A147" s="312" t="s">
        <v>5141</v>
      </c>
      <c r="B147" s="312" t="s">
        <v>5142</v>
      </c>
      <c r="C147" s="312" t="s">
        <v>105</v>
      </c>
      <c r="D147" s="312" t="s">
        <v>504</v>
      </c>
      <c r="E147" s="312" t="s">
        <v>167</v>
      </c>
      <c r="F147" s="312">
        <v>1705</v>
      </c>
      <c r="G147" s="312" t="s">
        <v>168</v>
      </c>
      <c r="H147" s="312">
        <v>1707</v>
      </c>
      <c r="I147" s="312" t="s">
        <v>167</v>
      </c>
      <c r="J147" s="312">
        <v>1899</v>
      </c>
      <c r="K147" s="312" t="s">
        <v>169</v>
      </c>
    </row>
    <row r="148" spans="1:11">
      <c r="A148" s="312" t="s">
        <v>5393</v>
      </c>
      <c r="B148" s="312" t="s">
        <v>5394</v>
      </c>
      <c r="C148" s="312" t="s">
        <v>105</v>
      </c>
      <c r="D148" s="312" t="s">
        <v>504</v>
      </c>
      <c r="E148" s="312" t="s">
        <v>167</v>
      </c>
      <c r="F148" s="312">
        <v>1705</v>
      </c>
      <c r="G148" s="312" t="s">
        <v>168</v>
      </c>
      <c r="H148" s="312">
        <v>1707</v>
      </c>
      <c r="I148" s="312" t="s">
        <v>167</v>
      </c>
      <c r="J148" s="312">
        <v>1899</v>
      </c>
      <c r="K148" s="312" t="s">
        <v>169</v>
      </c>
    </row>
    <row r="149" spans="1:11">
      <c r="A149" s="312" t="s">
        <v>5757</v>
      </c>
      <c r="B149" s="312" t="s">
        <v>5758</v>
      </c>
      <c r="C149" s="312" t="s">
        <v>105</v>
      </c>
      <c r="D149" s="312" t="s">
        <v>504</v>
      </c>
      <c r="E149" s="312" t="s">
        <v>167</v>
      </c>
      <c r="F149" s="312">
        <v>1705</v>
      </c>
      <c r="G149" s="312" t="s">
        <v>168</v>
      </c>
      <c r="H149" s="312">
        <v>1707</v>
      </c>
      <c r="I149" s="312" t="s">
        <v>167</v>
      </c>
      <c r="J149" s="312">
        <v>1899</v>
      </c>
      <c r="K149" s="312" t="s">
        <v>169</v>
      </c>
    </row>
    <row r="150" spans="1:11">
      <c r="A150" s="312" t="s">
        <v>5878</v>
      </c>
      <c r="B150" s="312" t="s">
        <v>5879</v>
      </c>
      <c r="C150" s="312" t="s">
        <v>105</v>
      </c>
      <c r="D150" s="312" t="s">
        <v>504</v>
      </c>
      <c r="E150" s="312" t="s">
        <v>167</v>
      </c>
      <c r="F150" s="312">
        <v>1705</v>
      </c>
      <c r="G150" s="312" t="s">
        <v>168</v>
      </c>
      <c r="H150" s="312">
        <v>1707</v>
      </c>
      <c r="I150" s="312" t="s">
        <v>167</v>
      </c>
      <c r="J150" s="312">
        <v>1899</v>
      </c>
      <c r="K150" s="312" t="s">
        <v>169</v>
      </c>
    </row>
    <row r="151" spans="1:11">
      <c r="A151" s="312" t="s">
        <v>6062</v>
      </c>
      <c r="B151" s="312" t="s">
        <v>6063</v>
      </c>
      <c r="C151" s="312" t="s">
        <v>105</v>
      </c>
      <c r="D151" s="312" t="s">
        <v>504</v>
      </c>
      <c r="E151" s="312" t="s">
        <v>167</v>
      </c>
      <c r="F151" s="312">
        <v>1705</v>
      </c>
      <c r="G151" s="312" t="s">
        <v>168</v>
      </c>
      <c r="H151" s="312">
        <v>1707</v>
      </c>
      <c r="I151" s="312" t="s">
        <v>167</v>
      </c>
      <c r="J151" s="312">
        <v>1899</v>
      </c>
      <c r="K151" s="312" t="s">
        <v>169</v>
      </c>
    </row>
    <row r="152" spans="1:11">
      <c r="A152" s="312" t="s">
        <v>1045</v>
      </c>
      <c r="B152" s="312" t="s">
        <v>1046</v>
      </c>
      <c r="C152" s="312" t="s">
        <v>105</v>
      </c>
      <c r="D152" s="312" t="s">
        <v>1047</v>
      </c>
      <c r="E152" s="312" t="s">
        <v>107</v>
      </c>
      <c r="F152" s="312">
        <v>1825</v>
      </c>
      <c r="G152" s="312" t="s">
        <v>108</v>
      </c>
      <c r="H152" s="312">
        <v>1827</v>
      </c>
      <c r="I152" s="312" t="s">
        <v>107</v>
      </c>
      <c r="J152" s="312">
        <v>1913</v>
      </c>
      <c r="K152" s="312" t="s">
        <v>109</v>
      </c>
    </row>
    <row r="153" spans="1:11">
      <c r="A153" s="312" t="s">
        <v>1465</v>
      </c>
      <c r="B153" s="312" t="s">
        <v>1466</v>
      </c>
      <c r="C153" s="312" t="s">
        <v>105</v>
      </c>
      <c r="D153" s="312" t="s">
        <v>1047</v>
      </c>
      <c r="E153" s="312" t="s">
        <v>107</v>
      </c>
      <c r="F153" s="312">
        <v>1825</v>
      </c>
      <c r="G153" s="312" t="s">
        <v>108</v>
      </c>
      <c r="H153" s="312">
        <v>1827</v>
      </c>
      <c r="I153" s="312" t="s">
        <v>107</v>
      </c>
      <c r="J153" s="312">
        <v>1913</v>
      </c>
      <c r="K153" s="312" t="s">
        <v>109</v>
      </c>
    </row>
    <row r="154" spans="1:11">
      <c r="A154" s="312" t="s">
        <v>3724</v>
      </c>
      <c r="B154" s="312" t="s">
        <v>3725</v>
      </c>
      <c r="C154" s="312" t="s">
        <v>105</v>
      </c>
      <c r="D154" s="312" t="s">
        <v>1047</v>
      </c>
      <c r="E154" s="312" t="s">
        <v>167</v>
      </c>
      <c r="F154" s="312">
        <v>1705</v>
      </c>
      <c r="G154" s="312" t="s">
        <v>168</v>
      </c>
      <c r="H154" s="312">
        <v>1707</v>
      </c>
      <c r="I154" s="312" t="s">
        <v>167</v>
      </c>
      <c r="J154" s="312">
        <v>1899</v>
      </c>
      <c r="K154" s="312" t="s">
        <v>169</v>
      </c>
    </row>
    <row r="155" spans="1:11">
      <c r="A155" s="312" t="s">
        <v>3726</v>
      </c>
      <c r="B155" s="312" t="s">
        <v>3727</v>
      </c>
      <c r="C155" s="312" t="s">
        <v>105</v>
      </c>
      <c r="D155" s="312" t="s">
        <v>1047</v>
      </c>
      <c r="E155" s="312" t="s">
        <v>167</v>
      </c>
      <c r="F155" s="312">
        <v>1705</v>
      </c>
      <c r="G155" s="312" t="s">
        <v>168</v>
      </c>
      <c r="H155" s="312">
        <v>1707</v>
      </c>
      <c r="I155" s="312" t="s">
        <v>167</v>
      </c>
      <c r="J155" s="312">
        <v>1899</v>
      </c>
      <c r="K155" s="312" t="s">
        <v>169</v>
      </c>
    </row>
    <row r="156" spans="1:11">
      <c r="A156" s="312" t="s">
        <v>4522</v>
      </c>
      <c r="B156" s="312" t="s">
        <v>4523</v>
      </c>
      <c r="C156" s="312" t="s">
        <v>105</v>
      </c>
      <c r="D156" s="312" t="s">
        <v>1047</v>
      </c>
      <c r="E156" s="312" t="s">
        <v>107</v>
      </c>
      <c r="F156" s="312">
        <v>1825</v>
      </c>
      <c r="G156" s="312" t="s">
        <v>108</v>
      </c>
      <c r="H156" s="312">
        <v>1827</v>
      </c>
      <c r="I156" s="312" t="s">
        <v>107</v>
      </c>
      <c r="J156" s="312">
        <v>1913</v>
      </c>
      <c r="K156" s="312" t="s">
        <v>109</v>
      </c>
    </row>
    <row r="157" spans="1:11">
      <c r="A157" s="312" t="s">
        <v>6016</v>
      </c>
      <c r="B157" s="312" t="s">
        <v>6017</v>
      </c>
      <c r="C157" s="312" t="s">
        <v>105</v>
      </c>
      <c r="D157" s="312" t="s">
        <v>1047</v>
      </c>
      <c r="E157" s="312" t="s">
        <v>107</v>
      </c>
      <c r="F157" s="312">
        <v>1825</v>
      </c>
      <c r="G157" s="312" t="s">
        <v>108</v>
      </c>
      <c r="H157" s="312">
        <v>1827</v>
      </c>
      <c r="I157" s="312" t="s">
        <v>107</v>
      </c>
      <c r="J157" s="312">
        <v>1913</v>
      </c>
      <c r="K157" s="312" t="s">
        <v>109</v>
      </c>
    </row>
    <row r="158" spans="1:11">
      <c r="A158" s="312" t="s">
        <v>6018</v>
      </c>
      <c r="B158" s="312" t="s">
        <v>6019</v>
      </c>
      <c r="C158" s="312" t="s">
        <v>105</v>
      </c>
      <c r="D158" s="312" t="s">
        <v>1047</v>
      </c>
      <c r="E158" s="312" t="s">
        <v>107</v>
      </c>
      <c r="F158" s="312">
        <v>1825</v>
      </c>
      <c r="G158" s="312" t="s">
        <v>108</v>
      </c>
      <c r="H158" s="312">
        <v>1827</v>
      </c>
      <c r="I158" s="312" t="s">
        <v>107</v>
      </c>
      <c r="J158" s="312">
        <v>1913</v>
      </c>
      <c r="K158" s="312" t="s">
        <v>109</v>
      </c>
    </row>
    <row r="159" spans="1:11">
      <c r="A159" s="312" t="s">
        <v>4804</v>
      </c>
      <c r="B159" s="312" t="s">
        <v>4805</v>
      </c>
      <c r="C159" s="312" t="s">
        <v>105</v>
      </c>
      <c r="D159" s="312" t="s">
        <v>4806</v>
      </c>
      <c r="E159" s="312" t="s">
        <v>107</v>
      </c>
      <c r="F159" s="312">
        <v>1825</v>
      </c>
      <c r="G159" s="312" t="s">
        <v>108</v>
      </c>
      <c r="H159" s="312">
        <v>1827</v>
      </c>
      <c r="I159" s="312" t="s">
        <v>107</v>
      </c>
      <c r="J159" s="312">
        <v>1913</v>
      </c>
      <c r="K159" s="312" t="s">
        <v>109</v>
      </c>
    </row>
    <row r="160" spans="1:11">
      <c r="A160" s="312" t="s">
        <v>4807</v>
      </c>
      <c r="B160" s="312" t="s">
        <v>4808</v>
      </c>
      <c r="C160" s="312" t="s">
        <v>105</v>
      </c>
      <c r="D160" s="312" t="s">
        <v>4806</v>
      </c>
      <c r="E160" s="312" t="s">
        <v>107</v>
      </c>
      <c r="F160" s="312">
        <v>1825</v>
      </c>
      <c r="G160" s="312" t="s">
        <v>108</v>
      </c>
      <c r="H160" s="312">
        <v>1827</v>
      </c>
      <c r="I160" s="312" t="s">
        <v>107</v>
      </c>
      <c r="J160" s="312">
        <v>1913</v>
      </c>
      <c r="K160" s="312" t="s">
        <v>109</v>
      </c>
    </row>
    <row r="161" spans="1:11">
      <c r="A161" s="312" t="s">
        <v>3728</v>
      </c>
      <c r="B161" s="312" t="s">
        <v>3729</v>
      </c>
      <c r="C161" s="312" t="s">
        <v>105</v>
      </c>
      <c r="D161" s="312" t="s">
        <v>3730</v>
      </c>
      <c r="E161" s="312" t="s">
        <v>167</v>
      </c>
      <c r="F161" s="312">
        <v>1705</v>
      </c>
      <c r="G161" s="312" t="s">
        <v>168</v>
      </c>
      <c r="H161" s="312">
        <v>1707</v>
      </c>
      <c r="I161" s="312" t="s">
        <v>167</v>
      </c>
      <c r="J161" s="312">
        <v>1899</v>
      </c>
      <c r="K161" s="312" t="s">
        <v>169</v>
      </c>
    </row>
    <row r="162" spans="1:11">
      <c r="A162" s="312" t="s">
        <v>3731</v>
      </c>
      <c r="B162" s="312" t="s">
        <v>3732</v>
      </c>
      <c r="C162" s="312" t="s">
        <v>105</v>
      </c>
      <c r="D162" s="312" t="s">
        <v>3730</v>
      </c>
      <c r="E162" s="312" t="s">
        <v>167</v>
      </c>
      <c r="F162" s="312">
        <v>1705</v>
      </c>
      <c r="G162" s="312" t="s">
        <v>168</v>
      </c>
      <c r="H162" s="312">
        <v>1707</v>
      </c>
      <c r="I162" s="312" t="s">
        <v>167</v>
      </c>
      <c r="J162" s="312">
        <v>1899</v>
      </c>
      <c r="K162" s="312" t="s">
        <v>169</v>
      </c>
    </row>
    <row r="163" spans="1:11">
      <c r="A163" s="312" t="s">
        <v>5234</v>
      </c>
      <c r="B163" s="312" t="s">
        <v>5235</v>
      </c>
      <c r="C163" s="312" t="s">
        <v>105</v>
      </c>
      <c r="D163" s="312" t="s">
        <v>3730</v>
      </c>
      <c r="E163" s="312" t="s">
        <v>107</v>
      </c>
      <c r="F163" s="312">
        <v>1825</v>
      </c>
      <c r="G163" s="312" t="s">
        <v>108</v>
      </c>
      <c r="H163" s="312">
        <v>1827</v>
      </c>
      <c r="I163" s="312" t="s">
        <v>107</v>
      </c>
      <c r="J163" s="312">
        <v>1913</v>
      </c>
      <c r="K163" s="312" t="s">
        <v>109</v>
      </c>
    </row>
    <row r="164" spans="1:11">
      <c r="A164" s="312" t="s">
        <v>1157</v>
      </c>
      <c r="B164" s="312" t="s">
        <v>1158</v>
      </c>
      <c r="C164" s="312" t="s">
        <v>105</v>
      </c>
      <c r="D164" s="312" t="s">
        <v>1159</v>
      </c>
      <c r="E164" s="312" t="s">
        <v>107</v>
      </c>
      <c r="F164" s="312">
        <v>1825</v>
      </c>
      <c r="G164" s="312" t="s">
        <v>108</v>
      </c>
      <c r="H164" s="312">
        <v>1827</v>
      </c>
      <c r="I164" s="312" t="s">
        <v>107</v>
      </c>
      <c r="J164" s="312">
        <v>1913</v>
      </c>
      <c r="K164" s="312" t="s">
        <v>109</v>
      </c>
    </row>
    <row r="165" spans="1:11">
      <c r="A165" s="312" t="s">
        <v>1295</v>
      </c>
      <c r="B165" s="312" t="s">
        <v>1296</v>
      </c>
      <c r="C165" s="312" t="s">
        <v>105</v>
      </c>
      <c r="D165" s="312" t="s">
        <v>1297</v>
      </c>
      <c r="E165" s="312" t="s">
        <v>107</v>
      </c>
      <c r="F165" s="312">
        <v>1825</v>
      </c>
      <c r="G165" s="312" t="s">
        <v>108</v>
      </c>
      <c r="H165" s="312">
        <v>1827</v>
      </c>
      <c r="I165" s="312" t="s">
        <v>107</v>
      </c>
      <c r="J165" s="312">
        <v>1913</v>
      </c>
      <c r="K165" s="312" t="s">
        <v>109</v>
      </c>
    </row>
    <row r="166" spans="1:11">
      <c r="A166" s="312" t="s">
        <v>481</v>
      </c>
      <c r="B166" s="312" t="s">
        <v>482</v>
      </c>
      <c r="C166" s="312" t="s">
        <v>105</v>
      </c>
      <c r="D166" s="312" t="s">
        <v>483</v>
      </c>
      <c r="E166" s="312" t="s">
        <v>466</v>
      </c>
      <c r="F166" s="312">
        <v>1796</v>
      </c>
      <c r="G166" s="312" t="s">
        <v>467</v>
      </c>
      <c r="H166" s="312">
        <v>1799</v>
      </c>
      <c r="I166" s="312" t="s">
        <v>466</v>
      </c>
      <c r="J166" s="312">
        <v>1918</v>
      </c>
      <c r="K166" s="312" t="s">
        <v>468</v>
      </c>
    </row>
    <row r="167" spans="1:11">
      <c r="A167" s="312" t="s">
        <v>498</v>
      </c>
      <c r="B167" s="312" t="s">
        <v>499</v>
      </c>
      <c r="C167" s="312" t="s">
        <v>105</v>
      </c>
      <c r="D167" s="312" t="s">
        <v>483</v>
      </c>
      <c r="E167" s="312" t="s">
        <v>107</v>
      </c>
      <c r="F167" s="312">
        <v>1825</v>
      </c>
      <c r="G167" s="312" t="s">
        <v>108</v>
      </c>
      <c r="H167" s="312">
        <v>1827</v>
      </c>
      <c r="I167" s="312" t="s">
        <v>107</v>
      </c>
      <c r="J167" s="312">
        <v>1913</v>
      </c>
      <c r="K167" s="312" t="s">
        <v>109</v>
      </c>
    </row>
    <row r="168" spans="1:11">
      <c r="A168" s="312" t="s">
        <v>500</v>
      </c>
      <c r="B168" s="312" t="s">
        <v>501</v>
      </c>
      <c r="C168" s="312" t="s">
        <v>105</v>
      </c>
      <c r="D168" s="312" t="s">
        <v>483</v>
      </c>
      <c r="E168" s="312" t="s">
        <v>107</v>
      </c>
      <c r="F168" s="312">
        <v>1825</v>
      </c>
      <c r="G168" s="312" t="s">
        <v>108</v>
      </c>
      <c r="H168" s="312">
        <v>1827</v>
      </c>
      <c r="I168" s="312" t="s">
        <v>107</v>
      </c>
      <c r="J168" s="312">
        <v>1913</v>
      </c>
      <c r="K168" s="312" t="s">
        <v>109</v>
      </c>
    </row>
    <row r="169" spans="1:11">
      <c r="A169" s="312" t="s">
        <v>1197</v>
      </c>
      <c r="B169" s="312" t="s">
        <v>1198</v>
      </c>
      <c r="C169" s="312" t="s">
        <v>105</v>
      </c>
      <c r="D169" s="312" t="s">
        <v>483</v>
      </c>
      <c r="E169" s="312" t="s">
        <v>466</v>
      </c>
      <c r="F169" s="312">
        <v>1796</v>
      </c>
      <c r="G169" s="312" t="s">
        <v>467</v>
      </c>
      <c r="H169" s="312">
        <v>1799</v>
      </c>
      <c r="I169" s="312" t="s">
        <v>466</v>
      </c>
      <c r="J169" s="312">
        <v>1918</v>
      </c>
      <c r="K169" s="312" t="s">
        <v>468</v>
      </c>
    </row>
    <row r="170" spans="1:11">
      <c r="A170" s="312" t="s">
        <v>1310</v>
      </c>
      <c r="B170" s="312" t="s">
        <v>1311</v>
      </c>
      <c r="C170" s="312" t="s">
        <v>105</v>
      </c>
      <c r="D170" s="312" t="s">
        <v>483</v>
      </c>
      <c r="E170" s="312" t="s">
        <v>466</v>
      </c>
      <c r="F170" s="312">
        <v>1796</v>
      </c>
      <c r="G170" s="312" t="s">
        <v>467</v>
      </c>
      <c r="H170" s="312">
        <v>1799</v>
      </c>
      <c r="I170" s="312" t="s">
        <v>466</v>
      </c>
      <c r="J170" s="312">
        <v>1918</v>
      </c>
      <c r="K170" s="312" t="s">
        <v>468</v>
      </c>
    </row>
    <row r="171" spans="1:11">
      <c r="A171" s="312" t="s">
        <v>1550</v>
      </c>
      <c r="B171" s="312" t="s">
        <v>1551</v>
      </c>
      <c r="C171" s="312" t="s">
        <v>105</v>
      </c>
      <c r="D171" s="312" t="s">
        <v>483</v>
      </c>
      <c r="E171" s="312" t="s">
        <v>696</v>
      </c>
      <c r="F171" s="312">
        <v>1736</v>
      </c>
      <c r="G171" s="312" t="s">
        <v>697</v>
      </c>
      <c r="H171" s="312">
        <v>1741</v>
      </c>
      <c r="I171" s="312" t="s">
        <v>696</v>
      </c>
      <c r="J171" s="312">
        <v>1929</v>
      </c>
      <c r="K171" s="312" t="s">
        <v>698</v>
      </c>
    </row>
    <row r="172" spans="1:11">
      <c r="A172" s="312" t="s">
        <v>1821</v>
      </c>
      <c r="B172" s="312" t="s">
        <v>1822</v>
      </c>
      <c r="C172" s="312" t="s">
        <v>105</v>
      </c>
      <c r="D172" s="312" t="s">
        <v>483</v>
      </c>
      <c r="E172" s="312" t="s">
        <v>167</v>
      </c>
      <c r="F172" s="312">
        <v>1705</v>
      </c>
      <c r="G172" s="312" t="s">
        <v>168</v>
      </c>
      <c r="H172" s="312">
        <v>1707</v>
      </c>
      <c r="I172" s="312" t="s">
        <v>167</v>
      </c>
      <c r="J172" s="312">
        <v>1899</v>
      </c>
      <c r="K172" s="312" t="s">
        <v>169</v>
      </c>
    </row>
    <row r="173" spans="1:11">
      <c r="A173" s="312" t="s">
        <v>1949</v>
      </c>
      <c r="B173" s="312" t="s">
        <v>1950</v>
      </c>
      <c r="C173" s="312" t="s">
        <v>105</v>
      </c>
      <c r="D173" s="312" t="s">
        <v>483</v>
      </c>
      <c r="E173" s="312" t="s">
        <v>107</v>
      </c>
      <c r="F173" s="312">
        <v>1825</v>
      </c>
      <c r="G173" s="312" t="s">
        <v>108</v>
      </c>
      <c r="H173" s="312">
        <v>1827</v>
      </c>
      <c r="I173" s="312" t="s">
        <v>107</v>
      </c>
      <c r="J173" s="312">
        <v>1913</v>
      </c>
      <c r="K173" s="312" t="s">
        <v>109</v>
      </c>
    </row>
    <row r="174" spans="1:11">
      <c r="A174" s="312" t="s">
        <v>1970</v>
      </c>
      <c r="B174" s="312" t="s">
        <v>1971</v>
      </c>
      <c r="C174" s="312" t="s">
        <v>105</v>
      </c>
      <c r="D174" s="312" t="s">
        <v>483</v>
      </c>
      <c r="E174" s="312" t="s">
        <v>466</v>
      </c>
      <c r="F174" s="312">
        <v>1796</v>
      </c>
      <c r="G174" s="312" t="s">
        <v>467</v>
      </c>
      <c r="H174" s="312">
        <v>1799</v>
      </c>
      <c r="I174" s="312" t="s">
        <v>466</v>
      </c>
      <c r="J174" s="312">
        <v>1918</v>
      </c>
      <c r="K174" s="312" t="s">
        <v>468</v>
      </c>
    </row>
    <row r="175" spans="1:11">
      <c r="A175" s="312" t="s">
        <v>1972</v>
      </c>
      <c r="B175" s="312" t="s">
        <v>1973</v>
      </c>
      <c r="C175" s="312" t="s">
        <v>105</v>
      </c>
      <c r="D175" s="312" t="s">
        <v>483</v>
      </c>
      <c r="E175" s="312" t="s">
        <v>466</v>
      </c>
      <c r="F175" s="312">
        <v>1796</v>
      </c>
      <c r="G175" s="312" t="s">
        <v>467</v>
      </c>
      <c r="H175" s="312">
        <v>1799</v>
      </c>
      <c r="I175" s="312" t="s">
        <v>466</v>
      </c>
      <c r="J175" s="312">
        <v>1918</v>
      </c>
      <c r="K175" s="312" t="s">
        <v>468</v>
      </c>
    </row>
    <row r="176" spans="1:11">
      <c r="A176" s="312" t="s">
        <v>1974</v>
      </c>
      <c r="B176" s="312" t="s">
        <v>1975</v>
      </c>
      <c r="C176" s="312" t="s">
        <v>105</v>
      </c>
      <c r="D176" s="312" t="s">
        <v>483</v>
      </c>
      <c r="E176" s="312" t="s">
        <v>466</v>
      </c>
      <c r="F176" s="312">
        <v>1796</v>
      </c>
      <c r="G176" s="312" t="s">
        <v>467</v>
      </c>
      <c r="H176" s="312">
        <v>1799</v>
      </c>
      <c r="I176" s="312" t="s">
        <v>466</v>
      </c>
      <c r="J176" s="312">
        <v>1918</v>
      </c>
      <c r="K176" s="312" t="s">
        <v>468</v>
      </c>
    </row>
    <row r="177" spans="1:11">
      <c r="A177" s="312" t="s">
        <v>2016</v>
      </c>
      <c r="B177" s="312" t="s">
        <v>2017</v>
      </c>
      <c r="C177" s="312" t="s">
        <v>105</v>
      </c>
      <c r="D177" s="312" t="s">
        <v>483</v>
      </c>
      <c r="E177" s="312" t="s">
        <v>466</v>
      </c>
      <c r="F177" s="312">
        <v>1796</v>
      </c>
      <c r="G177" s="312" t="s">
        <v>467</v>
      </c>
      <c r="H177" s="312">
        <v>1799</v>
      </c>
      <c r="I177" s="312" t="s">
        <v>466</v>
      </c>
      <c r="J177" s="312">
        <v>1918</v>
      </c>
      <c r="K177" s="312" t="s">
        <v>468</v>
      </c>
    </row>
    <row r="178" spans="1:11">
      <c r="A178" s="312" t="s">
        <v>2018</v>
      </c>
      <c r="B178" s="312" t="s">
        <v>2019</v>
      </c>
      <c r="C178" s="312" t="s">
        <v>105</v>
      </c>
      <c r="D178" s="312" t="s">
        <v>483</v>
      </c>
      <c r="E178" s="312" t="s">
        <v>107</v>
      </c>
      <c r="F178" s="312">
        <v>1825</v>
      </c>
      <c r="G178" s="312" t="s">
        <v>108</v>
      </c>
      <c r="H178" s="312">
        <v>1827</v>
      </c>
      <c r="I178" s="312" t="s">
        <v>107</v>
      </c>
      <c r="J178" s="312">
        <v>1913</v>
      </c>
      <c r="K178" s="312" t="s">
        <v>109</v>
      </c>
    </row>
    <row r="179" spans="1:11">
      <c r="A179" s="312" t="s">
        <v>2102</v>
      </c>
      <c r="B179" s="312" t="s">
        <v>2103</v>
      </c>
      <c r="C179" s="312" t="s">
        <v>105</v>
      </c>
      <c r="D179" s="312" t="s">
        <v>483</v>
      </c>
      <c r="E179" s="312" t="s">
        <v>684</v>
      </c>
      <c r="F179" s="312">
        <v>1750</v>
      </c>
      <c r="G179" s="312" t="s">
        <v>685</v>
      </c>
      <c r="H179" s="312">
        <v>1754</v>
      </c>
      <c r="I179" s="312" t="s">
        <v>684</v>
      </c>
      <c r="J179" s="312">
        <v>1920</v>
      </c>
      <c r="K179" s="312" t="s">
        <v>686</v>
      </c>
    </row>
    <row r="180" spans="1:11">
      <c r="A180" s="312" t="s">
        <v>2212</v>
      </c>
      <c r="B180" s="312" t="s">
        <v>2213</v>
      </c>
      <c r="C180" s="312" t="s">
        <v>105</v>
      </c>
      <c r="D180" s="312" t="s">
        <v>483</v>
      </c>
      <c r="E180" s="312" t="s">
        <v>466</v>
      </c>
      <c r="F180" s="312">
        <v>1796</v>
      </c>
      <c r="G180" s="312" t="s">
        <v>467</v>
      </c>
      <c r="H180" s="312">
        <v>1799</v>
      </c>
      <c r="I180" s="312" t="s">
        <v>466</v>
      </c>
      <c r="J180" s="312">
        <v>1918</v>
      </c>
      <c r="K180" s="312" t="s">
        <v>468</v>
      </c>
    </row>
    <row r="181" spans="1:11">
      <c r="A181" s="312" t="s">
        <v>2214</v>
      </c>
      <c r="B181" s="312" t="s">
        <v>2215</v>
      </c>
      <c r="C181" s="312" t="s">
        <v>105</v>
      </c>
      <c r="D181" s="312" t="s">
        <v>483</v>
      </c>
      <c r="E181" s="312" t="s">
        <v>466</v>
      </c>
      <c r="F181" s="312">
        <v>1796</v>
      </c>
      <c r="G181" s="312" t="s">
        <v>467</v>
      </c>
      <c r="H181" s="312">
        <v>1799</v>
      </c>
      <c r="I181" s="312" t="s">
        <v>466</v>
      </c>
      <c r="J181" s="312">
        <v>1918</v>
      </c>
      <c r="K181" s="312" t="s">
        <v>468</v>
      </c>
    </row>
    <row r="182" spans="1:11">
      <c r="A182" s="312" t="s">
        <v>2296</v>
      </c>
      <c r="B182" s="312" t="s">
        <v>2297</v>
      </c>
      <c r="C182" s="312" t="s">
        <v>105</v>
      </c>
      <c r="D182" s="312" t="s">
        <v>483</v>
      </c>
      <c r="E182" s="312" t="s">
        <v>107</v>
      </c>
      <c r="F182" s="312">
        <v>1825</v>
      </c>
      <c r="G182" s="312" t="s">
        <v>108</v>
      </c>
      <c r="H182" s="312">
        <v>1827</v>
      </c>
      <c r="I182" s="312" t="s">
        <v>107</v>
      </c>
      <c r="J182" s="312">
        <v>1913</v>
      </c>
      <c r="K182" s="312" t="s">
        <v>109</v>
      </c>
    </row>
    <row r="183" spans="1:11">
      <c r="A183" s="312" t="s">
        <v>2350</v>
      </c>
      <c r="B183" s="312" t="s">
        <v>2351</v>
      </c>
      <c r="C183" s="312" t="s">
        <v>105</v>
      </c>
      <c r="D183" s="312" t="s">
        <v>483</v>
      </c>
      <c r="E183" s="312" t="s">
        <v>466</v>
      </c>
      <c r="F183" s="312">
        <v>1796</v>
      </c>
      <c r="G183" s="312" t="s">
        <v>467</v>
      </c>
      <c r="H183" s="312">
        <v>1799</v>
      </c>
      <c r="I183" s="312" t="s">
        <v>466</v>
      </c>
      <c r="J183" s="312">
        <v>1918</v>
      </c>
      <c r="K183" s="312" t="s">
        <v>468</v>
      </c>
    </row>
    <row r="184" spans="1:11">
      <c r="A184" s="312" t="s">
        <v>2352</v>
      </c>
      <c r="B184" s="312" t="s">
        <v>2353</v>
      </c>
      <c r="C184" s="312" t="s">
        <v>105</v>
      </c>
      <c r="D184" s="312" t="s">
        <v>483</v>
      </c>
      <c r="E184" s="312" t="s">
        <v>466</v>
      </c>
      <c r="F184" s="312">
        <v>1796</v>
      </c>
      <c r="G184" s="312" t="s">
        <v>467</v>
      </c>
      <c r="H184" s="312">
        <v>1799</v>
      </c>
      <c r="I184" s="312" t="s">
        <v>466</v>
      </c>
      <c r="J184" s="312">
        <v>1918</v>
      </c>
      <c r="K184" s="312" t="s">
        <v>468</v>
      </c>
    </row>
    <row r="185" spans="1:11">
      <c r="A185" s="312" t="s">
        <v>2354</v>
      </c>
      <c r="B185" s="312" t="s">
        <v>2355</v>
      </c>
      <c r="C185" s="312" t="s">
        <v>105</v>
      </c>
      <c r="D185" s="312" t="s">
        <v>483</v>
      </c>
      <c r="E185" s="312" t="s">
        <v>466</v>
      </c>
      <c r="F185" s="312">
        <v>1796</v>
      </c>
      <c r="G185" s="312" t="s">
        <v>467</v>
      </c>
      <c r="H185" s="312">
        <v>1799</v>
      </c>
      <c r="I185" s="312" t="s">
        <v>466</v>
      </c>
      <c r="J185" s="312">
        <v>1918</v>
      </c>
      <c r="K185" s="312" t="s">
        <v>468</v>
      </c>
    </row>
    <row r="186" spans="1:11">
      <c r="A186" s="312" t="s">
        <v>2356</v>
      </c>
      <c r="B186" s="312" t="s">
        <v>2357</v>
      </c>
      <c r="C186" s="312" t="s">
        <v>105</v>
      </c>
      <c r="D186" s="312" t="s">
        <v>483</v>
      </c>
      <c r="E186" s="312" t="s">
        <v>466</v>
      </c>
      <c r="F186" s="312">
        <v>1796</v>
      </c>
      <c r="G186" s="312" t="s">
        <v>467</v>
      </c>
      <c r="H186" s="312">
        <v>1799</v>
      </c>
      <c r="I186" s="312" t="s">
        <v>466</v>
      </c>
      <c r="J186" s="312">
        <v>1918</v>
      </c>
      <c r="K186" s="312" t="s">
        <v>468</v>
      </c>
    </row>
    <row r="187" spans="1:11">
      <c r="A187" s="312" t="s">
        <v>2358</v>
      </c>
      <c r="B187" s="312" t="s">
        <v>2359</v>
      </c>
      <c r="C187" s="312" t="s">
        <v>105</v>
      </c>
      <c r="D187" s="312" t="s">
        <v>483</v>
      </c>
      <c r="E187" s="312" t="s">
        <v>466</v>
      </c>
      <c r="F187" s="312">
        <v>1796</v>
      </c>
      <c r="G187" s="312" t="s">
        <v>467</v>
      </c>
      <c r="H187" s="312">
        <v>1799</v>
      </c>
      <c r="I187" s="312" t="s">
        <v>466</v>
      </c>
      <c r="J187" s="312">
        <v>1918</v>
      </c>
      <c r="K187" s="312" t="s">
        <v>468</v>
      </c>
    </row>
    <row r="188" spans="1:11">
      <c r="A188" s="312" t="s">
        <v>2360</v>
      </c>
      <c r="B188" s="312" t="s">
        <v>2361</v>
      </c>
      <c r="C188" s="312" t="s">
        <v>105</v>
      </c>
      <c r="D188" s="312" t="s">
        <v>483</v>
      </c>
      <c r="E188" s="312" t="s">
        <v>466</v>
      </c>
      <c r="F188" s="312">
        <v>1796</v>
      </c>
      <c r="G188" s="312" t="s">
        <v>467</v>
      </c>
      <c r="H188" s="312">
        <v>1799</v>
      </c>
      <c r="I188" s="312" t="s">
        <v>466</v>
      </c>
      <c r="J188" s="312">
        <v>1918</v>
      </c>
      <c r="K188" s="312" t="s">
        <v>468</v>
      </c>
    </row>
    <row r="189" spans="1:11">
      <c r="A189" s="312" t="s">
        <v>2362</v>
      </c>
      <c r="B189" s="312" t="s">
        <v>2363</v>
      </c>
      <c r="C189" s="312" t="s">
        <v>105</v>
      </c>
      <c r="D189" s="312" t="s">
        <v>483</v>
      </c>
      <c r="E189" s="312" t="s">
        <v>466</v>
      </c>
      <c r="F189" s="312">
        <v>1796</v>
      </c>
      <c r="G189" s="312" t="s">
        <v>467</v>
      </c>
      <c r="H189" s="312">
        <v>1799</v>
      </c>
      <c r="I189" s="312" t="s">
        <v>466</v>
      </c>
      <c r="J189" s="312">
        <v>1918</v>
      </c>
      <c r="K189" s="312" t="s">
        <v>468</v>
      </c>
    </row>
    <row r="190" spans="1:11">
      <c r="A190" s="312" t="s">
        <v>2364</v>
      </c>
      <c r="B190" s="312" t="s">
        <v>2365</v>
      </c>
      <c r="C190" s="312" t="s">
        <v>105</v>
      </c>
      <c r="D190" s="312" t="s">
        <v>483</v>
      </c>
      <c r="E190" s="312" t="s">
        <v>466</v>
      </c>
      <c r="F190" s="312">
        <v>1796</v>
      </c>
      <c r="G190" s="312" t="s">
        <v>467</v>
      </c>
      <c r="H190" s="312">
        <v>1799</v>
      </c>
      <c r="I190" s="312" t="s">
        <v>466</v>
      </c>
      <c r="J190" s="312">
        <v>1918</v>
      </c>
      <c r="K190" s="312" t="s">
        <v>468</v>
      </c>
    </row>
    <row r="191" spans="1:11">
      <c r="A191" s="312" t="s">
        <v>2407</v>
      </c>
      <c r="B191" s="312" t="s">
        <v>2408</v>
      </c>
      <c r="C191" s="312" t="s">
        <v>105</v>
      </c>
      <c r="D191" s="312" t="s">
        <v>483</v>
      </c>
      <c r="E191" s="312" t="s">
        <v>466</v>
      </c>
      <c r="F191" s="312">
        <v>1796</v>
      </c>
      <c r="G191" s="312" t="s">
        <v>467</v>
      </c>
      <c r="H191" s="312">
        <v>1799</v>
      </c>
      <c r="I191" s="312" t="s">
        <v>466</v>
      </c>
      <c r="J191" s="312">
        <v>1918</v>
      </c>
      <c r="K191" s="312" t="s">
        <v>468</v>
      </c>
    </row>
    <row r="192" spans="1:11">
      <c r="A192" s="312" t="s">
        <v>2409</v>
      </c>
      <c r="B192" s="312" t="s">
        <v>2410</v>
      </c>
      <c r="C192" s="312" t="s">
        <v>105</v>
      </c>
      <c r="D192" s="312" t="s">
        <v>483</v>
      </c>
      <c r="E192" s="312" t="s">
        <v>466</v>
      </c>
      <c r="F192" s="312">
        <v>1796</v>
      </c>
      <c r="G192" s="312" t="s">
        <v>467</v>
      </c>
      <c r="H192" s="312">
        <v>1799</v>
      </c>
      <c r="I192" s="312" t="s">
        <v>466</v>
      </c>
      <c r="J192" s="312">
        <v>1918</v>
      </c>
      <c r="K192" s="312" t="s">
        <v>468</v>
      </c>
    </row>
    <row r="193" spans="1:11">
      <c r="A193" s="312" t="s">
        <v>2413</v>
      </c>
      <c r="B193" s="312" t="s">
        <v>2414</v>
      </c>
      <c r="C193" s="312" t="s">
        <v>105</v>
      </c>
      <c r="D193" s="312" t="s">
        <v>483</v>
      </c>
      <c r="E193" s="312" t="s">
        <v>466</v>
      </c>
      <c r="F193" s="312">
        <v>1796</v>
      </c>
      <c r="G193" s="312" t="s">
        <v>467</v>
      </c>
      <c r="H193" s="312">
        <v>1799</v>
      </c>
      <c r="I193" s="312" t="s">
        <v>466</v>
      </c>
      <c r="J193" s="312">
        <v>1918</v>
      </c>
      <c r="K193" s="312" t="s">
        <v>468</v>
      </c>
    </row>
    <row r="194" spans="1:11">
      <c r="A194" s="312" t="s">
        <v>2425</v>
      </c>
      <c r="B194" s="312" t="s">
        <v>2426</v>
      </c>
      <c r="C194" s="312" t="s">
        <v>105</v>
      </c>
      <c r="D194" s="312" t="s">
        <v>483</v>
      </c>
      <c r="E194" s="312" t="s">
        <v>466</v>
      </c>
      <c r="F194" s="312">
        <v>1796</v>
      </c>
      <c r="G194" s="312" t="s">
        <v>467</v>
      </c>
      <c r="H194" s="312">
        <v>1799</v>
      </c>
      <c r="I194" s="312" t="s">
        <v>466</v>
      </c>
      <c r="J194" s="312">
        <v>1918</v>
      </c>
      <c r="K194" s="312" t="s">
        <v>468</v>
      </c>
    </row>
    <row r="195" spans="1:11">
      <c r="A195" s="312" t="s">
        <v>2570</v>
      </c>
      <c r="B195" s="312" t="s">
        <v>2571</v>
      </c>
      <c r="C195" s="312" t="s">
        <v>105</v>
      </c>
      <c r="D195" s="312" t="s">
        <v>483</v>
      </c>
      <c r="E195" s="312" t="s">
        <v>466</v>
      </c>
      <c r="F195" s="312">
        <v>1796</v>
      </c>
      <c r="G195" s="312" t="s">
        <v>467</v>
      </c>
      <c r="H195" s="312">
        <v>1799</v>
      </c>
      <c r="I195" s="312" t="s">
        <v>466</v>
      </c>
      <c r="J195" s="312">
        <v>1918</v>
      </c>
      <c r="K195" s="312" t="s">
        <v>468</v>
      </c>
    </row>
    <row r="196" spans="1:11">
      <c r="A196" s="312" t="s">
        <v>2729</v>
      </c>
      <c r="B196" s="312" t="s">
        <v>2730</v>
      </c>
      <c r="C196" s="312" t="s">
        <v>105</v>
      </c>
      <c r="D196" s="312" t="s">
        <v>483</v>
      </c>
      <c r="E196" s="312" t="s">
        <v>107</v>
      </c>
      <c r="F196" s="312">
        <v>1825</v>
      </c>
      <c r="G196" s="312" t="s">
        <v>108</v>
      </c>
      <c r="H196" s="312">
        <v>1827</v>
      </c>
      <c r="I196" s="312" t="s">
        <v>107</v>
      </c>
      <c r="J196" s="312">
        <v>1913</v>
      </c>
      <c r="K196" s="312" t="s">
        <v>109</v>
      </c>
    </row>
    <row r="197" spans="1:11">
      <c r="A197" s="312" t="s">
        <v>2731</v>
      </c>
      <c r="B197" s="312" t="s">
        <v>2732</v>
      </c>
      <c r="C197" s="312" t="s">
        <v>105</v>
      </c>
      <c r="D197" s="312" t="s">
        <v>483</v>
      </c>
      <c r="E197" s="312" t="s">
        <v>107</v>
      </c>
      <c r="F197" s="312">
        <v>1825</v>
      </c>
      <c r="G197" s="312" t="s">
        <v>108</v>
      </c>
      <c r="H197" s="312">
        <v>1827</v>
      </c>
      <c r="I197" s="312" t="s">
        <v>107</v>
      </c>
      <c r="J197" s="312">
        <v>1913</v>
      </c>
      <c r="K197" s="312" t="s">
        <v>109</v>
      </c>
    </row>
    <row r="198" spans="1:11">
      <c r="A198" s="312" t="s">
        <v>2733</v>
      </c>
      <c r="B198" s="312" t="s">
        <v>2734</v>
      </c>
      <c r="C198" s="312" t="s">
        <v>105</v>
      </c>
      <c r="D198" s="312" t="s">
        <v>483</v>
      </c>
      <c r="E198" s="312" t="s">
        <v>107</v>
      </c>
      <c r="F198" s="312">
        <v>1825</v>
      </c>
      <c r="G198" s="312" t="s">
        <v>108</v>
      </c>
      <c r="H198" s="312">
        <v>1827</v>
      </c>
      <c r="I198" s="312" t="s">
        <v>107</v>
      </c>
      <c r="J198" s="312">
        <v>1913</v>
      </c>
      <c r="K198" s="312" t="s">
        <v>109</v>
      </c>
    </row>
    <row r="199" spans="1:11">
      <c r="A199" s="312" t="s">
        <v>2806</v>
      </c>
      <c r="B199" s="312" t="s">
        <v>2807</v>
      </c>
      <c r="C199" s="312" t="s">
        <v>105</v>
      </c>
      <c r="D199" s="312" t="s">
        <v>483</v>
      </c>
      <c r="E199" s="312" t="s">
        <v>684</v>
      </c>
      <c r="F199" s="312">
        <v>1750</v>
      </c>
      <c r="G199" s="312" t="s">
        <v>685</v>
      </c>
      <c r="H199" s="312">
        <v>1754</v>
      </c>
      <c r="I199" s="312" t="s">
        <v>684</v>
      </c>
      <c r="J199" s="312">
        <v>1920</v>
      </c>
      <c r="K199" s="312" t="s">
        <v>686</v>
      </c>
    </row>
    <row r="200" spans="1:11">
      <c r="A200" s="312" t="s">
        <v>2853</v>
      </c>
      <c r="B200" s="312" t="s">
        <v>2854</v>
      </c>
      <c r="C200" s="312" t="s">
        <v>105</v>
      </c>
      <c r="D200" s="312" t="s">
        <v>483</v>
      </c>
      <c r="E200" s="312" t="s">
        <v>107</v>
      </c>
      <c r="F200" s="312">
        <v>1825</v>
      </c>
      <c r="G200" s="312" t="s">
        <v>108</v>
      </c>
      <c r="H200" s="312">
        <v>1827</v>
      </c>
      <c r="I200" s="312" t="s">
        <v>107</v>
      </c>
      <c r="J200" s="312">
        <v>1913</v>
      </c>
      <c r="K200" s="312" t="s">
        <v>109</v>
      </c>
    </row>
    <row r="201" spans="1:11">
      <c r="A201" s="312" t="s">
        <v>2860</v>
      </c>
      <c r="B201" s="312" t="s">
        <v>2861</v>
      </c>
      <c r="C201" s="312" t="s">
        <v>105</v>
      </c>
      <c r="D201" s="312" t="s">
        <v>483</v>
      </c>
      <c r="E201" s="312" t="s">
        <v>107</v>
      </c>
      <c r="F201" s="312">
        <v>1825</v>
      </c>
      <c r="G201" s="312" t="s">
        <v>108</v>
      </c>
      <c r="H201" s="312">
        <v>1827</v>
      </c>
      <c r="I201" s="312" t="s">
        <v>107</v>
      </c>
      <c r="J201" s="312">
        <v>1913</v>
      </c>
      <c r="K201" s="312" t="s">
        <v>109</v>
      </c>
    </row>
    <row r="202" spans="1:11">
      <c r="A202" s="312" t="s">
        <v>2862</v>
      </c>
      <c r="B202" s="312" t="s">
        <v>2863</v>
      </c>
      <c r="C202" s="312" t="s">
        <v>105</v>
      </c>
      <c r="D202" s="312" t="s">
        <v>483</v>
      </c>
      <c r="E202" s="312" t="s">
        <v>466</v>
      </c>
      <c r="F202" s="312">
        <v>1796</v>
      </c>
      <c r="G202" s="312" t="s">
        <v>467</v>
      </c>
      <c r="H202" s="312">
        <v>1799</v>
      </c>
      <c r="I202" s="312" t="s">
        <v>466</v>
      </c>
      <c r="J202" s="312">
        <v>1918</v>
      </c>
      <c r="K202" s="312" t="s">
        <v>468</v>
      </c>
    </row>
    <row r="203" spans="1:11">
      <c r="A203" s="312" t="s">
        <v>2866</v>
      </c>
      <c r="B203" s="312" t="s">
        <v>2867</v>
      </c>
      <c r="C203" s="312" t="s">
        <v>105</v>
      </c>
      <c r="D203" s="312" t="s">
        <v>483</v>
      </c>
      <c r="E203" s="312" t="s">
        <v>466</v>
      </c>
      <c r="F203" s="312">
        <v>1796</v>
      </c>
      <c r="G203" s="312" t="s">
        <v>467</v>
      </c>
      <c r="H203" s="312">
        <v>1799</v>
      </c>
      <c r="I203" s="312" t="s">
        <v>466</v>
      </c>
      <c r="J203" s="312">
        <v>1918</v>
      </c>
      <c r="K203" s="312" t="s">
        <v>468</v>
      </c>
    </row>
    <row r="204" spans="1:11">
      <c r="A204" s="312" t="s">
        <v>2870</v>
      </c>
      <c r="B204" s="312" t="s">
        <v>2871</v>
      </c>
      <c r="C204" s="312" t="s">
        <v>105</v>
      </c>
      <c r="D204" s="312" t="s">
        <v>483</v>
      </c>
      <c r="E204" s="312" t="s">
        <v>466</v>
      </c>
      <c r="F204" s="312">
        <v>1796</v>
      </c>
      <c r="G204" s="312" t="s">
        <v>467</v>
      </c>
      <c r="H204" s="312">
        <v>1799</v>
      </c>
      <c r="I204" s="312" t="s">
        <v>466</v>
      </c>
      <c r="J204" s="312">
        <v>1918</v>
      </c>
      <c r="K204" s="312" t="s">
        <v>468</v>
      </c>
    </row>
    <row r="205" spans="1:11">
      <c r="A205" s="312" t="s">
        <v>2978</v>
      </c>
      <c r="B205" s="312" t="s">
        <v>2979</v>
      </c>
      <c r="C205" s="312" t="s">
        <v>105</v>
      </c>
      <c r="D205" s="312" t="s">
        <v>483</v>
      </c>
      <c r="E205" s="312" t="s">
        <v>466</v>
      </c>
      <c r="F205" s="312">
        <v>1796</v>
      </c>
      <c r="G205" s="312" t="s">
        <v>467</v>
      </c>
      <c r="H205" s="312">
        <v>1799</v>
      </c>
      <c r="I205" s="312" t="s">
        <v>466</v>
      </c>
      <c r="J205" s="312">
        <v>1918</v>
      </c>
      <c r="K205" s="312" t="s">
        <v>468</v>
      </c>
    </row>
    <row r="206" spans="1:11">
      <c r="A206" s="312" t="s">
        <v>3002</v>
      </c>
      <c r="B206" s="312" t="s">
        <v>3003</v>
      </c>
      <c r="C206" s="312" t="s">
        <v>105</v>
      </c>
      <c r="D206" s="312" t="s">
        <v>483</v>
      </c>
      <c r="E206" s="312" t="s">
        <v>684</v>
      </c>
      <c r="F206" s="312">
        <v>1750</v>
      </c>
      <c r="G206" s="312" t="s">
        <v>685</v>
      </c>
      <c r="H206" s="312">
        <v>1754</v>
      </c>
      <c r="I206" s="312" t="s">
        <v>684</v>
      </c>
      <c r="J206" s="312">
        <v>1920</v>
      </c>
      <c r="K206" s="312" t="s">
        <v>686</v>
      </c>
    </row>
    <row r="207" spans="1:11">
      <c r="A207" s="312" t="s">
        <v>3253</v>
      </c>
      <c r="B207" s="312" t="s">
        <v>3254</v>
      </c>
      <c r="C207" s="312" t="s">
        <v>105</v>
      </c>
      <c r="D207" s="312" t="s">
        <v>483</v>
      </c>
      <c r="E207" s="312" t="s">
        <v>107</v>
      </c>
      <c r="F207" s="312">
        <v>1825</v>
      </c>
      <c r="G207" s="312" t="s">
        <v>108</v>
      </c>
      <c r="H207" s="312">
        <v>1827</v>
      </c>
      <c r="I207" s="312" t="s">
        <v>107</v>
      </c>
      <c r="J207" s="312">
        <v>1913</v>
      </c>
      <c r="K207" s="312" t="s">
        <v>109</v>
      </c>
    </row>
    <row r="208" spans="1:11">
      <c r="A208" s="312" t="s">
        <v>3255</v>
      </c>
      <c r="B208" s="312" t="s">
        <v>3256</v>
      </c>
      <c r="C208" s="312" t="s">
        <v>105</v>
      </c>
      <c r="D208" s="312" t="s">
        <v>483</v>
      </c>
      <c r="E208" s="312" t="s">
        <v>107</v>
      </c>
      <c r="F208" s="312">
        <v>1825</v>
      </c>
      <c r="G208" s="312" t="s">
        <v>108</v>
      </c>
      <c r="H208" s="312">
        <v>1827</v>
      </c>
      <c r="I208" s="312" t="s">
        <v>107</v>
      </c>
      <c r="J208" s="312">
        <v>1913</v>
      </c>
      <c r="K208" s="312" t="s">
        <v>109</v>
      </c>
    </row>
    <row r="209" spans="1:11">
      <c r="A209" s="312" t="s">
        <v>3257</v>
      </c>
      <c r="B209" s="312" t="s">
        <v>3258</v>
      </c>
      <c r="C209" s="312" t="s">
        <v>105</v>
      </c>
      <c r="D209" s="312" t="s">
        <v>483</v>
      </c>
      <c r="E209" s="312" t="s">
        <v>107</v>
      </c>
      <c r="F209" s="312">
        <v>1825</v>
      </c>
      <c r="G209" s="312" t="s">
        <v>108</v>
      </c>
      <c r="H209" s="312">
        <v>1827</v>
      </c>
      <c r="I209" s="312" t="s">
        <v>107</v>
      </c>
      <c r="J209" s="312">
        <v>1913</v>
      </c>
      <c r="K209" s="312" t="s">
        <v>109</v>
      </c>
    </row>
    <row r="210" spans="1:11">
      <c r="A210" s="312" t="s">
        <v>3464</v>
      </c>
      <c r="B210" s="312" t="s">
        <v>3465</v>
      </c>
      <c r="C210" s="312" t="s">
        <v>105</v>
      </c>
      <c r="D210" s="312" t="s">
        <v>483</v>
      </c>
      <c r="E210" s="312" t="s">
        <v>466</v>
      </c>
      <c r="F210" s="312">
        <v>1796</v>
      </c>
      <c r="G210" s="312" t="s">
        <v>467</v>
      </c>
      <c r="H210" s="312">
        <v>1799</v>
      </c>
      <c r="I210" s="312" t="s">
        <v>466</v>
      </c>
      <c r="J210" s="312">
        <v>1918</v>
      </c>
      <c r="K210" s="312" t="s">
        <v>468</v>
      </c>
    </row>
    <row r="211" spans="1:11">
      <c r="A211" s="312" t="s">
        <v>3466</v>
      </c>
      <c r="B211" s="312" t="s">
        <v>3467</v>
      </c>
      <c r="C211" s="312" t="s">
        <v>105</v>
      </c>
      <c r="D211" s="312" t="s">
        <v>483</v>
      </c>
      <c r="E211" s="312" t="s">
        <v>466</v>
      </c>
      <c r="F211" s="312">
        <v>1796</v>
      </c>
      <c r="G211" s="312" t="s">
        <v>467</v>
      </c>
      <c r="H211" s="312">
        <v>1799</v>
      </c>
      <c r="I211" s="312" t="s">
        <v>466</v>
      </c>
      <c r="J211" s="312">
        <v>1918</v>
      </c>
      <c r="K211" s="312" t="s">
        <v>468</v>
      </c>
    </row>
    <row r="212" spans="1:11">
      <c r="A212" s="312" t="s">
        <v>3472</v>
      </c>
      <c r="B212" s="312" t="s">
        <v>3473</v>
      </c>
      <c r="C212" s="312" t="s">
        <v>105</v>
      </c>
      <c r="D212" s="312" t="s">
        <v>483</v>
      </c>
      <c r="E212" s="312" t="s">
        <v>466</v>
      </c>
      <c r="F212" s="312">
        <v>1796</v>
      </c>
      <c r="G212" s="312" t="s">
        <v>467</v>
      </c>
      <c r="H212" s="312">
        <v>1799</v>
      </c>
      <c r="I212" s="312" t="s">
        <v>466</v>
      </c>
      <c r="J212" s="312">
        <v>1918</v>
      </c>
      <c r="K212" s="312" t="s">
        <v>468</v>
      </c>
    </row>
    <row r="213" spans="1:11">
      <c r="A213" s="312" t="s">
        <v>3757</v>
      </c>
      <c r="B213" s="312" t="s">
        <v>3758</v>
      </c>
      <c r="C213" s="312" t="s">
        <v>105</v>
      </c>
      <c r="D213" s="312" t="s">
        <v>483</v>
      </c>
      <c r="E213" s="312" t="s">
        <v>107</v>
      </c>
      <c r="F213" s="312">
        <v>1825</v>
      </c>
      <c r="G213" s="312" t="s">
        <v>108</v>
      </c>
      <c r="H213" s="312">
        <v>1827</v>
      </c>
      <c r="I213" s="312" t="s">
        <v>107</v>
      </c>
      <c r="J213" s="312">
        <v>1913</v>
      </c>
      <c r="K213" s="312" t="s">
        <v>109</v>
      </c>
    </row>
    <row r="214" spans="1:11">
      <c r="A214" s="312" t="s">
        <v>3759</v>
      </c>
      <c r="B214" s="312" t="s">
        <v>3760</v>
      </c>
      <c r="C214" s="312" t="s">
        <v>105</v>
      </c>
      <c r="D214" s="312" t="s">
        <v>483</v>
      </c>
      <c r="E214" s="312" t="s">
        <v>107</v>
      </c>
      <c r="F214" s="312">
        <v>1825</v>
      </c>
      <c r="G214" s="312" t="s">
        <v>108</v>
      </c>
      <c r="H214" s="312">
        <v>1827</v>
      </c>
      <c r="I214" s="312" t="s">
        <v>107</v>
      </c>
      <c r="J214" s="312">
        <v>1913</v>
      </c>
      <c r="K214" s="312" t="s">
        <v>109</v>
      </c>
    </row>
    <row r="215" spans="1:11">
      <c r="A215" s="312" t="s">
        <v>3761</v>
      </c>
      <c r="B215" s="312" t="s">
        <v>3762</v>
      </c>
      <c r="C215" s="312" t="s">
        <v>105</v>
      </c>
      <c r="D215" s="312" t="s">
        <v>483</v>
      </c>
      <c r="E215" s="312" t="s">
        <v>107</v>
      </c>
      <c r="F215" s="312">
        <v>1825</v>
      </c>
      <c r="G215" s="312" t="s">
        <v>108</v>
      </c>
      <c r="H215" s="312">
        <v>1827</v>
      </c>
      <c r="I215" s="312" t="s">
        <v>107</v>
      </c>
      <c r="J215" s="312">
        <v>1913</v>
      </c>
      <c r="K215" s="312" t="s">
        <v>109</v>
      </c>
    </row>
    <row r="216" spans="1:11">
      <c r="A216" s="312" t="s">
        <v>3763</v>
      </c>
      <c r="B216" s="312" t="s">
        <v>3764</v>
      </c>
      <c r="C216" s="312" t="s">
        <v>105</v>
      </c>
      <c r="D216" s="312" t="s">
        <v>483</v>
      </c>
      <c r="E216" s="312" t="s">
        <v>107</v>
      </c>
      <c r="F216" s="312">
        <v>1825</v>
      </c>
      <c r="G216" s="312" t="s">
        <v>108</v>
      </c>
      <c r="H216" s="312">
        <v>1827</v>
      </c>
      <c r="I216" s="312" t="s">
        <v>107</v>
      </c>
      <c r="J216" s="312">
        <v>1913</v>
      </c>
      <c r="K216" s="312" t="s">
        <v>109</v>
      </c>
    </row>
    <row r="217" spans="1:11">
      <c r="A217" s="312" t="s">
        <v>3765</v>
      </c>
      <c r="B217" s="312" t="s">
        <v>3766</v>
      </c>
      <c r="C217" s="312" t="s">
        <v>105</v>
      </c>
      <c r="D217" s="312" t="s">
        <v>483</v>
      </c>
      <c r="E217" s="312" t="s">
        <v>107</v>
      </c>
      <c r="F217" s="312">
        <v>1825</v>
      </c>
      <c r="G217" s="312" t="s">
        <v>108</v>
      </c>
      <c r="H217" s="312">
        <v>1827</v>
      </c>
      <c r="I217" s="312" t="s">
        <v>107</v>
      </c>
      <c r="J217" s="312">
        <v>1913</v>
      </c>
      <c r="K217" s="312" t="s">
        <v>109</v>
      </c>
    </row>
    <row r="218" spans="1:11">
      <c r="A218" s="312" t="s">
        <v>3767</v>
      </c>
      <c r="B218" s="312" t="s">
        <v>3768</v>
      </c>
      <c r="C218" s="312" t="s">
        <v>105</v>
      </c>
      <c r="D218" s="312" t="s">
        <v>483</v>
      </c>
      <c r="E218" s="312" t="s">
        <v>107</v>
      </c>
      <c r="F218" s="312">
        <v>1825</v>
      </c>
      <c r="G218" s="312" t="s">
        <v>108</v>
      </c>
      <c r="H218" s="312">
        <v>1827</v>
      </c>
      <c r="I218" s="312" t="s">
        <v>107</v>
      </c>
      <c r="J218" s="312">
        <v>1913</v>
      </c>
      <c r="K218" s="312" t="s">
        <v>109</v>
      </c>
    </row>
    <row r="219" spans="1:11">
      <c r="A219" s="312" t="s">
        <v>3929</v>
      </c>
      <c r="B219" s="312" t="s">
        <v>3930</v>
      </c>
      <c r="C219" s="312" t="s">
        <v>105</v>
      </c>
      <c r="D219" s="312" t="s">
        <v>483</v>
      </c>
      <c r="E219" s="312" t="s">
        <v>696</v>
      </c>
      <c r="F219" s="312">
        <v>1736</v>
      </c>
      <c r="G219" s="312" t="s">
        <v>697</v>
      </c>
      <c r="H219" s="312">
        <v>1741</v>
      </c>
      <c r="I219" s="312" t="s">
        <v>696</v>
      </c>
      <c r="J219" s="312">
        <v>1929</v>
      </c>
      <c r="K219" s="312" t="s">
        <v>698</v>
      </c>
    </row>
    <row r="220" spans="1:11">
      <c r="A220" s="312" t="s">
        <v>3941</v>
      </c>
      <c r="B220" s="312" t="s">
        <v>3942</v>
      </c>
      <c r="C220" s="312" t="s">
        <v>105</v>
      </c>
      <c r="D220" s="312" t="s">
        <v>483</v>
      </c>
      <c r="E220" s="312" t="s">
        <v>107</v>
      </c>
      <c r="F220" s="312">
        <v>1825</v>
      </c>
      <c r="G220" s="312" t="s">
        <v>108</v>
      </c>
      <c r="H220" s="312">
        <v>1827</v>
      </c>
      <c r="I220" s="312" t="s">
        <v>107</v>
      </c>
      <c r="J220" s="312">
        <v>1913</v>
      </c>
      <c r="K220" s="312" t="s">
        <v>109</v>
      </c>
    </row>
    <row r="221" spans="1:11">
      <c r="A221" s="312" t="s">
        <v>4097</v>
      </c>
      <c r="B221" s="312" t="s">
        <v>4098</v>
      </c>
      <c r="C221" s="312" t="s">
        <v>105</v>
      </c>
      <c r="D221" s="312" t="s">
        <v>483</v>
      </c>
      <c r="E221" s="312" t="s">
        <v>466</v>
      </c>
      <c r="F221" s="312">
        <v>1796</v>
      </c>
      <c r="G221" s="312" t="s">
        <v>467</v>
      </c>
      <c r="H221" s="312">
        <v>1799</v>
      </c>
      <c r="I221" s="312" t="s">
        <v>466</v>
      </c>
      <c r="J221" s="312">
        <v>1918</v>
      </c>
      <c r="K221" s="312" t="s">
        <v>468</v>
      </c>
    </row>
    <row r="222" spans="1:11">
      <c r="A222" s="312" t="s">
        <v>4099</v>
      </c>
      <c r="B222" s="312" t="s">
        <v>4100</v>
      </c>
      <c r="C222" s="312" t="s">
        <v>105</v>
      </c>
      <c r="D222" s="312" t="s">
        <v>483</v>
      </c>
      <c r="E222" s="312" t="s">
        <v>167</v>
      </c>
      <c r="F222" s="312">
        <v>1705</v>
      </c>
      <c r="G222" s="312" t="s">
        <v>168</v>
      </c>
      <c r="H222" s="312">
        <v>1707</v>
      </c>
      <c r="I222" s="312" t="s">
        <v>167</v>
      </c>
      <c r="J222" s="312">
        <v>1899</v>
      </c>
      <c r="K222" s="312" t="s">
        <v>169</v>
      </c>
    </row>
    <row r="223" spans="1:11">
      <c r="A223" s="312" t="s">
        <v>4101</v>
      </c>
      <c r="B223" s="312" t="s">
        <v>4102</v>
      </c>
      <c r="C223" s="312" t="s">
        <v>105</v>
      </c>
      <c r="D223" s="312" t="s">
        <v>483</v>
      </c>
      <c r="E223" s="312" t="s">
        <v>466</v>
      </c>
      <c r="F223" s="312">
        <v>1796</v>
      </c>
      <c r="G223" s="312" t="s">
        <v>467</v>
      </c>
      <c r="H223" s="312">
        <v>1799</v>
      </c>
      <c r="I223" s="312" t="s">
        <v>466</v>
      </c>
      <c r="J223" s="312">
        <v>1918</v>
      </c>
      <c r="K223" s="312" t="s">
        <v>468</v>
      </c>
    </row>
    <row r="224" spans="1:11">
      <c r="A224" s="312" t="s">
        <v>4103</v>
      </c>
      <c r="B224" s="312" t="s">
        <v>4104</v>
      </c>
      <c r="C224" s="312" t="s">
        <v>105</v>
      </c>
      <c r="D224" s="312" t="s">
        <v>483</v>
      </c>
      <c r="E224" s="312" t="s">
        <v>466</v>
      </c>
      <c r="F224" s="312">
        <v>1796</v>
      </c>
      <c r="G224" s="312" t="s">
        <v>467</v>
      </c>
      <c r="H224" s="312">
        <v>1799</v>
      </c>
      <c r="I224" s="312" t="s">
        <v>466</v>
      </c>
      <c r="J224" s="312">
        <v>1918</v>
      </c>
      <c r="K224" s="312" t="s">
        <v>468</v>
      </c>
    </row>
    <row r="225" spans="1:11">
      <c r="A225" s="312" t="s">
        <v>4271</v>
      </c>
      <c r="B225" s="312" t="s">
        <v>4272</v>
      </c>
      <c r="C225" s="312" t="s">
        <v>105</v>
      </c>
      <c r="D225" s="312" t="s">
        <v>483</v>
      </c>
      <c r="E225" s="312" t="s">
        <v>466</v>
      </c>
      <c r="F225" s="312">
        <v>1796</v>
      </c>
      <c r="G225" s="312" t="s">
        <v>467</v>
      </c>
      <c r="H225" s="312">
        <v>1799</v>
      </c>
      <c r="I225" s="312" t="s">
        <v>466</v>
      </c>
      <c r="J225" s="312">
        <v>1918</v>
      </c>
      <c r="K225" s="312" t="s">
        <v>468</v>
      </c>
    </row>
    <row r="226" spans="1:11">
      <c r="A226" s="312" t="s">
        <v>4273</v>
      </c>
      <c r="B226" s="312" t="s">
        <v>4274</v>
      </c>
      <c r="C226" s="312" t="s">
        <v>105</v>
      </c>
      <c r="D226" s="312" t="s">
        <v>483</v>
      </c>
      <c r="E226" s="312" t="s">
        <v>466</v>
      </c>
      <c r="F226" s="312">
        <v>1796</v>
      </c>
      <c r="G226" s="312" t="s">
        <v>467</v>
      </c>
      <c r="H226" s="312">
        <v>1799</v>
      </c>
      <c r="I226" s="312" t="s">
        <v>466</v>
      </c>
      <c r="J226" s="312">
        <v>1918</v>
      </c>
      <c r="K226" s="312" t="s">
        <v>468</v>
      </c>
    </row>
    <row r="227" spans="1:11">
      <c r="A227" s="312" t="s">
        <v>4297</v>
      </c>
      <c r="B227" s="312" t="s">
        <v>4298</v>
      </c>
      <c r="C227" s="312" t="s">
        <v>105</v>
      </c>
      <c r="D227" s="312" t="s">
        <v>483</v>
      </c>
      <c r="E227" s="312" t="s">
        <v>107</v>
      </c>
      <c r="F227" s="312">
        <v>1825</v>
      </c>
      <c r="G227" s="312" t="s">
        <v>108</v>
      </c>
      <c r="H227" s="312">
        <v>1827</v>
      </c>
      <c r="I227" s="312" t="s">
        <v>107</v>
      </c>
      <c r="J227" s="312">
        <v>1913</v>
      </c>
      <c r="K227" s="312" t="s">
        <v>109</v>
      </c>
    </row>
    <row r="228" spans="1:11">
      <c r="A228" s="312" t="s">
        <v>4620</v>
      </c>
      <c r="B228" s="312" t="s">
        <v>4621</v>
      </c>
      <c r="C228" s="312" t="s">
        <v>105</v>
      </c>
      <c r="D228" s="312" t="s">
        <v>483</v>
      </c>
      <c r="E228" s="312" t="s">
        <v>107</v>
      </c>
      <c r="F228" s="312">
        <v>1825</v>
      </c>
      <c r="G228" s="312" t="s">
        <v>108</v>
      </c>
      <c r="H228" s="312">
        <v>1827</v>
      </c>
      <c r="I228" s="312" t="s">
        <v>107</v>
      </c>
      <c r="J228" s="312">
        <v>1913</v>
      </c>
      <c r="K228" s="312" t="s">
        <v>109</v>
      </c>
    </row>
    <row r="229" spans="1:11">
      <c r="A229" s="312" t="s">
        <v>4622</v>
      </c>
      <c r="B229" s="312" t="s">
        <v>4623</v>
      </c>
      <c r="C229" s="312" t="s">
        <v>105</v>
      </c>
      <c r="D229" s="312" t="s">
        <v>483</v>
      </c>
      <c r="E229" s="312" t="s">
        <v>107</v>
      </c>
      <c r="F229" s="312">
        <v>1825</v>
      </c>
      <c r="G229" s="312" t="s">
        <v>108</v>
      </c>
      <c r="H229" s="312">
        <v>1827</v>
      </c>
      <c r="I229" s="312" t="s">
        <v>107</v>
      </c>
      <c r="J229" s="312">
        <v>1913</v>
      </c>
      <c r="K229" s="312" t="s">
        <v>109</v>
      </c>
    </row>
    <row r="230" spans="1:11">
      <c r="A230" s="312" t="s">
        <v>4624</v>
      </c>
      <c r="B230" s="312" t="s">
        <v>4625</v>
      </c>
      <c r="C230" s="312" t="s">
        <v>105</v>
      </c>
      <c r="D230" s="312" t="s">
        <v>483</v>
      </c>
      <c r="E230" s="312" t="s">
        <v>107</v>
      </c>
      <c r="F230" s="312">
        <v>1825</v>
      </c>
      <c r="G230" s="312" t="s">
        <v>108</v>
      </c>
      <c r="H230" s="312">
        <v>1827</v>
      </c>
      <c r="I230" s="312" t="s">
        <v>107</v>
      </c>
      <c r="J230" s="312">
        <v>1913</v>
      </c>
      <c r="K230" s="312" t="s">
        <v>109</v>
      </c>
    </row>
    <row r="231" spans="1:11">
      <c r="A231" s="312" t="s">
        <v>5003</v>
      </c>
      <c r="B231" s="312" t="s">
        <v>5004</v>
      </c>
      <c r="C231" s="312" t="s">
        <v>105</v>
      </c>
      <c r="D231" s="312" t="s">
        <v>483</v>
      </c>
      <c r="E231" s="312" t="s">
        <v>107</v>
      </c>
      <c r="F231" s="312">
        <v>1825</v>
      </c>
      <c r="G231" s="312" t="s">
        <v>108</v>
      </c>
      <c r="H231" s="312">
        <v>1827</v>
      </c>
      <c r="I231" s="312" t="s">
        <v>107</v>
      </c>
      <c r="J231" s="312">
        <v>1913</v>
      </c>
      <c r="K231" s="312" t="s">
        <v>109</v>
      </c>
    </row>
    <row r="232" spans="1:11">
      <c r="A232" s="312" t="s">
        <v>5017</v>
      </c>
      <c r="B232" s="312" t="s">
        <v>5018</v>
      </c>
      <c r="C232" s="312" t="s">
        <v>105</v>
      </c>
      <c r="D232" s="312" t="s">
        <v>483</v>
      </c>
      <c r="E232" s="312" t="s">
        <v>466</v>
      </c>
      <c r="F232" s="312">
        <v>1796</v>
      </c>
      <c r="G232" s="312" t="s">
        <v>467</v>
      </c>
      <c r="H232" s="312">
        <v>1799</v>
      </c>
      <c r="I232" s="312" t="s">
        <v>466</v>
      </c>
      <c r="J232" s="312">
        <v>1918</v>
      </c>
      <c r="K232" s="312" t="s">
        <v>468</v>
      </c>
    </row>
    <row r="233" spans="1:11">
      <c r="A233" s="312" t="s">
        <v>5174</v>
      </c>
      <c r="B233" s="312" t="s">
        <v>5175</v>
      </c>
      <c r="C233" s="312" t="s">
        <v>105</v>
      </c>
      <c r="D233" s="312" t="s">
        <v>483</v>
      </c>
      <c r="E233" s="312" t="s">
        <v>466</v>
      </c>
      <c r="F233" s="312">
        <v>1796</v>
      </c>
      <c r="G233" s="312" t="s">
        <v>467</v>
      </c>
      <c r="H233" s="312">
        <v>1799</v>
      </c>
      <c r="I233" s="312" t="s">
        <v>466</v>
      </c>
      <c r="J233" s="312">
        <v>1918</v>
      </c>
      <c r="K233" s="312" t="s">
        <v>468</v>
      </c>
    </row>
    <row r="234" spans="1:11">
      <c r="A234" s="312" t="s">
        <v>5176</v>
      </c>
      <c r="B234" s="1" t="s">
        <v>5177</v>
      </c>
      <c r="C234" s="312" t="s">
        <v>105</v>
      </c>
      <c r="D234" s="312" t="s">
        <v>483</v>
      </c>
      <c r="E234" s="312" t="s">
        <v>466</v>
      </c>
      <c r="F234" s="312">
        <v>1796</v>
      </c>
      <c r="G234" s="312" t="s">
        <v>467</v>
      </c>
      <c r="H234" s="312">
        <v>1799</v>
      </c>
      <c r="I234" s="312" t="s">
        <v>466</v>
      </c>
      <c r="J234" s="312">
        <v>1918</v>
      </c>
      <c r="K234" s="312" t="s">
        <v>468</v>
      </c>
    </row>
    <row r="235" spans="1:11">
      <c r="A235" s="312" t="s">
        <v>5178</v>
      </c>
      <c r="B235" s="312" t="s">
        <v>5179</v>
      </c>
      <c r="C235" s="312" t="s">
        <v>105</v>
      </c>
      <c r="D235" s="312" t="s">
        <v>483</v>
      </c>
      <c r="E235" s="312" t="s">
        <v>466</v>
      </c>
      <c r="F235" s="312">
        <v>1796</v>
      </c>
      <c r="G235" s="312" t="s">
        <v>467</v>
      </c>
      <c r="H235" s="312">
        <v>1799</v>
      </c>
      <c r="I235" s="312" t="s">
        <v>466</v>
      </c>
      <c r="J235" s="312">
        <v>1918</v>
      </c>
      <c r="K235" s="312" t="s">
        <v>468</v>
      </c>
    </row>
    <row r="236" spans="1:11">
      <c r="A236" s="312" t="s">
        <v>5214</v>
      </c>
      <c r="B236" s="312" t="s">
        <v>5215</v>
      </c>
      <c r="C236" s="312" t="s">
        <v>105</v>
      </c>
      <c r="D236" s="312" t="s">
        <v>483</v>
      </c>
      <c r="E236" s="312" t="s">
        <v>107</v>
      </c>
      <c r="F236" s="312">
        <v>1825</v>
      </c>
      <c r="G236" s="312" t="s">
        <v>108</v>
      </c>
      <c r="H236" s="312">
        <v>1827</v>
      </c>
      <c r="I236" s="312" t="s">
        <v>107</v>
      </c>
      <c r="J236" s="312">
        <v>1913</v>
      </c>
      <c r="K236" s="312" t="s">
        <v>109</v>
      </c>
    </row>
    <row r="237" spans="1:11">
      <c r="A237" s="312" t="s">
        <v>5222</v>
      </c>
      <c r="B237" s="312" t="s">
        <v>5223</v>
      </c>
      <c r="C237" s="312" t="s">
        <v>105</v>
      </c>
      <c r="D237" s="312" t="s">
        <v>483</v>
      </c>
      <c r="E237" s="312" t="s">
        <v>466</v>
      </c>
      <c r="F237" s="312">
        <v>1796</v>
      </c>
      <c r="G237" s="312" t="s">
        <v>467</v>
      </c>
      <c r="H237" s="312">
        <v>1799</v>
      </c>
      <c r="I237" s="312" t="s">
        <v>466</v>
      </c>
      <c r="J237" s="312">
        <v>1918</v>
      </c>
      <c r="K237" s="312" t="s">
        <v>468</v>
      </c>
    </row>
    <row r="238" spans="1:11">
      <c r="A238" s="312" t="s">
        <v>5333</v>
      </c>
      <c r="B238" s="312" t="s">
        <v>5334</v>
      </c>
      <c r="C238" s="312" t="s">
        <v>105</v>
      </c>
      <c r="D238" s="312" t="s">
        <v>483</v>
      </c>
      <c r="E238" s="312" t="s">
        <v>466</v>
      </c>
      <c r="F238" s="312">
        <v>1796</v>
      </c>
      <c r="G238" s="312" t="s">
        <v>467</v>
      </c>
      <c r="H238" s="312">
        <v>1799</v>
      </c>
      <c r="I238" s="312" t="s">
        <v>466</v>
      </c>
      <c r="J238" s="312">
        <v>1918</v>
      </c>
      <c r="K238" s="312" t="s">
        <v>468</v>
      </c>
    </row>
    <row r="239" spans="1:11">
      <c r="A239" s="312" t="s">
        <v>5335</v>
      </c>
      <c r="B239" s="312" t="s">
        <v>5336</v>
      </c>
      <c r="C239" s="312" t="s">
        <v>105</v>
      </c>
      <c r="D239" s="312" t="s">
        <v>483</v>
      </c>
      <c r="E239" s="312" t="s">
        <v>466</v>
      </c>
      <c r="F239" s="312">
        <v>1796</v>
      </c>
      <c r="G239" s="312" t="s">
        <v>467</v>
      </c>
      <c r="H239" s="312">
        <v>1799</v>
      </c>
      <c r="I239" s="312" t="s">
        <v>466</v>
      </c>
      <c r="J239" s="312">
        <v>1918</v>
      </c>
      <c r="K239" s="312" t="s">
        <v>468</v>
      </c>
    </row>
    <row r="240" spans="1:11">
      <c r="A240" s="312" t="s">
        <v>5337</v>
      </c>
      <c r="B240" s="312" t="s">
        <v>5338</v>
      </c>
      <c r="C240" s="312" t="s">
        <v>105</v>
      </c>
      <c r="D240" s="312" t="s">
        <v>483</v>
      </c>
      <c r="E240" s="312" t="s">
        <v>466</v>
      </c>
      <c r="F240" s="312">
        <v>1796</v>
      </c>
      <c r="G240" s="312" t="s">
        <v>467</v>
      </c>
      <c r="H240" s="312">
        <v>1799</v>
      </c>
      <c r="I240" s="312" t="s">
        <v>466</v>
      </c>
      <c r="J240" s="312">
        <v>1918</v>
      </c>
      <c r="K240" s="312" t="s">
        <v>468</v>
      </c>
    </row>
    <row r="241" spans="1:11">
      <c r="A241" s="312" t="s">
        <v>5339</v>
      </c>
      <c r="B241" s="312" t="s">
        <v>5340</v>
      </c>
      <c r="C241" s="312" t="s">
        <v>105</v>
      </c>
      <c r="D241" s="312" t="s">
        <v>483</v>
      </c>
      <c r="E241" s="312" t="s">
        <v>466</v>
      </c>
      <c r="F241" s="312">
        <v>1796</v>
      </c>
      <c r="G241" s="312" t="s">
        <v>467</v>
      </c>
      <c r="H241" s="312">
        <v>1799</v>
      </c>
      <c r="I241" s="312" t="s">
        <v>466</v>
      </c>
      <c r="J241" s="312">
        <v>1918</v>
      </c>
      <c r="K241" s="312" t="s">
        <v>468</v>
      </c>
    </row>
    <row r="242" spans="1:11">
      <c r="A242" s="312" t="s">
        <v>5341</v>
      </c>
      <c r="B242" s="312" t="s">
        <v>5342</v>
      </c>
      <c r="C242" s="312" t="s">
        <v>105</v>
      </c>
      <c r="D242" s="312" t="s">
        <v>483</v>
      </c>
      <c r="E242" s="312" t="s">
        <v>466</v>
      </c>
      <c r="F242" s="312">
        <v>1796</v>
      </c>
      <c r="G242" s="312" t="s">
        <v>467</v>
      </c>
      <c r="H242" s="312">
        <v>1799</v>
      </c>
      <c r="I242" s="312" t="s">
        <v>466</v>
      </c>
      <c r="J242" s="312">
        <v>1918</v>
      </c>
      <c r="K242" s="312" t="s">
        <v>468</v>
      </c>
    </row>
    <row r="243" spans="1:11">
      <c r="A243" s="312" t="s">
        <v>5343</v>
      </c>
      <c r="B243" s="312" t="s">
        <v>5344</v>
      </c>
      <c r="C243" s="312" t="s">
        <v>105</v>
      </c>
      <c r="D243" s="312" t="s">
        <v>483</v>
      </c>
      <c r="E243" s="312" t="s">
        <v>466</v>
      </c>
      <c r="F243" s="312">
        <v>1796</v>
      </c>
      <c r="G243" s="312" t="s">
        <v>467</v>
      </c>
      <c r="H243" s="312">
        <v>1799</v>
      </c>
      <c r="I243" s="312" t="s">
        <v>466</v>
      </c>
      <c r="J243" s="312">
        <v>1918</v>
      </c>
      <c r="K243" s="312" t="s">
        <v>468</v>
      </c>
    </row>
    <row r="244" spans="1:11">
      <c r="A244" s="312" t="s">
        <v>5345</v>
      </c>
      <c r="B244" s="312" t="s">
        <v>5346</v>
      </c>
      <c r="C244" s="312" t="s">
        <v>105</v>
      </c>
      <c r="D244" s="312" t="s">
        <v>483</v>
      </c>
      <c r="E244" s="312" t="s">
        <v>466</v>
      </c>
      <c r="F244" s="312">
        <v>1796</v>
      </c>
      <c r="G244" s="312" t="s">
        <v>467</v>
      </c>
      <c r="H244" s="312">
        <v>1799</v>
      </c>
      <c r="I244" s="312" t="s">
        <v>466</v>
      </c>
      <c r="J244" s="312">
        <v>1918</v>
      </c>
      <c r="K244" s="312" t="s">
        <v>468</v>
      </c>
    </row>
    <row r="245" spans="1:11">
      <c r="A245" s="312" t="s">
        <v>5347</v>
      </c>
      <c r="B245" s="312" t="s">
        <v>5348</v>
      </c>
      <c r="C245" s="312" t="s">
        <v>105</v>
      </c>
      <c r="D245" s="312" t="s">
        <v>483</v>
      </c>
      <c r="E245" s="312" t="s">
        <v>466</v>
      </c>
      <c r="F245" s="312">
        <v>1796</v>
      </c>
      <c r="G245" s="312" t="s">
        <v>467</v>
      </c>
      <c r="H245" s="312">
        <v>1799</v>
      </c>
      <c r="I245" s="312" t="s">
        <v>466</v>
      </c>
      <c r="J245" s="312">
        <v>1918</v>
      </c>
      <c r="K245" s="312" t="s">
        <v>468</v>
      </c>
    </row>
    <row r="246" spans="1:11">
      <c r="A246" s="312" t="s">
        <v>5349</v>
      </c>
      <c r="B246" s="312" t="s">
        <v>5350</v>
      </c>
      <c r="C246" s="312" t="s">
        <v>105</v>
      </c>
      <c r="D246" s="312" t="s">
        <v>483</v>
      </c>
      <c r="E246" s="312" t="s">
        <v>466</v>
      </c>
      <c r="F246" s="312">
        <v>1796</v>
      </c>
      <c r="G246" s="312" t="s">
        <v>467</v>
      </c>
      <c r="H246" s="312">
        <v>1799</v>
      </c>
      <c r="I246" s="312" t="s">
        <v>466</v>
      </c>
      <c r="J246" s="312">
        <v>1918</v>
      </c>
      <c r="K246" s="312" t="s">
        <v>468</v>
      </c>
    </row>
    <row r="247" spans="1:11">
      <c r="A247" s="312" t="s">
        <v>5351</v>
      </c>
      <c r="B247" s="312" t="s">
        <v>5352</v>
      </c>
      <c r="C247" s="312" t="s">
        <v>105</v>
      </c>
      <c r="D247" s="312" t="s">
        <v>483</v>
      </c>
      <c r="E247" s="312" t="s">
        <v>466</v>
      </c>
      <c r="F247" s="312">
        <v>1796</v>
      </c>
      <c r="G247" s="312" t="s">
        <v>467</v>
      </c>
      <c r="H247" s="312">
        <v>1799</v>
      </c>
      <c r="I247" s="312" t="s">
        <v>466</v>
      </c>
      <c r="J247" s="312">
        <v>1918</v>
      </c>
      <c r="K247" s="312" t="s">
        <v>468</v>
      </c>
    </row>
    <row r="248" spans="1:11">
      <c r="A248" s="312" t="s">
        <v>5353</v>
      </c>
      <c r="B248" s="312" t="s">
        <v>5354</v>
      </c>
      <c r="C248" s="312" t="s">
        <v>105</v>
      </c>
      <c r="D248" s="312" t="s">
        <v>483</v>
      </c>
      <c r="E248" s="312" t="s">
        <v>466</v>
      </c>
      <c r="F248" s="312">
        <v>1796</v>
      </c>
      <c r="G248" s="312" t="s">
        <v>467</v>
      </c>
      <c r="H248" s="312">
        <v>1799</v>
      </c>
      <c r="I248" s="312" t="s">
        <v>466</v>
      </c>
      <c r="J248" s="312">
        <v>1918</v>
      </c>
      <c r="K248" s="312" t="s">
        <v>468</v>
      </c>
    </row>
    <row r="249" spans="1:11">
      <c r="A249" s="312" t="s">
        <v>5747</v>
      </c>
      <c r="B249" s="312" t="s">
        <v>5748</v>
      </c>
      <c r="C249" s="312" t="s">
        <v>105</v>
      </c>
      <c r="D249" s="312" t="s">
        <v>483</v>
      </c>
      <c r="E249" s="312" t="s">
        <v>3480</v>
      </c>
      <c r="F249" s="312">
        <v>1708</v>
      </c>
      <c r="G249" s="312" t="s">
        <v>3481</v>
      </c>
      <c r="H249" s="312">
        <v>1710</v>
      </c>
      <c r="I249" s="312" t="s">
        <v>3480</v>
      </c>
      <c r="J249" s="312">
        <v>1909</v>
      </c>
      <c r="K249" s="312" t="s">
        <v>3482</v>
      </c>
    </row>
    <row r="250" spans="1:11">
      <c r="A250" s="312" t="s">
        <v>5921</v>
      </c>
      <c r="B250" s="312" t="s">
        <v>5922</v>
      </c>
      <c r="C250" s="312" t="s">
        <v>105</v>
      </c>
      <c r="D250" s="312" t="s">
        <v>483</v>
      </c>
      <c r="E250" s="312" t="s">
        <v>107</v>
      </c>
      <c r="F250" s="312">
        <v>1825</v>
      </c>
      <c r="G250" s="312" t="s">
        <v>108</v>
      </c>
      <c r="H250" s="312">
        <v>1827</v>
      </c>
      <c r="I250" s="312" t="s">
        <v>107</v>
      </c>
      <c r="J250" s="312">
        <v>1913</v>
      </c>
      <c r="K250" s="312" t="s">
        <v>109</v>
      </c>
    </row>
    <row r="251" spans="1:11">
      <c r="A251" s="312" t="s">
        <v>5923</v>
      </c>
      <c r="B251" s="312" t="s">
        <v>5924</v>
      </c>
      <c r="C251" s="312" t="s">
        <v>105</v>
      </c>
      <c r="D251" s="312" t="s">
        <v>483</v>
      </c>
      <c r="E251" s="312" t="s">
        <v>107</v>
      </c>
      <c r="F251" s="312">
        <v>1825</v>
      </c>
      <c r="G251" s="312" t="s">
        <v>108</v>
      </c>
      <c r="H251" s="312">
        <v>1827</v>
      </c>
      <c r="I251" s="312" t="s">
        <v>107</v>
      </c>
      <c r="J251" s="312">
        <v>1913</v>
      </c>
      <c r="K251" s="312" t="s">
        <v>109</v>
      </c>
    </row>
    <row r="252" spans="1:11">
      <c r="A252" s="312" t="s">
        <v>5925</v>
      </c>
      <c r="B252" s="312" t="s">
        <v>5926</v>
      </c>
      <c r="C252" s="312" t="s">
        <v>105</v>
      </c>
      <c r="D252" s="312" t="s">
        <v>483</v>
      </c>
      <c r="E252" s="312" t="s">
        <v>107</v>
      </c>
      <c r="F252" s="312">
        <v>1825</v>
      </c>
      <c r="G252" s="312" t="s">
        <v>108</v>
      </c>
      <c r="H252" s="312">
        <v>1827</v>
      </c>
      <c r="I252" s="312" t="s">
        <v>107</v>
      </c>
      <c r="J252" s="312">
        <v>1913</v>
      </c>
      <c r="K252" s="312" t="s">
        <v>109</v>
      </c>
    </row>
    <row r="253" spans="1:11">
      <c r="A253" s="312" t="s">
        <v>5990</v>
      </c>
      <c r="B253" s="312" t="s">
        <v>5991</v>
      </c>
      <c r="C253" s="312" t="s">
        <v>105</v>
      </c>
      <c r="D253" s="312" t="s">
        <v>483</v>
      </c>
      <c r="E253" s="312" t="s">
        <v>696</v>
      </c>
      <c r="F253" s="312">
        <v>1736</v>
      </c>
      <c r="G253" s="312" t="s">
        <v>697</v>
      </c>
      <c r="H253" s="312">
        <v>1741</v>
      </c>
      <c r="I253" s="312" t="s">
        <v>696</v>
      </c>
      <c r="J253" s="312">
        <v>1929</v>
      </c>
      <c r="K253" s="312" t="s">
        <v>698</v>
      </c>
    </row>
    <row r="254" spans="1:11">
      <c r="A254" s="312" t="s">
        <v>5992</v>
      </c>
      <c r="B254" s="312" t="s">
        <v>5993</v>
      </c>
      <c r="C254" s="312" t="s">
        <v>105</v>
      </c>
      <c r="D254" s="312" t="s">
        <v>483</v>
      </c>
      <c r="E254" s="312" t="s">
        <v>696</v>
      </c>
      <c r="F254" s="312">
        <v>1736</v>
      </c>
      <c r="G254" s="312" t="s">
        <v>697</v>
      </c>
      <c r="H254" s="312">
        <v>1741</v>
      </c>
      <c r="I254" s="312" t="s">
        <v>696</v>
      </c>
      <c r="J254" s="312">
        <v>1929</v>
      </c>
      <c r="K254" s="312" t="s">
        <v>698</v>
      </c>
    </row>
    <row r="255" spans="1:11">
      <c r="A255" s="312" t="s">
        <v>2857</v>
      </c>
      <c r="B255" s="312" t="s">
        <v>2858</v>
      </c>
      <c r="C255" s="312" t="s">
        <v>105</v>
      </c>
      <c r="D255" s="312" t="s">
        <v>2859</v>
      </c>
      <c r="E255" s="312" t="s">
        <v>107</v>
      </c>
      <c r="F255" s="312">
        <v>1825</v>
      </c>
      <c r="G255" s="312" t="s">
        <v>108</v>
      </c>
      <c r="H255" s="312">
        <v>1827</v>
      </c>
      <c r="I255" s="312" t="s">
        <v>107</v>
      </c>
      <c r="J255" s="312">
        <v>1913</v>
      </c>
      <c r="K255" s="312" t="s">
        <v>109</v>
      </c>
    </row>
    <row r="256" spans="1:11">
      <c r="A256" s="312" t="s">
        <v>2868</v>
      </c>
      <c r="B256" s="312" t="s">
        <v>2869</v>
      </c>
      <c r="C256" s="312" t="s">
        <v>105</v>
      </c>
      <c r="D256" s="312" t="s">
        <v>2859</v>
      </c>
      <c r="E256" s="312" t="s">
        <v>466</v>
      </c>
      <c r="F256" s="312">
        <v>1796</v>
      </c>
      <c r="G256" s="312" t="s">
        <v>467</v>
      </c>
      <c r="H256" s="312">
        <v>1799</v>
      </c>
      <c r="I256" s="312" t="s">
        <v>466</v>
      </c>
      <c r="J256" s="312">
        <v>1918</v>
      </c>
      <c r="K256" s="312" t="s">
        <v>468</v>
      </c>
    </row>
    <row r="257" spans="1:11">
      <c r="A257" s="312" t="s">
        <v>3366</v>
      </c>
      <c r="B257" s="312" t="s">
        <v>3367</v>
      </c>
      <c r="C257" s="312" t="s">
        <v>105</v>
      </c>
      <c r="D257" s="312" t="s">
        <v>2859</v>
      </c>
      <c r="E257" s="312" t="s">
        <v>107</v>
      </c>
      <c r="F257" s="312">
        <v>1825</v>
      </c>
      <c r="G257" s="312" t="s">
        <v>108</v>
      </c>
      <c r="H257" s="312">
        <v>1827</v>
      </c>
      <c r="I257" s="312" t="s">
        <v>107</v>
      </c>
      <c r="J257" s="312">
        <v>1913</v>
      </c>
      <c r="K257" s="312" t="s">
        <v>109</v>
      </c>
    </row>
    <row r="258" spans="1:11">
      <c r="A258" s="312" t="s">
        <v>6022</v>
      </c>
      <c r="B258" s="312" t="s">
        <v>6023</v>
      </c>
      <c r="C258" s="312" t="s">
        <v>105</v>
      </c>
      <c r="D258" s="312" t="s">
        <v>2859</v>
      </c>
      <c r="E258" s="312" t="s">
        <v>466</v>
      </c>
      <c r="F258" s="312">
        <v>1796</v>
      </c>
      <c r="G258" s="312" t="s">
        <v>467</v>
      </c>
      <c r="H258" s="312">
        <v>1799</v>
      </c>
      <c r="I258" s="312" t="s">
        <v>466</v>
      </c>
      <c r="J258" s="312">
        <v>1918</v>
      </c>
      <c r="K258" s="312" t="s">
        <v>468</v>
      </c>
    </row>
    <row r="259" spans="1:11">
      <c r="A259" s="312" t="s">
        <v>534</v>
      </c>
      <c r="B259" s="312" t="s">
        <v>535</v>
      </c>
      <c r="C259" s="312" t="s">
        <v>105</v>
      </c>
      <c r="D259" s="312" t="s">
        <v>536</v>
      </c>
      <c r="E259" s="312" t="s">
        <v>167</v>
      </c>
      <c r="F259" s="312">
        <v>1705</v>
      </c>
      <c r="G259" s="312" t="s">
        <v>168</v>
      </c>
      <c r="H259" s="312">
        <v>1707</v>
      </c>
      <c r="I259" s="312" t="s">
        <v>167</v>
      </c>
      <c r="J259" s="312">
        <v>1899</v>
      </c>
      <c r="K259" s="312" t="s">
        <v>169</v>
      </c>
    </row>
    <row r="260" spans="1:11">
      <c r="A260" s="312" t="s">
        <v>537</v>
      </c>
      <c r="B260" s="312" t="s">
        <v>538</v>
      </c>
      <c r="C260" s="312" t="s">
        <v>105</v>
      </c>
      <c r="D260" s="312" t="s">
        <v>536</v>
      </c>
      <c r="E260" s="312" t="s">
        <v>167</v>
      </c>
      <c r="F260" s="312">
        <v>1705</v>
      </c>
      <c r="G260" s="312" t="s">
        <v>168</v>
      </c>
      <c r="H260" s="312">
        <v>1707</v>
      </c>
      <c r="I260" s="312" t="s">
        <v>167</v>
      </c>
      <c r="J260" s="312">
        <v>1899</v>
      </c>
      <c r="K260" s="312" t="s">
        <v>169</v>
      </c>
    </row>
    <row r="261" spans="1:11">
      <c r="A261" s="312" t="s">
        <v>1447</v>
      </c>
      <c r="B261" s="312" t="s">
        <v>1448</v>
      </c>
      <c r="C261" s="312" t="s">
        <v>105</v>
      </c>
      <c r="D261" s="312" t="s">
        <v>536</v>
      </c>
      <c r="E261" s="312" t="s">
        <v>107</v>
      </c>
      <c r="F261" s="312">
        <v>1825</v>
      </c>
      <c r="G261" s="312" t="s">
        <v>108</v>
      </c>
      <c r="H261" s="312">
        <v>1827</v>
      </c>
      <c r="I261" s="312" t="s">
        <v>107</v>
      </c>
      <c r="J261" s="312">
        <v>1913</v>
      </c>
      <c r="K261" s="312" t="s">
        <v>109</v>
      </c>
    </row>
    <row r="262" spans="1:11">
      <c r="A262" s="312" t="s">
        <v>1457</v>
      </c>
      <c r="B262" s="312" t="s">
        <v>1458</v>
      </c>
      <c r="C262" s="312" t="s">
        <v>105</v>
      </c>
      <c r="D262" s="312" t="s">
        <v>536</v>
      </c>
      <c r="E262" s="312" t="s">
        <v>107</v>
      </c>
      <c r="F262" s="312">
        <v>1825</v>
      </c>
      <c r="G262" s="312" t="s">
        <v>108</v>
      </c>
      <c r="H262" s="312">
        <v>1827</v>
      </c>
      <c r="I262" s="312" t="s">
        <v>107</v>
      </c>
      <c r="J262" s="312">
        <v>1913</v>
      </c>
      <c r="K262" s="312" t="s">
        <v>109</v>
      </c>
    </row>
    <row r="263" spans="1:11">
      <c r="A263" s="312" t="s">
        <v>1663</v>
      </c>
      <c r="B263" s="312" t="s">
        <v>1664</v>
      </c>
      <c r="C263" s="312" t="s">
        <v>105</v>
      </c>
      <c r="D263" s="312" t="s">
        <v>536</v>
      </c>
      <c r="E263" s="312" t="s">
        <v>684</v>
      </c>
      <c r="F263" s="312">
        <v>1750</v>
      </c>
      <c r="G263" s="312" t="s">
        <v>685</v>
      </c>
      <c r="H263" s="312">
        <v>1754</v>
      </c>
      <c r="I263" s="312" t="s">
        <v>684</v>
      </c>
      <c r="J263" s="312">
        <v>1920</v>
      </c>
      <c r="K263" s="312" t="s">
        <v>686</v>
      </c>
    </row>
    <row r="264" spans="1:11">
      <c r="A264" s="312" t="s">
        <v>1665</v>
      </c>
      <c r="B264" s="312" t="s">
        <v>1666</v>
      </c>
      <c r="C264" s="312" t="s">
        <v>105</v>
      </c>
      <c r="D264" s="312" t="s">
        <v>536</v>
      </c>
      <c r="E264" s="312" t="s">
        <v>684</v>
      </c>
      <c r="F264" s="312">
        <v>1750</v>
      </c>
      <c r="G264" s="312" t="s">
        <v>685</v>
      </c>
      <c r="H264" s="312">
        <v>1754</v>
      </c>
      <c r="I264" s="312" t="s">
        <v>684</v>
      </c>
      <c r="J264" s="312">
        <v>1920</v>
      </c>
      <c r="K264" s="312" t="s">
        <v>686</v>
      </c>
    </row>
    <row r="265" spans="1:11">
      <c r="A265" s="312" t="s">
        <v>1667</v>
      </c>
      <c r="B265" s="1" t="s">
        <v>1668</v>
      </c>
      <c r="C265" s="312" t="s">
        <v>105</v>
      </c>
      <c r="D265" s="312" t="s">
        <v>536</v>
      </c>
      <c r="E265" s="312" t="s">
        <v>684</v>
      </c>
      <c r="F265" s="312">
        <v>1750</v>
      </c>
      <c r="G265" s="312" t="s">
        <v>685</v>
      </c>
      <c r="H265" s="312">
        <v>1754</v>
      </c>
      <c r="I265" s="312" t="s">
        <v>684</v>
      </c>
      <c r="J265" s="312">
        <v>1920</v>
      </c>
      <c r="K265" s="312" t="s">
        <v>686</v>
      </c>
    </row>
    <row r="266" spans="1:11">
      <c r="A266" s="312" t="s">
        <v>1669</v>
      </c>
      <c r="B266" s="312" t="s">
        <v>1670</v>
      </c>
      <c r="C266" s="312" t="s">
        <v>105</v>
      </c>
      <c r="D266" s="312" t="s">
        <v>536</v>
      </c>
      <c r="E266" s="312" t="s">
        <v>684</v>
      </c>
      <c r="F266" s="312">
        <v>1750</v>
      </c>
      <c r="G266" s="312" t="s">
        <v>685</v>
      </c>
      <c r="H266" s="312">
        <v>1754</v>
      </c>
      <c r="I266" s="312" t="s">
        <v>684</v>
      </c>
      <c r="J266" s="312">
        <v>1920</v>
      </c>
      <c r="K266" s="312" t="s">
        <v>686</v>
      </c>
    </row>
    <row r="267" spans="1:11">
      <c r="A267" s="312" t="s">
        <v>1671</v>
      </c>
      <c r="B267" s="312" t="s">
        <v>1672</v>
      </c>
      <c r="C267" s="312" t="s">
        <v>105</v>
      </c>
      <c r="D267" s="312" t="s">
        <v>536</v>
      </c>
      <c r="E267" s="312" t="s">
        <v>684</v>
      </c>
      <c r="F267" s="312">
        <v>1750</v>
      </c>
      <c r="G267" s="312" t="s">
        <v>685</v>
      </c>
      <c r="H267" s="312">
        <v>1754</v>
      </c>
      <c r="I267" s="312" t="s">
        <v>684</v>
      </c>
      <c r="J267" s="312">
        <v>1920</v>
      </c>
      <c r="K267" s="312" t="s">
        <v>686</v>
      </c>
    </row>
    <row r="268" spans="1:11">
      <c r="A268" s="312" t="s">
        <v>1673</v>
      </c>
      <c r="B268" s="312" t="s">
        <v>1674</v>
      </c>
      <c r="C268" s="312" t="s">
        <v>105</v>
      </c>
      <c r="D268" s="312" t="s">
        <v>536</v>
      </c>
      <c r="E268" s="312" t="s">
        <v>684</v>
      </c>
      <c r="F268" s="312">
        <v>1750</v>
      </c>
      <c r="G268" s="312" t="s">
        <v>685</v>
      </c>
      <c r="H268" s="312">
        <v>1754</v>
      </c>
      <c r="I268" s="312" t="s">
        <v>684</v>
      </c>
      <c r="J268" s="312">
        <v>1920</v>
      </c>
      <c r="K268" s="312" t="s">
        <v>686</v>
      </c>
    </row>
    <row r="269" spans="1:11">
      <c r="A269" s="312" t="s">
        <v>1675</v>
      </c>
      <c r="B269" s="312" t="s">
        <v>1676</v>
      </c>
      <c r="C269" s="312" t="s">
        <v>105</v>
      </c>
      <c r="D269" s="312" t="s">
        <v>536</v>
      </c>
      <c r="E269" s="312" t="s">
        <v>684</v>
      </c>
      <c r="F269" s="312">
        <v>1750</v>
      </c>
      <c r="G269" s="312" t="s">
        <v>685</v>
      </c>
      <c r="H269" s="312">
        <v>1754</v>
      </c>
      <c r="I269" s="312" t="s">
        <v>684</v>
      </c>
      <c r="J269" s="312">
        <v>1920</v>
      </c>
      <c r="K269" s="312" t="s">
        <v>686</v>
      </c>
    </row>
    <row r="270" spans="1:11">
      <c r="A270" s="312" t="s">
        <v>1988</v>
      </c>
      <c r="B270" s="312" t="s">
        <v>1989</v>
      </c>
      <c r="C270" s="312" t="s">
        <v>105</v>
      </c>
      <c r="D270" s="312" t="s">
        <v>536</v>
      </c>
      <c r="E270" s="312" t="s">
        <v>107</v>
      </c>
      <c r="F270" s="312">
        <v>1825</v>
      </c>
      <c r="G270" s="312" t="s">
        <v>108</v>
      </c>
      <c r="H270" s="312">
        <v>1827</v>
      </c>
      <c r="I270" s="312" t="s">
        <v>107</v>
      </c>
      <c r="J270" s="312">
        <v>1913</v>
      </c>
      <c r="K270" s="312" t="s">
        <v>109</v>
      </c>
    </row>
    <row r="271" spans="1:11">
      <c r="A271" s="312" t="s">
        <v>1990</v>
      </c>
      <c r="B271" s="312" t="s">
        <v>1991</v>
      </c>
      <c r="C271" s="312" t="s">
        <v>105</v>
      </c>
      <c r="D271" s="312" t="s">
        <v>536</v>
      </c>
      <c r="E271" s="312" t="s">
        <v>107</v>
      </c>
      <c r="F271" s="312">
        <v>1825</v>
      </c>
      <c r="G271" s="312" t="s">
        <v>108</v>
      </c>
      <c r="H271" s="312">
        <v>1827</v>
      </c>
      <c r="I271" s="312" t="s">
        <v>107</v>
      </c>
      <c r="J271" s="312">
        <v>1913</v>
      </c>
      <c r="K271" s="312" t="s">
        <v>109</v>
      </c>
    </row>
    <row r="272" spans="1:11">
      <c r="A272" s="312" t="s">
        <v>3243</v>
      </c>
      <c r="B272" s="312" t="s">
        <v>3244</v>
      </c>
      <c r="C272" s="312" t="s">
        <v>105</v>
      </c>
      <c r="D272" s="312" t="s">
        <v>536</v>
      </c>
      <c r="E272" s="312" t="s">
        <v>107</v>
      </c>
      <c r="F272" s="312">
        <v>1825</v>
      </c>
      <c r="G272" s="312" t="s">
        <v>108</v>
      </c>
      <c r="H272" s="312">
        <v>1827</v>
      </c>
      <c r="I272" s="312" t="s">
        <v>107</v>
      </c>
      <c r="J272" s="312">
        <v>1913</v>
      </c>
      <c r="K272" s="312" t="s">
        <v>109</v>
      </c>
    </row>
    <row r="273" spans="1:11">
      <c r="A273" s="312" t="s">
        <v>3718</v>
      </c>
      <c r="B273" s="312" t="s">
        <v>3719</v>
      </c>
      <c r="C273" s="312" t="s">
        <v>105</v>
      </c>
      <c r="D273" s="312" t="s">
        <v>536</v>
      </c>
      <c r="E273" s="312" t="s">
        <v>107</v>
      </c>
      <c r="F273" s="312">
        <v>1825</v>
      </c>
      <c r="G273" s="312" t="s">
        <v>108</v>
      </c>
      <c r="H273" s="312">
        <v>1827</v>
      </c>
      <c r="I273" s="312" t="s">
        <v>107</v>
      </c>
      <c r="J273" s="312">
        <v>1913</v>
      </c>
      <c r="K273" s="312" t="s">
        <v>109</v>
      </c>
    </row>
    <row r="274" spans="1:11">
      <c r="A274" s="312" t="s">
        <v>3720</v>
      </c>
      <c r="B274" s="312" t="s">
        <v>3721</v>
      </c>
      <c r="C274" s="312" t="s">
        <v>105</v>
      </c>
      <c r="D274" s="312" t="s">
        <v>536</v>
      </c>
      <c r="E274" s="312" t="s">
        <v>107</v>
      </c>
      <c r="F274" s="312">
        <v>1825</v>
      </c>
      <c r="G274" s="312" t="s">
        <v>108</v>
      </c>
      <c r="H274" s="312">
        <v>1827</v>
      </c>
      <c r="I274" s="312" t="s">
        <v>107</v>
      </c>
      <c r="J274" s="312">
        <v>1913</v>
      </c>
      <c r="K274" s="312" t="s">
        <v>109</v>
      </c>
    </row>
    <row r="275" spans="1:11">
      <c r="A275" s="312" t="s">
        <v>3722</v>
      </c>
      <c r="B275" s="312" t="s">
        <v>3723</v>
      </c>
      <c r="C275" s="312" t="s">
        <v>105</v>
      </c>
      <c r="D275" s="312" t="s">
        <v>536</v>
      </c>
      <c r="E275" s="312" t="s">
        <v>107</v>
      </c>
      <c r="F275" s="312">
        <v>1825</v>
      </c>
      <c r="G275" s="312" t="s">
        <v>108</v>
      </c>
      <c r="H275" s="312">
        <v>1827</v>
      </c>
      <c r="I275" s="312" t="s">
        <v>107</v>
      </c>
      <c r="J275" s="312">
        <v>1913</v>
      </c>
      <c r="K275" s="312" t="s">
        <v>109</v>
      </c>
    </row>
    <row r="276" spans="1:11">
      <c r="A276" s="312" t="s">
        <v>4269</v>
      </c>
      <c r="B276" s="312" t="s">
        <v>4270</v>
      </c>
      <c r="C276" s="312" t="s">
        <v>105</v>
      </c>
      <c r="D276" s="312" t="s">
        <v>536</v>
      </c>
      <c r="E276" s="312" t="s">
        <v>107</v>
      </c>
      <c r="F276" s="312">
        <v>1825</v>
      </c>
      <c r="G276" s="312" t="s">
        <v>108</v>
      </c>
      <c r="H276" s="312">
        <v>1827</v>
      </c>
      <c r="I276" s="312" t="s">
        <v>107</v>
      </c>
      <c r="J276" s="312">
        <v>1913</v>
      </c>
      <c r="K276" s="312" t="s">
        <v>109</v>
      </c>
    </row>
    <row r="277" spans="1:11">
      <c r="A277" s="312" t="s">
        <v>585</v>
      </c>
      <c r="B277" s="312" t="s">
        <v>586</v>
      </c>
      <c r="C277" s="312" t="s">
        <v>105</v>
      </c>
      <c r="D277" s="312" t="s">
        <v>587</v>
      </c>
      <c r="E277" s="312" t="s">
        <v>107</v>
      </c>
      <c r="F277" s="312">
        <v>1825</v>
      </c>
      <c r="G277" s="312" t="s">
        <v>108</v>
      </c>
      <c r="H277" s="312">
        <v>1827</v>
      </c>
      <c r="I277" s="312" t="s">
        <v>107</v>
      </c>
      <c r="J277" s="312">
        <v>1913</v>
      </c>
      <c r="K277" s="312" t="s">
        <v>109</v>
      </c>
    </row>
    <row r="278" spans="1:11">
      <c r="A278" s="312" t="s">
        <v>588</v>
      </c>
      <c r="B278" s="312" t="s">
        <v>589</v>
      </c>
      <c r="C278" s="312" t="s">
        <v>105</v>
      </c>
      <c r="D278" s="312" t="s">
        <v>587</v>
      </c>
      <c r="E278" s="312" t="s">
        <v>107</v>
      </c>
      <c r="F278" s="312">
        <v>1825</v>
      </c>
      <c r="G278" s="312" t="s">
        <v>108</v>
      </c>
      <c r="H278" s="312">
        <v>1827</v>
      </c>
      <c r="I278" s="312" t="s">
        <v>107</v>
      </c>
      <c r="J278" s="312">
        <v>1913</v>
      </c>
      <c r="K278" s="312" t="s">
        <v>109</v>
      </c>
    </row>
    <row r="279" spans="1:11">
      <c r="A279" s="312" t="s">
        <v>590</v>
      </c>
      <c r="B279" s="312" t="s">
        <v>591</v>
      </c>
      <c r="C279" s="312" t="s">
        <v>105</v>
      </c>
      <c r="D279" s="312" t="s">
        <v>587</v>
      </c>
      <c r="E279" s="312" t="s">
        <v>107</v>
      </c>
      <c r="F279" s="312">
        <v>1825</v>
      </c>
      <c r="G279" s="312" t="s">
        <v>108</v>
      </c>
      <c r="H279" s="312">
        <v>1827</v>
      </c>
      <c r="I279" s="312" t="s">
        <v>107</v>
      </c>
      <c r="J279" s="312">
        <v>1913</v>
      </c>
      <c r="K279" s="312" t="s">
        <v>109</v>
      </c>
    </row>
    <row r="280" spans="1:11">
      <c r="A280" s="312" t="s">
        <v>641</v>
      </c>
      <c r="B280" s="312" t="s">
        <v>642</v>
      </c>
      <c r="C280" s="312" t="s">
        <v>105</v>
      </c>
      <c r="D280" s="312" t="s">
        <v>587</v>
      </c>
      <c r="E280" s="312" t="s">
        <v>107</v>
      </c>
      <c r="F280" s="312">
        <v>1825</v>
      </c>
      <c r="G280" s="312" t="s">
        <v>108</v>
      </c>
      <c r="H280" s="312">
        <v>1827</v>
      </c>
      <c r="I280" s="312" t="s">
        <v>107</v>
      </c>
      <c r="J280" s="312">
        <v>1913</v>
      </c>
      <c r="K280" s="312" t="s">
        <v>109</v>
      </c>
    </row>
    <row r="281" spans="1:11">
      <c r="A281" s="312" t="s">
        <v>974</v>
      </c>
      <c r="B281" s="312" t="s">
        <v>975</v>
      </c>
      <c r="C281" s="312" t="s">
        <v>105</v>
      </c>
      <c r="D281" s="312" t="s">
        <v>587</v>
      </c>
      <c r="E281" s="312" t="s">
        <v>107</v>
      </c>
      <c r="F281" s="312">
        <v>1825</v>
      </c>
      <c r="G281" s="312" t="s">
        <v>108</v>
      </c>
      <c r="H281" s="312">
        <v>1827</v>
      </c>
      <c r="I281" s="312" t="s">
        <v>107</v>
      </c>
      <c r="J281" s="312">
        <v>1913</v>
      </c>
      <c r="K281" s="312" t="s">
        <v>109</v>
      </c>
    </row>
    <row r="282" spans="1:11">
      <c r="A282" s="312" t="s">
        <v>1255</v>
      </c>
      <c r="B282" s="312" t="s">
        <v>1256</v>
      </c>
      <c r="C282" s="312" t="s">
        <v>105</v>
      </c>
      <c r="D282" s="312" t="s">
        <v>587</v>
      </c>
      <c r="E282" s="312" t="s">
        <v>107</v>
      </c>
      <c r="F282" s="312">
        <v>1825</v>
      </c>
      <c r="G282" s="312" t="s">
        <v>108</v>
      </c>
      <c r="H282" s="312">
        <v>1827</v>
      </c>
      <c r="I282" s="312" t="s">
        <v>107</v>
      </c>
      <c r="J282" s="312">
        <v>1913</v>
      </c>
      <c r="K282" s="312" t="s">
        <v>109</v>
      </c>
    </row>
    <row r="283" spans="1:11">
      <c r="A283" s="312" t="s">
        <v>1455</v>
      </c>
      <c r="B283" s="312" t="s">
        <v>1456</v>
      </c>
      <c r="C283" s="312" t="s">
        <v>105</v>
      </c>
      <c r="D283" s="312" t="s">
        <v>587</v>
      </c>
      <c r="E283" s="312" t="s">
        <v>107</v>
      </c>
      <c r="F283" s="312">
        <v>1825</v>
      </c>
      <c r="G283" s="312" t="s">
        <v>108</v>
      </c>
      <c r="H283" s="312">
        <v>1827</v>
      </c>
      <c r="I283" s="312" t="s">
        <v>107</v>
      </c>
      <c r="J283" s="312">
        <v>1913</v>
      </c>
      <c r="K283" s="312" t="s">
        <v>109</v>
      </c>
    </row>
    <row r="284" spans="1:11">
      <c r="A284" s="312" t="s">
        <v>1459</v>
      </c>
      <c r="B284" s="312" t="s">
        <v>1460</v>
      </c>
      <c r="C284" s="312" t="s">
        <v>105</v>
      </c>
      <c r="D284" s="312" t="s">
        <v>587</v>
      </c>
      <c r="E284" s="312" t="s">
        <v>107</v>
      </c>
      <c r="F284" s="312">
        <v>1825</v>
      </c>
      <c r="G284" s="312" t="s">
        <v>108</v>
      </c>
      <c r="H284" s="312">
        <v>1827</v>
      </c>
      <c r="I284" s="312" t="s">
        <v>107</v>
      </c>
      <c r="J284" s="312">
        <v>1913</v>
      </c>
      <c r="K284" s="312" t="s">
        <v>109</v>
      </c>
    </row>
    <row r="285" spans="1:11">
      <c r="A285" s="312" t="s">
        <v>1935</v>
      </c>
      <c r="B285" s="312" t="s">
        <v>1936</v>
      </c>
      <c r="C285" s="312" t="s">
        <v>105</v>
      </c>
      <c r="D285" s="312" t="s">
        <v>587</v>
      </c>
      <c r="E285" s="312" t="s">
        <v>107</v>
      </c>
      <c r="F285" s="312">
        <v>1825</v>
      </c>
      <c r="G285" s="312" t="s">
        <v>108</v>
      </c>
      <c r="H285" s="312">
        <v>1827</v>
      </c>
      <c r="I285" s="312" t="s">
        <v>107</v>
      </c>
      <c r="J285" s="312">
        <v>1913</v>
      </c>
      <c r="K285" s="312" t="s">
        <v>109</v>
      </c>
    </row>
    <row r="286" spans="1:11">
      <c r="A286" s="312" t="s">
        <v>1937</v>
      </c>
      <c r="B286" s="312" t="s">
        <v>1938</v>
      </c>
      <c r="C286" s="312" t="s">
        <v>105</v>
      </c>
      <c r="D286" s="312" t="s">
        <v>587</v>
      </c>
      <c r="E286" s="312" t="s">
        <v>107</v>
      </c>
      <c r="F286" s="312">
        <v>1825</v>
      </c>
      <c r="G286" s="312" t="s">
        <v>108</v>
      </c>
      <c r="H286" s="312">
        <v>1827</v>
      </c>
      <c r="I286" s="312" t="s">
        <v>107</v>
      </c>
      <c r="J286" s="312">
        <v>1913</v>
      </c>
      <c r="K286" s="312" t="s">
        <v>109</v>
      </c>
    </row>
    <row r="287" spans="1:11">
      <c r="A287" s="312" t="s">
        <v>2098</v>
      </c>
      <c r="B287" s="312" t="s">
        <v>2099</v>
      </c>
      <c r="C287" s="312" t="s">
        <v>105</v>
      </c>
      <c r="D287" s="312" t="s">
        <v>587</v>
      </c>
      <c r="E287" s="312" t="s">
        <v>107</v>
      </c>
      <c r="F287" s="312">
        <v>1825</v>
      </c>
      <c r="G287" s="312" t="s">
        <v>108</v>
      </c>
      <c r="H287" s="312">
        <v>1827</v>
      </c>
      <c r="I287" s="312" t="s">
        <v>107</v>
      </c>
      <c r="J287" s="312">
        <v>1913</v>
      </c>
      <c r="K287" s="312" t="s">
        <v>109</v>
      </c>
    </row>
    <row r="288" spans="1:11">
      <c r="A288" s="312" t="s">
        <v>2328</v>
      </c>
      <c r="B288" s="312" t="s">
        <v>2329</v>
      </c>
      <c r="C288" s="312" t="s">
        <v>105</v>
      </c>
      <c r="D288" s="312" t="s">
        <v>587</v>
      </c>
      <c r="E288" s="312" t="s">
        <v>107</v>
      </c>
      <c r="F288" s="312">
        <v>1825</v>
      </c>
      <c r="G288" s="312" t="s">
        <v>108</v>
      </c>
      <c r="H288" s="312">
        <v>1827</v>
      </c>
      <c r="I288" s="312" t="s">
        <v>107</v>
      </c>
      <c r="J288" s="312">
        <v>1913</v>
      </c>
      <c r="K288" s="312" t="s">
        <v>109</v>
      </c>
    </row>
    <row r="289" spans="1:11">
      <c r="A289" s="312" t="s">
        <v>2332</v>
      </c>
      <c r="B289" s="312" t="s">
        <v>2333</v>
      </c>
      <c r="C289" s="312" t="s">
        <v>105</v>
      </c>
      <c r="D289" s="312" t="s">
        <v>587</v>
      </c>
      <c r="E289" s="312" t="s">
        <v>107</v>
      </c>
      <c r="F289" s="312">
        <v>1825</v>
      </c>
      <c r="G289" s="312" t="s">
        <v>108</v>
      </c>
      <c r="H289" s="312">
        <v>1827</v>
      </c>
      <c r="I289" s="312" t="s">
        <v>107</v>
      </c>
      <c r="J289" s="312">
        <v>1913</v>
      </c>
      <c r="K289" s="312" t="s">
        <v>109</v>
      </c>
    </row>
    <row r="290" spans="1:11">
      <c r="A290" s="312" t="s">
        <v>2931</v>
      </c>
      <c r="B290" s="312" t="s">
        <v>2932</v>
      </c>
      <c r="C290" s="312" t="s">
        <v>105</v>
      </c>
      <c r="D290" s="312" t="s">
        <v>587</v>
      </c>
      <c r="E290" s="312" t="s">
        <v>107</v>
      </c>
      <c r="F290" s="312">
        <v>1825</v>
      </c>
      <c r="G290" s="312" t="s">
        <v>108</v>
      </c>
      <c r="H290" s="312">
        <v>1827</v>
      </c>
      <c r="I290" s="312" t="s">
        <v>107</v>
      </c>
      <c r="J290" s="312">
        <v>1913</v>
      </c>
      <c r="K290" s="312" t="s">
        <v>109</v>
      </c>
    </row>
    <row r="291" spans="1:11">
      <c r="A291" s="312" t="s">
        <v>2992</v>
      </c>
      <c r="B291" s="312" t="s">
        <v>2993</v>
      </c>
      <c r="C291" s="312" t="s">
        <v>105</v>
      </c>
      <c r="D291" s="312" t="s">
        <v>587</v>
      </c>
      <c r="E291" s="312" t="s">
        <v>107</v>
      </c>
      <c r="F291" s="312">
        <v>1825</v>
      </c>
      <c r="G291" s="312" t="s">
        <v>108</v>
      </c>
      <c r="H291" s="312">
        <v>1827</v>
      </c>
      <c r="I291" s="312" t="s">
        <v>107</v>
      </c>
      <c r="J291" s="312">
        <v>1913</v>
      </c>
      <c r="K291" s="312" t="s">
        <v>109</v>
      </c>
    </row>
    <row r="292" spans="1:11">
      <c r="A292" s="312" t="s">
        <v>3197</v>
      </c>
      <c r="B292" s="312" t="s">
        <v>3198</v>
      </c>
      <c r="C292" s="312" t="s">
        <v>105</v>
      </c>
      <c r="D292" s="312" t="s">
        <v>587</v>
      </c>
      <c r="E292" s="312" t="s">
        <v>107</v>
      </c>
      <c r="F292" s="312">
        <v>1825</v>
      </c>
      <c r="G292" s="312" t="s">
        <v>108</v>
      </c>
      <c r="H292" s="312">
        <v>1827</v>
      </c>
      <c r="I292" s="312" t="s">
        <v>107</v>
      </c>
      <c r="J292" s="312">
        <v>1913</v>
      </c>
      <c r="K292" s="312" t="s">
        <v>109</v>
      </c>
    </row>
    <row r="293" spans="1:11">
      <c r="A293" s="312" t="s">
        <v>3201</v>
      </c>
      <c r="B293" s="312" t="s">
        <v>3202</v>
      </c>
      <c r="C293" s="312" t="s">
        <v>105</v>
      </c>
      <c r="D293" s="312" t="s">
        <v>587</v>
      </c>
      <c r="E293" s="312" t="s">
        <v>107</v>
      </c>
      <c r="F293" s="312">
        <v>1825</v>
      </c>
      <c r="G293" s="312" t="s">
        <v>108</v>
      </c>
      <c r="H293" s="312">
        <v>1827</v>
      </c>
      <c r="I293" s="312" t="s">
        <v>107</v>
      </c>
      <c r="J293" s="312">
        <v>1913</v>
      </c>
      <c r="K293" s="312" t="s">
        <v>109</v>
      </c>
    </row>
    <row r="294" spans="1:11">
      <c r="A294" s="312" t="s">
        <v>3205</v>
      </c>
      <c r="B294" s="312" t="s">
        <v>3206</v>
      </c>
      <c r="C294" s="312" t="s">
        <v>105</v>
      </c>
      <c r="D294" s="312" t="s">
        <v>587</v>
      </c>
      <c r="E294" s="312" t="s">
        <v>107</v>
      </c>
      <c r="F294" s="312">
        <v>1825</v>
      </c>
      <c r="G294" s="312" t="s">
        <v>108</v>
      </c>
      <c r="H294" s="312">
        <v>1827</v>
      </c>
      <c r="I294" s="312" t="s">
        <v>107</v>
      </c>
      <c r="J294" s="312">
        <v>1913</v>
      </c>
      <c r="K294" s="312" t="s">
        <v>109</v>
      </c>
    </row>
    <row r="295" spans="1:11">
      <c r="A295" s="312" t="s">
        <v>3632</v>
      </c>
      <c r="B295" s="312" t="s">
        <v>3633</v>
      </c>
      <c r="C295" s="312" t="s">
        <v>105</v>
      </c>
      <c r="D295" s="312" t="s">
        <v>587</v>
      </c>
      <c r="E295" s="312" t="s">
        <v>107</v>
      </c>
      <c r="F295" s="312">
        <v>1825</v>
      </c>
      <c r="G295" s="312" t="s">
        <v>108</v>
      </c>
      <c r="H295" s="312">
        <v>1827</v>
      </c>
      <c r="I295" s="312" t="s">
        <v>107</v>
      </c>
      <c r="J295" s="312">
        <v>1913</v>
      </c>
      <c r="K295" s="312" t="s">
        <v>109</v>
      </c>
    </row>
    <row r="296" spans="1:11">
      <c r="A296" s="312" t="s">
        <v>3883</v>
      </c>
      <c r="B296" s="312" t="s">
        <v>3884</v>
      </c>
      <c r="C296" s="312" t="s">
        <v>105</v>
      </c>
      <c r="D296" s="312" t="s">
        <v>587</v>
      </c>
      <c r="E296" s="312" t="s">
        <v>107</v>
      </c>
      <c r="F296" s="312">
        <v>1825</v>
      </c>
      <c r="G296" s="312" t="s">
        <v>108</v>
      </c>
      <c r="H296" s="312">
        <v>1827</v>
      </c>
      <c r="I296" s="312" t="s">
        <v>107</v>
      </c>
      <c r="J296" s="312">
        <v>1913</v>
      </c>
      <c r="K296" s="312" t="s">
        <v>109</v>
      </c>
    </row>
    <row r="297" spans="1:11">
      <c r="A297" s="312" t="s">
        <v>3885</v>
      </c>
      <c r="B297" s="312" t="s">
        <v>3886</v>
      </c>
      <c r="C297" s="312" t="s">
        <v>105</v>
      </c>
      <c r="D297" s="312" t="s">
        <v>587</v>
      </c>
      <c r="E297" s="312" t="s">
        <v>107</v>
      </c>
      <c r="F297" s="312">
        <v>1825</v>
      </c>
      <c r="G297" s="312" t="s">
        <v>108</v>
      </c>
      <c r="H297" s="312">
        <v>1827</v>
      </c>
      <c r="I297" s="312" t="s">
        <v>107</v>
      </c>
      <c r="J297" s="312">
        <v>1913</v>
      </c>
      <c r="K297" s="312" t="s">
        <v>109</v>
      </c>
    </row>
    <row r="298" spans="1:11">
      <c r="A298" s="312" t="s">
        <v>3893</v>
      </c>
      <c r="B298" s="312" t="s">
        <v>3894</v>
      </c>
      <c r="C298" s="312" t="s">
        <v>105</v>
      </c>
      <c r="D298" s="312" t="s">
        <v>587</v>
      </c>
      <c r="E298" s="312" t="s">
        <v>107</v>
      </c>
      <c r="F298" s="312">
        <v>1825</v>
      </c>
      <c r="G298" s="312" t="s">
        <v>108</v>
      </c>
      <c r="H298" s="312">
        <v>1827</v>
      </c>
      <c r="I298" s="312" t="s">
        <v>107</v>
      </c>
      <c r="J298" s="312">
        <v>1913</v>
      </c>
      <c r="K298" s="312" t="s">
        <v>109</v>
      </c>
    </row>
    <row r="299" spans="1:11">
      <c r="A299" s="312" t="s">
        <v>4277</v>
      </c>
      <c r="B299" s="312" t="s">
        <v>4278</v>
      </c>
      <c r="C299" s="312" t="s">
        <v>105</v>
      </c>
      <c r="D299" s="312" t="s">
        <v>587</v>
      </c>
      <c r="E299" s="312" t="s">
        <v>107</v>
      </c>
      <c r="F299" s="312">
        <v>1825</v>
      </c>
      <c r="G299" s="312" t="s">
        <v>108</v>
      </c>
      <c r="H299" s="312">
        <v>1827</v>
      </c>
      <c r="I299" s="312" t="s">
        <v>107</v>
      </c>
      <c r="J299" s="312">
        <v>1913</v>
      </c>
      <c r="K299" s="312" t="s">
        <v>109</v>
      </c>
    </row>
    <row r="300" spans="1:11">
      <c r="A300" s="312" t="s">
        <v>4281</v>
      </c>
      <c r="B300" s="312" t="s">
        <v>4282</v>
      </c>
      <c r="C300" s="312" t="s">
        <v>105</v>
      </c>
      <c r="D300" s="312" t="s">
        <v>587</v>
      </c>
      <c r="E300" s="312" t="s">
        <v>107</v>
      </c>
      <c r="F300" s="312">
        <v>1825</v>
      </c>
      <c r="G300" s="312" t="s">
        <v>108</v>
      </c>
      <c r="H300" s="312">
        <v>1827</v>
      </c>
      <c r="I300" s="312" t="s">
        <v>107</v>
      </c>
      <c r="J300" s="312">
        <v>1913</v>
      </c>
      <c r="K300" s="312" t="s">
        <v>109</v>
      </c>
    </row>
    <row r="301" spans="1:11">
      <c r="A301" s="312" t="s">
        <v>4285</v>
      </c>
      <c r="B301" s="312" t="s">
        <v>4286</v>
      </c>
      <c r="C301" s="312" t="s">
        <v>105</v>
      </c>
      <c r="D301" s="312" t="s">
        <v>587</v>
      </c>
      <c r="E301" s="312" t="s">
        <v>107</v>
      </c>
      <c r="F301" s="312">
        <v>1825</v>
      </c>
      <c r="G301" s="312" t="s">
        <v>108</v>
      </c>
      <c r="H301" s="312">
        <v>1827</v>
      </c>
      <c r="I301" s="312" t="s">
        <v>107</v>
      </c>
      <c r="J301" s="312">
        <v>1913</v>
      </c>
      <c r="K301" s="312" t="s">
        <v>109</v>
      </c>
    </row>
    <row r="302" spans="1:11">
      <c r="A302" s="312" t="s">
        <v>4487</v>
      </c>
      <c r="B302" s="312" t="s">
        <v>4488</v>
      </c>
      <c r="C302" s="312" t="s">
        <v>105</v>
      </c>
      <c r="D302" s="312" t="s">
        <v>587</v>
      </c>
      <c r="E302" s="312" t="s">
        <v>107</v>
      </c>
      <c r="F302" s="312">
        <v>1825</v>
      </c>
      <c r="G302" s="312" t="s">
        <v>108</v>
      </c>
      <c r="H302" s="312">
        <v>1827</v>
      </c>
      <c r="I302" s="312" t="s">
        <v>107</v>
      </c>
      <c r="J302" s="312">
        <v>1913</v>
      </c>
      <c r="K302" s="312" t="s">
        <v>109</v>
      </c>
    </row>
    <row r="303" spans="1:11">
      <c r="A303" s="312" t="s">
        <v>4491</v>
      </c>
      <c r="B303" s="312" t="s">
        <v>4492</v>
      </c>
      <c r="C303" s="312" t="s">
        <v>105</v>
      </c>
      <c r="D303" s="312" t="s">
        <v>587</v>
      </c>
      <c r="E303" s="312" t="s">
        <v>107</v>
      </c>
      <c r="F303" s="312">
        <v>1825</v>
      </c>
      <c r="G303" s="312" t="s">
        <v>108</v>
      </c>
      <c r="H303" s="312">
        <v>1827</v>
      </c>
      <c r="I303" s="312" t="s">
        <v>107</v>
      </c>
      <c r="J303" s="312">
        <v>1913</v>
      </c>
      <c r="K303" s="312" t="s">
        <v>109</v>
      </c>
    </row>
    <row r="304" spans="1:11">
      <c r="A304" s="312" t="s">
        <v>4575</v>
      </c>
      <c r="B304" s="312" t="s">
        <v>4576</v>
      </c>
      <c r="C304" s="312" t="s">
        <v>105</v>
      </c>
      <c r="D304" s="312" t="s">
        <v>587</v>
      </c>
      <c r="E304" s="312" t="s">
        <v>107</v>
      </c>
      <c r="F304" s="312">
        <v>1825</v>
      </c>
      <c r="G304" s="312" t="s">
        <v>108</v>
      </c>
      <c r="H304" s="312">
        <v>1827</v>
      </c>
      <c r="I304" s="312" t="s">
        <v>107</v>
      </c>
      <c r="J304" s="312">
        <v>1913</v>
      </c>
      <c r="K304" s="312" t="s">
        <v>109</v>
      </c>
    </row>
    <row r="305" spans="1:11">
      <c r="A305" s="312" t="s">
        <v>4614</v>
      </c>
      <c r="B305" s="312" t="s">
        <v>4615</v>
      </c>
      <c r="C305" s="312" t="s">
        <v>105</v>
      </c>
      <c r="D305" s="312" t="s">
        <v>587</v>
      </c>
      <c r="E305" s="312" t="s">
        <v>107</v>
      </c>
      <c r="F305" s="312">
        <v>1825</v>
      </c>
      <c r="G305" s="312" t="s">
        <v>108</v>
      </c>
      <c r="H305" s="312">
        <v>1827</v>
      </c>
      <c r="I305" s="312" t="s">
        <v>107</v>
      </c>
      <c r="J305" s="312">
        <v>1913</v>
      </c>
      <c r="K305" s="312" t="s">
        <v>109</v>
      </c>
    </row>
    <row r="306" spans="1:11">
      <c r="A306" s="312" t="s">
        <v>4616</v>
      </c>
      <c r="B306" s="312" t="s">
        <v>4617</v>
      </c>
      <c r="C306" s="312" t="s">
        <v>105</v>
      </c>
      <c r="D306" s="312" t="s">
        <v>587</v>
      </c>
      <c r="E306" s="312" t="s">
        <v>107</v>
      </c>
      <c r="F306" s="312">
        <v>1825</v>
      </c>
      <c r="G306" s="312" t="s">
        <v>108</v>
      </c>
      <c r="H306" s="312">
        <v>1827</v>
      </c>
      <c r="I306" s="312" t="s">
        <v>107</v>
      </c>
      <c r="J306" s="312">
        <v>1913</v>
      </c>
      <c r="K306" s="312" t="s">
        <v>109</v>
      </c>
    </row>
    <row r="307" spans="1:11">
      <c r="A307" s="312" t="s">
        <v>4618</v>
      </c>
      <c r="B307" s="312" t="s">
        <v>4619</v>
      </c>
      <c r="C307" s="312" t="s">
        <v>105</v>
      </c>
      <c r="D307" s="312" t="s">
        <v>587</v>
      </c>
      <c r="E307" s="312" t="s">
        <v>107</v>
      </c>
      <c r="F307" s="312">
        <v>1825</v>
      </c>
      <c r="G307" s="312" t="s">
        <v>108</v>
      </c>
      <c r="H307" s="312">
        <v>1827</v>
      </c>
      <c r="I307" s="312" t="s">
        <v>107</v>
      </c>
      <c r="J307" s="312">
        <v>1913</v>
      </c>
      <c r="K307" s="312" t="s">
        <v>109</v>
      </c>
    </row>
    <row r="308" spans="1:11">
      <c r="A308" s="312" t="s">
        <v>5033</v>
      </c>
      <c r="B308" s="312" t="s">
        <v>5034</v>
      </c>
      <c r="C308" s="312" t="s">
        <v>105</v>
      </c>
      <c r="D308" s="312" t="s">
        <v>587</v>
      </c>
      <c r="E308" s="312" t="s">
        <v>107</v>
      </c>
      <c r="F308" s="312">
        <v>1825</v>
      </c>
      <c r="G308" s="312" t="s">
        <v>108</v>
      </c>
      <c r="H308" s="312">
        <v>1827</v>
      </c>
      <c r="I308" s="312" t="s">
        <v>107</v>
      </c>
      <c r="J308" s="312">
        <v>1913</v>
      </c>
      <c r="K308" s="312" t="s">
        <v>109</v>
      </c>
    </row>
    <row r="309" spans="1:11">
      <c r="A309" s="312" t="s">
        <v>5035</v>
      </c>
      <c r="B309" s="312" t="s">
        <v>5036</v>
      </c>
      <c r="C309" s="312" t="s">
        <v>105</v>
      </c>
      <c r="D309" s="312" t="s">
        <v>587</v>
      </c>
      <c r="E309" s="312" t="s">
        <v>107</v>
      </c>
      <c r="F309" s="312">
        <v>1825</v>
      </c>
      <c r="G309" s="312" t="s">
        <v>108</v>
      </c>
      <c r="H309" s="312">
        <v>1827</v>
      </c>
      <c r="I309" s="312" t="s">
        <v>107</v>
      </c>
      <c r="J309" s="312">
        <v>1913</v>
      </c>
      <c r="K309" s="312" t="s">
        <v>109</v>
      </c>
    </row>
    <row r="310" spans="1:11">
      <c r="A310" s="312" t="s">
        <v>5163</v>
      </c>
      <c r="B310" s="312" t="s">
        <v>5164</v>
      </c>
      <c r="C310" s="312" t="s">
        <v>105</v>
      </c>
      <c r="D310" s="312" t="s">
        <v>587</v>
      </c>
      <c r="E310" s="312" t="s">
        <v>107</v>
      </c>
      <c r="F310" s="312">
        <v>1825</v>
      </c>
      <c r="G310" s="312" t="s">
        <v>108</v>
      </c>
      <c r="H310" s="312">
        <v>1827</v>
      </c>
      <c r="I310" s="312" t="s">
        <v>107</v>
      </c>
      <c r="J310" s="312">
        <v>1913</v>
      </c>
      <c r="K310" s="312" t="s">
        <v>109</v>
      </c>
    </row>
    <row r="311" spans="1:11">
      <c r="A311" s="312" t="s">
        <v>5210</v>
      </c>
      <c r="B311" s="312" t="s">
        <v>5211</v>
      </c>
      <c r="C311" s="312" t="s">
        <v>105</v>
      </c>
      <c r="D311" s="312" t="s">
        <v>587</v>
      </c>
      <c r="E311" s="312" t="s">
        <v>107</v>
      </c>
      <c r="F311" s="312">
        <v>1825</v>
      </c>
      <c r="G311" s="312" t="s">
        <v>108</v>
      </c>
      <c r="H311" s="312">
        <v>1827</v>
      </c>
      <c r="I311" s="312" t="s">
        <v>107</v>
      </c>
      <c r="J311" s="312">
        <v>1913</v>
      </c>
      <c r="K311" s="312" t="s">
        <v>109</v>
      </c>
    </row>
    <row r="312" spans="1:11">
      <c r="A312" s="312" t="s">
        <v>6048</v>
      </c>
      <c r="B312" s="312" t="s">
        <v>6049</v>
      </c>
      <c r="C312" s="312" t="s">
        <v>105</v>
      </c>
      <c r="D312" s="312" t="s">
        <v>587</v>
      </c>
      <c r="E312" s="312" t="s">
        <v>107</v>
      </c>
      <c r="F312" s="312">
        <v>1825</v>
      </c>
      <c r="G312" s="312" t="s">
        <v>108</v>
      </c>
      <c r="H312" s="312">
        <v>1827</v>
      </c>
      <c r="I312" s="312" t="s">
        <v>107</v>
      </c>
      <c r="J312" s="312">
        <v>1913</v>
      </c>
      <c r="K312" s="312" t="s">
        <v>109</v>
      </c>
    </row>
    <row r="313" spans="1:11">
      <c r="A313" s="312" t="s">
        <v>6050</v>
      </c>
      <c r="B313" s="312" t="s">
        <v>6051</v>
      </c>
      <c r="C313" s="312" t="s">
        <v>105</v>
      </c>
      <c r="D313" s="312" t="s">
        <v>587</v>
      </c>
      <c r="E313" s="312" t="s">
        <v>107</v>
      </c>
      <c r="F313" s="312">
        <v>1825</v>
      </c>
      <c r="G313" s="312" t="s">
        <v>108</v>
      </c>
      <c r="H313" s="312">
        <v>1827</v>
      </c>
      <c r="I313" s="312" t="s">
        <v>107</v>
      </c>
      <c r="J313" s="312">
        <v>1913</v>
      </c>
      <c r="K313" s="312" t="s">
        <v>109</v>
      </c>
    </row>
    <row r="314" spans="1:11">
      <c r="A314" s="312" t="s">
        <v>6052</v>
      </c>
      <c r="B314" s="312" t="s">
        <v>6053</v>
      </c>
      <c r="C314" s="312" t="s">
        <v>105</v>
      </c>
      <c r="D314" s="312" t="s">
        <v>587</v>
      </c>
      <c r="E314" s="312" t="s">
        <v>107</v>
      </c>
      <c r="F314" s="312">
        <v>1825</v>
      </c>
      <c r="G314" s="312" t="s">
        <v>108</v>
      </c>
      <c r="H314" s="312">
        <v>1827</v>
      </c>
      <c r="I314" s="312" t="s">
        <v>107</v>
      </c>
      <c r="J314" s="312">
        <v>1913</v>
      </c>
      <c r="K314" s="312" t="s">
        <v>109</v>
      </c>
    </row>
    <row r="315" spans="1:11">
      <c r="A315" s="312" t="s">
        <v>1246</v>
      </c>
      <c r="B315" s="312" t="s">
        <v>1247</v>
      </c>
      <c r="C315" s="312" t="s">
        <v>105</v>
      </c>
      <c r="D315" s="312" t="s">
        <v>1248</v>
      </c>
      <c r="E315" s="312" t="s">
        <v>107</v>
      </c>
      <c r="F315" s="312">
        <v>1825</v>
      </c>
      <c r="G315" s="312" t="s">
        <v>108</v>
      </c>
      <c r="H315" s="312">
        <v>1827</v>
      </c>
      <c r="I315" s="312" t="s">
        <v>107</v>
      </c>
      <c r="J315" s="312">
        <v>1913</v>
      </c>
      <c r="K315" s="312" t="s">
        <v>109</v>
      </c>
    </row>
    <row r="316" spans="1:11">
      <c r="A316" s="312" t="s">
        <v>2855</v>
      </c>
      <c r="B316" s="312" t="s">
        <v>2856</v>
      </c>
      <c r="C316" s="312" t="s">
        <v>105</v>
      </c>
      <c r="D316" s="312" t="s">
        <v>1248</v>
      </c>
      <c r="E316" s="312" t="s">
        <v>107</v>
      </c>
      <c r="F316" s="312">
        <v>1825</v>
      </c>
      <c r="G316" s="312" t="s">
        <v>108</v>
      </c>
      <c r="H316" s="312">
        <v>1827</v>
      </c>
      <c r="I316" s="312" t="s">
        <v>107</v>
      </c>
      <c r="J316" s="312">
        <v>1913</v>
      </c>
      <c r="K316" s="312" t="s">
        <v>109</v>
      </c>
    </row>
    <row r="317" spans="1:11">
      <c r="A317" s="312" t="s">
        <v>2864</v>
      </c>
      <c r="B317" s="312" t="s">
        <v>2865</v>
      </c>
      <c r="C317" s="312" t="s">
        <v>105</v>
      </c>
      <c r="D317" s="312" t="s">
        <v>1248</v>
      </c>
      <c r="E317" s="312" t="s">
        <v>466</v>
      </c>
      <c r="F317" s="312">
        <v>1796</v>
      </c>
      <c r="G317" s="312" t="s">
        <v>467</v>
      </c>
      <c r="H317" s="312">
        <v>1799</v>
      </c>
      <c r="I317" s="312" t="s">
        <v>466</v>
      </c>
      <c r="J317" s="312">
        <v>1918</v>
      </c>
      <c r="K317" s="312" t="s">
        <v>468</v>
      </c>
    </row>
    <row r="318" spans="1:11">
      <c r="A318" s="312" t="s">
        <v>846</v>
      </c>
      <c r="B318" s="312" t="s">
        <v>847</v>
      </c>
      <c r="C318" s="312" t="s">
        <v>105</v>
      </c>
      <c r="D318" s="312" t="s">
        <v>848</v>
      </c>
      <c r="E318" s="312" t="s">
        <v>107</v>
      </c>
      <c r="F318" s="312">
        <v>1825</v>
      </c>
      <c r="G318" s="312" t="s">
        <v>108</v>
      </c>
      <c r="H318" s="312">
        <v>1827</v>
      </c>
      <c r="I318" s="312" t="s">
        <v>107</v>
      </c>
      <c r="J318" s="312">
        <v>1913</v>
      </c>
      <c r="K318" s="312" t="s">
        <v>109</v>
      </c>
    </row>
    <row r="319" spans="1:11">
      <c r="A319" s="312" t="s">
        <v>884</v>
      </c>
      <c r="B319" s="312" t="s">
        <v>885</v>
      </c>
      <c r="C319" s="312" t="s">
        <v>105</v>
      </c>
      <c r="D319" s="312" t="s">
        <v>848</v>
      </c>
      <c r="E319" s="312" t="s">
        <v>886</v>
      </c>
      <c r="F319" s="312">
        <v>1857</v>
      </c>
      <c r="G319" s="312" t="s">
        <v>887</v>
      </c>
      <c r="H319" s="312">
        <v>1858</v>
      </c>
      <c r="I319" s="312" t="s">
        <v>886</v>
      </c>
      <c r="J319" s="312">
        <v>1924</v>
      </c>
      <c r="K319" s="312" t="s">
        <v>888</v>
      </c>
    </row>
    <row r="320" spans="1:11">
      <c r="A320" s="312" t="s">
        <v>1134</v>
      </c>
      <c r="B320" s="312" t="s">
        <v>1135</v>
      </c>
      <c r="C320" s="312" t="s">
        <v>105</v>
      </c>
      <c r="D320" s="312" t="s">
        <v>848</v>
      </c>
      <c r="E320" s="312" t="s">
        <v>107</v>
      </c>
      <c r="F320" s="312">
        <v>1825</v>
      </c>
      <c r="G320" s="312" t="s">
        <v>108</v>
      </c>
      <c r="H320" s="312">
        <v>1827</v>
      </c>
      <c r="I320" s="312" t="s">
        <v>107</v>
      </c>
      <c r="J320" s="312">
        <v>1913</v>
      </c>
      <c r="K320" s="312" t="s">
        <v>109</v>
      </c>
    </row>
    <row r="321" spans="1:11">
      <c r="A321" s="312" t="s">
        <v>1249</v>
      </c>
      <c r="B321" s="312" t="s">
        <v>1250</v>
      </c>
      <c r="C321" s="312" t="s">
        <v>105</v>
      </c>
      <c r="D321" s="312" t="s">
        <v>848</v>
      </c>
      <c r="E321" s="312" t="s">
        <v>886</v>
      </c>
      <c r="F321" s="312">
        <v>1857</v>
      </c>
      <c r="G321" s="312" t="s">
        <v>887</v>
      </c>
      <c r="H321" s="312">
        <v>1858</v>
      </c>
      <c r="I321" s="312" t="s">
        <v>886</v>
      </c>
      <c r="J321" s="312">
        <v>1924</v>
      </c>
      <c r="K321" s="312" t="s">
        <v>888</v>
      </c>
    </row>
    <row r="322" spans="1:11">
      <c r="A322" s="312" t="s">
        <v>1529</v>
      </c>
      <c r="B322" s="312" t="s">
        <v>1530</v>
      </c>
      <c r="C322" s="312" t="s">
        <v>105</v>
      </c>
      <c r="D322" s="312" t="s">
        <v>848</v>
      </c>
      <c r="E322" s="312" t="s">
        <v>886</v>
      </c>
      <c r="F322" s="312">
        <v>1857</v>
      </c>
      <c r="G322" s="312" t="s">
        <v>887</v>
      </c>
      <c r="H322" s="312">
        <v>1858</v>
      </c>
      <c r="I322" s="312" t="s">
        <v>886</v>
      </c>
      <c r="J322" s="312">
        <v>1924</v>
      </c>
      <c r="K322" s="312" t="s">
        <v>888</v>
      </c>
    </row>
    <row r="323" spans="1:11">
      <c r="A323" s="312" t="s">
        <v>2120</v>
      </c>
      <c r="B323" s="312" t="s">
        <v>2121</v>
      </c>
      <c r="C323" s="312" t="s">
        <v>105</v>
      </c>
      <c r="D323" s="312" t="s">
        <v>848</v>
      </c>
      <c r="E323" s="312" t="s">
        <v>886</v>
      </c>
      <c r="F323" s="312">
        <v>1857</v>
      </c>
      <c r="G323" s="312" t="s">
        <v>887</v>
      </c>
      <c r="H323" s="312">
        <v>1858</v>
      </c>
      <c r="I323" s="312" t="s">
        <v>886</v>
      </c>
      <c r="J323" s="312">
        <v>1924</v>
      </c>
      <c r="K323" s="312" t="s">
        <v>888</v>
      </c>
    </row>
    <row r="324" spans="1:11">
      <c r="A324" s="312" t="s">
        <v>2411</v>
      </c>
      <c r="B324" s="312" t="s">
        <v>2412</v>
      </c>
      <c r="C324" s="312" t="s">
        <v>105</v>
      </c>
      <c r="D324" s="312" t="s">
        <v>848</v>
      </c>
      <c r="E324" s="312" t="s">
        <v>886</v>
      </c>
      <c r="F324" s="312">
        <v>1857</v>
      </c>
      <c r="G324" s="312" t="s">
        <v>887</v>
      </c>
      <c r="H324" s="312">
        <v>1858</v>
      </c>
      <c r="I324" s="312" t="s">
        <v>886</v>
      </c>
      <c r="J324" s="312">
        <v>1924</v>
      </c>
      <c r="K324" s="312" t="s">
        <v>888</v>
      </c>
    </row>
    <row r="325" spans="1:11">
      <c r="A325" s="312" t="s">
        <v>2415</v>
      </c>
      <c r="B325" s="312" t="s">
        <v>2416</v>
      </c>
      <c r="C325" s="312" t="s">
        <v>105</v>
      </c>
      <c r="D325" s="312" t="s">
        <v>848</v>
      </c>
      <c r="E325" s="312" t="s">
        <v>886</v>
      </c>
      <c r="F325" s="312">
        <v>1857</v>
      </c>
      <c r="G325" s="312" t="s">
        <v>887</v>
      </c>
      <c r="H325" s="312">
        <v>1858</v>
      </c>
      <c r="I325" s="312" t="s">
        <v>886</v>
      </c>
      <c r="J325" s="312">
        <v>1924</v>
      </c>
      <c r="K325" s="312" t="s">
        <v>888</v>
      </c>
    </row>
    <row r="326" spans="1:11">
      <c r="A326" s="312" t="s">
        <v>4432</v>
      </c>
      <c r="B326" s="312" t="s">
        <v>4433</v>
      </c>
      <c r="C326" s="312" t="s">
        <v>105</v>
      </c>
      <c r="D326" s="312" t="s">
        <v>848</v>
      </c>
      <c r="E326" s="312" t="s">
        <v>684</v>
      </c>
      <c r="F326" s="312">
        <v>1750</v>
      </c>
      <c r="G326" s="312" t="s">
        <v>685</v>
      </c>
      <c r="H326" s="312">
        <v>1754</v>
      </c>
      <c r="I326" s="312" t="s">
        <v>684</v>
      </c>
      <c r="J326" s="312">
        <v>1920</v>
      </c>
      <c r="K326" s="312" t="s">
        <v>686</v>
      </c>
    </row>
    <row r="327" spans="1:11">
      <c r="A327" s="312" t="s">
        <v>4434</v>
      </c>
      <c r="B327" s="312" t="s">
        <v>4435</v>
      </c>
      <c r="C327" s="312" t="s">
        <v>105</v>
      </c>
      <c r="D327" s="312" t="s">
        <v>848</v>
      </c>
      <c r="E327" s="312" t="s">
        <v>684</v>
      </c>
      <c r="F327" s="312">
        <v>1750</v>
      </c>
      <c r="G327" s="312" t="s">
        <v>685</v>
      </c>
      <c r="H327" s="312">
        <v>1754</v>
      </c>
      <c r="I327" s="312" t="s">
        <v>684</v>
      </c>
      <c r="J327" s="312">
        <v>1920</v>
      </c>
      <c r="K327" s="312" t="s">
        <v>686</v>
      </c>
    </row>
    <row r="328" spans="1:11">
      <c r="A328" s="312" t="s">
        <v>4649</v>
      </c>
      <c r="B328" s="312" t="s">
        <v>4650</v>
      </c>
      <c r="C328" s="312" t="s">
        <v>105</v>
      </c>
      <c r="D328" s="312" t="s">
        <v>848</v>
      </c>
      <c r="E328" s="312" t="s">
        <v>684</v>
      </c>
      <c r="F328" s="312">
        <v>1750</v>
      </c>
      <c r="G328" s="312" t="s">
        <v>685</v>
      </c>
      <c r="H328" s="312">
        <v>1754</v>
      </c>
      <c r="I328" s="312" t="s">
        <v>684</v>
      </c>
      <c r="J328" s="312">
        <v>1920</v>
      </c>
      <c r="K328" s="312" t="s">
        <v>686</v>
      </c>
    </row>
    <row r="329" spans="1:11">
      <c r="A329" s="312" t="s">
        <v>4651</v>
      </c>
      <c r="B329" s="312" t="s">
        <v>4652</v>
      </c>
      <c r="C329" s="312" t="s">
        <v>105</v>
      </c>
      <c r="D329" s="312" t="s">
        <v>848</v>
      </c>
      <c r="E329" s="312" t="s">
        <v>684</v>
      </c>
      <c r="F329" s="312">
        <v>1750</v>
      </c>
      <c r="G329" s="312" t="s">
        <v>685</v>
      </c>
      <c r="H329" s="312">
        <v>1754</v>
      </c>
      <c r="I329" s="312" t="s">
        <v>684</v>
      </c>
      <c r="J329" s="312">
        <v>1920</v>
      </c>
      <c r="K329" s="312" t="s">
        <v>686</v>
      </c>
    </row>
    <row r="330" spans="1:11">
      <c r="A330" s="312" t="s">
        <v>4653</v>
      </c>
      <c r="B330" s="312" t="s">
        <v>4654</v>
      </c>
      <c r="C330" s="312" t="s">
        <v>105</v>
      </c>
      <c r="D330" s="312" t="s">
        <v>848</v>
      </c>
      <c r="E330" s="312" t="s">
        <v>684</v>
      </c>
      <c r="F330" s="312">
        <v>1750</v>
      </c>
      <c r="G330" s="312" t="s">
        <v>685</v>
      </c>
      <c r="H330" s="312">
        <v>1754</v>
      </c>
      <c r="I330" s="312" t="s">
        <v>684</v>
      </c>
      <c r="J330" s="312">
        <v>1920</v>
      </c>
      <c r="K330" s="312" t="s">
        <v>686</v>
      </c>
    </row>
    <row r="331" spans="1:11">
      <c r="A331" s="312" t="s">
        <v>4655</v>
      </c>
      <c r="B331" s="312" t="s">
        <v>4656</v>
      </c>
      <c r="C331" s="312" t="s">
        <v>105</v>
      </c>
      <c r="D331" s="312" t="s">
        <v>848</v>
      </c>
      <c r="E331" s="312" t="s">
        <v>684</v>
      </c>
      <c r="F331" s="312">
        <v>1750</v>
      </c>
      <c r="G331" s="312" t="s">
        <v>685</v>
      </c>
      <c r="H331" s="312">
        <v>1754</v>
      </c>
      <c r="I331" s="312" t="s">
        <v>684</v>
      </c>
      <c r="J331" s="312">
        <v>1920</v>
      </c>
      <c r="K331" s="312" t="s">
        <v>686</v>
      </c>
    </row>
    <row r="332" spans="1:11">
      <c r="A332" s="312" t="s">
        <v>4657</v>
      </c>
      <c r="B332" s="312" t="s">
        <v>4658</v>
      </c>
      <c r="C332" s="312" t="s">
        <v>105</v>
      </c>
      <c r="D332" s="312" t="s">
        <v>848</v>
      </c>
      <c r="E332" s="312" t="s">
        <v>684</v>
      </c>
      <c r="F332" s="312">
        <v>1750</v>
      </c>
      <c r="G332" s="312" t="s">
        <v>685</v>
      </c>
      <c r="H332" s="312">
        <v>1754</v>
      </c>
      <c r="I332" s="312" t="s">
        <v>684</v>
      </c>
      <c r="J332" s="312">
        <v>1920</v>
      </c>
      <c r="K332" s="312" t="s">
        <v>686</v>
      </c>
    </row>
    <row r="333" spans="1:11">
      <c r="A333" s="312" t="s">
        <v>4659</v>
      </c>
      <c r="B333" s="312" t="s">
        <v>4660</v>
      </c>
      <c r="C333" s="312" t="s">
        <v>105</v>
      </c>
      <c r="D333" s="312" t="s">
        <v>848</v>
      </c>
      <c r="E333" s="312" t="s">
        <v>684</v>
      </c>
      <c r="F333" s="312">
        <v>1750</v>
      </c>
      <c r="G333" s="312" t="s">
        <v>685</v>
      </c>
      <c r="H333" s="312">
        <v>1754</v>
      </c>
      <c r="I333" s="312" t="s">
        <v>684</v>
      </c>
      <c r="J333" s="312">
        <v>1920</v>
      </c>
      <c r="K333" s="312" t="s">
        <v>686</v>
      </c>
    </row>
    <row r="334" spans="1:11">
      <c r="A334" s="312" t="s">
        <v>4661</v>
      </c>
      <c r="B334" s="312" t="s">
        <v>4662</v>
      </c>
      <c r="C334" s="312" t="s">
        <v>105</v>
      </c>
      <c r="D334" s="312" t="s">
        <v>848</v>
      </c>
      <c r="E334" s="312" t="s">
        <v>684</v>
      </c>
      <c r="F334" s="312">
        <v>1750</v>
      </c>
      <c r="G334" s="312" t="s">
        <v>685</v>
      </c>
      <c r="H334" s="312">
        <v>1754</v>
      </c>
      <c r="I334" s="312" t="s">
        <v>684</v>
      </c>
      <c r="J334" s="312">
        <v>1920</v>
      </c>
      <c r="K334" s="312" t="s">
        <v>686</v>
      </c>
    </row>
    <row r="335" spans="1:11">
      <c r="A335" s="312" t="s">
        <v>4663</v>
      </c>
      <c r="B335" s="312" t="s">
        <v>4664</v>
      </c>
      <c r="C335" s="312" t="s">
        <v>105</v>
      </c>
      <c r="D335" s="312" t="s">
        <v>848</v>
      </c>
      <c r="E335" s="312" t="s">
        <v>684</v>
      </c>
      <c r="F335" s="312">
        <v>1750</v>
      </c>
      <c r="G335" s="312" t="s">
        <v>685</v>
      </c>
      <c r="H335" s="312">
        <v>1754</v>
      </c>
      <c r="I335" s="312" t="s">
        <v>684</v>
      </c>
      <c r="J335" s="312">
        <v>1920</v>
      </c>
      <c r="K335" s="312" t="s">
        <v>686</v>
      </c>
    </row>
    <row r="336" spans="1:11">
      <c r="A336" s="312" t="s">
        <v>4665</v>
      </c>
      <c r="B336" s="312" t="s">
        <v>4666</v>
      </c>
      <c r="C336" s="312" t="s">
        <v>105</v>
      </c>
      <c r="D336" s="312" t="s">
        <v>848</v>
      </c>
      <c r="E336" s="312" t="s">
        <v>684</v>
      </c>
      <c r="F336" s="312">
        <v>1750</v>
      </c>
      <c r="G336" s="312" t="s">
        <v>685</v>
      </c>
      <c r="H336" s="312">
        <v>1754</v>
      </c>
      <c r="I336" s="312" t="s">
        <v>684</v>
      </c>
      <c r="J336" s="312">
        <v>1920</v>
      </c>
      <c r="K336" s="312" t="s">
        <v>686</v>
      </c>
    </row>
    <row r="337" spans="1:11">
      <c r="A337" s="312" t="s">
        <v>4861</v>
      </c>
      <c r="B337" s="312" t="s">
        <v>4862</v>
      </c>
      <c r="C337" s="312" t="s">
        <v>105</v>
      </c>
      <c r="D337" s="312" t="s">
        <v>848</v>
      </c>
      <c r="E337" s="312" t="s">
        <v>886</v>
      </c>
      <c r="F337" s="312">
        <v>1857</v>
      </c>
      <c r="G337" s="312" t="s">
        <v>887</v>
      </c>
      <c r="H337" s="312">
        <v>1858</v>
      </c>
      <c r="I337" s="312" t="s">
        <v>886</v>
      </c>
      <c r="J337" s="312">
        <v>1924</v>
      </c>
      <c r="K337" s="312" t="s">
        <v>888</v>
      </c>
    </row>
    <row r="338" spans="1:11">
      <c r="A338" s="312" t="s">
        <v>6098</v>
      </c>
      <c r="B338" s="312" t="s">
        <v>6099</v>
      </c>
      <c r="C338" s="312" t="s">
        <v>105</v>
      </c>
      <c r="D338" s="312" t="s">
        <v>848</v>
      </c>
      <c r="E338" s="312" t="s">
        <v>886</v>
      </c>
      <c r="F338" s="312">
        <v>1857</v>
      </c>
      <c r="G338" s="312" t="s">
        <v>887</v>
      </c>
      <c r="H338" s="312">
        <v>1858</v>
      </c>
      <c r="I338" s="312" t="s">
        <v>886</v>
      </c>
      <c r="J338" s="312">
        <v>1924</v>
      </c>
      <c r="K338" s="312" t="s">
        <v>888</v>
      </c>
    </row>
    <row r="339" spans="1:11">
      <c r="A339" s="312" t="s">
        <v>6100</v>
      </c>
      <c r="B339" s="312" t="s">
        <v>6101</v>
      </c>
      <c r="C339" s="312" t="s">
        <v>105</v>
      </c>
      <c r="D339" s="312" t="s">
        <v>848</v>
      </c>
      <c r="E339" s="312" t="s">
        <v>886</v>
      </c>
      <c r="F339" s="312">
        <v>1857</v>
      </c>
      <c r="G339" s="312" t="s">
        <v>887</v>
      </c>
      <c r="H339" s="312">
        <v>1858</v>
      </c>
      <c r="I339" s="312" t="s">
        <v>886</v>
      </c>
      <c r="J339" s="312">
        <v>1924</v>
      </c>
      <c r="K339" s="312" t="s">
        <v>888</v>
      </c>
    </row>
    <row r="340" spans="1:11">
      <c r="A340" s="312" t="s">
        <v>6111</v>
      </c>
      <c r="B340" s="312" t="s">
        <v>6112</v>
      </c>
      <c r="C340" s="312" t="s">
        <v>105</v>
      </c>
      <c r="D340" s="312" t="s">
        <v>848</v>
      </c>
      <c r="E340" s="312" t="s">
        <v>107</v>
      </c>
      <c r="F340" s="312">
        <v>1825</v>
      </c>
      <c r="G340" s="312" t="s">
        <v>108</v>
      </c>
      <c r="H340" s="312">
        <v>1827</v>
      </c>
      <c r="I340" s="312" t="s">
        <v>107</v>
      </c>
      <c r="J340" s="312">
        <v>1913</v>
      </c>
      <c r="K340" s="312" t="s">
        <v>109</v>
      </c>
    </row>
    <row r="341" spans="1:11">
      <c r="A341" s="312" t="s">
        <v>539</v>
      </c>
      <c r="B341" s="312" t="s">
        <v>540</v>
      </c>
      <c r="C341" s="312" t="s">
        <v>105</v>
      </c>
      <c r="D341" s="312" t="s">
        <v>541</v>
      </c>
      <c r="E341" s="312" t="s">
        <v>107</v>
      </c>
      <c r="F341" s="312">
        <v>1825</v>
      </c>
      <c r="G341" s="312" t="s">
        <v>108</v>
      </c>
      <c r="H341" s="312">
        <v>1827</v>
      </c>
      <c r="I341" s="312" t="s">
        <v>107</v>
      </c>
      <c r="J341" s="312">
        <v>1913</v>
      </c>
      <c r="K341" s="312" t="s">
        <v>109</v>
      </c>
    </row>
    <row r="342" spans="1:11">
      <c r="A342" s="312" t="s">
        <v>1441</v>
      </c>
      <c r="B342" s="312" t="s">
        <v>1442</v>
      </c>
      <c r="C342" s="312" t="s">
        <v>105</v>
      </c>
      <c r="D342" s="312" t="s">
        <v>541</v>
      </c>
      <c r="E342" s="312" t="s">
        <v>107</v>
      </c>
      <c r="F342" s="312">
        <v>1825</v>
      </c>
      <c r="G342" s="312" t="s">
        <v>108</v>
      </c>
      <c r="H342" s="312">
        <v>1827</v>
      </c>
      <c r="I342" s="312" t="s">
        <v>107</v>
      </c>
      <c r="J342" s="312">
        <v>1913</v>
      </c>
      <c r="K342" s="312" t="s">
        <v>109</v>
      </c>
    </row>
    <row r="343" spans="1:11">
      <c r="A343" s="312" t="s">
        <v>1443</v>
      </c>
      <c r="B343" s="312" t="s">
        <v>1444</v>
      </c>
      <c r="C343" s="312" t="s">
        <v>105</v>
      </c>
      <c r="D343" s="312" t="s">
        <v>541</v>
      </c>
      <c r="E343" s="312" t="s">
        <v>107</v>
      </c>
      <c r="F343" s="312">
        <v>1825</v>
      </c>
      <c r="G343" s="312" t="s">
        <v>108</v>
      </c>
      <c r="H343" s="312">
        <v>1827</v>
      </c>
      <c r="I343" s="312" t="s">
        <v>107</v>
      </c>
      <c r="J343" s="312">
        <v>1913</v>
      </c>
      <c r="K343" s="312" t="s">
        <v>109</v>
      </c>
    </row>
    <row r="344" spans="1:11">
      <c r="A344" s="312" t="s">
        <v>1531</v>
      </c>
      <c r="B344" s="312" t="s">
        <v>1532</v>
      </c>
      <c r="C344" s="312" t="s">
        <v>105</v>
      </c>
      <c r="D344" s="312" t="s">
        <v>1533</v>
      </c>
      <c r="E344" s="312" t="s">
        <v>107</v>
      </c>
      <c r="F344" s="312">
        <v>1825</v>
      </c>
      <c r="G344" s="312" t="s">
        <v>108</v>
      </c>
      <c r="H344" s="312">
        <v>1827</v>
      </c>
      <c r="I344" s="312" t="s">
        <v>107</v>
      </c>
      <c r="J344" s="312">
        <v>1913</v>
      </c>
      <c r="K344" s="312" t="s">
        <v>109</v>
      </c>
    </row>
    <row r="345" spans="1:11">
      <c r="A345" s="312" t="s">
        <v>1558</v>
      </c>
      <c r="B345" s="312" t="s">
        <v>1559</v>
      </c>
      <c r="C345" s="312" t="s">
        <v>105</v>
      </c>
      <c r="D345" s="312" t="s">
        <v>1533</v>
      </c>
      <c r="E345" s="312" t="s">
        <v>696</v>
      </c>
      <c r="F345" s="312">
        <v>1736</v>
      </c>
      <c r="G345" s="312" t="s">
        <v>697</v>
      </c>
      <c r="H345" s="312">
        <v>1741</v>
      </c>
      <c r="I345" s="312" t="s">
        <v>696</v>
      </c>
      <c r="J345" s="312">
        <v>1929</v>
      </c>
      <c r="K345" s="312" t="s">
        <v>698</v>
      </c>
    </row>
    <row r="346" spans="1:11">
      <c r="A346" s="312" t="s">
        <v>2024</v>
      </c>
      <c r="B346" s="312" t="s">
        <v>2025</v>
      </c>
      <c r="C346" s="312" t="s">
        <v>105</v>
      </c>
      <c r="D346" s="312" t="s">
        <v>1533</v>
      </c>
      <c r="E346" s="312" t="s">
        <v>107</v>
      </c>
      <c r="F346" s="312">
        <v>1825</v>
      </c>
      <c r="G346" s="312" t="s">
        <v>108</v>
      </c>
      <c r="H346" s="312">
        <v>1827</v>
      </c>
      <c r="I346" s="312" t="s">
        <v>107</v>
      </c>
      <c r="J346" s="312">
        <v>1913</v>
      </c>
      <c r="K346" s="312" t="s">
        <v>109</v>
      </c>
    </row>
    <row r="347" spans="1:11">
      <c r="A347" s="312" t="s">
        <v>2047</v>
      </c>
      <c r="B347" s="312" t="s">
        <v>2048</v>
      </c>
      <c r="C347" s="312" t="s">
        <v>105</v>
      </c>
      <c r="D347" s="312" t="s">
        <v>1533</v>
      </c>
      <c r="E347" s="312" t="s">
        <v>107</v>
      </c>
      <c r="F347" s="312">
        <v>1825</v>
      </c>
      <c r="G347" s="312" t="s">
        <v>108</v>
      </c>
      <c r="H347" s="312">
        <v>1827</v>
      </c>
      <c r="I347" s="312" t="s">
        <v>107</v>
      </c>
      <c r="J347" s="312">
        <v>1913</v>
      </c>
      <c r="K347" s="312" t="s">
        <v>109</v>
      </c>
    </row>
    <row r="348" spans="1:11">
      <c r="A348" s="312" t="s">
        <v>2872</v>
      </c>
      <c r="B348" s="312" t="s">
        <v>2873</v>
      </c>
      <c r="C348" s="312" t="s">
        <v>105</v>
      </c>
      <c r="D348" s="312" t="s">
        <v>1533</v>
      </c>
      <c r="E348" s="312" t="s">
        <v>107</v>
      </c>
      <c r="F348" s="312">
        <v>1825</v>
      </c>
      <c r="G348" s="312" t="s">
        <v>108</v>
      </c>
      <c r="H348" s="312">
        <v>1827</v>
      </c>
      <c r="I348" s="312" t="s">
        <v>107</v>
      </c>
      <c r="J348" s="312">
        <v>1913</v>
      </c>
      <c r="K348" s="312" t="s">
        <v>109</v>
      </c>
    </row>
    <row r="349" spans="1:11">
      <c r="A349" s="312" t="s">
        <v>2874</v>
      </c>
      <c r="B349" s="312" t="s">
        <v>2875</v>
      </c>
      <c r="C349" s="312" t="s">
        <v>105</v>
      </c>
      <c r="D349" s="312" t="s">
        <v>1533</v>
      </c>
      <c r="E349" s="312" t="s">
        <v>107</v>
      </c>
      <c r="F349" s="312">
        <v>1825</v>
      </c>
      <c r="G349" s="312" t="s">
        <v>108</v>
      </c>
      <c r="H349" s="312">
        <v>1827</v>
      </c>
      <c r="I349" s="312" t="s">
        <v>107</v>
      </c>
      <c r="J349" s="312">
        <v>1913</v>
      </c>
      <c r="K349" s="312" t="s">
        <v>109</v>
      </c>
    </row>
    <row r="350" spans="1:11">
      <c r="A350" s="312" t="s">
        <v>2876</v>
      </c>
      <c r="B350" s="312" t="s">
        <v>2877</v>
      </c>
      <c r="C350" s="312" t="s">
        <v>105</v>
      </c>
      <c r="D350" s="312" t="s">
        <v>1533</v>
      </c>
      <c r="E350" s="312" t="s">
        <v>107</v>
      </c>
      <c r="F350" s="312">
        <v>1825</v>
      </c>
      <c r="G350" s="312" t="s">
        <v>108</v>
      </c>
      <c r="H350" s="312">
        <v>1827</v>
      </c>
      <c r="I350" s="312" t="s">
        <v>107</v>
      </c>
      <c r="J350" s="312">
        <v>1913</v>
      </c>
      <c r="K350" s="312" t="s">
        <v>109</v>
      </c>
    </row>
    <row r="351" spans="1:11">
      <c r="A351" s="312" t="s">
        <v>2878</v>
      </c>
      <c r="B351" s="312" t="s">
        <v>2879</v>
      </c>
      <c r="C351" s="312" t="s">
        <v>105</v>
      </c>
      <c r="D351" s="312" t="s">
        <v>1533</v>
      </c>
      <c r="E351" s="312" t="s">
        <v>107</v>
      </c>
      <c r="F351" s="312">
        <v>1825</v>
      </c>
      <c r="G351" s="312" t="s">
        <v>108</v>
      </c>
      <c r="H351" s="312">
        <v>1827</v>
      </c>
      <c r="I351" s="312" t="s">
        <v>107</v>
      </c>
      <c r="J351" s="312">
        <v>1913</v>
      </c>
      <c r="K351" s="312" t="s">
        <v>109</v>
      </c>
    </row>
    <row r="352" spans="1:11">
      <c r="A352" s="312" t="s">
        <v>3032</v>
      </c>
      <c r="B352" s="312" t="s">
        <v>3033</v>
      </c>
      <c r="C352" s="312" t="s">
        <v>105</v>
      </c>
      <c r="D352" s="312" t="s">
        <v>1533</v>
      </c>
      <c r="E352" s="312" t="s">
        <v>107</v>
      </c>
      <c r="F352" s="312">
        <v>1825</v>
      </c>
      <c r="G352" s="312" t="s">
        <v>108</v>
      </c>
      <c r="H352" s="312">
        <v>1827</v>
      </c>
      <c r="I352" s="312" t="s">
        <v>107</v>
      </c>
      <c r="J352" s="312">
        <v>1913</v>
      </c>
      <c r="K352" s="312" t="s">
        <v>109</v>
      </c>
    </row>
    <row r="353" spans="1:11">
      <c r="A353" s="312" t="s">
        <v>3034</v>
      </c>
      <c r="B353" s="312" t="s">
        <v>3035</v>
      </c>
      <c r="C353" s="312" t="s">
        <v>105</v>
      </c>
      <c r="D353" s="312" t="s">
        <v>1533</v>
      </c>
      <c r="E353" s="312" t="s">
        <v>107</v>
      </c>
      <c r="F353" s="312">
        <v>1825</v>
      </c>
      <c r="G353" s="312" t="s">
        <v>108</v>
      </c>
      <c r="H353" s="312">
        <v>1827</v>
      </c>
      <c r="I353" s="312" t="s">
        <v>107</v>
      </c>
      <c r="J353" s="312">
        <v>1913</v>
      </c>
      <c r="K353" s="312" t="s">
        <v>109</v>
      </c>
    </row>
    <row r="354" spans="1:11">
      <c r="A354" s="312" t="s">
        <v>3259</v>
      </c>
      <c r="B354" s="312" t="s">
        <v>3260</v>
      </c>
      <c r="C354" s="312" t="s">
        <v>105</v>
      </c>
      <c r="D354" s="312" t="s">
        <v>1533</v>
      </c>
      <c r="E354" s="312" t="s">
        <v>167</v>
      </c>
      <c r="F354" s="312">
        <v>1705</v>
      </c>
      <c r="G354" s="312" t="s">
        <v>168</v>
      </c>
      <c r="H354" s="312">
        <v>1707</v>
      </c>
      <c r="I354" s="312" t="s">
        <v>167</v>
      </c>
      <c r="J354" s="312">
        <v>1899</v>
      </c>
      <c r="K354" s="312" t="s">
        <v>169</v>
      </c>
    </row>
    <row r="355" spans="1:11">
      <c r="A355" s="312" t="s">
        <v>3263</v>
      </c>
      <c r="B355" s="312" t="s">
        <v>3264</v>
      </c>
      <c r="C355" s="312" t="s">
        <v>105</v>
      </c>
      <c r="D355" s="312" t="s">
        <v>1533</v>
      </c>
      <c r="E355" s="312" t="s">
        <v>107</v>
      </c>
      <c r="F355" s="312">
        <v>1825</v>
      </c>
      <c r="G355" s="312" t="s">
        <v>108</v>
      </c>
      <c r="H355" s="312">
        <v>1827</v>
      </c>
      <c r="I355" s="312" t="s">
        <v>107</v>
      </c>
      <c r="J355" s="312">
        <v>1913</v>
      </c>
      <c r="K355" s="312" t="s">
        <v>109</v>
      </c>
    </row>
    <row r="356" spans="1:11">
      <c r="A356" s="312" t="s">
        <v>4449</v>
      </c>
      <c r="B356" s="312" t="s">
        <v>4450</v>
      </c>
      <c r="C356" s="312" t="s">
        <v>105</v>
      </c>
      <c r="D356" s="312" t="s">
        <v>1533</v>
      </c>
      <c r="E356" s="312" t="s">
        <v>107</v>
      </c>
      <c r="F356" s="312">
        <v>1825</v>
      </c>
      <c r="G356" s="312" t="s">
        <v>108</v>
      </c>
      <c r="H356" s="312">
        <v>1827</v>
      </c>
      <c r="I356" s="312" t="s">
        <v>107</v>
      </c>
      <c r="J356" s="312">
        <v>1913</v>
      </c>
      <c r="K356" s="312" t="s">
        <v>109</v>
      </c>
    </row>
    <row r="357" spans="1:11">
      <c r="A357" s="312" t="s">
        <v>4451</v>
      </c>
      <c r="B357" s="312" t="s">
        <v>4452</v>
      </c>
      <c r="C357" s="312" t="s">
        <v>105</v>
      </c>
      <c r="D357" s="312" t="s">
        <v>1533</v>
      </c>
      <c r="E357" s="312" t="s">
        <v>107</v>
      </c>
      <c r="F357" s="312">
        <v>1825</v>
      </c>
      <c r="G357" s="312" t="s">
        <v>108</v>
      </c>
      <c r="H357" s="312">
        <v>1827</v>
      </c>
      <c r="I357" s="312" t="s">
        <v>107</v>
      </c>
      <c r="J357" s="312">
        <v>1913</v>
      </c>
      <c r="K357" s="312" t="s">
        <v>109</v>
      </c>
    </row>
    <row r="358" spans="1:11">
      <c r="A358" s="312" t="s">
        <v>4453</v>
      </c>
      <c r="B358" s="312" t="s">
        <v>4454</v>
      </c>
      <c r="C358" s="312" t="s">
        <v>105</v>
      </c>
      <c r="D358" s="312" t="s">
        <v>1533</v>
      </c>
      <c r="E358" s="312" t="s">
        <v>107</v>
      </c>
      <c r="F358" s="312">
        <v>1825</v>
      </c>
      <c r="G358" s="312" t="s">
        <v>108</v>
      </c>
      <c r="H358" s="312">
        <v>1827</v>
      </c>
      <c r="I358" s="312" t="s">
        <v>107</v>
      </c>
      <c r="J358" s="312">
        <v>1913</v>
      </c>
      <c r="K358" s="312" t="s">
        <v>109</v>
      </c>
    </row>
    <row r="359" spans="1:11">
      <c r="A359" s="312" t="s">
        <v>4455</v>
      </c>
      <c r="B359" s="312" t="s">
        <v>4456</v>
      </c>
      <c r="C359" s="312" t="s">
        <v>105</v>
      </c>
      <c r="D359" s="312" t="s">
        <v>1533</v>
      </c>
      <c r="E359" s="312" t="s">
        <v>107</v>
      </c>
      <c r="F359" s="312">
        <v>1825</v>
      </c>
      <c r="G359" s="312" t="s">
        <v>108</v>
      </c>
      <c r="H359" s="312">
        <v>1827</v>
      </c>
      <c r="I359" s="312" t="s">
        <v>107</v>
      </c>
      <c r="J359" s="312">
        <v>1913</v>
      </c>
      <c r="K359" s="312" t="s">
        <v>109</v>
      </c>
    </row>
    <row r="360" spans="1:11">
      <c r="A360" s="312" t="s">
        <v>4871</v>
      </c>
      <c r="B360" s="312" t="s">
        <v>4872</v>
      </c>
      <c r="C360" s="312" t="s">
        <v>105</v>
      </c>
      <c r="D360" s="312" t="s">
        <v>1533</v>
      </c>
      <c r="E360" s="312" t="s">
        <v>107</v>
      </c>
      <c r="F360" s="312">
        <v>1825</v>
      </c>
      <c r="G360" s="312" t="s">
        <v>108</v>
      </c>
      <c r="H360" s="312">
        <v>1827</v>
      </c>
      <c r="I360" s="312" t="s">
        <v>107</v>
      </c>
      <c r="J360" s="312">
        <v>1913</v>
      </c>
      <c r="K360" s="312" t="s">
        <v>109</v>
      </c>
    </row>
    <row r="361" spans="1:11">
      <c r="A361" s="312" t="s">
        <v>5753</v>
      </c>
      <c r="B361" s="312" t="s">
        <v>5754</v>
      </c>
      <c r="C361" s="312" t="s">
        <v>105</v>
      </c>
      <c r="D361" s="312" t="s">
        <v>1533</v>
      </c>
      <c r="E361" s="312" t="s">
        <v>107</v>
      </c>
      <c r="F361" s="312">
        <v>1825</v>
      </c>
      <c r="G361" s="312" t="s">
        <v>108</v>
      </c>
      <c r="H361" s="312">
        <v>1827</v>
      </c>
      <c r="I361" s="312" t="s">
        <v>107</v>
      </c>
      <c r="J361" s="312">
        <v>1913</v>
      </c>
      <c r="K361" s="312" t="s">
        <v>109</v>
      </c>
    </row>
    <row r="362" spans="1:11">
      <c r="A362" s="312" t="s">
        <v>5755</v>
      </c>
      <c r="B362" s="312" t="s">
        <v>5756</v>
      </c>
      <c r="C362" s="312" t="s">
        <v>105</v>
      </c>
      <c r="D362" s="312" t="s">
        <v>1533</v>
      </c>
      <c r="E362" s="312" t="s">
        <v>107</v>
      </c>
      <c r="F362" s="312">
        <v>1825</v>
      </c>
      <c r="G362" s="312" t="s">
        <v>108</v>
      </c>
      <c r="H362" s="312">
        <v>1827</v>
      </c>
      <c r="I362" s="312" t="s">
        <v>107</v>
      </c>
      <c r="J362" s="312">
        <v>1913</v>
      </c>
      <c r="K362" s="312" t="s">
        <v>109</v>
      </c>
    </row>
    <row r="363" spans="1:11">
      <c r="A363" s="312" t="s">
        <v>2071</v>
      </c>
      <c r="B363" s="312" t="s">
        <v>2072</v>
      </c>
      <c r="C363" s="312" t="s">
        <v>105</v>
      </c>
      <c r="D363" s="312" t="s">
        <v>2073</v>
      </c>
      <c r="E363" s="312" t="s">
        <v>320</v>
      </c>
      <c r="F363" s="312">
        <v>1716</v>
      </c>
      <c r="G363" s="312" t="s">
        <v>321</v>
      </c>
      <c r="H363" s="312">
        <v>1725</v>
      </c>
      <c r="I363" s="312" t="s">
        <v>320</v>
      </c>
      <c r="J363" s="312">
        <v>1910</v>
      </c>
      <c r="K363" s="312" t="s">
        <v>322</v>
      </c>
    </row>
    <row r="364" spans="1:11">
      <c r="A364" s="312" t="s">
        <v>2074</v>
      </c>
      <c r="B364" s="312" t="s">
        <v>2075</v>
      </c>
      <c r="C364" s="312" t="s">
        <v>105</v>
      </c>
      <c r="D364" s="312" t="s">
        <v>2073</v>
      </c>
      <c r="E364" s="312" t="s">
        <v>320</v>
      </c>
      <c r="F364" s="312">
        <v>1716</v>
      </c>
      <c r="G364" s="312" t="s">
        <v>321</v>
      </c>
      <c r="H364" s="312">
        <v>1725</v>
      </c>
      <c r="I364" s="312" t="s">
        <v>320</v>
      </c>
      <c r="J364" s="312">
        <v>1910</v>
      </c>
      <c r="K364" s="312" t="s">
        <v>322</v>
      </c>
    </row>
    <row r="365" spans="1:11">
      <c r="A365" s="312" t="s">
        <v>5328</v>
      </c>
      <c r="B365" s="312" t="s">
        <v>5329</v>
      </c>
      <c r="C365" s="312" t="s">
        <v>105</v>
      </c>
      <c r="D365" s="312" t="s">
        <v>5330</v>
      </c>
      <c r="E365" s="312" t="s">
        <v>107</v>
      </c>
      <c r="F365" s="312">
        <v>1825</v>
      </c>
      <c r="G365" s="312" t="s">
        <v>108</v>
      </c>
      <c r="H365" s="312">
        <v>1827</v>
      </c>
      <c r="I365" s="312" t="s">
        <v>107</v>
      </c>
      <c r="J365" s="312">
        <v>1913</v>
      </c>
      <c r="K365" s="312" t="s">
        <v>109</v>
      </c>
    </row>
    <row r="366" spans="1:11">
      <c r="A366" s="312" t="s">
        <v>5797</v>
      </c>
      <c r="B366" s="312" t="s">
        <v>5798</v>
      </c>
      <c r="C366" s="312" t="s">
        <v>105</v>
      </c>
      <c r="D366" s="312" t="s">
        <v>5330</v>
      </c>
      <c r="E366" s="312" t="s">
        <v>107</v>
      </c>
      <c r="F366" s="312">
        <v>1825</v>
      </c>
      <c r="G366" s="312" t="s">
        <v>108</v>
      </c>
      <c r="H366" s="312">
        <v>1827</v>
      </c>
      <c r="I366" s="312" t="s">
        <v>107</v>
      </c>
      <c r="J366" s="312">
        <v>1913</v>
      </c>
      <c r="K366" s="312" t="s">
        <v>109</v>
      </c>
    </row>
    <row r="367" spans="1:11">
      <c r="A367" s="312" t="s">
        <v>2386</v>
      </c>
      <c r="B367" s="312" t="s">
        <v>2387</v>
      </c>
      <c r="C367" s="312" t="s">
        <v>105</v>
      </c>
      <c r="D367" s="312" t="s">
        <v>2388</v>
      </c>
      <c r="E367" s="312" t="s">
        <v>107</v>
      </c>
      <c r="F367" s="312">
        <v>1825</v>
      </c>
      <c r="G367" s="312" t="s">
        <v>108</v>
      </c>
      <c r="H367" s="312">
        <v>1827</v>
      </c>
      <c r="I367" s="312" t="s">
        <v>107</v>
      </c>
      <c r="J367" s="312">
        <v>1913</v>
      </c>
      <c r="K367" s="312" t="s">
        <v>109</v>
      </c>
    </row>
    <row r="368" spans="1:11">
      <c r="A368" s="312" t="s">
        <v>2399</v>
      </c>
      <c r="B368" s="312" t="s">
        <v>2400</v>
      </c>
      <c r="C368" s="312" t="s">
        <v>105</v>
      </c>
      <c r="D368" s="312" t="s">
        <v>2388</v>
      </c>
      <c r="E368" s="312" t="s">
        <v>107</v>
      </c>
      <c r="F368" s="312">
        <v>1825</v>
      </c>
      <c r="G368" s="312" t="s">
        <v>108</v>
      </c>
      <c r="H368" s="312">
        <v>1827</v>
      </c>
      <c r="I368" s="312" t="s">
        <v>107</v>
      </c>
      <c r="J368" s="312">
        <v>1913</v>
      </c>
      <c r="K368" s="312" t="s">
        <v>109</v>
      </c>
    </row>
    <row r="369" spans="1:11">
      <c r="A369" s="312" t="s">
        <v>2955</v>
      </c>
      <c r="B369" s="312" t="s">
        <v>2956</v>
      </c>
      <c r="C369" s="312" t="s">
        <v>105</v>
      </c>
      <c r="D369" s="312" t="s">
        <v>2957</v>
      </c>
      <c r="E369" s="312" t="s">
        <v>107</v>
      </c>
      <c r="F369" s="312">
        <v>1825</v>
      </c>
      <c r="G369" s="312" t="s">
        <v>108</v>
      </c>
      <c r="H369" s="312">
        <v>1827</v>
      </c>
      <c r="I369" s="312" t="s">
        <v>107</v>
      </c>
      <c r="J369" s="312">
        <v>1913</v>
      </c>
      <c r="K369" s="312" t="s">
        <v>109</v>
      </c>
    </row>
    <row r="370" spans="1:11">
      <c r="A370" s="312" t="s">
        <v>3517</v>
      </c>
      <c r="B370" s="312" t="s">
        <v>3518</v>
      </c>
      <c r="C370" s="312" t="s">
        <v>105</v>
      </c>
      <c r="D370" s="312" t="s">
        <v>3519</v>
      </c>
      <c r="E370" s="312" t="s">
        <v>684</v>
      </c>
      <c r="F370" s="312">
        <v>1750</v>
      </c>
      <c r="G370" s="312" t="s">
        <v>685</v>
      </c>
      <c r="H370" s="312">
        <v>1754</v>
      </c>
      <c r="I370" s="312" t="s">
        <v>684</v>
      </c>
      <c r="J370" s="312">
        <v>1920</v>
      </c>
      <c r="K370" s="312" t="s">
        <v>686</v>
      </c>
    </row>
    <row r="371" spans="1:11">
      <c r="A371" s="312" t="s">
        <v>3931</v>
      </c>
      <c r="B371" s="312" t="s">
        <v>3932</v>
      </c>
      <c r="C371" s="312" t="s">
        <v>105</v>
      </c>
      <c r="D371" s="312" t="s">
        <v>3519</v>
      </c>
      <c r="E371" s="312" t="s">
        <v>107</v>
      </c>
      <c r="F371" s="312">
        <v>1825</v>
      </c>
      <c r="G371" s="312" t="s">
        <v>108</v>
      </c>
      <c r="H371" s="312">
        <v>1827</v>
      </c>
      <c r="I371" s="312" t="s">
        <v>107</v>
      </c>
      <c r="J371" s="312">
        <v>1913</v>
      </c>
      <c r="K371" s="312" t="s">
        <v>109</v>
      </c>
    </row>
    <row r="372" spans="1:11">
      <c r="A372" s="312" t="s">
        <v>3935</v>
      </c>
      <c r="B372" s="312" t="s">
        <v>3936</v>
      </c>
      <c r="C372" s="312" t="s">
        <v>105</v>
      </c>
      <c r="D372" s="312" t="s">
        <v>3519</v>
      </c>
      <c r="E372" s="312" t="s">
        <v>107</v>
      </c>
      <c r="F372" s="312">
        <v>1825</v>
      </c>
      <c r="G372" s="312" t="s">
        <v>108</v>
      </c>
      <c r="H372" s="312">
        <v>1827</v>
      </c>
      <c r="I372" s="312" t="s">
        <v>107</v>
      </c>
      <c r="J372" s="312">
        <v>1913</v>
      </c>
      <c r="K372" s="312" t="s">
        <v>109</v>
      </c>
    </row>
    <row r="373" spans="1:11">
      <c r="A373" s="312" t="s">
        <v>856</v>
      </c>
      <c r="B373" s="312" t="s">
        <v>857</v>
      </c>
      <c r="C373" s="312" t="s">
        <v>105</v>
      </c>
      <c r="D373" s="312" t="s">
        <v>858</v>
      </c>
      <c r="E373" s="312" t="s">
        <v>107</v>
      </c>
      <c r="F373" s="312">
        <v>1825</v>
      </c>
      <c r="G373" s="312" t="s">
        <v>108</v>
      </c>
      <c r="H373" s="312">
        <v>1827</v>
      </c>
      <c r="I373" s="312" t="s">
        <v>107</v>
      </c>
      <c r="J373" s="312">
        <v>1913</v>
      </c>
      <c r="K373" s="312" t="s">
        <v>109</v>
      </c>
    </row>
    <row r="374" spans="1:11">
      <c r="A374" s="312" t="s">
        <v>1827</v>
      </c>
      <c r="B374" s="312" t="s">
        <v>1828</v>
      </c>
      <c r="C374" s="312" t="s">
        <v>105</v>
      </c>
      <c r="D374" s="312" t="s">
        <v>858</v>
      </c>
      <c r="E374" s="312" t="s">
        <v>107</v>
      </c>
      <c r="F374" s="312">
        <v>1825</v>
      </c>
      <c r="G374" s="312" t="s">
        <v>108</v>
      </c>
      <c r="H374" s="312">
        <v>1827</v>
      </c>
      <c r="I374" s="312" t="s">
        <v>107</v>
      </c>
      <c r="J374" s="312">
        <v>1913</v>
      </c>
      <c r="K374" s="312" t="s">
        <v>109</v>
      </c>
    </row>
    <row r="375" spans="1:11">
      <c r="A375" s="312" t="s">
        <v>2808</v>
      </c>
      <c r="B375" s="312" t="s">
        <v>2809</v>
      </c>
      <c r="C375" s="312" t="s">
        <v>105</v>
      </c>
      <c r="D375" s="312" t="s">
        <v>858</v>
      </c>
      <c r="E375" s="312" t="s">
        <v>107</v>
      </c>
      <c r="F375" s="312">
        <v>1825</v>
      </c>
      <c r="G375" s="312" t="s">
        <v>108</v>
      </c>
      <c r="H375" s="312">
        <v>1827</v>
      </c>
      <c r="I375" s="312" t="s">
        <v>107</v>
      </c>
      <c r="J375" s="312">
        <v>1913</v>
      </c>
      <c r="K375" s="312" t="s">
        <v>109</v>
      </c>
    </row>
    <row r="376" spans="1:11">
      <c r="A376" s="312" t="s">
        <v>3497</v>
      </c>
      <c r="B376" s="312" t="s">
        <v>3498</v>
      </c>
      <c r="C376" s="312" t="s">
        <v>105</v>
      </c>
      <c r="D376" s="312" t="s">
        <v>858</v>
      </c>
      <c r="E376" s="312" t="s">
        <v>167</v>
      </c>
      <c r="F376" s="312">
        <v>1705</v>
      </c>
      <c r="G376" s="312" t="s">
        <v>168</v>
      </c>
      <c r="H376" s="312">
        <v>1707</v>
      </c>
      <c r="I376" s="312" t="s">
        <v>167</v>
      </c>
      <c r="J376" s="312">
        <v>1899</v>
      </c>
      <c r="K376" s="312" t="s">
        <v>169</v>
      </c>
    </row>
    <row r="377" spans="1:11">
      <c r="A377" s="312" t="s">
        <v>3503</v>
      </c>
      <c r="B377" s="312" t="s">
        <v>3504</v>
      </c>
      <c r="C377" s="312" t="s">
        <v>105</v>
      </c>
      <c r="D377" s="312" t="s">
        <v>858</v>
      </c>
      <c r="E377" s="312" t="s">
        <v>684</v>
      </c>
      <c r="F377" s="312">
        <v>1750</v>
      </c>
      <c r="G377" s="312" t="s">
        <v>685</v>
      </c>
      <c r="H377" s="312">
        <v>1754</v>
      </c>
      <c r="I377" s="312" t="s">
        <v>684</v>
      </c>
      <c r="J377" s="312">
        <v>1920</v>
      </c>
      <c r="K377" s="312" t="s">
        <v>686</v>
      </c>
    </row>
    <row r="378" spans="1:11">
      <c r="A378" s="312" t="s">
        <v>3507</v>
      </c>
      <c r="B378" s="312" t="s">
        <v>3508</v>
      </c>
      <c r="C378" s="312" t="s">
        <v>105</v>
      </c>
      <c r="D378" s="312" t="s">
        <v>858</v>
      </c>
      <c r="E378" s="312" t="s">
        <v>684</v>
      </c>
      <c r="F378" s="312">
        <v>1750</v>
      </c>
      <c r="G378" s="312" t="s">
        <v>685</v>
      </c>
      <c r="H378" s="312">
        <v>1754</v>
      </c>
      <c r="I378" s="312" t="s">
        <v>684</v>
      </c>
      <c r="J378" s="312">
        <v>1920</v>
      </c>
      <c r="K378" s="312" t="s">
        <v>686</v>
      </c>
    </row>
    <row r="379" spans="1:11">
      <c r="A379" s="312" t="s">
        <v>3515</v>
      </c>
      <c r="B379" s="312" t="s">
        <v>3516</v>
      </c>
      <c r="C379" s="312" t="s">
        <v>105</v>
      </c>
      <c r="D379" s="312" t="s">
        <v>858</v>
      </c>
      <c r="E379" s="312" t="s">
        <v>684</v>
      </c>
      <c r="F379" s="312">
        <v>1750</v>
      </c>
      <c r="G379" s="312" t="s">
        <v>685</v>
      </c>
      <c r="H379" s="312">
        <v>1754</v>
      </c>
      <c r="I379" s="312" t="s">
        <v>684</v>
      </c>
      <c r="J379" s="312">
        <v>1920</v>
      </c>
      <c r="K379" s="312" t="s">
        <v>686</v>
      </c>
    </row>
    <row r="380" spans="1:11">
      <c r="A380" s="312" t="s">
        <v>3671</v>
      </c>
      <c r="B380" s="312" t="s">
        <v>3672</v>
      </c>
      <c r="C380" s="312" t="s">
        <v>105</v>
      </c>
      <c r="D380" s="312" t="s">
        <v>858</v>
      </c>
      <c r="E380" s="312" t="s">
        <v>167</v>
      </c>
      <c r="F380" s="312">
        <v>1705</v>
      </c>
      <c r="G380" s="312" t="s">
        <v>168</v>
      </c>
      <c r="H380" s="312">
        <v>1707</v>
      </c>
      <c r="I380" s="312" t="s">
        <v>167</v>
      </c>
      <c r="J380" s="312">
        <v>1899</v>
      </c>
      <c r="K380" s="312" t="s">
        <v>169</v>
      </c>
    </row>
    <row r="381" spans="1:11">
      <c r="A381" s="312" t="s">
        <v>3905</v>
      </c>
      <c r="B381" s="312" t="s">
        <v>3906</v>
      </c>
      <c r="C381" s="312" t="s">
        <v>105</v>
      </c>
      <c r="D381" s="312" t="s">
        <v>858</v>
      </c>
      <c r="E381" s="312" t="s">
        <v>107</v>
      </c>
      <c r="F381" s="312">
        <v>1825</v>
      </c>
      <c r="G381" s="312" t="s">
        <v>108</v>
      </c>
      <c r="H381" s="312">
        <v>1827</v>
      </c>
      <c r="I381" s="312" t="s">
        <v>107</v>
      </c>
      <c r="J381" s="312">
        <v>1913</v>
      </c>
      <c r="K381" s="312" t="s">
        <v>109</v>
      </c>
    </row>
    <row r="382" spans="1:11">
      <c r="A382" s="312" t="s">
        <v>4402</v>
      </c>
      <c r="B382" s="312" t="s">
        <v>4403</v>
      </c>
      <c r="C382" s="312" t="s">
        <v>105</v>
      </c>
      <c r="D382" s="312" t="s">
        <v>858</v>
      </c>
      <c r="E382" s="312" t="s">
        <v>107</v>
      </c>
      <c r="F382" s="312">
        <v>1825</v>
      </c>
      <c r="G382" s="312" t="s">
        <v>108</v>
      </c>
      <c r="H382" s="312">
        <v>1827</v>
      </c>
      <c r="I382" s="312" t="s">
        <v>107</v>
      </c>
      <c r="J382" s="312">
        <v>1913</v>
      </c>
      <c r="K382" s="312" t="s">
        <v>109</v>
      </c>
    </row>
    <row r="383" spans="1:11">
      <c r="A383" s="312" t="s">
        <v>5192</v>
      </c>
      <c r="B383" s="312" t="s">
        <v>5193</v>
      </c>
      <c r="C383" s="312" t="s">
        <v>105</v>
      </c>
      <c r="D383" s="312" t="s">
        <v>858</v>
      </c>
      <c r="E383" s="312" t="s">
        <v>107</v>
      </c>
      <c r="F383" s="312">
        <v>1825</v>
      </c>
      <c r="G383" s="312" t="s">
        <v>108</v>
      </c>
      <c r="H383" s="312">
        <v>1827</v>
      </c>
      <c r="I383" s="312" t="s">
        <v>107</v>
      </c>
      <c r="J383" s="312">
        <v>1913</v>
      </c>
      <c r="K383" s="312" t="s">
        <v>109</v>
      </c>
    </row>
    <row r="384" spans="1:11">
      <c r="A384" s="312" t="s">
        <v>5232</v>
      </c>
      <c r="B384" s="312" t="s">
        <v>5233</v>
      </c>
      <c r="C384" s="312" t="s">
        <v>105</v>
      </c>
      <c r="D384" s="312" t="s">
        <v>858</v>
      </c>
      <c r="E384" s="312" t="s">
        <v>684</v>
      </c>
      <c r="F384" s="312">
        <v>1750</v>
      </c>
      <c r="G384" s="312" t="s">
        <v>685</v>
      </c>
      <c r="H384" s="312">
        <v>1754</v>
      </c>
      <c r="I384" s="312" t="s">
        <v>684</v>
      </c>
      <c r="J384" s="312">
        <v>1920</v>
      </c>
      <c r="K384" s="312" t="s">
        <v>686</v>
      </c>
    </row>
    <row r="385" spans="1:11">
      <c r="A385" s="312" t="s">
        <v>2781</v>
      </c>
      <c r="B385" s="312" t="s">
        <v>2782</v>
      </c>
      <c r="C385" s="312" t="s">
        <v>105</v>
      </c>
      <c r="D385" s="312" t="s">
        <v>2783</v>
      </c>
      <c r="E385" s="312" t="s">
        <v>107</v>
      </c>
      <c r="F385" s="312">
        <v>1825</v>
      </c>
      <c r="G385" s="312" t="s">
        <v>108</v>
      </c>
      <c r="H385" s="312">
        <v>1827</v>
      </c>
      <c r="I385" s="312" t="s">
        <v>107</v>
      </c>
      <c r="J385" s="312">
        <v>1913</v>
      </c>
      <c r="K385" s="312" t="s">
        <v>109</v>
      </c>
    </row>
    <row r="386" spans="1:11">
      <c r="A386" s="312" t="s">
        <v>2784</v>
      </c>
      <c r="B386" s="312" t="s">
        <v>2785</v>
      </c>
      <c r="C386" s="312" t="s">
        <v>105</v>
      </c>
      <c r="D386" s="312" t="s">
        <v>2783</v>
      </c>
      <c r="E386" s="312" t="s">
        <v>107</v>
      </c>
      <c r="F386" s="312">
        <v>1825</v>
      </c>
      <c r="G386" s="312" t="s">
        <v>108</v>
      </c>
      <c r="H386" s="312">
        <v>1827</v>
      </c>
      <c r="I386" s="312" t="s">
        <v>107</v>
      </c>
      <c r="J386" s="312">
        <v>1913</v>
      </c>
      <c r="K386" s="312" t="s">
        <v>109</v>
      </c>
    </row>
    <row r="387" spans="1:11">
      <c r="A387" s="312" t="s">
        <v>4239</v>
      </c>
      <c r="B387" s="312" t="s">
        <v>4240</v>
      </c>
      <c r="C387" s="312" t="s">
        <v>105</v>
      </c>
      <c r="D387" s="312" t="s">
        <v>2783</v>
      </c>
      <c r="E387" s="312" t="s">
        <v>107</v>
      </c>
      <c r="F387" s="312">
        <v>1825</v>
      </c>
      <c r="G387" s="312" t="s">
        <v>108</v>
      </c>
      <c r="H387" s="312">
        <v>1827</v>
      </c>
      <c r="I387" s="312" t="s">
        <v>107</v>
      </c>
      <c r="J387" s="312">
        <v>1913</v>
      </c>
      <c r="K387" s="312" t="s">
        <v>109</v>
      </c>
    </row>
    <row r="388" spans="1:11">
      <c r="A388" s="312" t="s">
        <v>3393</v>
      </c>
      <c r="B388" s="312" t="s">
        <v>3394</v>
      </c>
      <c r="C388" s="312" t="s">
        <v>105</v>
      </c>
      <c r="D388" s="312" t="s">
        <v>3395</v>
      </c>
      <c r="E388" s="312" t="s">
        <v>167</v>
      </c>
      <c r="F388" s="312">
        <v>1705</v>
      </c>
      <c r="G388" s="312" t="s">
        <v>168</v>
      </c>
      <c r="H388" s="312">
        <v>1707</v>
      </c>
      <c r="I388" s="312" t="s">
        <v>167</v>
      </c>
      <c r="J388" s="312">
        <v>1899</v>
      </c>
      <c r="K388" s="312" t="s">
        <v>169</v>
      </c>
    </row>
    <row r="389" spans="1:11">
      <c r="A389" s="312" t="s">
        <v>3408</v>
      </c>
      <c r="B389" s="312" t="s">
        <v>3409</v>
      </c>
      <c r="C389" s="312" t="s">
        <v>105</v>
      </c>
      <c r="D389" s="312" t="s">
        <v>3395</v>
      </c>
      <c r="E389" s="312" t="s">
        <v>167</v>
      </c>
      <c r="F389" s="312">
        <v>1705</v>
      </c>
      <c r="G389" s="312" t="s">
        <v>168</v>
      </c>
      <c r="H389" s="312">
        <v>1707</v>
      </c>
      <c r="I389" s="312" t="s">
        <v>167</v>
      </c>
      <c r="J389" s="312">
        <v>1899</v>
      </c>
      <c r="K389" s="312" t="s">
        <v>169</v>
      </c>
    </row>
    <row r="390" spans="1:11">
      <c r="A390" s="312" t="s">
        <v>5828</v>
      </c>
      <c r="B390" s="312" t="s">
        <v>5829</v>
      </c>
      <c r="C390" s="312" t="s">
        <v>105</v>
      </c>
      <c r="D390" s="312" t="s">
        <v>3395</v>
      </c>
      <c r="E390" s="312" t="s">
        <v>107</v>
      </c>
      <c r="F390" s="312">
        <v>1825</v>
      </c>
      <c r="G390" s="312" t="s">
        <v>108</v>
      </c>
      <c r="H390" s="312">
        <v>1827</v>
      </c>
      <c r="I390" s="312" t="s">
        <v>107</v>
      </c>
      <c r="J390" s="312">
        <v>1913</v>
      </c>
      <c r="K390" s="312" t="s">
        <v>109</v>
      </c>
    </row>
    <row r="391" spans="1:11">
      <c r="A391" s="312" t="s">
        <v>5850</v>
      </c>
      <c r="B391" s="312" t="s">
        <v>5851</v>
      </c>
      <c r="C391" s="312" t="s">
        <v>105</v>
      </c>
      <c r="D391" s="312" t="s">
        <v>3395</v>
      </c>
      <c r="E391" s="312" t="s">
        <v>107</v>
      </c>
      <c r="F391" s="312">
        <v>1825</v>
      </c>
      <c r="G391" s="312" t="s">
        <v>108</v>
      </c>
      <c r="H391" s="312">
        <v>1827</v>
      </c>
      <c r="I391" s="312" t="s">
        <v>107</v>
      </c>
      <c r="J391" s="312">
        <v>1913</v>
      </c>
      <c r="K391" s="312" t="s">
        <v>109</v>
      </c>
    </row>
    <row r="392" spans="1:11">
      <c r="A392" s="312" t="s">
        <v>554</v>
      </c>
      <c r="B392" s="312" t="s">
        <v>555</v>
      </c>
      <c r="C392" s="312" t="s">
        <v>105</v>
      </c>
      <c r="D392" s="312" t="s">
        <v>556</v>
      </c>
      <c r="E392" s="312" t="s">
        <v>107</v>
      </c>
      <c r="F392" s="312">
        <v>1825</v>
      </c>
      <c r="G392" s="312" t="s">
        <v>108</v>
      </c>
      <c r="H392" s="312">
        <v>1827</v>
      </c>
      <c r="I392" s="312" t="s">
        <v>107</v>
      </c>
      <c r="J392" s="312">
        <v>1913</v>
      </c>
      <c r="K392" s="312" t="s">
        <v>109</v>
      </c>
    </row>
    <row r="393" spans="1:11">
      <c r="A393" s="312" t="s">
        <v>639</v>
      </c>
      <c r="B393" s="312" t="s">
        <v>640</v>
      </c>
      <c r="C393" s="312" t="s">
        <v>105</v>
      </c>
      <c r="D393" s="312" t="s">
        <v>556</v>
      </c>
      <c r="E393" s="312" t="s">
        <v>107</v>
      </c>
      <c r="F393" s="312">
        <v>1825</v>
      </c>
      <c r="G393" s="312" t="s">
        <v>108</v>
      </c>
      <c r="H393" s="312">
        <v>1827</v>
      </c>
      <c r="I393" s="312" t="s">
        <v>107</v>
      </c>
      <c r="J393" s="312">
        <v>1913</v>
      </c>
      <c r="K393" s="312" t="s">
        <v>109</v>
      </c>
    </row>
    <row r="394" spans="1:11">
      <c r="A394" s="312" t="s">
        <v>844</v>
      </c>
      <c r="B394" s="312" t="s">
        <v>845</v>
      </c>
      <c r="C394" s="312" t="s">
        <v>105</v>
      </c>
      <c r="D394" s="312" t="s">
        <v>556</v>
      </c>
      <c r="E394" s="312" t="s">
        <v>107</v>
      </c>
      <c r="F394" s="312">
        <v>1825</v>
      </c>
      <c r="G394" s="312" t="s">
        <v>108</v>
      </c>
      <c r="H394" s="312">
        <v>1827</v>
      </c>
      <c r="I394" s="312" t="s">
        <v>107</v>
      </c>
      <c r="J394" s="312">
        <v>1913</v>
      </c>
      <c r="K394" s="312" t="s">
        <v>109</v>
      </c>
    </row>
    <row r="395" spans="1:11">
      <c r="A395" s="312" t="s">
        <v>1132</v>
      </c>
      <c r="B395" s="312" t="s">
        <v>1133</v>
      </c>
      <c r="C395" s="312" t="s">
        <v>105</v>
      </c>
      <c r="D395" s="312" t="s">
        <v>556</v>
      </c>
      <c r="E395" s="312" t="s">
        <v>107</v>
      </c>
      <c r="F395" s="312">
        <v>1825</v>
      </c>
      <c r="G395" s="312" t="s">
        <v>108</v>
      </c>
      <c r="H395" s="312">
        <v>1827</v>
      </c>
      <c r="I395" s="312" t="s">
        <v>107</v>
      </c>
      <c r="J395" s="312">
        <v>1913</v>
      </c>
      <c r="K395" s="312" t="s">
        <v>109</v>
      </c>
    </row>
    <row r="396" spans="1:11">
      <c r="A396" s="312" t="s">
        <v>1199</v>
      </c>
      <c r="B396" s="312" t="s">
        <v>1200</v>
      </c>
      <c r="C396" s="312" t="s">
        <v>105</v>
      </c>
      <c r="D396" s="312" t="s">
        <v>556</v>
      </c>
      <c r="E396" s="312" t="s">
        <v>107</v>
      </c>
      <c r="F396" s="312">
        <v>1825</v>
      </c>
      <c r="G396" s="312" t="s">
        <v>108</v>
      </c>
      <c r="H396" s="312">
        <v>1827</v>
      </c>
      <c r="I396" s="312" t="s">
        <v>107</v>
      </c>
      <c r="J396" s="312">
        <v>1913</v>
      </c>
      <c r="K396" s="312" t="s">
        <v>109</v>
      </c>
    </row>
    <row r="397" spans="1:11">
      <c r="A397" s="312" t="s">
        <v>1261</v>
      </c>
      <c r="B397" s="312" t="s">
        <v>1262</v>
      </c>
      <c r="C397" s="312" t="s">
        <v>105</v>
      </c>
      <c r="D397" s="312" t="s">
        <v>556</v>
      </c>
      <c r="E397" s="312" t="s">
        <v>107</v>
      </c>
      <c r="F397" s="312">
        <v>1825</v>
      </c>
      <c r="G397" s="312" t="s">
        <v>108</v>
      </c>
      <c r="H397" s="312">
        <v>1827</v>
      </c>
      <c r="I397" s="312" t="s">
        <v>107</v>
      </c>
      <c r="J397" s="312">
        <v>1913</v>
      </c>
      <c r="K397" s="312" t="s">
        <v>109</v>
      </c>
    </row>
    <row r="398" spans="1:11">
      <c r="A398" s="312" t="s">
        <v>1419</v>
      </c>
      <c r="B398" s="312" t="s">
        <v>1420</v>
      </c>
      <c r="C398" s="312" t="s">
        <v>105</v>
      </c>
      <c r="D398" s="312" t="s">
        <v>556</v>
      </c>
      <c r="E398" s="312" t="s">
        <v>107</v>
      </c>
      <c r="F398" s="312">
        <v>1825</v>
      </c>
      <c r="G398" s="312" t="s">
        <v>108</v>
      </c>
      <c r="H398" s="312">
        <v>1827</v>
      </c>
      <c r="I398" s="312" t="s">
        <v>107</v>
      </c>
      <c r="J398" s="312">
        <v>1913</v>
      </c>
      <c r="K398" s="312" t="s">
        <v>109</v>
      </c>
    </row>
    <row r="399" spans="1:11">
      <c r="A399" s="312" t="s">
        <v>1689</v>
      </c>
      <c r="B399" s="312" t="s">
        <v>1690</v>
      </c>
      <c r="C399" s="312" t="s">
        <v>105</v>
      </c>
      <c r="D399" s="312" t="s">
        <v>556</v>
      </c>
      <c r="E399" s="312" t="s">
        <v>107</v>
      </c>
      <c r="F399" s="312">
        <v>1825</v>
      </c>
      <c r="G399" s="312" t="s">
        <v>108</v>
      </c>
      <c r="H399" s="312">
        <v>1827</v>
      </c>
      <c r="I399" s="312" t="s">
        <v>107</v>
      </c>
      <c r="J399" s="312">
        <v>1913</v>
      </c>
      <c r="K399" s="312" t="s">
        <v>109</v>
      </c>
    </row>
    <row r="400" spans="1:11">
      <c r="A400" s="312" t="s">
        <v>1819</v>
      </c>
      <c r="B400" s="312" t="s">
        <v>1820</v>
      </c>
      <c r="C400" s="312" t="s">
        <v>105</v>
      </c>
      <c r="D400" s="312" t="s">
        <v>556</v>
      </c>
      <c r="E400" s="312" t="s">
        <v>107</v>
      </c>
      <c r="F400" s="312">
        <v>1825</v>
      </c>
      <c r="G400" s="312" t="s">
        <v>108</v>
      </c>
      <c r="H400" s="312">
        <v>1827</v>
      </c>
      <c r="I400" s="312" t="s">
        <v>107</v>
      </c>
      <c r="J400" s="312">
        <v>1913</v>
      </c>
      <c r="K400" s="312" t="s">
        <v>109</v>
      </c>
    </row>
    <row r="401" spans="1:11">
      <c r="A401" s="312" t="s">
        <v>1886</v>
      </c>
      <c r="B401" s="312" t="s">
        <v>1887</v>
      </c>
      <c r="C401" s="312" t="s">
        <v>105</v>
      </c>
      <c r="D401" s="312" t="s">
        <v>556</v>
      </c>
      <c r="E401" s="312" t="s">
        <v>107</v>
      </c>
      <c r="F401" s="312">
        <v>1825</v>
      </c>
      <c r="G401" s="312" t="s">
        <v>108</v>
      </c>
      <c r="H401" s="312">
        <v>1827</v>
      </c>
      <c r="I401" s="312" t="s">
        <v>107</v>
      </c>
      <c r="J401" s="312">
        <v>1913</v>
      </c>
      <c r="K401" s="312" t="s">
        <v>109</v>
      </c>
    </row>
    <row r="402" spans="1:11">
      <c r="A402" s="312" t="s">
        <v>2216</v>
      </c>
      <c r="B402" s="312" t="s">
        <v>2217</v>
      </c>
      <c r="C402" s="312" t="s">
        <v>105</v>
      </c>
      <c r="D402" s="312" t="s">
        <v>556</v>
      </c>
      <c r="E402" s="312" t="s">
        <v>107</v>
      </c>
      <c r="F402" s="312">
        <v>1825</v>
      </c>
      <c r="G402" s="312" t="s">
        <v>108</v>
      </c>
      <c r="H402" s="312">
        <v>1827</v>
      </c>
      <c r="I402" s="312" t="s">
        <v>107</v>
      </c>
      <c r="J402" s="312">
        <v>1913</v>
      </c>
      <c r="K402" s="312" t="s">
        <v>109</v>
      </c>
    </row>
    <row r="403" spans="1:11">
      <c r="A403" s="312" t="s">
        <v>2306</v>
      </c>
      <c r="B403" s="312" t="s">
        <v>2307</v>
      </c>
      <c r="C403" s="312" t="s">
        <v>105</v>
      </c>
      <c r="D403" s="312" t="s">
        <v>556</v>
      </c>
      <c r="E403" s="312" t="s">
        <v>107</v>
      </c>
      <c r="F403" s="312">
        <v>1825</v>
      </c>
      <c r="G403" s="312" t="s">
        <v>108</v>
      </c>
      <c r="H403" s="312">
        <v>1827</v>
      </c>
      <c r="I403" s="312" t="s">
        <v>107</v>
      </c>
      <c r="J403" s="312">
        <v>1913</v>
      </c>
      <c r="K403" s="312" t="s">
        <v>109</v>
      </c>
    </row>
    <row r="404" spans="1:11">
      <c r="A404" s="312" t="s">
        <v>2308</v>
      </c>
      <c r="B404" s="312" t="s">
        <v>2309</v>
      </c>
      <c r="C404" s="312" t="s">
        <v>105</v>
      </c>
      <c r="D404" s="312" t="s">
        <v>556</v>
      </c>
      <c r="E404" s="312" t="s">
        <v>107</v>
      </c>
      <c r="F404" s="312">
        <v>1825</v>
      </c>
      <c r="G404" s="312" t="s">
        <v>108</v>
      </c>
      <c r="H404" s="312">
        <v>1827</v>
      </c>
      <c r="I404" s="312" t="s">
        <v>107</v>
      </c>
      <c r="J404" s="312">
        <v>1913</v>
      </c>
      <c r="K404" s="312" t="s">
        <v>109</v>
      </c>
    </row>
    <row r="405" spans="1:11">
      <c r="A405" s="312" t="s">
        <v>2572</v>
      </c>
      <c r="B405" s="312" t="s">
        <v>2573</v>
      </c>
      <c r="C405" s="312" t="s">
        <v>105</v>
      </c>
      <c r="D405" s="312" t="s">
        <v>556</v>
      </c>
      <c r="E405" s="312" t="s">
        <v>107</v>
      </c>
      <c r="F405" s="312">
        <v>1825</v>
      </c>
      <c r="G405" s="312" t="s">
        <v>108</v>
      </c>
      <c r="H405" s="312">
        <v>1827</v>
      </c>
      <c r="I405" s="312" t="s">
        <v>107</v>
      </c>
      <c r="J405" s="312">
        <v>1913</v>
      </c>
      <c r="K405" s="312" t="s">
        <v>109</v>
      </c>
    </row>
    <row r="406" spans="1:11">
      <c r="A406" s="312" t="s">
        <v>2629</v>
      </c>
      <c r="B406" s="312" t="s">
        <v>2630</v>
      </c>
      <c r="C406" s="312" t="s">
        <v>105</v>
      </c>
      <c r="D406" s="312" t="s">
        <v>556</v>
      </c>
      <c r="E406" s="312" t="s">
        <v>107</v>
      </c>
      <c r="F406" s="312">
        <v>1825</v>
      </c>
      <c r="G406" s="312" t="s">
        <v>108</v>
      </c>
      <c r="H406" s="312">
        <v>1827</v>
      </c>
      <c r="I406" s="312" t="s">
        <v>107</v>
      </c>
      <c r="J406" s="312">
        <v>1913</v>
      </c>
      <c r="K406" s="312" t="s">
        <v>109</v>
      </c>
    </row>
    <row r="407" spans="1:11">
      <c r="A407" s="312" t="s">
        <v>2779</v>
      </c>
      <c r="B407" s="312" t="s">
        <v>2780</v>
      </c>
      <c r="C407" s="312" t="s">
        <v>105</v>
      </c>
      <c r="D407" s="312" t="s">
        <v>556</v>
      </c>
      <c r="E407" s="312" t="s">
        <v>107</v>
      </c>
      <c r="F407" s="312">
        <v>1825</v>
      </c>
      <c r="G407" s="312" t="s">
        <v>108</v>
      </c>
      <c r="H407" s="312">
        <v>1827</v>
      </c>
      <c r="I407" s="312" t="s">
        <v>107</v>
      </c>
      <c r="J407" s="312">
        <v>1913</v>
      </c>
      <c r="K407" s="312" t="s">
        <v>109</v>
      </c>
    </row>
    <row r="408" spans="1:11">
      <c r="A408" s="312" t="s">
        <v>2880</v>
      </c>
      <c r="B408" s="312" t="s">
        <v>2881</v>
      </c>
      <c r="C408" s="312" t="s">
        <v>105</v>
      </c>
      <c r="D408" s="312" t="s">
        <v>556</v>
      </c>
      <c r="E408" s="312" t="s">
        <v>107</v>
      </c>
      <c r="F408" s="312">
        <v>1825</v>
      </c>
      <c r="G408" s="312" t="s">
        <v>108</v>
      </c>
      <c r="H408" s="312">
        <v>1827</v>
      </c>
      <c r="I408" s="312" t="s">
        <v>107</v>
      </c>
      <c r="J408" s="312">
        <v>1913</v>
      </c>
      <c r="K408" s="312" t="s">
        <v>109</v>
      </c>
    </row>
    <row r="409" spans="1:11">
      <c r="A409" s="312" t="s">
        <v>2882</v>
      </c>
      <c r="B409" s="312" t="s">
        <v>2883</v>
      </c>
      <c r="C409" s="312" t="s">
        <v>105</v>
      </c>
      <c r="D409" s="312" t="s">
        <v>556</v>
      </c>
      <c r="E409" s="312" t="s">
        <v>107</v>
      </c>
      <c r="F409" s="312">
        <v>1825</v>
      </c>
      <c r="G409" s="312" t="s">
        <v>108</v>
      </c>
      <c r="H409" s="312">
        <v>1827</v>
      </c>
      <c r="I409" s="312" t="s">
        <v>107</v>
      </c>
      <c r="J409" s="312">
        <v>1913</v>
      </c>
      <c r="K409" s="312" t="s">
        <v>109</v>
      </c>
    </row>
    <row r="410" spans="1:11">
      <c r="A410" s="312" t="s">
        <v>2920</v>
      </c>
      <c r="B410" s="312" t="s">
        <v>2921</v>
      </c>
      <c r="C410" s="312" t="s">
        <v>105</v>
      </c>
      <c r="D410" s="312" t="s">
        <v>556</v>
      </c>
      <c r="E410" s="312" t="s">
        <v>107</v>
      </c>
      <c r="F410" s="312">
        <v>1825</v>
      </c>
      <c r="G410" s="312" t="s">
        <v>108</v>
      </c>
      <c r="H410" s="312">
        <v>1827</v>
      </c>
      <c r="I410" s="312" t="s">
        <v>107</v>
      </c>
      <c r="J410" s="312">
        <v>1913</v>
      </c>
      <c r="K410" s="312" t="s">
        <v>109</v>
      </c>
    </row>
    <row r="411" spans="1:11">
      <c r="A411" s="312" t="s">
        <v>3050</v>
      </c>
      <c r="B411" s="312" t="s">
        <v>3051</v>
      </c>
      <c r="C411" s="312" t="s">
        <v>105</v>
      </c>
      <c r="D411" s="312" t="s">
        <v>556</v>
      </c>
      <c r="E411" s="312" t="s">
        <v>107</v>
      </c>
      <c r="F411" s="312">
        <v>1825</v>
      </c>
      <c r="G411" s="312" t="s">
        <v>108</v>
      </c>
      <c r="H411" s="312">
        <v>1827</v>
      </c>
      <c r="I411" s="312" t="s">
        <v>107</v>
      </c>
      <c r="J411" s="312">
        <v>1913</v>
      </c>
      <c r="K411" s="312" t="s">
        <v>109</v>
      </c>
    </row>
    <row r="412" spans="1:11">
      <c r="A412" s="312" t="s">
        <v>3090</v>
      </c>
      <c r="B412" s="312" t="s">
        <v>3091</v>
      </c>
      <c r="C412" s="312" t="s">
        <v>105</v>
      </c>
      <c r="D412" s="312" t="s">
        <v>556</v>
      </c>
      <c r="E412" s="312" t="s">
        <v>107</v>
      </c>
      <c r="F412" s="312">
        <v>1825</v>
      </c>
      <c r="G412" s="312" t="s">
        <v>108</v>
      </c>
      <c r="H412" s="312">
        <v>1827</v>
      </c>
      <c r="I412" s="312" t="s">
        <v>107</v>
      </c>
      <c r="J412" s="312">
        <v>1913</v>
      </c>
      <c r="K412" s="312" t="s">
        <v>109</v>
      </c>
    </row>
    <row r="413" spans="1:11">
      <c r="A413" s="312" t="s">
        <v>3092</v>
      </c>
      <c r="B413" s="312" t="s">
        <v>3093</v>
      </c>
      <c r="C413" s="312" t="s">
        <v>105</v>
      </c>
      <c r="D413" s="312" t="s">
        <v>556</v>
      </c>
      <c r="E413" s="312" t="s">
        <v>107</v>
      </c>
      <c r="F413" s="312">
        <v>1825</v>
      </c>
      <c r="G413" s="312" t="s">
        <v>108</v>
      </c>
      <c r="H413" s="312">
        <v>1827</v>
      </c>
      <c r="I413" s="312" t="s">
        <v>107</v>
      </c>
      <c r="J413" s="312">
        <v>1913</v>
      </c>
      <c r="K413" s="312" t="s">
        <v>109</v>
      </c>
    </row>
    <row r="414" spans="1:11">
      <c r="A414" s="312" t="s">
        <v>3100</v>
      </c>
      <c r="B414" s="312" t="s">
        <v>3101</v>
      </c>
      <c r="C414" s="312" t="s">
        <v>105</v>
      </c>
      <c r="D414" s="312" t="s">
        <v>556</v>
      </c>
      <c r="E414" s="312" t="s">
        <v>107</v>
      </c>
      <c r="F414" s="312">
        <v>1825</v>
      </c>
      <c r="G414" s="312" t="s">
        <v>108</v>
      </c>
      <c r="H414" s="312">
        <v>1827</v>
      </c>
      <c r="I414" s="312" t="s">
        <v>107</v>
      </c>
      <c r="J414" s="312">
        <v>1913</v>
      </c>
      <c r="K414" s="312" t="s">
        <v>109</v>
      </c>
    </row>
    <row r="415" spans="1:11">
      <c r="A415" s="312" t="s">
        <v>3231</v>
      </c>
      <c r="B415" s="312" t="s">
        <v>3232</v>
      </c>
      <c r="C415" s="312" t="s">
        <v>105</v>
      </c>
      <c r="D415" s="312" t="s">
        <v>556</v>
      </c>
      <c r="E415" s="312" t="s">
        <v>107</v>
      </c>
      <c r="F415" s="312">
        <v>1825</v>
      </c>
      <c r="G415" s="312" t="s">
        <v>108</v>
      </c>
      <c r="H415" s="312">
        <v>1827</v>
      </c>
      <c r="I415" s="312" t="s">
        <v>107</v>
      </c>
      <c r="J415" s="312">
        <v>1913</v>
      </c>
      <c r="K415" s="312" t="s">
        <v>109</v>
      </c>
    </row>
    <row r="416" spans="1:11">
      <c r="A416" s="312" t="s">
        <v>3287</v>
      </c>
      <c r="B416" s="312" t="s">
        <v>3288</v>
      </c>
      <c r="C416" s="312" t="s">
        <v>105</v>
      </c>
      <c r="D416" s="312" t="s">
        <v>556</v>
      </c>
      <c r="E416" s="312" t="s">
        <v>107</v>
      </c>
      <c r="F416" s="312">
        <v>1825</v>
      </c>
      <c r="G416" s="312" t="s">
        <v>108</v>
      </c>
      <c r="H416" s="312">
        <v>1827</v>
      </c>
      <c r="I416" s="312" t="s">
        <v>107</v>
      </c>
      <c r="J416" s="312">
        <v>1913</v>
      </c>
      <c r="K416" s="312" t="s">
        <v>109</v>
      </c>
    </row>
    <row r="417" spans="1:11">
      <c r="A417" s="312" t="s">
        <v>3428</v>
      </c>
      <c r="B417" s="1" t="s">
        <v>3429</v>
      </c>
      <c r="C417" s="312" t="s">
        <v>105</v>
      </c>
      <c r="D417" s="312" t="s">
        <v>556</v>
      </c>
      <c r="E417" s="312" t="s">
        <v>107</v>
      </c>
      <c r="F417" s="312">
        <v>1825</v>
      </c>
      <c r="G417" s="312" t="s">
        <v>108</v>
      </c>
      <c r="H417" s="312">
        <v>1827</v>
      </c>
      <c r="I417" s="312" t="s">
        <v>107</v>
      </c>
      <c r="J417" s="312">
        <v>1913</v>
      </c>
      <c r="K417" s="312" t="s">
        <v>109</v>
      </c>
    </row>
    <row r="418" spans="1:11">
      <c r="A418" s="312" t="s">
        <v>3438</v>
      </c>
      <c r="B418" s="312" t="s">
        <v>3439</v>
      </c>
      <c r="C418" s="312" t="s">
        <v>105</v>
      </c>
      <c r="D418" s="312" t="s">
        <v>556</v>
      </c>
      <c r="E418" s="312" t="s">
        <v>107</v>
      </c>
      <c r="F418" s="312">
        <v>1825</v>
      </c>
      <c r="G418" s="312" t="s">
        <v>108</v>
      </c>
      <c r="H418" s="312">
        <v>1827</v>
      </c>
      <c r="I418" s="312" t="s">
        <v>107</v>
      </c>
      <c r="J418" s="312">
        <v>1913</v>
      </c>
      <c r="K418" s="312" t="s">
        <v>109</v>
      </c>
    </row>
    <row r="419" spans="1:11">
      <c r="A419" s="312" t="s">
        <v>3531</v>
      </c>
      <c r="B419" s="312" t="s">
        <v>3532</v>
      </c>
      <c r="C419" s="312" t="s">
        <v>105</v>
      </c>
      <c r="D419" s="312" t="s">
        <v>556</v>
      </c>
      <c r="E419" s="312" t="s">
        <v>107</v>
      </c>
      <c r="F419" s="312">
        <v>1825</v>
      </c>
      <c r="G419" s="312" t="s">
        <v>108</v>
      </c>
      <c r="H419" s="312">
        <v>1827</v>
      </c>
      <c r="I419" s="312" t="s">
        <v>107</v>
      </c>
      <c r="J419" s="312">
        <v>1913</v>
      </c>
      <c r="K419" s="312" t="s">
        <v>109</v>
      </c>
    </row>
    <row r="420" spans="1:11">
      <c r="A420" s="312" t="s">
        <v>4117</v>
      </c>
      <c r="B420" s="312" t="s">
        <v>4118</v>
      </c>
      <c r="C420" s="312" t="s">
        <v>105</v>
      </c>
      <c r="D420" s="312" t="s">
        <v>556</v>
      </c>
      <c r="E420" s="312" t="s">
        <v>107</v>
      </c>
      <c r="F420" s="312">
        <v>1825</v>
      </c>
      <c r="G420" s="312" t="s">
        <v>108</v>
      </c>
      <c r="H420" s="312">
        <v>1827</v>
      </c>
      <c r="I420" s="312" t="s">
        <v>107</v>
      </c>
      <c r="J420" s="312">
        <v>1913</v>
      </c>
      <c r="K420" s="312" t="s">
        <v>109</v>
      </c>
    </row>
    <row r="421" spans="1:11">
      <c r="A421" s="312" t="s">
        <v>4119</v>
      </c>
      <c r="B421" s="312" t="s">
        <v>4120</v>
      </c>
      <c r="C421" s="312" t="s">
        <v>105</v>
      </c>
      <c r="D421" s="312" t="s">
        <v>556</v>
      </c>
      <c r="E421" s="312" t="s">
        <v>107</v>
      </c>
      <c r="F421" s="312">
        <v>1825</v>
      </c>
      <c r="G421" s="312" t="s">
        <v>108</v>
      </c>
      <c r="H421" s="312">
        <v>1827</v>
      </c>
      <c r="I421" s="312" t="s">
        <v>107</v>
      </c>
      <c r="J421" s="312">
        <v>1913</v>
      </c>
      <c r="K421" s="312" t="s">
        <v>109</v>
      </c>
    </row>
    <row r="422" spans="1:11">
      <c r="A422" s="312" t="s">
        <v>4237</v>
      </c>
      <c r="B422" s="312" t="s">
        <v>4238</v>
      </c>
      <c r="C422" s="312" t="s">
        <v>105</v>
      </c>
      <c r="D422" s="312" t="s">
        <v>556</v>
      </c>
      <c r="E422" s="312" t="s">
        <v>107</v>
      </c>
      <c r="F422" s="312">
        <v>1825</v>
      </c>
      <c r="G422" s="312" t="s">
        <v>108</v>
      </c>
      <c r="H422" s="312">
        <v>1827</v>
      </c>
      <c r="I422" s="312" t="s">
        <v>107</v>
      </c>
      <c r="J422" s="312">
        <v>1913</v>
      </c>
      <c r="K422" s="312" t="s">
        <v>109</v>
      </c>
    </row>
    <row r="423" spans="1:11">
      <c r="A423" s="312" t="s">
        <v>4328</v>
      </c>
      <c r="B423" s="312" t="s">
        <v>4329</v>
      </c>
      <c r="C423" s="312" t="s">
        <v>105</v>
      </c>
      <c r="D423" s="312" t="s">
        <v>556</v>
      </c>
      <c r="E423" s="312" t="s">
        <v>107</v>
      </c>
      <c r="F423" s="312">
        <v>1825</v>
      </c>
      <c r="G423" s="312" t="s">
        <v>108</v>
      </c>
      <c r="H423" s="312">
        <v>1827</v>
      </c>
      <c r="I423" s="312" t="s">
        <v>107</v>
      </c>
      <c r="J423" s="312">
        <v>1913</v>
      </c>
      <c r="K423" s="312" t="s">
        <v>109</v>
      </c>
    </row>
    <row r="424" spans="1:11">
      <c r="A424" s="312" t="s">
        <v>4330</v>
      </c>
      <c r="B424" s="312" t="s">
        <v>4331</v>
      </c>
      <c r="C424" s="312" t="s">
        <v>105</v>
      </c>
      <c r="D424" s="312" t="s">
        <v>556</v>
      </c>
      <c r="E424" s="312" t="s">
        <v>107</v>
      </c>
      <c r="F424" s="312">
        <v>1825</v>
      </c>
      <c r="G424" s="312" t="s">
        <v>108</v>
      </c>
      <c r="H424" s="312">
        <v>1827</v>
      </c>
      <c r="I424" s="312" t="s">
        <v>107</v>
      </c>
      <c r="J424" s="312">
        <v>1913</v>
      </c>
      <c r="K424" s="312" t="s">
        <v>109</v>
      </c>
    </row>
    <row r="425" spans="1:11">
      <c r="A425" s="312" t="s">
        <v>4467</v>
      </c>
      <c r="B425" s="312" t="s">
        <v>4468</v>
      </c>
      <c r="C425" s="312" t="s">
        <v>105</v>
      </c>
      <c r="D425" s="312" t="s">
        <v>556</v>
      </c>
      <c r="E425" s="312" t="s">
        <v>107</v>
      </c>
      <c r="F425" s="312">
        <v>1825</v>
      </c>
      <c r="G425" s="312" t="s">
        <v>108</v>
      </c>
      <c r="H425" s="312">
        <v>1827</v>
      </c>
      <c r="I425" s="312" t="s">
        <v>107</v>
      </c>
      <c r="J425" s="312">
        <v>1913</v>
      </c>
      <c r="K425" s="312" t="s">
        <v>109</v>
      </c>
    </row>
    <row r="426" spans="1:11">
      <c r="A426" s="312" t="s">
        <v>4495</v>
      </c>
      <c r="B426" s="312" t="s">
        <v>4496</v>
      </c>
      <c r="C426" s="312" t="s">
        <v>105</v>
      </c>
      <c r="D426" s="312" t="s">
        <v>556</v>
      </c>
      <c r="E426" s="312" t="s">
        <v>107</v>
      </c>
      <c r="F426" s="312">
        <v>1825</v>
      </c>
      <c r="G426" s="312" t="s">
        <v>108</v>
      </c>
      <c r="H426" s="312">
        <v>1827</v>
      </c>
      <c r="I426" s="312" t="s">
        <v>107</v>
      </c>
      <c r="J426" s="312">
        <v>1913</v>
      </c>
      <c r="K426" s="312" t="s">
        <v>109</v>
      </c>
    </row>
    <row r="427" spans="1:11">
      <c r="A427" s="312" t="s">
        <v>4499</v>
      </c>
      <c r="B427" s="312" t="s">
        <v>4500</v>
      </c>
      <c r="C427" s="312" t="s">
        <v>105</v>
      </c>
      <c r="D427" s="312" t="s">
        <v>556</v>
      </c>
      <c r="E427" s="312" t="s">
        <v>107</v>
      </c>
      <c r="F427" s="312">
        <v>1825</v>
      </c>
      <c r="G427" s="312" t="s">
        <v>108</v>
      </c>
      <c r="H427" s="312">
        <v>1827</v>
      </c>
      <c r="I427" s="312" t="s">
        <v>107</v>
      </c>
      <c r="J427" s="312">
        <v>1913</v>
      </c>
      <c r="K427" s="312" t="s">
        <v>109</v>
      </c>
    </row>
    <row r="428" spans="1:11">
      <c r="A428" s="312" t="s">
        <v>4602</v>
      </c>
      <c r="B428" s="312" t="s">
        <v>4603</v>
      </c>
      <c r="C428" s="312" t="s">
        <v>105</v>
      </c>
      <c r="D428" s="312" t="s">
        <v>556</v>
      </c>
      <c r="E428" s="312" t="s">
        <v>107</v>
      </c>
      <c r="F428" s="312">
        <v>1825</v>
      </c>
      <c r="G428" s="312" t="s">
        <v>108</v>
      </c>
      <c r="H428" s="312">
        <v>1827</v>
      </c>
      <c r="I428" s="312" t="s">
        <v>107</v>
      </c>
      <c r="J428" s="312">
        <v>1913</v>
      </c>
      <c r="K428" s="312" t="s">
        <v>109</v>
      </c>
    </row>
    <row r="429" spans="1:11">
      <c r="A429" s="312" t="s">
        <v>4631</v>
      </c>
      <c r="B429" s="312" t="s">
        <v>4632</v>
      </c>
      <c r="C429" s="312" t="s">
        <v>105</v>
      </c>
      <c r="D429" s="312" t="s">
        <v>556</v>
      </c>
      <c r="E429" s="312" t="s">
        <v>107</v>
      </c>
      <c r="F429" s="312">
        <v>1825</v>
      </c>
      <c r="G429" s="312" t="s">
        <v>108</v>
      </c>
      <c r="H429" s="312">
        <v>1827</v>
      </c>
      <c r="I429" s="312" t="s">
        <v>107</v>
      </c>
      <c r="J429" s="312">
        <v>1913</v>
      </c>
      <c r="K429" s="312" t="s">
        <v>109</v>
      </c>
    </row>
    <row r="430" spans="1:11">
      <c r="A430" s="312" t="s">
        <v>4633</v>
      </c>
      <c r="B430" s="312" t="s">
        <v>4634</v>
      </c>
      <c r="C430" s="312" t="s">
        <v>105</v>
      </c>
      <c r="D430" s="312" t="s">
        <v>556</v>
      </c>
      <c r="E430" s="312" t="s">
        <v>107</v>
      </c>
      <c r="F430" s="312">
        <v>1825</v>
      </c>
      <c r="G430" s="312" t="s">
        <v>108</v>
      </c>
      <c r="H430" s="312">
        <v>1827</v>
      </c>
      <c r="I430" s="312" t="s">
        <v>107</v>
      </c>
      <c r="J430" s="312">
        <v>1913</v>
      </c>
      <c r="K430" s="312" t="s">
        <v>109</v>
      </c>
    </row>
    <row r="431" spans="1:11">
      <c r="A431" s="312" t="s">
        <v>4851</v>
      </c>
      <c r="B431" s="312" t="s">
        <v>4852</v>
      </c>
      <c r="C431" s="312" t="s">
        <v>105</v>
      </c>
      <c r="D431" s="312" t="s">
        <v>556</v>
      </c>
      <c r="E431" s="312" t="s">
        <v>107</v>
      </c>
      <c r="F431" s="312">
        <v>1825</v>
      </c>
      <c r="G431" s="312" t="s">
        <v>108</v>
      </c>
      <c r="H431" s="312">
        <v>1827</v>
      </c>
      <c r="I431" s="312" t="s">
        <v>107</v>
      </c>
      <c r="J431" s="312">
        <v>1913</v>
      </c>
      <c r="K431" s="312" t="s">
        <v>109</v>
      </c>
    </row>
    <row r="432" spans="1:11">
      <c r="A432" s="312" t="s">
        <v>5053</v>
      </c>
      <c r="B432" s="312" t="s">
        <v>5054</v>
      </c>
      <c r="C432" s="312" t="s">
        <v>105</v>
      </c>
      <c r="D432" s="312" t="s">
        <v>556</v>
      </c>
      <c r="E432" s="312" t="s">
        <v>107</v>
      </c>
      <c r="F432" s="312">
        <v>1825</v>
      </c>
      <c r="G432" s="312" t="s">
        <v>108</v>
      </c>
      <c r="H432" s="312">
        <v>1827</v>
      </c>
      <c r="I432" s="312" t="s">
        <v>107</v>
      </c>
      <c r="J432" s="312">
        <v>1913</v>
      </c>
      <c r="K432" s="312" t="s">
        <v>109</v>
      </c>
    </row>
    <row r="433" spans="1:11">
      <c r="A433" s="312" t="s">
        <v>5109</v>
      </c>
      <c r="B433" s="312" t="s">
        <v>5110</v>
      </c>
      <c r="C433" s="312" t="s">
        <v>105</v>
      </c>
      <c r="D433" s="312" t="s">
        <v>556</v>
      </c>
      <c r="E433" s="312" t="s">
        <v>107</v>
      </c>
      <c r="F433" s="312">
        <v>1825</v>
      </c>
      <c r="G433" s="312" t="s">
        <v>108</v>
      </c>
      <c r="H433" s="312">
        <v>1827</v>
      </c>
      <c r="I433" s="312" t="s">
        <v>107</v>
      </c>
      <c r="J433" s="312">
        <v>1913</v>
      </c>
      <c r="K433" s="312" t="s">
        <v>109</v>
      </c>
    </row>
    <row r="434" spans="1:11">
      <c r="A434" s="312" t="s">
        <v>5147</v>
      </c>
      <c r="B434" s="312" t="s">
        <v>5148</v>
      </c>
      <c r="C434" s="312" t="s">
        <v>105</v>
      </c>
      <c r="D434" s="312" t="s">
        <v>556</v>
      </c>
      <c r="E434" s="312" t="s">
        <v>107</v>
      </c>
      <c r="F434" s="312">
        <v>1825</v>
      </c>
      <c r="G434" s="312" t="s">
        <v>108</v>
      </c>
      <c r="H434" s="312">
        <v>1827</v>
      </c>
      <c r="I434" s="312" t="s">
        <v>107</v>
      </c>
      <c r="J434" s="312">
        <v>1913</v>
      </c>
      <c r="K434" s="312" t="s">
        <v>109</v>
      </c>
    </row>
    <row r="435" spans="1:11">
      <c r="A435" s="312" t="s">
        <v>5186</v>
      </c>
      <c r="B435" s="312" t="s">
        <v>5187</v>
      </c>
      <c r="C435" s="312" t="s">
        <v>105</v>
      </c>
      <c r="D435" s="312" t="s">
        <v>556</v>
      </c>
      <c r="E435" s="312" t="s">
        <v>107</v>
      </c>
      <c r="F435" s="312">
        <v>1825</v>
      </c>
      <c r="G435" s="312" t="s">
        <v>108</v>
      </c>
      <c r="H435" s="312">
        <v>1827</v>
      </c>
      <c r="I435" s="312" t="s">
        <v>107</v>
      </c>
      <c r="J435" s="312">
        <v>1913</v>
      </c>
      <c r="K435" s="312" t="s">
        <v>109</v>
      </c>
    </row>
    <row r="436" spans="1:11">
      <c r="A436" s="312" t="s">
        <v>5256</v>
      </c>
      <c r="B436" s="312" t="s">
        <v>5257</v>
      </c>
      <c r="C436" s="312" t="s">
        <v>105</v>
      </c>
      <c r="D436" s="312" t="s">
        <v>556</v>
      </c>
      <c r="E436" s="312" t="s">
        <v>107</v>
      </c>
      <c r="F436" s="312">
        <v>1825</v>
      </c>
      <c r="G436" s="312" t="s">
        <v>108</v>
      </c>
      <c r="H436" s="312">
        <v>1827</v>
      </c>
      <c r="I436" s="312" t="s">
        <v>107</v>
      </c>
      <c r="J436" s="312">
        <v>1913</v>
      </c>
      <c r="K436" s="312" t="s">
        <v>109</v>
      </c>
    </row>
    <row r="437" spans="1:11">
      <c r="A437" s="312" t="s">
        <v>5272</v>
      </c>
      <c r="B437" s="312" t="s">
        <v>5273</v>
      </c>
      <c r="C437" s="312" t="s">
        <v>105</v>
      </c>
      <c r="D437" s="312" t="s">
        <v>556</v>
      </c>
      <c r="E437" s="312" t="s">
        <v>107</v>
      </c>
      <c r="F437" s="312">
        <v>1825</v>
      </c>
      <c r="G437" s="312" t="s">
        <v>108</v>
      </c>
      <c r="H437" s="312">
        <v>1827</v>
      </c>
      <c r="I437" s="312" t="s">
        <v>107</v>
      </c>
      <c r="J437" s="312">
        <v>1913</v>
      </c>
      <c r="K437" s="312" t="s">
        <v>109</v>
      </c>
    </row>
    <row r="438" spans="1:11">
      <c r="A438" s="312" t="s">
        <v>5274</v>
      </c>
      <c r="B438" s="312" t="s">
        <v>5275</v>
      </c>
      <c r="C438" s="312" t="s">
        <v>105</v>
      </c>
      <c r="D438" s="312" t="s">
        <v>556</v>
      </c>
      <c r="E438" s="312" t="s">
        <v>107</v>
      </c>
      <c r="F438" s="312">
        <v>1825</v>
      </c>
      <c r="G438" s="312" t="s">
        <v>108</v>
      </c>
      <c r="H438" s="312">
        <v>1827</v>
      </c>
      <c r="I438" s="312" t="s">
        <v>107</v>
      </c>
      <c r="J438" s="312">
        <v>1913</v>
      </c>
      <c r="K438" s="312" t="s">
        <v>109</v>
      </c>
    </row>
    <row r="439" spans="1:11">
      <c r="A439" s="312" t="s">
        <v>5326</v>
      </c>
      <c r="B439" s="312" t="s">
        <v>5327</v>
      </c>
      <c r="C439" s="312" t="s">
        <v>105</v>
      </c>
      <c r="D439" s="312" t="s">
        <v>556</v>
      </c>
      <c r="E439" s="312" t="s">
        <v>107</v>
      </c>
      <c r="F439" s="312">
        <v>1825</v>
      </c>
      <c r="G439" s="312" t="s">
        <v>108</v>
      </c>
      <c r="H439" s="312">
        <v>1827</v>
      </c>
      <c r="I439" s="312" t="s">
        <v>107</v>
      </c>
      <c r="J439" s="312">
        <v>1913</v>
      </c>
      <c r="K439" s="312" t="s">
        <v>109</v>
      </c>
    </row>
    <row r="440" spans="1:11">
      <c r="A440" s="312" t="s">
        <v>5357</v>
      </c>
      <c r="B440" s="312" t="s">
        <v>5358</v>
      </c>
      <c r="C440" s="312" t="s">
        <v>105</v>
      </c>
      <c r="D440" s="312" t="s">
        <v>556</v>
      </c>
      <c r="E440" s="312" t="s">
        <v>107</v>
      </c>
      <c r="F440" s="312">
        <v>1825</v>
      </c>
      <c r="G440" s="312" t="s">
        <v>108</v>
      </c>
      <c r="H440" s="312">
        <v>1827</v>
      </c>
      <c r="I440" s="312" t="s">
        <v>107</v>
      </c>
      <c r="J440" s="312">
        <v>1913</v>
      </c>
      <c r="K440" s="312" t="s">
        <v>109</v>
      </c>
    </row>
    <row r="441" spans="1:11">
      <c r="A441" s="312" t="s">
        <v>5371</v>
      </c>
      <c r="B441" s="312" t="s">
        <v>5372</v>
      </c>
      <c r="C441" s="312" t="s">
        <v>105</v>
      </c>
      <c r="D441" s="312" t="s">
        <v>556</v>
      </c>
      <c r="E441" s="312" t="s">
        <v>107</v>
      </c>
      <c r="F441" s="312">
        <v>1825</v>
      </c>
      <c r="G441" s="312" t="s">
        <v>108</v>
      </c>
      <c r="H441" s="312">
        <v>1827</v>
      </c>
      <c r="I441" s="312" t="s">
        <v>107</v>
      </c>
      <c r="J441" s="312">
        <v>1913</v>
      </c>
      <c r="K441" s="312" t="s">
        <v>109</v>
      </c>
    </row>
    <row r="442" spans="1:11">
      <c r="A442" s="312" t="s">
        <v>5373</v>
      </c>
      <c r="B442" s="312" t="s">
        <v>5374</v>
      </c>
      <c r="C442" s="312" t="s">
        <v>105</v>
      </c>
      <c r="D442" s="312" t="s">
        <v>556</v>
      </c>
      <c r="E442" s="312" t="s">
        <v>107</v>
      </c>
      <c r="F442" s="312">
        <v>1825</v>
      </c>
      <c r="G442" s="312" t="s">
        <v>108</v>
      </c>
      <c r="H442" s="312">
        <v>1827</v>
      </c>
      <c r="I442" s="312" t="s">
        <v>107</v>
      </c>
      <c r="J442" s="312">
        <v>1913</v>
      </c>
      <c r="K442" s="312" t="s">
        <v>109</v>
      </c>
    </row>
    <row r="443" spans="1:11">
      <c r="A443" s="312" t="s">
        <v>5810</v>
      </c>
      <c r="B443" s="312" t="s">
        <v>5811</v>
      </c>
      <c r="C443" s="312" t="s">
        <v>105</v>
      </c>
      <c r="D443" s="312" t="s">
        <v>556</v>
      </c>
      <c r="E443" s="312" t="s">
        <v>107</v>
      </c>
      <c r="F443" s="312">
        <v>1825</v>
      </c>
      <c r="G443" s="312" t="s">
        <v>108</v>
      </c>
      <c r="H443" s="312">
        <v>1827</v>
      </c>
      <c r="I443" s="312" t="s">
        <v>107</v>
      </c>
      <c r="J443" s="312">
        <v>1913</v>
      </c>
      <c r="K443" s="312" t="s">
        <v>109</v>
      </c>
    </row>
    <row r="444" spans="1:11">
      <c r="A444" s="312" t="s">
        <v>6207</v>
      </c>
      <c r="B444" s="312" t="s">
        <v>6208</v>
      </c>
      <c r="C444" s="312" t="s">
        <v>105</v>
      </c>
      <c r="D444" s="312" t="s">
        <v>556</v>
      </c>
      <c r="E444" s="312" t="s">
        <v>107</v>
      </c>
      <c r="F444" s="312">
        <v>1825</v>
      </c>
      <c r="G444" s="312" t="s">
        <v>108</v>
      </c>
      <c r="H444" s="312">
        <v>1827</v>
      </c>
      <c r="I444" s="312" t="s">
        <v>107</v>
      </c>
      <c r="J444" s="312">
        <v>1913</v>
      </c>
      <c r="K444" s="312" t="s">
        <v>109</v>
      </c>
    </row>
    <row r="445" spans="1:11">
      <c r="A445" s="312" t="s">
        <v>6209</v>
      </c>
      <c r="B445" s="312" t="s">
        <v>6210</v>
      </c>
      <c r="C445" s="312" t="s">
        <v>105</v>
      </c>
      <c r="D445" s="312" t="s">
        <v>556</v>
      </c>
      <c r="E445" s="312" t="s">
        <v>107</v>
      </c>
      <c r="F445" s="312">
        <v>1825</v>
      </c>
      <c r="G445" s="312" t="s">
        <v>108</v>
      </c>
      <c r="H445" s="312">
        <v>1827</v>
      </c>
      <c r="I445" s="312" t="s">
        <v>107</v>
      </c>
      <c r="J445" s="312">
        <v>1913</v>
      </c>
      <c r="K445" s="312" t="s">
        <v>109</v>
      </c>
    </row>
    <row r="446" spans="1:11">
      <c r="A446" s="312" t="s">
        <v>6215</v>
      </c>
      <c r="B446" s="312" t="s">
        <v>6216</v>
      </c>
      <c r="C446" s="312" t="s">
        <v>105</v>
      </c>
      <c r="D446" s="312" t="s">
        <v>556</v>
      </c>
      <c r="E446" s="312" t="s">
        <v>107</v>
      </c>
      <c r="F446" s="312">
        <v>1825</v>
      </c>
      <c r="G446" s="312" t="s">
        <v>108</v>
      </c>
      <c r="H446" s="312">
        <v>1827</v>
      </c>
      <c r="I446" s="312" t="s">
        <v>107</v>
      </c>
      <c r="J446" s="312">
        <v>1913</v>
      </c>
      <c r="K446" s="312" t="s">
        <v>109</v>
      </c>
    </row>
    <row r="447" spans="1:11">
      <c r="A447" s="312" t="s">
        <v>6223</v>
      </c>
      <c r="B447" s="312" t="s">
        <v>6224</v>
      </c>
      <c r="C447" s="312" t="s">
        <v>105</v>
      </c>
      <c r="D447" s="312" t="s">
        <v>556</v>
      </c>
      <c r="E447" s="312" t="s">
        <v>107</v>
      </c>
      <c r="F447" s="312">
        <v>1825</v>
      </c>
      <c r="G447" s="312" t="s">
        <v>108</v>
      </c>
      <c r="H447" s="312">
        <v>1827</v>
      </c>
      <c r="I447" s="312" t="s">
        <v>107</v>
      </c>
      <c r="J447" s="312">
        <v>1913</v>
      </c>
      <c r="K447" s="312" t="s">
        <v>109</v>
      </c>
    </row>
    <row r="448" spans="1:11">
      <c r="A448" s="312" t="s">
        <v>6233</v>
      </c>
      <c r="B448" s="312" t="s">
        <v>6234</v>
      </c>
      <c r="C448" s="312" t="s">
        <v>105</v>
      </c>
      <c r="D448" s="312" t="s">
        <v>556</v>
      </c>
      <c r="E448" s="312" t="s">
        <v>107</v>
      </c>
      <c r="F448" s="312">
        <v>1825</v>
      </c>
      <c r="G448" s="312" t="s">
        <v>108</v>
      </c>
      <c r="H448" s="312">
        <v>1827</v>
      </c>
      <c r="I448" s="312" t="s">
        <v>107</v>
      </c>
      <c r="J448" s="312">
        <v>1913</v>
      </c>
      <c r="K448" s="312" t="s">
        <v>109</v>
      </c>
    </row>
    <row r="449" spans="1:11">
      <c r="A449" s="312" t="s">
        <v>436</v>
      </c>
      <c r="B449" s="312" t="s">
        <v>437</v>
      </c>
      <c r="C449" s="312" t="s">
        <v>105</v>
      </c>
      <c r="D449" s="312" t="s">
        <v>438</v>
      </c>
      <c r="E449" s="312" t="s">
        <v>107</v>
      </c>
      <c r="F449" s="312">
        <v>1825</v>
      </c>
      <c r="G449" s="312" t="s">
        <v>108</v>
      </c>
      <c r="H449" s="312">
        <v>1827</v>
      </c>
      <c r="I449" s="312" t="s">
        <v>107</v>
      </c>
      <c r="J449" s="312">
        <v>1913</v>
      </c>
      <c r="K449" s="312" t="s">
        <v>109</v>
      </c>
    </row>
    <row r="450" spans="1:11">
      <c r="A450" s="312" t="s">
        <v>592</v>
      </c>
      <c r="B450" s="312" t="s">
        <v>593</v>
      </c>
      <c r="C450" s="312" t="s">
        <v>105</v>
      </c>
      <c r="D450" s="312" t="s">
        <v>438</v>
      </c>
      <c r="E450" s="312" t="s">
        <v>107</v>
      </c>
      <c r="F450" s="312">
        <v>1825</v>
      </c>
      <c r="G450" s="312" t="s">
        <v>108</v>
      </c>
      <c r="H450" s="312">
        <v>1827</v>
      </c>
      <c r="I450" s="312" t="s">
        <v>107</v>
      </c>
      <c r="J450" s="312">
        <v>1913</v>
      </c>
      <c r="K450" s="312" t="s">
        <v>109</v>
      </c>
    </row>
    <row r="451" spans="1:11">
      <c r="A451" s="312" t="s">
        <v>646</v>
      </c>
      <c r="B451" s="312" t="s">
        <v>647</v>
      </c>
      <c r="C451" s="312" t="s">
        <v>105</v>
      </c>
      <c r="D451" s="312" t="s">
        <v>438</v>
      </c>
      <c r="E451" s="312" t="s">
        <v>107</v>
      </c>
      <c r="F451" s="312">
        <v>1825</v>
      </c>
      <c r="G451" s="312" t="s">
        <v>108</v>
      </c>
      <c r="H451" s="312">
        <v>1827</v>
      </c>
      <c r="I451" s="312" t="s">
        <v>107</v>
      </c>
      <c r="J451" s="312">
        <v>1913</v>
      </c>
      <c r="K451" s="312" t="s">
        <v>109</v>
      </c>
    </row>
    <row r="452" spans="1:11">
      <c r="A452" s="312" t="s">
        <v>919</v>
      </c>
      <c r="B452" s="312" t="s">
        <v>920</v>
      </c>
      <c r="C452" s="312" t="s">
        <v>105</v>
      </c>
      <c r="D452" s="312" t="s">
        <v>438</v>
      </c>
      <c r="E452" s="312" t="s">
        <v>107</v>
      </c>
      <c r="F452" s="312">
        <v>1825</v>
      </c>
      <c r="G452" s="312" t="s">
        <v>108</v>
      </c>
      <c r="H452" s="312">
        <v>1827</v>
      </c>
      <c r="I452" s="312" t="s">
        <v>107</v>
      </c>
      <c r="J452" s="312">
        <v>1913</v>
      </c>
      <c r="K452" s="312" t="s">
        <v>109</v>
      </c>
    </row>
    <row r="453" spans="1:11">
      <c r="A453" s="312" t="s">
        <v>1236</v>
      </c>
      <c r="B453" s="312" t="s">
        <v>1237</v>
      </c>
      <c r="C453" s="312" t="s">
        <v>105</v>
      </c>
      <c r="D453" s="312" t="s">
        <v>438</v>
      </c>
      <c r="E453" s="312" t="s">
        <v>107</v>
      </c>
      <c r="F453" s="312">
        <v>1825</v>
      </c>
      <c r="G453" s="312" t="s">
        <v>108</v>
      </c>
      <c r="H453" s="312">
        <v>1827</v>
      </c>
      <c r="I453" s="312" t="s">
        <v>107</v>
      </c>
      <c r="J453" s="312">
        <v>1913</v>
      </c>
      <c r="K453" s="312" t="s">
        <v>109</v>
      </c>
    </row>
    <row r="454" spans="1:11">
      <c r="A454" s="312" t="s">
        <v>1945</v>
      </c>
      <c r="B454" s="312" t="s">
        <v>1946</v>
      </c>
      <c r="C454" s="312" t="s">
        <v>105</v>
      </c>
      <c r="D454" s="312" t="s">
        <v>438</v>
      </c>
      <c r="E454" s="312" t="s">
        <v>107</v>
      </c>
      <c r="F454" s="312">
        <v>1825</v>
      </c>
      <c r="G454" s="312" t="s">
        <v>108</v>
      </c>
      <c r="H454" s="312">
        <v>1827</v>
      </c>
      <c r="I454" s="312" t="s">
        <v>107</v>
      </c>
      <c r="J454" s="312">
        <v>1913</v>
      </c>
      <c r="K454" s="312" t="s">
        <v>109</v>
      </c>
    </row>
    <row r="455" spans="1:11">
      <c r="A455" s="312" t="s">
        <v>2342</v>
      </c>
      <c r="B455" s="312" t="s">
        <v>2343</v>
      </c>
      <c r="C455" s="312" t="s">
        <v>105</v>
      </c>
      <c r="D455" s="312" t="s">
        <v>438</v>
      </c>
      <c r="E455" s="312" t="s">
        <v>107</v>
      </c>
      <c r="F455" s="312">
        <v>1825</v>
      </c>
      <c r="G455" s="312" t="s">
        <v>108</v>
      </c>
      <c r="H455" s="312">
        <v>1827</v>
      </c>
      <c r="I455" s="312" t="s">
        <v>107</v>
      </c>
      <c r="J455" s="312">
        <v>1913</v>
      </c>
      <c r="K455" s="312" t="s">
        <v>109</v>
      </c>
    </row>
    <row r="456" spans="1:11">
      <c r="A456" s="312" t="s">
        <v>2344</v>
      </c>
      <c r="B456" s="312" t="s">
        <v>2345</v>
      </c>
      <c r="C456" s="312" t="s">
        <v>105</v>
      </c>
      <c r="D456" s="312" t="s">
        <v>438</v>
      </c>
      <c r="E456" s="312" t="s">
        <v>107</v>
      </c>
      <c r="F456" s="312">
        <v>1825</v>
      </c>
      <c r="G456" s="312" t="s">
        <v>108</v>
      </c>
      <c r="H456" s="312">
        <v>1827</v>
      </c>
      <c r="I456" s="312" t="s">
        <v>107</v>
      </c>
      <c r="J456" s="312">
        <v>1913</v>
      </c>
      <c r="K456" s="312" t="s">
        <v>109</v>
      </c>
    </row>
    <row r="457" spans="1:11">
      <c r="A457" s="312" t="s">
        <v>2380</v>
      </c>
      <c r="B457" s="312" t="s">
        <v>2381</v>
      </c>
      <c r="C457" s="312" t="s">
        <v>105</v>
      </c>
      <c r="D457" s="312" t="s">
        <v>438</v>
      </c>
      <c r="E457" s="312" t="s">
        <v>107</v>
      </c>
      <c r="F457" s="312">
        <v>1825</v>
      </c>
      <c r="G457" s="312" t="s">
        <v>108</v>
      </c>
      <c r="H457" s="312">
        <v>1827</v>
      </c>
      <c r="I457" s="312" t="s">
        <v>107</v>
      </c>
      <c r="J457" s="312">
        <v>1913</v>
      </c>
      <c r="K457" s="312" t="s">
        <v>109</v>
      </c>
    </row>
    <row r="458" spans="1:11">
      <c r="A458" s="312" t="s">
        <v>2832</v>
      </c>
      <c r="B458" s="312" t="s">
        <v>2833</v>
      </c>
      <c r="C458" s="312" t="s">
        <v>105</v>
      </c>
      <c r="D458" s="312" t="s">
        <v>438</v>
      </c>
      <c r="E458" s="312" t="s">
        <v>107</v>
      </c>
      <c r="F458" s="312">
        <v>1825</v>
      </c>
      <c r="G458" s="312" t="s">
        <v>108</v>
      </c>
      <c r="H458" s="312">
        <v>1827</v>
      </c>
      <c r="I458" s="312" t="s">
        <v>107</v>
      </c>
      <c r="J458" s="312">
        <v>1913</v>
      </c>
      <c r="K458" s="312" t="s">
        <v>109</v>
      </c>
    </row>
    <row r="459" spans="1:11">
      <c r="A459" s="312" t="s">
        <v>2912</v>
      </c>
      <c r="B459" s="312" t="s">
        <v>2913</v>
      </c>
      <c r="C459" s="312" t="s">
        <v>105</v>
      </c>
      <c r="D459" s="312" t="s">
        <v>438</v>
      </c>
      <c r="E459" s="312" t="s">
        <v>107</v>
      </c>
      <c r="F459" s="312">
        <v>1825</v>
      </c>
      <c r="G459" s="312" t="s">
        <v>108</v>
      </c>
      <c r="H459" s="312">
        <v>1827</v>
      </c>
      <c r="I459" s="312" t="s">
        <v>107</v>
      </c>
      <c r="J459" s="312">
        <v>1913</v>
      </c>
      <c r="K459" s="312" t="s">
        <v>109</v>
      </c>
    </row>
    <row r="460" spans="1:11">
      <c r="A460" s="312" t="s">
        <v>2966</v>
      </c>
      <c r="B460" s="312" t="s">
        <v>2967</v>
      </c>
      <c r="C460" s="312" t="s">
        <v>105</v>
      </c>
      <c r="D460" s="312" t="s">
        <v>438</v>
      </c>
      <c r="E460" s="312" t="s">
        <v>107</v>
      </c>
      <c r="F460" s="312">
        <v>1825</v>
      </c>
      <c r="G460" s="312" t="s">
        <v>108</v>
      </c>
      <c r="H460" s="312">
        <v>1827</v>
      </c>
      <c r="I460" s="312" t="s">
        <v>107</v>
      </c>
      <c r="J460" s="312">
        <v>1913</v>
      </c>
      <c r="K460" s="312" t="s">
        <v>109</v>
      </c>
    </row>
    <row r="461" spans="1:11">
      <c r="A461" s="312" t="s">
        <v>2976</v>
      </c>
      <c r="B461" s="312" t="s">
        <v>2977</v>
      </c>
      <c r="C461" s="312" t="s">
        <v>105</v>
      </c>
      <c r="D461" s="312" t="s">
        <v>438</v>
      </c>
      <c r="E461" s="312" t="s">
        <v>107</v>
      </c>
      <c r="F461" s="312">
        <v>1825</v>
      </c>
      <c r="G461" s="312" t="s">
        <v>108</v>
      </c>
      <c r="H461" s="312">
        <v>1827</v>
      </c>
      <c r="I461" s="312" t="s">
        <v>107</v>
      </c>
      <c r="J461" s="312">
        <v>1913</v>
      </c>
      <c r="K461" s="312" t="s">
        <v>109</v>
      </c>
    </row>
    <row r="462" spans="1:11">
      <c r="A462" s="312" t="s">
        <v>2982</v>
      </c>
      <c r="B462" s="312" t="s">
        <v>2983</v>
      </c>
      <c r="C462" s="312" t="s">
        <v>105</v>
      </c>
      <c r="D462" s="312" t="s">
        <v>438</v>
      </c>
      <c r="E462" s="312" t="s">
        <v>107</v>
      </c>
      <c r="F462" s="312">
        <v>1825</v>
      </c>
      <c r="G462" s="312" t="s">
        <v>108</v>
      </c>
      <c r="H462" s="312">
        <v>1827</v>
      </c>
      <c r="I462" s="312" t="s">
        <v>107</v>
      </c>
      <c r="J462" s="312">
        <v>1913</v>
      </c>
      <c r="K462" s="312" t="s">
        <v>109</v>
      </c>
    </row>
    <row r="463" spans="1:11">
      <c r="A463" s="312" t="s">
        <v>2984</v>
      </c>
      <c r="B463" s="312" t="s">
        <v>2985</v>
      </c>
      <c r="C463" s="312" t="s">
        <v>105</v>
      </c>
      <c r="D463" s="312" t="s">
        <v>438</v>
      </c>
      <c r="E463" s="312" t="s">
        <v>107</v>
      </c>
      <c r="F463" s="312">
        <v>1825</v>
      </c>
      <c r="G463" s="312" t="s">
        <v>108</v>
      </c>
      <c r="H463" s="312">
        <v>1827</v>
      </c>
      <c r="I463" s="312" t="s">
        <v>107</v>
      </c>
      <c r="J463" s="312">
        <v>1913</v>
      </c>
      <c r="K463" s="312" t="s">
        <v>109</v>
      </c>
    </row>
    <row r="464" spans="1:11">
      <c r="A464" s="312" t="s">
        <v>2986</v>
      </c>
      <c r="B464" s="312" t="s">
        <v>2987</v>
      </c>
      <c r="C464" s="312" t="s">
        <v>105</v>
      </c>
      <c r="D464" s="312" t="s">
        <v>438</v>
      </c>
      <c r="E464" s="312" t="s">
        <v>107</v>
      </c>
      <c r="F464" s="312">
        <v>1825</v>
      </c>
      <c r="G464" s="312" t="s">
        <v>108</v>
      </c>
      <c r="H464" s="312">
        <v>1827</v>
      </c>
      <c r="I464" s="312" t="s">
        <v>107</v>
      </c>
      <c r="J464" s="312">
        <v>1913</v>
      </c>
      <c r="K464" s="312" t="s">
        <v>109</v>
      </c>
    </row>
    <row r="465" spans="1:11">
      <c r="A465" s="312" t="s">
        <v>3219</v>
      </c>
      <c r="B465" s="312" t="s">
        <v>3220</v>
      </c>
      <c r="C465" s="312" t="s">
        <v>105</v>
      </c>
      <c r="D465" s="312" t="s">
        <v>438</v>
      </c>
      <c r="E465" s="312" t="s">
        <v>107</v>
      </c>
      <c r="F465" s="312">
        <v>1825</v>
      </c>
      <c r="G465" s="312" t="s">
        <v>108</v>
      </c>
      <c r="H465" s="312">
        <v>1827</v>
      </c>
      <c r="I465" s="312" t="s">
        <v>107</v>
      </c>
      <c r="J465" s="312">
        <v>1913</v>
      </c>
      <c r="K465" s="312" t="s">
        <v>109</v>
      </c>
    </row>
    <row r="466" spans="1:11">
      <c r="A466" s="312" t="s">
        <v>3909</v>
      </c>
      <c r="B466" s="312" t="s">
        <v>3910</v>
      </c>
      <c r="C466" s="312" t="s">
        <v>105</v>
      </c>
      <c r="D466" s="312" t="s">
        <v>438</v>
      </c>
      <c r="E466" s="312" t="s">
        <v>107</v>
      </c>
      <c r="F466" s="312">
        <v>1825</v>
      </c>
      <c r="G466" s="312" t="s">
        <v>108</v>
      </c>
      <c r="H466" s="312">
        <v>1827</v>
      </c>
      <c r="I466" s="312" t="s">
        <v>107</v>
      </c>
      <c r="J466" s="312">
        <v>1913</v>
      </c>
      <c r="K466" s="312" t="s">
        <v>109</v>
      </c>
    </row>
    <row r="467" spans="1:11">
      <c r="A467" s="312" t="s">
        <v>4438</v>
      </c>
      <c r="B467" s="312" t="s">
        <v>4439</v>
      </c>
      <c r="C467" s="312" t="s">
        <v>105</v>
      </c>
      <c r="D467" s="312" t="s">
        <v>438</v>
      </c>
      <c r="E467" s="312" t="s">
        <v>107</v>
      </c>
      <c r="F467" s="312">
        <v>1825</v>
      </c>
      <c r="G467" s="312" t="s">
        <v>108</v>
      </c>
      <c r="H467" s="312">
        <v>1827</v>
      </c>
      <c r="I467" s="312" t="s">
        <v>107</v>
      </c>
      <c r="J467" s="312">
        <v>1913</v>
      </c>
      <c r="K467" s="312" t="s">
        <v>109</v>
      </c>
    </row>
    <row r="468" spans="1:11">
      <c r="A468" s="312" t="s">
        <v>4635</v>
      </c>
      <c r="B468" s="312" t="s">
        <v>4636</v>
      </c>
      <c r="C468" s="312" t="s">
        <v>105</v>
      </c>
      <c r="D468" s="312" t="s">
        <v>438</v>
      </c>
      <c r="E468" s="312" t="s">
        <v>107</v>
      </c>
      <c r="F468" s="312">
        <v>1825</v>
      </c>
      <c r="G468" s="312" t="s">
        <v>108</v>
      </c>
      <c r="H468" s="312">
        <v>1827</v>
      </c>
      <c r="I468" s="312" t="s">
        <v>107</v>
      </c>
      <c r="J468" s="312">
        <v>1913</v>
      </c>
      <c r="K468" s="312" t="s">
        <v>109</v>
      </c>
    </row>
    <row r="469" spans="1:11">
      <c r="A469" s="312" t="s">
        <v>4788</v>
      </c>
      <c r="B469" s="312" t="s">
        <v>4789</v>
      </c>
      <c r="C469" s="312" t="s">
        <v>105</v>
      </c>
      <c r="D469" s="312" t="s">
        <v>438</v>
      </c>
      <c r="E469" s="312" t="s">
        <v>107</v>
      </c>
      <c r="F469" s="312">
        <v>1825</v>
      </c>
      <c r="G469" s="312" t="s">
        <v>108</v>
      </c>
      <c r="H469" s="312">
        <v>1827</v>
      </c>
      <c r="I469" s="312" t="s">
        <v>107</v>
      </c>
      <c r="J469" s="312">
        <v>1913</v>
      </c>
      <c r="K469" s="312" t="s">
        <v>109</v>
      </c>
    </row>
    <row r="470" spans="1:11">
      <c r="A470" s="312" t="s">
        <v>5073</v>
      </c>
      <c r="B470" s="312" t="s">
        <v>5074</v>
      </c>
      <c r="C470" s="312" t="s">
        <v>105</v>
      </c>
      <c r="D470" s="312" t="s">
        <v>438</v>
      </c>
      <c r="E470" s="312" t="s">
        <v>107</v>
      </c>
      <c r="F470" s="312">
        <v>1825</v>
      </c>
      <c r="G470" s="312" t="s">
        <v>108</v>
      </c>
      <c r="H470" s="312">
        <v>1827</v>
      </c>
      <c r="I470" s="312" t="s">
        <v>107</v>
      </c>
      <c r="J470" s="312">
        <v>1913</v>
      </c>
      <c r="K470" s="312" t="s">
        <v>109</v>
      </c>
    </row>
    <row r="471" spans="1:11">
      <c r="A471" s="312" t="s">
        <v>5919</v>
      </c>
      <c r="B471" s="312" t="s">
        <v>5920</v>
      </c>
      <c r="C471" s="312" t="s">
        <v>105</v>
      </c>
      <c r="D471" s="312" t="s">
        <v>438</v>
      </c>
      <c r="E471" s="312" t="s">
        <v>107</v>
      </c>
      <c r="F471" s="312">
        <v>1825</v>
      </c>
      <c r="G471" s="312" t="s">
        <v>108</v>
      </c>
      <c r="H471" s="312">
        <v>1827</v>
      </c>
      <c r="I471" s="312" t="s">
        <v>107</v>
      </c>
      <c r="J471" s="312">
        <v>1913</v>
      </c>
      <c r="K471" s="312" t="s">
        <v>109</v>
      </c>
    </row>
    <row r="472" spans="1:11">
      <c r="A472" s="312" t="s">
        <v>767</v>
      </c>
      <c r="B472" s="312" t="s">
        <v>768</v>
      </c>
      <c r="C472" s="312" t="s">
        <v>105</v>
      </c>
      <c r="D472" s="312" t="s">
        <v>769</v>
      </c>
      <c r="E472" s="312" t="s">
        <v>107</v>
      </c>
      <c r="F472" s="312">
        <v>1825</v>
      </c>
      <c r="G472" s="312" t="s">
        <v>108</v>
      </c>
      <c r="H472" s="312">
        <v>1827</v>
      </c>
      <c r="I472" s="312" t="s">
        <v>107</v>
      </c>
      <c r="J472" s="312">
        <v>1913</v>
      </c>
      <c r="K472" s="312" t="s">
        <v>109</v>
      </c>
    </row>
    <row r="473" spans="1:11">
      <c r="A473" s="312" t="s">
        <v>925</v>
      </c>
      <c r="B473" s="312" t="s">
        <v>926</v>
      </c>
      <c r="C473" s="312" t="s">
        <v>105</v>
      </c>
      <c r="D473" s="312" t="s">
        <v>769</v>
      </c>
      <c r="E473" s="312" t="s">
        <v>107</v>
      </c>
      <c r="F473" s="312">
        <v>1825</v>
      </c>
      <c r="G473" s="312" t="s">
        <v>108</v>
      </c>
      <c r="H473" s="312">
        <v>1827</v>
      </c>
      <c r="I473" s="312" t="s">
        <v>107</v>
      </c>
      <c r="J473" s="312">
        <v>1913</v>
      </c>
      <c r="K473" s="312" t="s">
        <v>109</v>
      </c>
    </row>
    <row r="474" spans="1:11">
      <c r="A474" s="312" t="s">
        <v>1640</v>
      </c>
      <c r="B474" s="312" t="s">
        <v>1641</v>
      </c>
      <c r="C474" s="312" t="s">
        <v>105</v>
      </c>
      <c r="D474" s="312" t="s">
        <v>769</v>
      </c>
      <c r="E474" s="312" t="s">
        <v>107</v>
      </c>
      <c r="F474" s="312">
        <v>1825</v>
      </c>
      <c r="G474" s="312" t="s">
        <v>108</v>
      </c>
      <c r="H474" s="312">
        <v>1827</v>
      </c>
      <c r="I474" s="312" t="s">
        <v>107</v>
      </c>
      <c r="J474" s="312">
        <v>1913</v>
      </c>
      <c r="K474" s="312" t="s">
        <v>109</v>
      </c>
    </row>
    <row r="475" spans="1:11">
      <c r="A475" s="312" t="s">
        <v>2763</v>
      </c>
      <c r="B475" s="312" t="s">
        <v>2764</v>
      </c>
      <c r="C475" s="312" t="s">
        <v>105</v>
      </c>
      <c r="D475" s="312" t="s">
        <v>769</v>
      </c>
      <c r="E475" s="312" t="s">
        <v>107</v>
      </c>
      <c r="F475" s="312">
        <v>1825</v>
      </c>
      <c r="G475" s="312" t="s">
        <v>108</v>
      </c>
      <c r="H475" s="312">
        <v>1827</v>
      </c>
      <c r="I475" s="312" t="s">
        <v>107</v>
      </c>
      <c r="J475" s="312">
        <v>1913</v>
      </c>
      <c r="K475" s="312" t="s">
        <v>109</v>
      </c>
    </row>
    <row r="476" spans="1:11">
      <c r="A476" s="312" t="s">
        <v>3957</v>
      </c>
      <c r="B476" s="312" t="s">
        <v>3958</v>
      </c>
      <c r="C476" s="312" t="s">
        <v>105</v>
      </c>
      <c r="D476" s="312" t="s">
        <v>769</v>
      </c>
      <c r="E476" s="312" t="s">
        <v>107</v>
      </c>
      <c r="F476" s="312">
        <v>1825</v>
      </c>
      <c r="G476" s="312" t="s">
        <v>108</v>
      </c>
      <c r="H476" s="312">
        <v>1827</v>
      </c>
      <c r="I476" s="312" t="s">
        <v>107</v>
      </c>
      <c r="J476" s="312">
        <v>1913</v>
      </c>
      <c r="K476" s="312" t="s">
        <v>109</v>
      </c>
    </row>
    <row r="477" spans="1:11">
      <c r="A477" s="312" t="s">
        <v>4241</v>
      </c>
      <c r="B477" s="312" t="s">
        <v>4242</v>
      </c>
      <c r="C477" s="312" t="s">
        <v>105</v>
      </c>
      <c r="D477" s="312" t="s">
        <v>769</v>
      </c>
      <c r="E477" s="312" t="s">
        <v>107</v>
      </c>
      <c r="F477" s="312">
        <v>1825</v>
      </c>
      <c r="G477" s="312" t="s">
        <v>108</v>
      </c>
      <c r="H477" s="312">
        <v>1827</v>
      </c>
      <c r="I477" s="312" t="s">
        <v>107</v>
      </c>
      <c r="J477" s="312">
        <v>1913</v>
      </c>
      <c r="K477" s="312" t="s">
        <v>109</v>
      </c>
    </row>
    <row r="478" spans="1:11">
      <c r="A478" s="312" t="s">
        <v>4445</v>
      </c>
      <c r="B478" s="312" t="s">
        <v>4446</v>
      </c>
      <c r="C478" s="312" t="s">
        <v>105</v>
      </c>
      <c r="D478" s="312" t="s">
        <v>769</v>
      </c>
      <c r="E478" s="312" t="s">
        <v>107</v>
      </c>
      <c r="F478" s="312">
        <v>1825</v>
      </c>
      <c r="G478" s="312" t="s">
        <v>108</v>
      </c>
      <c r="H478" s="312">
        <v>1827</v>
      </c>
      <c r="I478" s="312" t="s">
        <v>107</v>
      </c>
      <c r="J478" s="312">
        <v>1913</v>
      </c>
      <c r="K478" s="312" t="s">
        <v>109</v>
      </c>
    </row>
    <row r="479" spans="1:11">
      <c r="A479" s="312" t="s">
        <v>4889</v>
      </c>
      <c r="B479" s="312" t="s">
        <v>4890</v>
      </c>
      <c r="C479" s="312" t="s">
        <v>105</v>
      </c>
      <c r="D479" s="312" t="s">
        <v>769</v>
      </c>
      <c r="E479" s="312" t="s">
        <v>107</v>
      </c>
      <c r="F479" s="312">
        <v>1825</v>
      </c>
      <c r="G479" s="312" t="s">
        <v>108</v>
      </c>
      <c r="H479" s="312">
        <v>1827</v>
      </c>
      <c r="I479" s="312" t="s">
        <v>107</v>
      </c>
      <c r="J479" s="312">
        <v>1913</v>
      </c>
      <c r="K479" s="312" t="s">
        <v>109</v>
      </c>
    </row>
    <row r="480" spans="1:11">
      <c r="A480" s="312" t="s">
        <v>4975</v>
      </c>
      <c r="B480" s="312" t="s">
        <v>4976</v>
      </c>
      <c r="C480" s="312" t="s">
        <v>105</v>
      </c>
      <c r="D480" s="312" t="s">
        <v>769</v>
      </c>
      <c r="E480" s="312" t="s">
        <v>107</v>
      </c>
      <c r="F480" s="312">
        <v>1825</v>
      </c>
      <c r="G480" s="312" t="s">
        <v>108</v>
      </c>
      <c r="H480" s="312">
        <v>1827</v>
      </c>
      <c r="I480" s="312" t="s">
        <v>107</v>
      </c>
      <c r="J480" s="312">
        <v>1913</v>
      </c>
      <c r="K480" s="312" t="s">
        <v>109</v>
      </c>
    </row>
    <row r="481" spans="1:11">
      <c r="A481" s="312" t="s">
        <v>5119</v>
      </c>
      <c r="B481" s="312" t="s">
        <v>5120</v>
      </c>
      <c r="C481" s="312" t="s">
        <v>105</v>
      </c>
      <c r="D481" s="312" t="s">
        <v>769</v>
      </c>
      <c r="E481" s="312" t="s">
        <v>107</v>
      </c>
      <c r="F481" s="312">
        <v>1825</v>
      </c>
      <c r="G481" s="312" t="s">
        <v>108</v>
      </c>
      <c r="H481" s="312">
        <v>1827</v>
      </c>
      <c r="I481" s="312" t="s">
        <v>107</v>
      </c>
      <c r="J481" s="312">
        <v>1913</v>
      </c>
      <c r="K481" s="312" t="s">
        <v>109</v>
      </c>
    </row>
    <row r="482" spans="1:11">
      <c r="A482" s="312" t="s">
        <v>3390</v>
      </c>
      <c r="B482" s="312" t="s">
        <v>3391</v>
      </c>
      <c r="C482" s="312" t="s">
        <v>105</v>
      </c>
      <c r="D482" s="312" t="s">
        <v>3392</v>
      </c>
      <c r="E482" s="312" t="s">
        <v>167</v>
      </c>
      <c r="F482" s="312">
        <v>1705</v>
      </c>
      <c r="G482" s="312" t="s">
        <v>168</v>
      </c>
      <c r="H482" s="312">
        <v>1707</v>
      </c>
      <c r="I482" s="312" t="s">
        <v>167</v>
      </c>
      <c r="J482" s="312">
        <v>1899</v>
      </c>
      <c r="K482" s="312" t="s">
        <v>169</v>
      </c>
    </row>
    <row r="483" spans="1:11">
      <c r="A483" s="312" t="s">
        <v>3897</v>
      </c>
      <c r="B483" s="312" t="s">
        <v>3898</v>
      </c>
      <c r="C483" s="312" t="s">
        <v>105</v>
      </c>
      <c r="D483" s="312" t="s">
        <v>3392</v>
      </c>
      <c r="E483" s="312" t="s">
        <v>107</v>
      </c>
      <c r="F483" s="312">
        <v>1825</v>
      </c>
      <c r="G483" s="312" t="s">
        <v>108</v>
      </c>
      <c r="H483" s="312">
        <v>1827</v>
      </c>
      <c r="I483" s="312" t="s">
        <v>107</v>
      </c>
      <c r="J483" s="312">
        <v>1913</v>
      </c>
      <c r="K483" s="312" t="s">
        <v>109</v>
      </c>
    </row>
    <row r="484" spans="1:11">
      <c r="A484" s="312" t="s">
        <v>3899</v>
      </c>
      <c r="B484" s="312" t="s">
        <v>3900</v>
      </c>
      <c r="C484" s="312" t="s">
        <v>105</v>
      </c>
      <c r="D484" s="312" t="s">
        <v>3392</v>
      </c>
      <c r="E484" s="312" t="s">
        <v>684</v>
      </c>
      <c r="F484" s="312">
        <v>1750</v>
      </c>
      <c r="G484" s="312" t="s">
        <v>685</v>
      </c>
      <c r="H484" s="312">
        <v>1754</v>
      </c>
      <c r="I484" s="312" t="s">
        <v>684</v>
      </c>
      <c r="J484" s="312">
        <v>1920</v>
      </c>
      <c r="K484" s="312" t="s">
        <v>686</v>
      </c>
    </row>
    <row r="485" spans="1:11">
      <c r="A485" s="312" t="s">
        <v>4628</v>
      </c>
      <c r="B485" s="312" t="s">
        <v>4629</v>
      </c>
      <c r="C485" s="312" t="s">
        <v>105</v>
      </c>
      <c r="D485" s="312" t="s">
        <v>4630</v>
      </c>
      <c r="E485" s="312" t="s">
        <v>107</v>
      </c>
      <c r="F485" s="312">
        <v>1825</v>
      </c>
      <c r="G485" s="312" t="s">
        <v>108</v>
      </c>
      <c r="H485" s="312">
        <v>1827</v>
      </c>
      <c r="I485" s="312" t="s">
        <v>107</v>
      </c>
      <c r="J485" s="312">
        <v>1913</v>
      </c>
      <c r="K485" s="312" t="s">
        <v>109</v>
      </c>
    </row>
    <row r="486" spans="1:11">
      <c r="A486" s="312" t="s">
        <v>4893</v>
      </c>
      <c r="B486" s="312" t="s">
        <v>4894</v>
      </c>
      <c r="C486" s="312" t="s">
        <v>105</v>
      </c>
      <c r="D486" s="312" t="s">
        <v>4630</v>
      </c>
      <c r="E486" s="312" t="s">
        <v>107</v>
      </c>
      <c r="F486" s="312">
        <v>1825</v>
      </c>
      <c r="G486" s="312" t="s">
        <v>108</v>
      </c>
      <c r="H486" s="312">
        <v>1827</v>
      </c>
      <c r="I486" s="312" t="s">
        <v>107</v>
      </c>
      <c r="J486" s="312">
        <v>1913</v>
      </c>
      <c r="K486" s="312" t="s">
        <v>109</v>
      </c>
    </row>
    <row r="487" spans="1:11">
      <c r="A487" s="312" t="s">
        <v>4895</v>
      </c>
      <c r="B487" s="312" t="s">
        <v>4896</v>
      </c>
      <c r="C487" s="312" t="s">
        <v>105</v>
      </c>
      <c r="D487" s="312" t="s">
        <v>4630</v>
      </c>
      <c r="E487" s="312" t="s">
        <v>107</v>
      </c>
      <c r="F487" s="312">
        <v>1825</v>
      </c>
      <c r="G487" s="312" t="s">
        <v>108</v>
      </c>
      <c r="H487" s="312">
        <v>1827</v>
      </c>
      <c r="I487" s="312" t="s">
        <v>107</v>
      </c>
      <c r="J487" s="312">
        <v>1913</v>
      </c>
      <c r="K487" s="312" t="s">
        <v>109</v>
      </c>
    </row>
    <row r="488" spans="1:11">
      <c r="A488" s="312" t="s">
        <v>492</v>
      </c>
      <c r="B488" s="312" t="s">
        <v>493</v>
      </c>
      <c r="C488" s="312" t="s">
        <v>105</v>
      </c>
      <c r="D488" s="312" t="s">
        <v>494</v>
      </c>
      <c r="E488" s="312" t="s">
        <v>107</v>
      </c>
      <c r="F488" s="312">
        <v>1825</v>
      </c>
      <c r="G488" s="312" t="s">
        <v>108</v>
      </c>
      <c r="H488" s="312">
        <v>1827</v>
      </c>
      <c r="I488" s="312" t="s">
        <v>107</v>
      </c>
      <c r="J488" s="312">
        <v>1913</v>
      </c>
      <c r="K488" s="312" t="s">
        <v>109</v>
      </c>
    </row>
    <row r="489" spans="1:11">
      <c r="A489" s="312" t="s">
        <v>2322</v>
      </c>
      <c r="B489" s="312" t="s">
        <v>2323</v>
      </c>
      <c r="C489" s="312" t="s">
        <v>105</v>
      </c>
      <c r="D489" s="312" t="s">
        <v>494</v>
      </c>
      <c r="E489" s="312" t="s">
        <v>107</v>
      </c>
      <c r="F489" s="312">
        <v>1825</v>
      </c>
      <c r="G489" s="312" t="s">
        <v>108</v>
      </c>
      <c r="H489" s="312">
        <v>1827</v>
      </c>
      <c r="I489" s="312" t="s">
        <v>107</v>
      </c>
      <c r="J489" s="312">
        <v>1913</v>
      </c>
      <c r="K489" s="312" t="s">
        <v>109</v>
      </c>
    </row>
    <row r="490" spans="1:11">
      <c r="A490" s="312" t="s">
        <v>3650</v>
      </c>
      <c r="B490" s="312" t="s">
        <v>3651</v>
      </c>
      <c r="C490" s="312" t="s">
        <v>105</v>
      </c>
      <c r="D490" s="312" t="s">
        <v>3652</v>
      </c>
      <c r="E490" s="312" t="s">
        <v>320</v>
      </c>
      <c r="F490" s="312">
        <v>1716</v>
      </c>
      <c r="G490" s="312" t="s">
        <v>321</v>
      </c>
      <c r="H490" s="312">
        <v>1725</v>
      </c>
      <c r="I490" s="312" t="s">
        <v>320</v>
      </c>
      <c r="J490" s="312">
        <v>1910</v>
      </c>
      <c r="K490" s="312" t="s">
        <v>322</v>
      </c>
    </row>
    <row r="491" spans="1:11">
      <c r="A491" s="312" t="s">
        <v>3673</v>
      </c>
      <c r="B491" s="312" t="s">
        <v>3674</v>
      </c>
      <c r="C491" s="312" t="s">
        <v>105</v>
      </c>
      <c r="D491" s="312" t="s">
        <v>3652</v>
      </c>
      <c r="E491" s="312" t="s">
        <v>167</v>
      </c>
      <c r="F491" s="312">
        <v>1705</v>
      </c>
      <c r="G491" s="312" t="s">
        <v>168</v>
      </c>
      <c r="H491" s="312">
        <v>1707</v>
      </c>
      <c r="I491" s="312" t="s">
        <v>167</v>
      </c>
      <c r="J491" s="312">
        <v>1899</v>
      </c>
      <c r="K491" s="312" t="s">
        <v>169</v>
      </c>
    </row>
    <row r="492" spans="1:11">
      <c r="A492" s="312" t="s">
        <v>3675</v>
      </c>
      <c r="B492" s="312" t="s">
        <v>3676</v>
      </c>
      <c r="C492" s="312" t="s">
        <v>105</v>
      </c>
      <c r="D492" s="312" t="s">
        <v>3652</v>
      </c>
      <c r="E492" s="312" t="s">
        <v>320</v>
      </c>
      <c r="F492" s="312">
        <v>1716</v>
      </c>
      <c r="G492" s="312" t="s">
        <v>321</v>
      </c>
      <c r="H492" s="312">
        <v>1725</v>
      </c>
      <c r="I492" s="312" t="s">
        <v>320</v>
      </c>
      <c r="J492" s="312">
        <v>1910</v>
      </c>
      <c r="K492" s="312" t="s">
        <v>322</v>
      </c>
    </row>
    <row r="493" spans="1:11">
      <c r="A493" s="312" t="s">
        <v>1514</v>
      </c>
      <c r="B493" s="312" t="s">
        <v>1515</v>
      </c>
      <c r="C493" s="312" t="s">
        <v>105</v>
      </c>
      <c r="D493" s="312" t="s">
        <v>1516</v>
      </c>
      <c r="E493" s="312" t="s">
        <v>320</v>
      </c>
      <c r="F493" s="312">
        <v>1716</v>
      </c>
      <c r="G493" s="312" t="s">
        <v>321</v>
      </c>
      <c r="H493" s="312">
        <v>1725</v>
      </c>
      <c r="I493" s="312" t="s">
        <v>320</v>
      </c>
      <c r="J493" s="312">
        <v>1910</v>
      </c>
      <c r="K493" s="312" t="s">
        <v>322</v>
      </c>
    </row>
    <row r="494" spans="1:11">
      <c r="A494" s="312" t="s">
        <v>1517</v>
      </c>
      <c r="B494" s="312" t="s">
        <v>1518</v>
      </c>
      <c r="C494" s="312" t="s">
        <v>105</v>
      </c>
      <c r="D494" s="312" t="s">
        <v>1516</v>
      </c>
      <c r="E494" s="312" t="s">
        <v>320</v>
      </c>
      <c r="F494" s="312">
        <v>1716</v>
      </c>
      <c r="G494" s="312" t="s">
        <v>321</v>
      </c>
      <c r="H494" s="312">
        <v>1725</v>
      </c>
      <c r="I494" s="312" t="s">
        <v>320</v>
      </c>
      <c r="J494" s="312">
        <v>1910</v>
      </c>
      <c r="K494" s="312" t="s">
        <v>322</v>
      </c>
    </row>
    <row r="495" spans="1:11">
      <c r="A495" s="312" t="s">
        <v>1519</v>
      </c>
      <c r="B495" s="312" t="s">
        <v>1520</v>
      </c>
      <c r="C495" s="312" t="s">
        <v>105</v>
      </c>
      <c r="D495" s="312" t="s">
        <v>1516</v>
      </c>
      <c r="E495" s="312" t="s">
        <v>320</v>
      </c>
      <c r="F495" s="312">
        <v>1716</v>
      </c>
      <c r="G495" s="312" t="s">
        <v>321</v>
      </c>
      <c r="H495" s="312">
        <v>1725</v>
      </c>
      <c r="I495" s="312" t="s">
        <v>320</v>
      </c>
      <c r="J495" s="312">
        <v>1910</v>
      </c>
      <c r="K495" s="312" t="s">
        <v>322</v>
      </c>
    </row>
    <row r="496" spans="1:11">
      <c r="A496" s="312" t="s">
        <v>5111</v>
      </c>
      <c r="B496" s="312" t="s">
        <v>5112</v>
      </c>
      <c r="C496" s="312" t="s">
        <v>105</v>
      </c>
      <c r="D496" s="312" t="s">
        <v>1516</v>
      </c>
      <c r="E496" s="312" t="s">
        <v>684</v>
      </c>
      <c r="F496" s="312">
        <v>1750</v>
      </c>
      <c r="G496" s="312" t="s">
        <v>685</v>
      </c>
      <c r="H496" s="312">
        <v>1754</v>
      </c>
      <c r="I496" s="312" t="s">
        <v>684</v>
      </c>
      <c r="J496" s="312">
        <v>1920</v>
      </c>
      <c r="K496" s="312" t="s">
        <v>686</v>
      </c>
    </row>
    <row r="497" spans="1:11">
      <c r="A497" s="312" t="s">
        <v>2574</v>
      </c>
      <c r="B497" s="312" t="s">
        <v>2575</v>
      </c>
      <c r="C497" s="312" t="s">
        <v>105</v>
      </c>
      <c r="D497" s="312" t="s">
        <v>2576</v>
      </c>
      <c r="E497" s="312" t="s">
        <v>107</v>
      </c>
      <c r="F497" s="312">
        <v>1825</v>
      </c>
      <c r="G497" s="312" t="s">
        <v>108</v>
      </c>
      <c r="H497" s="312">
        <v>1827</v>
      </c>
      <c r="I497" s="312" t="s">
        <v>107</v>
      </c>
      <c r="J497" s="312">
        <v>1913</v>
      </c>
      <c r="K497" s="312" t="s">
        <v>109</v>
      </c>
    </row>
    <row r="498" spans="1:11">
      <c r="A498" s="312" t="s">
        <v>3269</v>
      </c>
      <c r="B498" s="1" t="s">
        <v>3270</v>
      </c>
      <c r="C498" s="312" t="s">
        <v>105</v>
      </c>
      <c r="D498" s="312" t="s">
        <v>2576</v>
      </c>
      <c r="E498" s="312" t="s">
        <v>107</v>
      </c>
      <c r="F498" s="312">
        <v>1825</v>
      </c>
      <c r="G498" s="312" t="s">
        <v>108</v>
      </c>
      <c r="H498" s="312">
        <v>1827</v>
      </c>
      <c r="I498" s="312" t="s">
        <v>107</v>
      </c>
      <c r="J498" s="312">
        <v>1913</v>
      </c>
      <c r="K498" s="312" t="s">
        <v>109</v>
      </c>
    </row>
    <row r="499" spans="1:11">
      <c r="A499" s="312" t="s">
        <v>2028</v>
      </c>
      <c r="B499" s="312" t="s">
        <v>2029</v>
      </c>
      <c r="C499" s="312" t="s">
        <v>105</v>
      </c>
      <c r="D499" s="312" t="s">
        <v>2030</v>
      </c>
      <c r="E499" s="312" t="s">
        <v>107</v>
      </c>
      <c r="F499" s="312">
        <v>1825</v>
      </c>
      <c r="G499" s="312" t="s">
        <v>108</v>
      </c>
      <c r="H499" s="312">
        <v>1827</v>
      </c>
      <c r="I499" s="312" t="s">
        <v>107</v>
      </c>
      <c r="J499" s="312">
        <v>1913</v>
      </c>
      <c r="K499" s="312" t="s">
        <v>109</v>
      </c>
    </row>
    <row r="500" spans="1:11">
      <c r="A500" s="312" t="s">
        <v>2031</v>
      </c>
      <c r="B500" s="312" t="s">
        <v>2032</v>
      </c>
      <c r="C500" s="312" t="s">
        <v>105</v>
      </c>
      <c r="D500" s="312" t="s">
        <v>2030</v>
      </c>
      <c r="E500" s="312" t="s">
        <v>107</v>
      </c>
      <c r="F500" s="312">
        <v>1825</v>
      </c>
      <c r="G500" s="312" t="s">
        <v>108</v>
      </c>
      <c r="H500" s="312">
        <v>1827</v>
      </c>
      <c r="I500" s="312" t="s">
        <v>107</v>
      </c>
      <c r="J500" s="312">
        <v>1913</v>
      </c>
      <c r="K500" s="312" t="s">
        <v>109</v>
      </c>
    </row>
    <row r="501" spans="1:11">
      <c r="A501" s="312" t="s">
        <v>2035</v>
      </c>
      <c r="B501" s="312" t="s">
        <v>2036</v>
      </c>
      <c r="C501" s="312" t="s">
        <v>105</v>
      </c>
      <c r="D501" s="312" t="s">
        <v>2030</v>
      </c>
      <c r="E501" s="312" t="s">
        <v>107</v>
      </c>
      <c r="F501" s="312">
        <v>1825</v>
      </c>
      <c r="G501" s="312" t="s">
        <v>108</v>
      </c>
      <c r="H501" s="312">
        <v>1827</v>
      </c>
      <c r="I501" s="312" t="s">
        <v>107</v>
      </c>
      <c r="J501" s="312">
        <v>1913</v>
      </c>
      <c r="K501" s="312" t="s">
        <v>109</v>
      </c>
    </row>
    <row r="502" spans="1:11">
      <c r="A502" s="312" t="s">
        <v>2039</v>
      </c>
      <c r="B502" s="312" t="s">
        <v>2040</v>
      </c>
      <c r="C502" s="312" t="s">
        <v>105</v>
      </c>
      <c r="D502" s="312" t="s">
        <v>2030</v>
      </c>
      <c r="E502" s="312" t="s">
        <v>107</v>
      </c>
      <c r="F502" s="312">
        <v>1825</v>
      </c>
      <c r="G502" s="312" t="s">
        <v>108</v>
      </c>
      <c r="H502" s="312">
        <v>1827</v>
      </c>
      <c r="I502" s="312" t="s">
        <v>107</v>
      </c>
      <c r="J502" s="312">
        <v>1913</v>
      </c>
      <c r="K502" s="312" t="s">
        <v>109</v>
      </c>
    </row>
    <row r="503" spans="1:11">
      <c r="A503" s="312" t="s">
        <v>2041</v>
      </c>
      <c r="B503" s="312" t="s">
        <v>2042</v>
      </c>
      <c r="C503" s="312" t="s">
        <v>105</v>
      </c>
      <c r="D503" s="312" t="s">
        <v>2030</v>
      </c>
      <c r="E503" s="312" t="s">
        <v>107</v>
      </c>
      <c r="F503" s="312">
        <v>1825</v>
      </c>
      <c r="G503" s="312" t="s">
        <v>108</v>
      </c>
      <c r="H503" s="312">
        <v>1827</v>
      </c>
      <c r="I503" s="312" t="s">
        <v>107</v>
      </c>
      <c r="J503" s="312">
        <v>1913</v>
      </c>
      <c r="K503" s="312" t="s">
        <v>109</v>
      </c>
    </row>
    <row r="504" spans="1:11">
      <c r="A504" s="312" t="s">
        <v>2043</v>
      </c>
      <c r="B504" s="312" t="s">
        <v>2044</v>
      </c>
      <c r="C504" s="312" t="s">
        <v>105</v>
      </c>
      <c r="D504" s="312" t="s">
        <v>2030</v>
      </c>
      <c r="E504" s="312" t="s">
        <v>107</v>
      </c>
      <c r="F504" s="312">
        <v>1825</v>
      </c>
      <c r="G504" s="312" t="s">
        <v>108</v>
      </c>
      <c r="H504" s="312">
        <v>1827</v>
      </c>
      <c r="I504" s="312" t="s">
        <v>107</v>
      </c>
      <c r="J504" s="312">
        <v>1913</v>
      </c>
      <c r="K504" s="312" t="s">
        <v>109</v>
      </c>
    </row>
    <row r="505" spans="1:11">
      <c r="A505" s="312" t="s">
        <v>2049</v>
      </c>
      <c r="B505" s="312" t="s">
        <v>2050</v>
      </c>
      <c r="C505" s="312" t="s">
        <v>105</v>
      </c>
      <c r="D505" s="312" t="s">
        <v>2030</v>
      </c>
      <c r="E505" s="312" t="s">
        <v>107</v>
      </c>
      <c r="F505" s="312">
        <v>1825</v>
      </c>
      <c r="G505" s="312" t="s">
        <v>108</v>
      </c>
      <c r="H505" s="312">
        <v>1827</v>
      </c>
      <c r="I505" s="312" t="s">
        <v>107</v>
      </c>
      <c r="J505" s="312">
        <v>1913</v>
      </c>
      <c r="K505" s="312" t="s">
        <v>109</v>
      </c>
    </row>
    <row r="506" spans="1:11">
      <c r="A506" s="312" t="s">
        <v>3820</v>
      </c>
      <c r="B506" s="312" t="s">
        <v>3821</v>
      </c>
      <c r="C506" s="312" t="s">
        <v>105</v>
      </c>
      <c r="D506" s="312" t="s">
        <v>3822</v>
      </c>
      <c r="E506" s="312" t="s">
        <v>107</v>
      </c>
      <c r="F506" s="312">
        <v>1825</v>
      </c>
      <c r="G506" s="312" t="s">
        <v>108</v>
      </c>
      <c r="H506" s="312">
        <v>1827</v>
      </c>
      <c r="I506" s="312" t="s">
        <v>107</v>
      </c>
      <c r="J506" s="312">
        <v>1913</v>
      </c>
      <c r="K506" s="312" t="s">
        <v>109</v>
      </c>
    </row>
    <row r="507" spans="1:11">
      <c r="A507" s="312" t="s">
        <v>3823</v>
      </c>
      <c r="B507" s="312" t="s">
        <v>3824</v>
      </c>
      <c r="C507" s="312" t="s">
        <v>105</v>
      </c>
      <c r="D507" s="312" t="s">
        <v>3822</v>
      </c>
      <c r="E507" s="312" t="s">
        <v>107</v>
      </c>
      <c r="F507" s="312">
        <v>1825</v>
      </c>
      <c r="G507" s="312" t="s">
        <v>108</v>
      </c>
      <c r="H507" s="312">
        <v>1827</v>
      </c>
      <c r="I507" s="312" t="s">
        <v>107</v>
      </c>
      <c r="J507" s="312">
        <v>1913</v>
      </c>
      <c r="K507" s="312" t="s">
        <v>109</v>
      </c>
    </row>
    <row r="508" spans="1:11">
      <c r="A508" s="312" t="s">
        <v>5025</v>
      </c>
      <c r="B508" s="312" t="s">
        <v>5026</v>
      </c>
      <c r="C508" s="312" t="s">
        <v>105</v>
      </c>
      <c r="D508" s="312" t="s">
        <v>3822</v>
      </c>
      <c r="E508" s="312" t="s">
        <v>684</v>
      </c>
      <c r="F508" s="312">
        <v>1750</v>
      </c>
      <c r="G508" s="312" t="s">
        <v>685</v>
      </c>
      <c r="H508" s="312">
        <v>1754</v>
      </c>
      <c r="I508" s="312" t="s">
        <v>684</v>
      </c>
      <c r="J508" s="312">
        <v>1920</v>
      </c>
      <c r="K508" s="312" t="s">
        <v>686</v>
      </c>
    </row>
    <row r="509" spans="1:11">
      <c r="A509" s="312" t="s">
        <v>5387</v>
      </c>
      <c r="B509" s="312" t="s">
        <v>5388</v>
      </c>
      <c r="C509" s="312" t="s">
        <v>105</v>
      </c>
      <c r="D509" s="312" t="s">
        <v>3822</v>
      </c>
      <c r="E509" s="312" t="s">
        <v>107</v>
      </c>
      <c r="F509" s="312">
        <v>1825</v>
      </c>
      <c r="G509" s="312" t="s">
        <v>108</v>
      </c>
      <c r="H509" s="312">
        <v>1827</v>
      </c>
      <c r="I509" s="312" t="s">
        <v>107</v>
      </c>
      <c r="J509" s="312">
        <v>1913</v>
      </c>
      <c r="K509" s="312" t="s">
        <v>109</v>
      </c>
    </row>
    <row r="510" spans="1:11">
      <c r="A510" s="312" t="s">
        <v>6054</v>
      </c>
      <c r="B510" s="312" t="s">
        <v>6055</v>
      </c>
      <c r="C510" s="312" t="s">
        <v>105</v>
      </c>
      <c r="D510" s="312" t="s">
        <v>3822</v>
      </c>
      <c r="E510" s="312" t="s">
        <v>107</v>
      </c>
      <c r="F510" s="312">
        <v>1825</v>
      </c>
      <c r="G510" s="312" t="s">
        <v>108</v>
      </c>
      <c r="H510" s="312">
        <v>1827</v>
      </c>
      <c r="I510" s="312" t="s">
        <v>107</v>
      </c>
      <c r="J510" s="312">
        <v>1913</v>
      </c>
      <c r="K510" s="312" t="s">
        <v>109</v>
      </c>
    </row>
    <row r="511" spans="1:11">
      <c r="A511" s="312" t="s">
        <v>1289</v>
      </c>
      <c r="B511" s="312" t="s">
        <v>1290</v>
      </c>
      <c r="C511" s="312" t="s">
        <v>105</v>
      </c>
      <c r="D511" s="312" t="s">
        <v>1291</v>
      </c>
      <c r="E511" s="312" t="s">
        <v>107</v>
      </c>
      <c r="F511" s="312">
        <v>1825</v>
      </c>
      <c r="G511" s="312" t="s">
        <v>108</v>
      </c>
      <c r="H511" s="312">
        <v>1827</v>
      </c>
      <c r="I511" s="312" t="s">
        <v>107</v>
      </c>
      <c r="J511" s="312">
        <v>1913</v>
      </c>
      <c r="K511" s="312" t="s">
        <v>109</v>
      </c>
    </row>
    <row r="512" spans="1:11">
      <c r="A512" s="312" t="s">
        <v>1449</v>
      </c>
      <c r="B512" s="312" t="s">
        <v>1450</v>
      </c>
      <c r="C512" s="312" t="s">
        <v>105</v>
      </c>
      <c r="D512" s="312" t="s">
        <v>1291</v>
      </c>
      <c r="E512" s="312" t="s">
        <v>107</v>
      </c>
      <c r="F512" s="312">
        <v>1825</v>
      </c>
      <c r="G512" s="312" t="s">
        <v>108</v>
      </c>
      <c r="H512" s="312">
        <v>1827</v>
      </c>
      <c r="I512" s="312" t="s">
        <v>107</v>
      </c>
      <c r="J512" s="312">
        <v>1913</v>
      </c>
      <c r="K512" s="312" t="s">
        <v>109</v>
      </c>
    </row>
    <row r="513" spans="1:11">
      <c r="A513" s="312" t="s">
        <v>1451</v>
      </c>
      <c r="B513" s="312" t="s">
        <v>1452</v>
      </c>
      <c r="C513" s="312" t="s">
        <v>105</v>
      </c>
      <c r="D513" s="312" t="s">
        <v>1291</v>
      </c>
      <c r="E513" s="312" t="s">
        <v>107</v>
      </c>
      <c r="F513" s="312">
        <v>1825</v>
      </c>
      <c r="G513" s="312" t="s">
        <v>108</v>
      </c>
      <c r="H513" s="312">
        <v>1827</v>
      </c>
      <c r="I513" s="312" t="s">
        <v>107</v>
      </c>
      <c r="J513" s="312">
        <v>1913</v>
      </c>
      <c r="K513" s="312" t="s">
        <v>109</v>
      </c>
    </row>
    <row r="514" spans="1:11">
      <c r="A514" s="312" t="s">
        <v>1453</v>
      </c>
      <c r="B514" s="312" t="s">
        <v>1454</v>
      </c>
      <c r="C514" s="312" t="s">
        <v>105</v>
      </c>
      <c r="D514" s="312" t="s">
        <v>1291</v>
      </c>
      <c r="E514" s="312" t="s">
        <v>107</v>
      </c>
      <c r="F514" s="312">
        <v>1825</v>
      </c>
      <c r="G514" s="312" t="s">
        <v>108</v>
      </c>
      <c r="H514" s="312">
        <v>1827</v>
      </c>
      <c r="I514" s="312" t="s">
        <v>107</v>
      </c>
      <c r="J514" s="312">
        <v>1913</v>
      </c>
      <c r="K514" s="312" t="s">
        <v>109</v>
      </c>
    </row>
    <row r="515" spans="1:11">
      <c r="A515" s="312" t="s">
        <v>3829</v>
      </c>
      <c r="B515" s="312" t="s">
        <v>3830</v>
      </c>
      <c r="C515" s="312" t="s">
        <v>105</v>
      </c>
      <c r="D515" s="312" t="s">
        <v>1291</v>
      </c>
      <c r="E515" s="312" t="s">
        <v>107</v>
      </c>
      <c r="F515" s="312">
        <v>1825</v>
      </c>
      <c r="G515" s="312" t="s">
        <v>108</v>
      </c>
      <c r="H515" s="312">
        <v>1827</v>
      </c>
      <c r="I515" s="312" t="s">
        <v>107</v>
      </c>
      <c r="J515" s="312">
        <v>1913</v>
      </c>
      <c r="K515" s="312" t="s">
        <v>109</v>
      </c>
    </row>
    <row r="516" spans="1:11">
      <c r="A516" s="312" t="s">
        <v>3831</v>
      </c>
      <c r="B516" s="312" t="s">
        <v>3832</v>
      </c>
      <c r="C516" s="312" t="s">
        <v>105</v>
      </c>
      <c r="D516" s="312" t="s">
        <v>1291</v>
      </c>
      <c r="E516" s="312" t="s">
        <v>107</v>
      </c>
      <c r="F516" s="312">
        <v>1825</v>
      </c>
      <c r="G516" s="312" t="s">
        <v>108</v>
      </c>
      <c r="H516" s="312">
        <v>1827</v>
      </c>
      <c r="I516" s="312" t="s">
        <v>107</v>
      </c>
      <c r="J516" s="312">
        <v>1913</v>
      </c>
      <c r="K516" s="312" t="s">
        <v>109</v>
      </c>
    </row>
    <row r="517" spans="1:11">
      <c r="A517" s="312" t="s">
        <v>3833</v>
      </c>
      <c r="B517" s="312" t="s">
        <v>3834</v>
      </c>
      <c r="C517" s="312" t="s">
        <v>105</v>
      </c>
      <c r="D517" s="312" t="s">
        <v>1291</v>
      </c>
      <c r="E517" s="312" t="s">
        <v>107</v>
      </c>
      <c r="F517" s="312">
        <v>1825</v>
      </c>
      <c r="G517" s="312" t="s">
        <v>108</v>
      </c>
      <c r="H517" s="312">
        <v>1827</v>
      </c>
      <c r="I517" s="312" t="s">
        <v>107</v>
      </c>
      <c r="J517" s="312">
        <v>1913</v>
      </c>
      <c r="K517" s="312" t="s">
        <v>109</v>
      </c>
    </row>
    <row r="518" spans="1:11">
      <c r="A518" s="312" t="s">
        <v>3835</v>
      </c>
      <c r="B518" s="312" t="s">
        <v>3836</v>
      </c>
      <c r="C518" s="312" t="s">
        <v>105</v>
      </c>
      <c r="D518" s="312" t="s">
        <v>1291</v>
      </c>
      <c r="E518" s="312" t="s">
        <v>107</v>
      </c>
      <c r="F518" s="312">
        <v>1825</v>
      </c>
      <c r="G518" s="312" t="s">
        <v>108</v>
      </c>
      <c r="H518" s="312">
        <v>1827</v>
      </c>
      <c r="I518" s="312" t="s">
        <v>107</v>
      </c>
      <c r="J518" s="312">
        <v>1913</v>
      </c>
      <c r="K518" s="312" t="s">
        <v>109</v>
      </c>
    </row>
    <row r="519" spans="1:11">
      <c r="A519" s="312" t="s">
        <v>4481</v>
      </c>
      <c r="B519" s="312" t="s">
        <v>4482</v>
      </c>
      <c r="C519" s="312" t="s">
        <v>105</v>
      </c>
      <c r="D519" s="312" t="s">
        <v>1291</v>
      </c>
      <c r="E519" s="312" t="s">
        <v>107</v>
      </c>
      <c r="F519" s="312">
        <v>1825</v>
      </c>
      <c r="G519" s="312" t="s">
        <v>108</v>
      </c>
      <c r="H519" s="312">
        <v>1827</v>
      </c>
      <c r="I519" s="312" t="s">
        <v>107</v>
      </c>
      <c r="J519" s="312">
        <v>1913</v>
      </c>
      <c r="K519" s="312" t="s">
        <v>109</v>
      </c>
    </row>
    <row r="520" spans="1:11">
      <c r="A520" s="312" t="s">
        <v>4483</v>
      </c>
      <c r="B520" s="312" t="s">
        <v>4484</v>
      </c>
      <c r="C520" s="312" t="s">
        <v>105</v>
      </c>
      <c r="D520" s="312" t="s">
        <v>1291</v>
      </c>
      <c r="E520" s="312" t="s">
        <v>107</v>
      </c>
      <c r="F520" s="312">
        <v>1825</v>
      </c>
      <c r="G520" s="312" t="s">
        <v>108</v>
      </c>
      <c r="H520" s="312">
        <v>1827</v>
      </c>
      <c r="I520" s="312" t="s">
        <v>107</v>
      </c>
      <c r="J520" s="312">
        <v>1913</v>
      </c>
      <c r="K520" s="312" t="s">
        <v>109</v>
      </c>
    </row>
    <row r="521" spans="1:11">
      <c r="A521" s="312" t="s">
        <v>4873</v>
      </c>
      <c r="B521" s="312" t="s">
        <v>4874</v>
      </c>
      <c r="C521" s="312" t="s">
        <v>105</v>
      </c>
      <c r="D521" s="312" t="s">
        <v>1291</v>
      </c>
      <c r="E521" s="312" t="s">
        <v>107</v>
      </c>
      <c r="F521" s="312">
        <v>1825</v>
      </c>
      <c r="G521" s="312" t="s">
        <v>108</v>
      </c>
      <c r="H521" s="312">
        <v>1827</v>
      </c>
      <c r="I521" s="312" t="s">
        <v>107</v>
      </c>
      <c r="J521" s="312">
        <v>1913</v>
      </c>
      <c r="K521" s="312" t="s">
        <v>109</v>
      </c>
    </row>
    <row r="522" spans="1:11">
      <c r="A522" s="312" t="s">
        <v>5027</v>
      </c>
      <c r="B522" s="312" t="s">
        <v>5028</v>
      </c>
      <c r="C522" s="312" t="s">
        <v>105</v>
      </c>
      <c r="D522" s="312" t="s">
        <v>1291</v>
      </c>
      <c r="E522" s="312" t="s">
        <v>107</v>
      </c>
      <c r="F522" s="312">
        <v>1825</v>
      </c>
      <c r="G522" s="312" t="s">
        <v>108</v>
      </c>
      <c r="H522" s="312">
        <v>1827</v>
      </c>
      <c r="I522" s="312" t="s">
        <v>107</v>
      </c>
      <c r="J522" s="312">
        <v>1913</v>
      </c>
      <c r="K522" s="312" t="s">
        <v>109</v>
      </c>
    </row>
    <row r="523" spans="1:11">
      <c r="A523" s="312" t="s">
        <v>5029</v>
      </c>
      <c r="B523" s="312" t="s">
        <v>5030</v>
      </c>
      <c r="C523" s="312" t="s">
        <v>105</v>
      </c>
      <c r="D523" s="312" t="s">
        <v>1291</v>
      </c>
      <c r="E523" s="312" t="s">
        <v>107</v>
      </c>
      <c r="F523" s="312">
        <v>1825</v>
      </c>
      <c r="G523" s="312" t="s">
        <v>108</v>
      </c>
      <c r="H523" s="312">
        <v>1827</v>
      </c>
      <c r="I523" s="312" t="s">
        <v>107</v>
      </c>
      <c r="J523" s="312">
        <v>1913</v>
      </c>
      <c r="K523" s="312" t="s">
        <v>109</v>
      </c>
    </row>
    <row r="524" spans="1:11">
      <c r="A524" s="312" t="s">
        <v>5031</v>
      </c>
      <c r="B524" s="312" t="s">
        <v>5032</v>
      </c>
      <c r="C524" s="312" t="s">
        <v>105</v>
      </c>
      <c r="D524" s="312" t="s">
        <v>1291</v>
      </c>
      <c r="E524" s="312" t="s">
        <v>107</v>
      </c>
      <c r="F524" s="312">
        <v>1825</v>
      </c>
      <c r="G524" s="312" t="s">
        <v>108</v>
      </c>
      <c r="H524" s="312">
        <v>1827</v>
      </c>
      <c r="I524" s="312" t="s">
        <v>107</v>
      </c>
      <c r="J524" s="312">
        <v>1913</v>
      </c>
      <c r="K524" s="312" t="s">
        <v>109</v>
      </c>
    </row>
    <row r="525" spans="1:11">
      <c r="A525" s="312" t="s">
        <v>5884</v>
      </c>
      <c r="B525" s="312" t="s">
        <v>5885</v>
      </c>
      <c r="C525" s="312" t="s">
        <v>105</v>
      </c>
      <c r="D525" s="312" t="s">
        <v>1291</v>
      </c>
      <c r="E525" s="312" t="s">
        <v>107</v>
      </c>
      <c r="F525" s="312">
        <v>1825</v>
      </c>
      <c r="G525" s="312" t="s">
        <v>108</v>
      </c>
      <c r="H525" s="312">
        <v>1827</v>
      </c>
      <c r="I525" s="312" t="s">
        <v>107</v>
      </c>
      <c r="J525" s="312">
        <v>1913</v>
      </c>
      <c r="K525" s="312" t="s">
        <v>109</v>
      </c>
    </row>
    <row r="526" spans="1:11">
      <c r="A526" s="312" t="s">
        <v>863</v>
      </c>
      <c r="B526" s="312" t="s">
        <v>864</v>
      </c>
      <c r="C526" s="312" t="s">
        <v>105</v>
      </c>
      <c r="D526" s="312" t="s">
        <v>865</v>
      </c>
      <c r="E526" s="312" t="s">
        <v>107</v>
      </c>
      <c r="F526" s="312">
        <v>1825</v>
      </c>
      <c r="G526" s="312" t="s">
        <v>108</v>
      </c>
      <c r="H526" s="312">
        <v>1827</v>
      </c>
      <c r="I526" s="312" t="s">
        <v>107</v>
      </c>
      <c r="J526" s="312">
        <v>1913</v>
      </c>
      <c r="K526" s="312" t="s">
        <v>109</v>
      </c>
    </row>
    <row r="527" spans="1:11">
      <c r="A527" s="312" t="s">
        <v>866</v>
      </c>
      <c r="B527" s="312" t="s">
        <v>867</v>
      </c>
      <c r="C527" s="312" t="s">
        <v>105</v>
      </c>
      <c r="D527" s="312" t="s">
        <v>865</v>
      </c>
      <c r="E527" s="312" t="s">
        <v>107</v>
      </c>
      <c r="F527" s="312">
        <v>1825</v>
      </c>
      <c r="G527" s="312" t="s">
        <v>108</v>
      </c>
      <c r="H527" s="312">
        <v>1827</v>
      </c>
      <c r="I527" s="312" t="s">
        <v>107</v>
      </c>
      <c r="J527" s="312">
        <v>1913</v>
      </c>
      <c r="K527" s="312" t="s">
        <v>109</v>
      </c>
    </row>
    <row r="528" spans="1:11">
      <c r="A528" s="312" t="s">
        <v>1143</v>
      </c>
      <c r="B528" s="312" t="s">
        <v>1144</v>
      </c>
      <c r="C528" s="312" t="s">
        <v>105</v>
      </c>
      <c r="D528" s="312" t="s">
        <v>865</v>
      </c>
      <c r="E528" s="312" t="s">
        <v>107</v>
      </c>
      <c r="F528" s="312">
        <v>1825</v>
      </c>
      <c r="G528" s="312" t="s">
        <v>108</v>
      </c>
      <c r="H528" s="312">
        <v>1827</v>
      </c>
      <c r="I528" s="312" t="s">
        <v>107</v>
      </c>
      <c r="J528" s="312">
        <v>1913</v>
      </c>
      <c r="K528" s="312" t="s">
        <v>109</v>
      </c>
    </row>
    <row r="529" spans="1:11">
      <c r="A529" s="312" t="s">
        <v>1467</v>
      </c>
      <c r="B529" s="312" t="s">
        <v>1468</v>
      </c>
      <c r="C529" s="312" t="s">
        <v>105</v>
      </c>
      <c r="D529" s="312" t="s">
        <v>865</v>
      </c>
      <c r="E529" s="312" t="s">
        <v>107</v>
      </c>
      <c r="F529" s="312">
        <v>1825</v>
      </c>
      <c r="G529" s="312" t="s">
        <v>108</v>
      </c>
      <c r="H529" s="312">
        <v>1827</v>
      </c>
      <c r="I529" s="312" t="s">
        <v>107</v>
      </c>
      <c r="J529" s="312">
        <v>1913</v>
      </c>
      <c r="K529" s="312" t="s">
        <v>109</v>
      </c>
    </row>
    <row r="530" spans="1:11">
      <c r="A530" s="312" t="s">
        <v>1890</v>
      </c>
      <c r="B530" s="312" t="s">
        <v>1891</v>
      </c>
      <c r="C530" s="312" t="s">
        <v>105</v>
      </c>
      <c r="D530" s="312" t="s">
        <v>865</v>
      </c>
      <c r="E530" s="312" t="s">
        <v>107</v>
      </c>
      <c r="F530" s="312">
        <v>1825</v>
      </c>
      <c r="G530" s="312" t="s">
        <v>108</v>
      </c>
      <c r="H530" s="312">
        <v>1827</v>
      </c>
      <c r="I530" s="312" t="s">
        <v>107</v>
      </c>
      <c r="J530" s="312">
        <v>1913</v>
      </c>
      <c r="K530" s="312" t="s">
        <v>109</v>
      </c>
    </row>
    <row r="531" spans="1:11">
      <c r="A531" s="312" t="s">
        <v>4863</v>
      </c>
      <c r="B531" s="312" t="s">
        <v>4864</v>
      </c>
      <c r="C531" s="312" t="s">
        <v>105</v>
      </c>
      <c r="D531" s="312" t="s">
        <v>865</v>
      </c>
      <c r="E531" s="312" t="s">
        <v>107</v>
      </c>
      <c r="F531" s="312">
        <v>1825</v>
      </c>
      <c r="G531" s="312" t="s">
        <v>108</v>
      </c>
      <c r="H531" s="312">
        <v>1827</v>
      </c>
      <c r="I531" s="312" t="s">
        <v>107</v>
      </c>
      <c r="J531" s="312">
        <v>1913</v>
      </c>
      <c r="K531" s="312" t="s">
        <v>109</v>
      </c>
    </row>
    <row r="532" spans="1:11">
      <c r="A532" s="312" t="s">
        <v>5057</v>
      </c>
      <c r="B532" s="312" t="s">
        <v>5058</v>
      </c>
      <c r="C532" s="312" t="s">
        <v>105</v>
      </c>
      <c r="D532" s="312" t="s">
        <v>865</v>
      </c>
      <c r="E532" s="312" t="s">
        <v>107</v>
      </c>
      <c r="F532" s="312">
        <v>1825</v>
      </c>
      <c r="G532" s="312" t="s">
        <v>108</v>
      </c>
      <c r="H532" s="312">
        <v>1827</v>
      </c>
      <c r="I532" s="312" t="s">
        <v>107</v>
      </c>
      <c r="J532" s="312">
        <v>1913</v>
      </c>
      <c r="K532" s="312" t="s">
        <v>109</v>
      </c>
    </row>
    <row r="533" spans="1:11">
      <c r="A533" s="312" t="s">
        <v>6205</v>
      </c>
      <c r="B533" s="312" t="s">
        <v>6206</v>
      </c>
      <c r="C533" s="312" t="s">
        <v>105</v>
      </c>
      <c r="D533" s="312" t="s">
        <v>865</v>
      </c>
      <c r="E533" s="312" t="s">
        <v>107</v>
      </c>
      <c r="F533" s="312">
        <v>1825</v>
      </c>
      <c r="G533" s="312" t="s">
        <v>108</v>
      </c>
      <c r="H533" s="312">
        <v>1827</v>
      </c>
      <c r="I533" s="312" t="s">
        <v>107</v>
      </c>
      <c r="J533" s="312">
        <v>1913</v>
      </c>
      <c r="K533" s="312" t="s">
        <v>109</v>
      </c>
    </row>
    <row r="534" spans="1:11">
      <c r="A534" s="312" t="s">
        <v>796</v>
      </c>
      <c r="B534" s="312" t="s">
        <v>797</v>
      </c>
      <c r="C534" s="312" t="s">
        <v>105</v>
      </c>
      <c r="D534" s="312" t="s">
        <v>798</v>
      </c>
      <c r="E534" s="312" t="s">
        <v>107</v>
      </c>
      <c r="F534" s="312">
        <v>1825</v>
      </c>
      <c r="G534" s="312" t="s">
        <v>108</v>
      </c>
      <c r="H534" s="312">
        <v>1827</v>
      </c>
      <c r="I534" s="312" t="s">
        <v>107</v>
      </c>
      <c r="J534" s="312">
        <v>1913</v>
      </c>
      <c r="K534" s="312" t="s">
        <v>109</v>
      </c>
    </row>
    <row r="535" spans="1:11">
      <c r="A535" s="312" t="s">
        <v>3179</v>
      </c>
      <c r="B535" s="312" t="s">
        <v>3180</v>
      </c>
      <c r="C535" s="312" t="s">
        <v>105</v>
      </c>
      <c r="D535" s="312" t="s">
        <v>798</v>
      </c>
      <c r="E535" s="312" t="s">
        <v>107</v>
      </c>
      <c r="F535" s="312">
        <v>1825</v>
      </c>
      <c r="G535" s="312" t="s">
        <v>108</v>
      </c>
      <c r="H535" s="312">
        <v>1827</v>
      </c>
      <c r="I535" s="312" t="s">
        <v>107</v>
      </c>
      <c r="J535" s="312">
        <v>1913</v>
      </c>
      <c r="K535" s="312" t="s">
        <v>109</v>
      </c>
    </row>
    <row r="536" spans="1:11">
      <c r="A536" s="312" t="s">
        <v>3181</v>
      </c>
      <c r="B536" s="312" t="s">
        <v>3182</v>
      </c>
      <c r="C536" s="312" t="s">
        <v>105</v>
      </c>
      <c r="D536" s="312" t="s">
        <v>798</v>
      </c>
      <c r="E536" s="312" t="s">
        <v>107</v>
      </c>
      <c r="F536" s="312">
        <v>1825</v>
      </c>
      <c r="G536" s="312" t="s">
        <v>108</v>
      </c>
      <c r="H536" s="312">
        <v>1827</v>
      </c>
      <c r="I536" s="312" t="s">
        <v>107</v>
      </c>
      <c r="J536" s="312">
        <v>1913</v>
      </c>
      <c r="K536" s="312" t="s">
        <v>109</v>
      </c>
    </row>
    <row r="537" spans="1:11">
      <c r="A537" s="312" t="s">
        <v>6030</v>
      </c>
      <c r="B537" s="312" t="s">
        <v>6031</v>
      </c>
      <c r="C537" s="312" t="s">
        <v>105</v>
      </c>
      <c r="D537" s="312" t="s">
        <v>798</v>
      </c>
      <c r="E537" s="312" t="s">
        <v>107</v>
      </c>
      <c r="F537" s="312">
        <v>1825</v>
      </c>
      <c r="G537" s="312" t="s">
        <v>108</v>
      </c>
      <c r="H537" s="312">
        <v>1827</v>
      </c>
      <c r="I537" s="312" t="s">
        <v>107</v>
      </c>
      <c r="J537" s="312">
        <v>1913</v>
      </c>
      <c r="K537" s="312" t="s">
        <v>109</v>
      </c>
    </row>
    <row r="538" spans="1:11">
      <c r="A538" s="312" t="s">
        <v>6032</v>
      </c>
      <c r="B538" s="312" t="s">
        <v>6033</v>
      </c>
      <c r="C538" s="312" t="s">
        <v>105</v>
      </c>
      <c r="D538" s="312" t="s">
        <v>798</v>
      </c>
      <c r="E538" s="312" t="s">
        <v>107</v>
      </c>
      <c r="F538" s="312">
        <v>1825</v>
      </c>
      <c r="G538" s="312" t="s">
        <v>108</v>
      </c>
      <c r="H538" s="312">
        <v>1827</v>
      </c>
      <c r="I538" s="312" t="s">
        <v>107</v>
      </c>
      <c r="J538" s="312">
        <v>1913</v>
      </c>
      <c r="K538" s="312" t="s">
        <v>109</v>
      </c>
    </row>
    <row r="539" spans="1:11">
      <c r="A539" s="312" t="s">
        <v>6034</v>
      </c>
      <c r="B539" s="312" t="s">
        <v>6035</v>
      </c>
      <c r="C539" s="312" t="s">
        <v>105</v>
      </c>
      <c r="D539" s="312" t="s">
        <v>798</v>
      </c>
      <c r="E539" s="312" t="s">
        <v>107</v>
      </c>
      <c r="F539" s="312">
        <v>1825</v>
      </c>
      <c r="G539" s="312" t="s">
        <v>108</v>
      </c>
      <c r="H539" s="312">
        <v>1827</v>
      </c>
      <c r="I539" s="312" t="s">
        <v>107</v>
      </c>
      <c r="J539" s="312">
        <v>1913</v>
      </c>
      <c r="K539" s="312" t="s">
        <v>109</v>
      </c>
    </row>
    <row r="540" spans="1:11">
      <c r="A540" s="312" t="s">
        <v>2283</v>
      </c>
      <c r="B540" s="312" t="s">
        <v>2284</v>
      </c>
      <c r="C540" s="312" t="s">
        <v>105</v>
      </c>
      <c r="D540" s="312" t="s">
        <v>2285</v>
      </c>
      <c r="E540" s="312" t="s">
        <v>107</v>
      </c>
      <c r="F540" s="312">
        <v>1825</v>
      </c>
      <c r="G540" s="312" t="s">
        <v>108</v>
      </c>
      <c r="H540" s="312">
        <v>1827</v>
      </c>
      <c r="I540" s="312" t="s">
        <v>107</v>
      </c>
      <c r="J540" s="312">
        <v>1913</v>
      </c>
      <c r="K540" s="312" t="s">
        <v>109</v>
      </c>
    </row>
    <row r="541" spans="1:11">
      <c r="A541" s="312" t="s">
        <v>3213</v>
      </c>
      <c r="B541" s="312" t="s">
        <v>3214</v>
      </c>
      <c r="C541" s="312" t="s">
        <v>105</v>
      </c>
      <c r="D541" s="312" t="s">
        <v>2285</v>
      </c>
      <c r="E541" s="312" t="s">
        <v>107</v>
      </c>
      <c r="F541" s="312">
        <v>1825</v>
      </c>
      <c r="G541" s="312" t="s">
        <v>108</v>
      </c>
      <c r="H541" s="312">
        <v>1827</v>
      </c>
      <c r="I541" s="312" t="s">
        <v>107</v>
      </c>
      <c r="J541" s="312">
        <v>1913</v>
      </c>
      <c r="K541" s="312" t="s">
        <v>109</v>
      </c>
    </row>
    <row r="542" spans="1:11">
      <c r="A542" s="312" t="s">
        <v>4153</v>
      </c>
      <c r="B542" s="312" t="s">
        <v>4154</v>
      </c>
      <c r="C542" s="312" t="s">
        <v>105</v>
      </c>
      <c r="D542" s="312" t="s">
        <v>2285</v>
      </c>
      <c r="E542" s="312" t="s">
        <v>107</v>
      </c>
      <c r="F542" s="312">
        <v>1825</v>
      </c>
      <c r="G542" s="312" t="s">
        <v>108</v>
      </c>
      <c r="H542" s="312">
        <v>1827</v>
      </c>
      <c r="I542" s="312" t="s">
        <v>107</v>
      </c>
      <c r="J542" s="312">
        <v>1913</v>
      </c>
      <c r="K542" s="312" t="s">
        <v>109</v>
      </c>
    </row>
    <row r="543" spans="1:11">
      <c r="A543" s="312" t="s">
        <v>4287</v>
      </c>
      <c r="B543" s="312" t="s">
        <v>4288</v>
      </c>
      <c r="C543" s="312" t="s">
        <v>105</v>
      </c>
      <c r="D543" s="312" t="s">
        <v>2285</v>
      </c>
      <c r="E543" s="312" t="s">
        <v>107</v>
      </c>
      <c r="F543" s="312">
        <v>1825</v>
      </c>
      <c r="G543" s="312" t="s">
        <v>108</v>
      </c>
      <c r="H543" s="312">
        <v>1827</v>
      </c>
      <c r="I543" s="312" t="s">
        <v>107</v>
      </c>
      <c r="J543" s="312">
        <v>1913</v>
      </c>
      <c r="K543" s="312" t="s">
        <v>109</v>
      </c>
    </row>
    <row r="544" spans="1:11">
      <c r="A544" s="312" t="s">
        <v>529</v>
      </c>
      <c r="B544" s="312" t="s">
        <v>530</v>
      </c>
      <c r="C544" s="312" t="s">
        <v>105</v>
      </c>
      <c r="D544" s="312" t="s">
        <v>531</v>
      </c>
      <c r="E544" s="312" t="s">
        <v>107</v>
      </c>
      <c r="F544" s="312">
        <v>1825</v>
      </c>
      <c r="G544" s="312" t="s">
        <v>108</v>
      </c>
      <c r="H544" s="312">
        <v>1827</v>
      </c>
      <c r="I544" s="312" t="s">
        <v>107</v>
      </c>
      <c r="J544" s="312">
        <v>1913</v>
      </c>
      <c r="K544" s="312" t="s">
        <v>109</v>
      </c>
    </row>
    <row r="545" spans="1:11">
      <c r="A545" s="312" t="s">
        <v>1835</v>
      </c>
      <c r="B545" s="312" t="s">
        <v>1836</v>
      </c>
      <c r="C545" s="312" t="s">
        <v>105</v>
      </c>
      <c r="D545" s="312" t="s">
        <v>531</v>
      </c>
      <c r="E545" s="312" t="s">
        <v>107</v>
      </c>
      <c r="F545" s="312">
        <v>1825</v>
      </c>
      <c r="G545" s="312" t="s">
        <v>108</v>
      </c>
      <c r="H545" s="312">
        <v>1827</v>
      </c>
      <c r="I545" s="312" t="s">
        <v>107</v>
      </c>
      <c r="J545" s="312">
        <v>1913</v>
      </c>
      <c r="K545" s="312" t="s">
        <v>109</v>
      </c>
    </row>
    <row r="546" spans="1:11">
      <c r="A546" s="312" t="s">
        <v>3436</v>
      </c>
      <c r="B546" s="312" t="s">
        <v>3437</v>
      </c>
      <c r="C546" s="312" t="s">
        <v>105</v>
      </c>
      <c r="D546" s="312" t="s">
        <v>531</v>
      </c>
      <c r="E546" s="312" t="s">
        <v>107</v>
      </c>
      <c r="F546" s="312">
        <v>1825</v>
      </c>
      <c r="G546" s="312" t="s">
        <v>108</v>
      </c>
      <c r="H546" s="312">
        <v>1827</v>
      </c>
      <c r="I546" s="312" t="s">
        <v>107</v>
      </c>
      <c r="J546" s="312">
        <v>1913</v>
      </c>
      <c r="K546" s="312" t="s">
        <v>109</v>
      </c>
    </row>
    <row r="547" spans="1:11">
      <c r="A547" s="312" t="s">
        <v>5161</v>
      </c>
      <c r="B547" s="312" t="s">
        <v>5162</v>
      </c>
      <c r="C547" s="312" t="s">
        <v>105</v>
      </c>
      <c r="D547" s="312" t="s">
        <v>531</v>
      </c>
      <c r="E547" s="312" t="s">
        <v>107</v>
      </c>
      <c r="F547" s="312">
        <v>1825</v>
      </c>
      <c r="G547" s="312" t="s">
        <v>108</v>
      </c>
      <c r="H547" s="312">
        <v>1827</v>
      </c>
      <c r="I547" s="312" t="s">
        <v>107</v>
      </c>
      <c r="J547" s="312">
        <v>1913</v>
      </c>
      <c r="K547" s="312" t="s">
        <v>109</v>
      </c>
    </row>
    <row r="548" spans="1:11">
      <c r="A548" s="312" t="s">
        <v>5167</v>
      </c>
      <c r="B548" s="1" t="s">
        <v>5168</v>
      </c>
      <c r="C548" s="312" t="s">
        <v>105</v>
      </c>
      <c r="D548" s="312" t="s">
        <v>531</v>
      </c>
      <c r="E548" s="312" t="s">
        <v>107</v>
      </c>
      <c r="F548" s="312">
        <v>1825</v>
      </c>
      <c r="G548" s="312" t="s">
        <v>108</v>
      </c>
      <c r="H548" s="312">
        <v>1827</v>
      </c>
      <c r="I548" s="312" t="s">
        <v>107</v>
      </c>
      <c r="J548" s="312">
        <v>1913</v>
      </c>
      <c r="K548" s="312" t="s">
        <v>109</v>
      </c>
    </row>
    <row r="549" spans="1:11">
      <c r="A549" s="312" t="s">
        <v>5169</v>
      </c>
      <c r="B549" s="312" t="s">
        <v>5170</v>
      </c>
      <c r="C549" s="312" t="s">
        <v>105</v>
      </c>
      <c r="D549" s="312" t="s">
        <v>531</v>
      </c>
      <c r="E549" s="312" t="s">
        <v>107</v>
      </c>
      <c r="F549" s="312">
        <v>1825</v>
      </c>
      <c r="G549" s="312" t="s">
        <v>108</v>
      </c>
      <c r="H549" s="312">
        <v>1827</v>
      </c>
      <c r="I549" s="312" t="s">
        <v>107</v>
      </c>
      <c r="J549" s="312">
        <v>1913</v>
      </c>
      <c r="K549" s="312" t="s">
        <v>109</v>
      </c>
    </row>
    <row r="550" spans="1:11">
      <c r="A550" s="312" t="s">
        <v>2134</v>
      </c>
      <c r="B550" s="312" t="s">
        <v>2135</v>
      </c>
      <c r="C550" s="312" t="s">
        <v>105</v>
      </c>
      <c r="D550" s="312" t="s">
        <v>2136</v>
      </c>
      <c r="E550" s="312" t="s">
        <v>107</v>
      </c>
      <c r="F550" s="312">
        <v>1825</v>
      </c>
      <c r="G550" s="312" t="s">
        <v>108</v>
      </c>
      <c r="H550" s="312">
        <v>1827</v>
      </c>
      <c r="I550" s="312" t="s">
        <v>107</v>
      </c>
      <c r="J550" s="312">
        <v>1913</v>
      </c>
      <c r="K550" s="312" t="s">
        <v>109</v>
      </c>
    </row>
    <row r="551" spans="1:11">
      <c r="A551" s="312" t="s">
        <v>574</v>
      </c>
      <c r="B551" s="312" t="s">
        <v>575</v>
      </c>
      <c r="C551" s="312" t="s">
        <v>105</v>
      </c>
      <c r="D551" s="312" t="s">
        <v>576</v>
      </c>
      <c r="E551" s="312" t="s">
        <v>107</v>
      </c>
      <c r="F551" s="312">
        <v>1825</v>
      </c>
      <c r="G551" s="312" t="s">
        <v>108</v>
      </c>
      <c r="H551" s="312">
        <v>1827</v>
      </c>
      <c r="I551" s="312" t="s">
        <v>107</v>
      </c>
      <c r="J551" s="312">
        <v>1913</v>
      </c>
      <c r="K551" s="312" t="s">
        <v>109</v>
      </c>
    </row>
    <row r="552" spans="1:11">
      <c r="A552" s="312" t="s">
        <v>577</v>
      </c>
      <c r="B552" s="312" t="s">
        <v>578</v>
      </c>
      <c r="C552" s="312" t="s">
        <v>105</v>
      </c>
      <c r="D552" s="312" t="s">
        <v>576</v>
      </c>
      <c r="E552" s="312" t="s">
        <v>107</v>
      </c>
      <c r="F552" s="312">
        <v>1825</v>
      </c>
      <c r="G552" s="312" t="s">
        <v>108</v>
      </c>
      <c r="H552" s="312">
        <v>1827</v>
      </c>
      <c r="I552" s="312" t="s">
        <v>107</v>
      </c>
      <c r="J552" s="312">
        <v>1913</v>
      </c>
      <c r="K552" s="312" t="s">
        <v>109</v>
      </c>
    </row>
    <row r="553" spans="1:11">
      <c r="A553" s="312" t="s">
        <v>579</v>
      </c>
      <c r="B553" s="312" t="s">
        <v>580</v>
      </c>
      <c r="C553" s="312" t="s">
        <v>105</v>
      </c>
      <c r="D553" s="312" t="s">
        <v>576</v>
      </c>
      <c r="E553" s="312" t="s">
        <v>107</v>
      </c>
      <c r="F553" s="312">
        <v>1825</v>
      </c>
      <c r="G553" s="312" t="s">
        <v>108</v>
      </c>
      <c r="H553" s="312">
        <v>1827</v>
      </c>
      <c r="I553" s="312" t="s">
        <v>107</v>
      </c>
      <c r="J553" s="312">
        <v>1913</v>
      </c>
      <c r="K553" s="312" t="s">
        <v>109</v>
      </c>
    </row>
    <row r="554" spans="1:11">
      <c r="A554" s="312" t="s">
        <v>1793</v>
      </c>
      <c r="B554" s="312" t="s">
        <v>1794</v>
      </c>
      <c r="C554" s="312" t="s">
        <v>105</v>
      </c>
      <c r="D554" s="312" t="s">
        <v>576</v>
      </c>
      <c r="E554" s="312" t="s">
        <v>696</v>
      </c>
      <c r="F554" s="312">
        <v>1736</v>
      </c>
      <c r="G554" s="312" t="s">
        <v>697</v>
      </c>
      <c r="H554" s="312">
        <v>1741</v>
      </c>
      <c r="I554" s="312" t="s">
        <v>696</v>
      </c>
      <c r="J554" s="312">
        <v>1929</v>
      </c>
      <c r="K554" s="312" t="s">
        <v>698</v>
      </c>
    </row>
    <row r="555" spans="1:11">
      <c r="A555" s="312" t="s">
        <v>1939</v>
      </c>
      <c r="B555" s="312" t="s">
        <v>1940</v>
      </c>
      <c r="C555" s="312" t="s">
        <v>105</v>
      </c>
      <c r="D555" s="312" t="s">
        <v>576</v>
      </c>
      <c r="E555" s="312" t="s">
        <v>107</v>
      </c>
      <c r="F555" s="312">
        <v>1825</v>
      </c>
      <c r="G555" s="312" t="s">
        <v>108</v>
      </c>
      <c r="H555" s="312">
        <v>1827</v>
      </c>
      <c r="I555" s="312" t="s">
        <v>107</v>
      </c>
      <c r="J555" s="312">
        <v>1913</v>
      </c>
      <c r="K555" s="312" t="s">
        <v>109</v>
      </c>
    </row>
    <row r="556" spans="1:11">
      <c r="A556" s="312" t="s">
        <v>3185</v>
      </c>
      <c r="B556" s="312" t="s">
        <v>3186</v>
      </c>
      <c r="C556" s="312" t="s">
        <v>105</v>
      </c>
      <c r="D556" s="312" t="s">
        <v>576</v>
      </c>
      <c r="E556" s="312" t="s">
        <v>107</v>
      </c>
      <c r="F556" s="312">
        <v>1825</v>
      </c>
      <c r="G556" s="312" t="s">
        <v>108</v>
      </c>
      <c r="H556" s="312">
        <v>1827</v>
      </c>
      <c r="I556" s="312" t="s">
        <v>107</v>
      </c>
      <c r="J556" s="312">
        <v>1913</v>
      </c>
      <c r="K556" s="312" t="s">
        <v>109</v>
      </c>
    </row>
    <row r="557" spans="1:11">
      <c r="A557" s="312" t="s">
        <v>3187</v>
      </c>
      <c r="B557" s="312" t="s">
        <v>3188</v>
      </c>
      <c r="C557" s="312" t="s">
        <v>105</v>
      </c>
      <c r="D557" s="312" t="s">
        <v>576</v>
      </c>
      <c r="E557" s="312" t="s">
        <v>107</v>
      </c>
      <c r="F557" s="312">
        <v>1825</v>
      </c>
      <c r="G557" s="312" t="s">
        <v>108</v>
      </c>
      <c r="H557" s="312">
        <v>1827</v>
      </c>
      <c r="I557" s="312" t="s">
        <v>107</v>
      </c>
      <c r="J557" s="312">
        <v>1913</v>
      </c>
      <c r="K557" s="312" t="s">
        <v>109</v>
      </c>
    </row>
    <row r="558" spans="1:11">
      <c r="A558" s="312" t="s">
        <v>3189</v>
      </c>
      <c r="B558" s="312" t="s">
        <v>3190</v>
      </c>
      <c r="C558" s="312" t="s">
        <v>105</v>
      </c>
      <c r="D558" s="312" t="s">
        <v>576</v>
      </c>
      <c r="E558" s="312" t="s">
        <v>107</v>
      </c>
      <c r="F558" s="312">
        <v>1825</v>
      </c>
      <c r="G558" s="312" t="s">
        <v>108</v>
      </c>
      <c r="H558" s="312">
        <v>1827</v>
      </c>
      <c r="I558" s="312" t="s">
        <v>107</v>
      </c>
      <c r="J558" s="312">
        <v>1913</v>
      </c>
      <c r="K558" s="312" t="s">
        <v>109</v>
      </c>
    </row>
    <row r="559" spans="1:11">
      <c r="A559" s="312" t="s">
        <v>3412</v>
      </c>
      <c r="B559" s="312" t="s">
        <v>3413</v>
      </c>
      <c r="C559" s="312" t="s">
        <v>105</v>
      </c>
      <c r="D559" s="312" t="s">
        <v>576</v>
      </c>
      <c r="E559" s="312" t="s">
        <v>107</v>
      </c>
      <c r="F559" s="312">
        <v>1825</v>
      </c>
      <c r="G559" s="312" t="s">
        <v>108</v>
      </c>
      <c r="H559" s="312">
        <v>1827</v>
      </c>
      <c r="I559" s="312" t="s">
        <v>107</v>
      </c>
      <c r="J559" s="312">
        <v>1913</v>
      </c>
      <c r="K559" s="312" t="s">
        <v>109</v>
      </c>
    </row>
    <row r="560" spans="1:11">
      <c r="A560" s="312" t="s">
        <v>3630</v>
      </c>
      <c r="B560" s="312" t="s">
        <v>3631</v>
      </c>
      <c r="C560" s="312" t="s">
        <v>105</v>
      </c>
      <c r="D560" s="312" t="s">
        <v>576</v>
      </c>
      <c r="E560" s="312" t="s">
        <v>107</v>
      </c>
      <c r="F560" s="312">
        <v>1825</v>
      </c>
      <c r="G560" s="312" t="s">
        <v>108</v>
      </c>
      <c r="H560" s="312">
        <v>1827</v>
      </c>
      <c r="I560" s="312" t="s">
        <v>107</v>
      </c>
      <c r="J560" s="312">
        <v>1913</v>
      </c>
      <c r="K560" s="312" t="s">
        <v>109</v>
      </c>
    </row>
    <row r="561" spans="1:11">
      <c r="A561" s="312" t="s">
        <v>4420</v>
      </c>
      <c r="B561" s="312" t="s">
        <v>4421</v>
      </c>
      <c r="C561" s="312" t="s">
        <v>105</v>
      </c>
      <c r="D561" s="312" t="s">
        <v>576</v>
      </c>
      <c r="E561" s="312" t="s">
        <v>107</v>
      </c>
      <c r="F561" s="312">
        <v>1825</v>
      </c>
      <c r="G561" s="312" t="s">
        <v>108</v>
      </c>
      <c r="H561" s="312">
        <v>1827</v>
      </c>
      <c r="I561" s="312" t="s">
        <v>107</v>
      </c>
      <c r="J561" s="312">
        <v>1913</v>
      </c>
      <c r="K561" s="312" t="s">
        <v>109</v>
      </c>
    </row>
    <row r="562" spans="1:11">
      <c r="A562" s="312" t="s">
        <v>4424</v>
      </c>
      <c r="B562" s="312" t="s">
        <v>4425</v>
      </c>
      <c r="C562" s="312" t="s">
        <v>105</v>
      </c>
      <c r="D562" s="312" t="s">
        <v>576</v>
      </c>
      <c r="E562" s="312" t="s">
        <v>107</v>
      </c>
      <c r="F562" s="312">
        <v>1825</v>
      </c>
      <c r="G562" s="312" t="s">
        <v>108</v>
      </c>
      <c r="H562" s="312">
        <v>1827</v>
      </c>
      <c r="I562" s="312" t="s">
        <v>107</v>
      </c>
      <c r="J562" s="312">
        <v>1913</v>
      </c>
      <c r="K562" s="312" t="s">
        <v>109</v>
      </c>
    </row>
    <row r="563" spans="1:11">
      <c r="A563" s="312" t="s">
        <v>4606</v>
      </c>
      <c r="B563" s="312" t="s">
        <v>4607</v>
      </c>
      <c r="C563" s="312" t="s">
        <v>105</v>
      </c>
      <c r="D563" s="312" t="s">
        <v>576</v>
      </c>
      <c r="E563" s="312" t="s">
        <v>107</v>
      </c>
      <c r="F563" s="312">
        <v>1825</v>
      </c>
      <c r="G563" s="312" t="s">
        <v>108</v>
      </c>
      <c r="H563" s="312">
        <v>1827</v>
      </c>
      <c r="I563" s="312" t="s">
        <v>107</v>
      </c>
      <c r="J563" s="312">
        <v>1913</v>
      </c>
      <c r="K563" s="312" t="s">
        <v>109</v>
      </c>
    </row>
    <row r="564" spans="1:11">
      <c r="A564" s="312" t="s">
        <v>4608</v>
      </c>
      <c r="B564" s="312" t="s">
        <v>4609</v>
      </c>
      <c r="C564" s="312" t="s">
        <v>105</v>
      </c>
      <c r="D564" s="312" t="s">
        <v>576</v>
      </c>
      <c r="E564" s="312" t="s">
        <v>107</v>
      </c>
      <c r="F564" s="312">
        <v>1825</v>
      </c>
      <c r="G564" s="312" t="s">
        <v>108</v>
      </c>
      <c r="H564" s="312">
        <v>1827</v>
      </c>
      <c r="I564" s="312" t="s">
        <v>107</v>
      </c>
      <c r="J564" s="312">
        <v>1913</v>
      </c>
      <c r="K564" s="312" t="s">
        <v>109</v>
      </c>
    </row>
    <row r="565" spans="1:11">
      <c r="A565" s="312" t="s">
        <v>5037</v>
      </c>
      <c r="B565" s="312" t="s">
        <v>5038</v>
      </c>
      <c r="C565" s="312" t="s">
        <v>105</v>
      </c>
      <c r="D565" s="312" t="s">
        <v>576</v>
      </c>
      <c r="E565" s="312" t="s">
        <v>107</v>
      </c>
      <c r="F565" s="312">
        <v>1825</v>
      </c>
      <c r="G565" s="312" t="s">
        <v>108</v>
      </c>
      <c r="H565" s="312">
        <v>1827</v>
      </c>
      <c r="I565" s="312" t="s">
        <v>107</v>
      </c>
      <c r="J565" s="312">
        <v>1913</v>
      </c>
      <c r="K565" s="312" t="s">
        <v>109</v>
      </c>
    </row>
    <row r="566" spans="1:11">
      <c r="A566" s="312" t="s">
        <v>5331</v>
      </c>
      <c r="B566" s="312" t="s">
        <v>5332</v>
      </c>
      <c r="C566" s="312" t="s">
        <v>105</v>
      </c>
      <c r="D566" s="312" t="s">
        <v>576</v>
      </c>
      <c r="E566" s="312" t="s">
        <v>107</v>
      </c>
      <c r="F566" s="312">
        <v>1825</v>
      </c>
      <c r="G566" s="312" t="s">
        <v>108</v>
      </c>
      <c r="H566" s="312">
        <v>1827</v>
      </c>
      <c r="I566" s="312" t="s">
        <v>107</v>
      </c>
      <c r="J566" s="312">
        <v>1913</v>
      </c>
      <c r="K566" s="312" t="s">
        <v>109</v>
      </c>
    </row>
    <row r="567" spans="1:11">
      <c r="A567" s="312" t="s">
        <v>5799</v>
      </c>
      <c r="B567" s="312" t="s">
        <v>5800</v>
      </c>
      <c r="C567" s="312" t="s">
        <v>105</v>
      </c>
      <c r="D567" s="312" t="s">
        <v>576</v>
      </c>
      <c r="E567" s="312" t="s">
        <v>107</v>
      </c>
      <c r="F567" s="312">
        <v>1825</v>
      </c>
      <c r="G567" s="312" t="s">
        <v>108</v>
      </c>
      <c r="H567" s="312">
        <v>1827</v>
      </c>
      <c r="I567" s="312" t="s">
        <v>107</v>
      </c>
      <c r="J567" s="312">
        <v>1913</v>
      </c>
      <c r="K567" s="312" t="s">
        <v>109</v>
      </c>
    </row>
    <row r="568" spans="1:11">
      <c r="A568" s="312" t="s">
        <v>6038</v>
      </c>
      <c r="B568" s="312" t="s">
        <v>6039</v>
      </c>
      <c r="C568" s="312" t="s">
        <v>105</v>
      </c>
      <c r="D568" s="312" t="s">
        <v>576</v>
      </c>
      <c r="E568" s="312" t="s">
        <v>107</v>
      </c>
      <c r="F568" s="312">
        <v>1825</v>
      </c>
      <c r="G568" s="312" t="s">
        <v>108</v>
      </c>
      <c r="H568" s="312">
        <v>1827</v>
      </c>
      <c r="I568" s="312" t="s">
        <v>107</v>
      </c>
      <c r="J568" s="312">
        <v>1913</v>
      </c>
      <c r="K568" s="312" t="s">
        <v>109</v>
      </c>
    </row>
    <row r="569" spans="1:11">
      <c r="A569" s="312" t="s">
        <v>6040</v>
      </c>
      <c r="B569" s="312" t="s">
        <v>6041</v>
      </c>
      <c r="C569" s="312" t="s">
        <v>105</v>
      </c>
      <c r="D569" s="312" t="s">
        <v>576</v>
      </c>
      <c r="E569" s="312" t="s">
        <v>107</v>
      </c>
      <c r="F569" s="312">
        <v>1825</v>
      </c>
      <c r="G569" s="312" t="s">
        <v>108</v>
      </c>
      <c r="H569" s="312">
        <v>1827</v>
      </c>
      <c r="I569" s="312" t="s">
        <v>107</v>
      </c>
      <c r="J569" s="312">
        <v>1913</v>
      </c>
      <c r="K569" s="312" t="s">
        <v>109</v>
      </c>
    </row>
    <row r="570" spans="1:11">
      <c r="A570" s="312" t="s">
        <v>6042</v>
      </c>
      <c r="B570" s="312" t="s">
        <v>6043</v>
      </c>
      <c r="C570" s="312" t="s">
        <v>105</v>
      </c>
      <c r="D570" s="312" t="s">
        <v>576</v>
      </c>
      <c r="E570" s="312" t="s">
        <v>107</v>
      </c>
      <c r="F570" s="312">
        <v>1825</v>
      </c>
      <c r="G570" s="312" t="s">
        <v>108</v>
      </c>
      <c r="H570" s="312">
        <v>1827</v>
      </c>
      <c r="I570" s="312" t="s">
        <v>107</v>
      </c>
      <c r="J570" s="312">
        <v>1913</v>
      </c>
      <c r="K570" s="312" t="s">
        <v>109</v>
      </c>
    </row>
    <row r="571" spans="1:11">
      <c r="A571" s="312" t="s">
        <v>1992</v>
      </c>
      <c r="B571" s="312" t="s">
        <v>1993</v>
      </c>
      <c r="C571" s="312" t="s">
        <v>105</v>
      </c>
      <c r="D571" s="312" t="s">
        <v>1994</v>
      </c>
      <c r="E571" s="312" t="s">
        <v>107</v>
      </c>
      <c r="F571" s="312">
        <v>1825</v>
      </c>
      <c r="G571" s="312" t="s">
        <v>108</v>
      </c>
      <c r="H571" s="312">
        <v>1827</v>
      </c>
      <c r="I571" s="312" t="s">
        <v>107</v>
      </c>
      <c r="J571" s="312">
        <v>1913</v>
      </c>
      <c r="K571" s="312" t="s">
        <v>109</v>
      </c>
    </row>
    <row r="572" spans="1:11">
      <c r="A572" s="312" t="s">
        <v>1995</v>
      </c>
      <c r="B572" s="312" t="s">
        <v>1996</v>
      </c>
      <c r="C572" s="312" t="s">
        <v>105</v>
      </c>
      <c r="D572" s="312" t="s">
        <v>1994</v>
      </c>
      <c r="E572" s="312" t="s">
        <v>107</v>
      </c>
      <c r="F572" s="312">
        <v>1825</v>
      </c>
      <c r="G572" s="312" t="s">
        <v>108</v>
      </c>
      <c r="H572" s="312">
        <v>1827</v>
      </c>
      <c r="I572" s="312" t="s">
        <v>107</v>
      </c>
      <c r="J572" s="312">
        <v>1913</v>
      </c>
      <c r="K572" s="312" t="s">
        <v>109</v>
      </c>
    </row>
    <row r="573" spans="1:11">
      <c r="A573" s="312" t="s">
        <v>1997</v>
      </c>
      <c r="B573" s="312" t="s">
        <v>1998</v>
      </c>
      <c r="C573" s="312" t="s">
        <v>105</v>
      </c>
      <c r="D573" s="312" t="s">
        <v>1994</v>
      </c>
      <c r="E573" s="312" t="s">
        <v>107</v>
      </c>
      <c r="F573" s="312">
        <v>1825</v>
      </c>
      <c r="G573" s="312" t="s">
        <v>108</v>
      </c>
      <c r="H573" s="312">
        <v>1827</v>
      </c>
      <c r="I573" s="312" t="s">
        <v>107</v>
      </c>
      <c r="J573" s="312">
        <v>1913</v>
      </c>
      <c r="K573" s="312" t="s">
        <v>109</v>
      </c>
    </row>
    <row r="574" spans="1:11">
      <c r="A574" s="312" t="s">
        <v>2002</v>
      </c>
      <c r="B574" s="312" t="s">
        <v>2003</v>
      </c>
      <c r="C574" s="312" t="s">
        <v>105</v>
      </c>
      <c r="D574" s="312" t="s">
        <v>1994</v>
      </c>
      <c r="E574" s="312" t="s">
        <v>107</v>
      </c>
      <c r="F574" s="312">
        <v>1825</v>
      </c>
      <c r="G574" s="312" t="s">
        <v>108</v>
      </c>
      <c r="H574" s="312">
        <v>1827</v>
      </c>
      <c r="I574" s="312" t="s">
        <v>107</v>
      </c>
      <c r="J574" s="312">
        <v>1913</v>
      </c>
      <c r="K574" s="312" t="s">
        <v>109</v>
      </c>
    </row>
    <row r="575" spans="1:11">
      <c r="A575" s="312" t="s">
        <v>2061</v>
      </c>
      <c r="B575" s="312" t="s">
        <v>2062</v>
      </c>
      <c r="C575" s="312" t="s">
        <v>105</v>
      </c>
      <c r="D575" s="312" t="s">
        <v>1994</v>
      </c>
      <c r="E575" s="312" t="s">
        <v>107</v>
      </c>
      <c r="F575" s="312">
        <v>1825</v>
      </c>
      <c r="G575" s="312" t="s">
        <v>108</v>
      </c>
      <c r="H575" s="312">
        <v>1827</v>
      </c>
      <c r="I575" s="312" t="s">
        <v>107</v>
      </c>
      <c r="J575" s="312">
        <v>1913</v>
      </c>
      <c r="K575" s="312" t="s">
        <v>109</v>
      </c>
    </row>
    <row r="576" spans="1:11">
      <c r="A576" s="312" t="s">
        <v>4528</v>
      </c>
      <c r="B576" s="312" t="s">
        <v>4529</v>
      </c>
      <c r="C576" s="312" t="s">
        <v>105</v>
      </c>
      <c r="D576" s="312" t="s">
        <v>1994</v>
      </c>
      <c r="E576" s="312" t="s">
        <v>107</v>
      </c>
      <c r="F576" s="312">
        <v>1825</v>
      </c>
      <c r="G576" s="312" t="s">
        <v>108</v>
      </c>
      <c r="H576" s="312">
        <v>1827</v>
      </c>
      <c r="I576" s="312" t="s">
        <v>107</v>
      </c>
      <c r="J576" s="312">
        <v>1913</v>
      </c>
      <c r="K576" s="312" t="s">
        <v>109</v>
      </c>
    </row>
    <row r="577" spans="1:11">
      <c r="A577" s="312" t="s">
        <v>5063</v>
      </c>
      <c r="B577" s="312" t="s">
        <v>5064</v>
      </c>
      <c r="C577" s="312" t="s">
        <v>105</v>
      </c>
      <c r="D577" s="312" t="s">
        <v>1994</v>
      </c>
      <c r="E577" s="312" t="s">
        <v>107</v>
      </c>
      <c r="F577" s="312">
        <v>1825</v>
      </c>
      <c r="G577" s="312" t="s">
        <v>108</v>
      </c>
      <c r="H577" s="312">
        <v>1827</v>
      </c>
      <c r="I577" s="312" t="s">
        <v>107</v>
      </c>
      <c r="J577" s="312">
        <v>1913</v>
      </c>
      <c r="K577" s="312" t="s">
        <v>109</v>
      </c>
    </row>
    <row r="578" spans="1:11">
      <c r="A578" s="312" t="s">
        <v>5300</v>
      </c>
      <c r="B578" s="312" t="s">
        <v>5301</v>
      </c>
      <c r="C578" s="312" t="s">
        <v>105</v>
      </c>
      <c r="D578" s="312" t="s">
        <v>1994</v>
      </c>
      <c r="E578" s="312" t="s">
        <v>107</v>
      </c>
      <c r="F578" s="312">
        <v>1825</v>
      </c>
      <c r="G578" s="312" t="s">
        <v>108</v>
      </c>
      <c r="H578" s="312">
        <v>1827</v>
      </c>
      <c r="I578" s="312" t="s">
        <v>107</v>
      </c>
      <c r="J578" s="312">
        <v>1913</v>
      </c>
      <c r="K578" s="312" t="s">
        <v>109</v>
      </c>
    </row>
    <row r="579" spans="1:11">
      <c r="A579" s="312" t="s">
        <v>5302</v>
      </c>
      <c r="B579" s="312" t="s">
        <v>5303</v>
      </c>
      <c r="C579" s="312" t="s">
        <v>105</v>
      </c>
      <c r="D579" s="312" t="s">
        <v>1994</v>
      </c>
      <c r="E579" s="312" t="s">
        <v>107</v>
      </c>
      <c r="F579" s="312">
        <v>1825</v>
      </c>
      <c r="G579" s="312" t="s">
        <v>108</v>
      </c>
      <c r="H579" s="312">
        <v>1827</v>
      </c>
      <c r="I579" s="312" t="s">
        <v>107</v>
      </c>
      <c r="J579" s="312">
        <v>1913</v>
      </c>
      <c r="K579" s="312" t="s">
        <v>109</v>
      </c>
    </row>
    <row r="580" spans="1:11">
      <c r="A580" s="312" t="s">
        <v>6197</v>
      </c>
      <c r="B580" s="312" t="s">
        <v>6198</v>
      </c>
      <c r="C580" s="312" t="s">
        <v>105</v>
      </c>
      <c r="D580" s="312" t="s">
        <v>1994</v>
      </c>
      <c r="E580" s="312" t="s">
        <v>107</v>
      </c>
      <c r="F580" s="312">
        <v>1825</v>
      </c>
      <c r="G580" s="312" t="s">
        <v>108</v>
      </c>
      <c r="H580" s="312">
        <v>1827</v>
      </c>
      <c r="I580" s="312" t="s">
        <v>107</v>
      </c>
      <c r="J580" s="312">
        <v>1913</v>
      </c>
      <c r="K580" s="312" t="s">
        <v>109</v>
      </c>
    </row>
    <row r="581" spans="1:11">
      <c r="A581" s="312" t="s">
        <v>6199</v>
      </c>
      <c r="B581" s="312" t="s">
        <v>6200</v>
      </c>
      <c r="C581" s="312" t="s">
        <v>105</v>
      </c>
      <c r="D581" s="312" t="s">
        <v>1994</v>
      </c>
      <c r="E581" s="312" t="s">
        <v>107</v>
      </c>
      <c r="F581" s="312">
        <v>1825</v>
      </c>
      <c r="G581" s="312" t="s">
        <v>108</v>
      </c>
      <c r="H581" s="312">
        <v>1827</v>
      </c>
      <c r="I581" s="312" t="s">
        <v>107</v>
      </c>
      <c r="J581" s="312">
        <v>1913</v>
      </c>
      <c r="K581" s="312" t="s">
        <v>109</v>
      </c>
    </row>
    <row r="582" spans="1:11">
      <c r="A582" s="312" t="s">
        <v>6201</v>
      </c>
      <c r="B582" s="312" t="s">
        <v>6202</v>
      </c>
      <c r="C582" s="312" t="s">
        <v>105</v>
      </c>
      <c r="D582" s="312" t="s">
        <v>1994</v>
      </c>
      <c r="E582" s="312" t="s">
        <v>107</v>
      </c>
      <c r="F582" s="312">
        <v>1825</v>
      </c>
      <c r="G582" s="312" t="s">
        <v>108</v>
      </c>
      <c r="H582" s="312">
        <v>1827</v>
      </c>
      <c r="I582" s="312" t="s">
        <v>107</v>
      </c>
      <c r="J582" s="312">
        <v>1913</v>
      </c>
      <c r="K582" s="312" t="s">
        <v>109</v>
      </c>
    </row>
    <row r="583" spans="1:11">
      <c r="A583" s="312" t="s">
        <v>6203</v>
      </c>
      <c r="B583" s="312" t="s">
        <v>6204</v>
      </c>
      <c r="C583" s="312" t="s">
        <v>105</v>
      </c>
      <c r="D583" s="312" t="s">
        <v>1994</v>
      </c>
      <c r="E583" s="312" t="s">
        <v>107</v>
      </c>
      <c r="F583" s="312">
        <v>1825</v>
      </c>
      <c r="G583" s="312" t="s">
        <v>108</v>
      </c>
      <c r="H583" s="312">
        <v>1827</v>
      </c>
      <c r="I583" s="312" t="s">
        <v>107</v>
      </c>
      <c r="J583" s="312">
        <v>1913</v>
      </c>
      <c r="K583" s="312" t="s">
        <v>109</v>
      </c>
    </row>
    <row r="584" spans="1:11">
      <c r="A584" s="312" t="s">
        <v>5292</v>
      </c>
      <c r="B584" s="312" t="s">
        <v>5293</v>
      </c>
      <c r="C584" s="312" t="s">
        <v>105</v>
      </c>
      <c r="D584" s="312" t="s">
        <v>5294</v>
      </c>
      <c r="E584" s="312" t="s">
        <v>107</v>
      </c>
      <c r="F584" s="312">
        <v>1825</v>
      </c>
      <c r="G584" s="312" t="s">
        <v>108</v>
      </c>
      <c r="H584" s="312">
        <v>1827</v>
      </c>
      <c r="I584" s="312" t="s">
        <v>107</v>
      </c>
      <c r="J584" s="312">
        <v>1913</v>
      </c>
      <c r="K584" s="312" t="s">
        <v>109</v>
      </c>
    </row>
    <row r="585" spans="1:11">
      <c r="A585" s="312" t="s">
        <v>5295</v>
      </c>
      <c r="B585" s="312" t="s">
        <v>5296</v>
      </c>
      <c r="C585" s="312" t="s">
        <v>105</v>
      </c>
      <c r="D585" s="312" t="s">
        <v>5294</v>
      </c>
      <c r="E585" s="312" t="s">
        <v>107</v>
      </c>
      <c r="F585" s="312">
        <v>1825</v>
      </c>
      <c r="G585" s="312" t="s">
        <v>108</v>
      </c>
      <c r="H585" s="312">
        <v>1827</v>
      </c>
      <c r="I585" s="312" t="s">
        <v>107</v>
      </c>
      <c r="J585" s="312">
        <v>1913</v>
      </c>
      <c r="K585" s="312" t="s">
        <v>109</v>
      </c>
    </row>
    <row r="586" spans="1:11">
      <c r="A586" s="312" t="s">
        <v>5304</v>
      </c>
      <c r="B586" s="312" t="s">
        <v>5305</v>
      </c>
      <c r="C586" s="312" t="s">
        <v>105</v>
      </c>
      <c r="D586" s="312" t="s">
        <v>5294</v>
      </c>
      <c r="E586" s="312" t="s">
        <v>107</v>
      </c>
      <c r="F586" s="312">
        <v>1825</v>
      </c>
      <c r="G586" s="312" t="s">
        <v>108</v>
      </c>
      <c r="H586" s="312">
        <v>1827</v>
      </c>
      <c r="I586" s="312" t="s">
        <v>107</v>
      </c>
      <c r="J586" s="312">
        <v>1913</v>
      </c>
      <c r="K586" s="312" t="s">
        <v>109</v>
      </c>
    </row>
    <row r="587" spans="1:11">
      <c r="A587" s="312" t="s">
        <v>5306</v>
      </c>
      <c r="B587" s="312" t="s">
        <v>5307</v>
      </c>
      <c r="C587" s="312" t="s">
        <v>105</v>
      </c>
      <c r="D587" s="312" t="s">
        <v>5294</v>
      </c>
      <c r="E587" s="312" t="s">
        <v>107</v>
      </c>
      <c r="F587" s="312">
        <v>1825</v>
      </c>
      <c r="G587" s="312" t="s">
        <v>108</v>
      </c>
      <c r="H587" s="312">
        <v>1827</v>
      </c>
      <c r="I587" s="312" t="s">
        <v>107</v>
      </c>
      <c r="J587" s="312">
        <v>1913</v>
      </c>
      <c r="K587" s="312" t="s">
        <v>109</v>
      </c>
    </row>
    <row r="588" spans="1:11">
      <c r="A588" s="312" t="s">
        <v>6020</v>
      </c>
      <c r="B588" s="312" t="s">
        <v>6021</v>
      </c>
      <c r="C588" s="312" t="s">
        <v>105</v>
      </c>
      <c r="D588" s="312" t="s">
        <v>5294</v>
      </c>
      <c r="E588" s="312" t="s">
        <v>107</v>
      </c>
      <c r="F588" s="312">
        <v>1825</v>
      </c>
      <c r="G588" s="312" t="s">
        <v>108</v>
      </c>
      <c r="H588" s="312">
        <v>1827</v>
      </c>
      <c r="I588" s="312" t="s">
        <v>107</v>
      </c>
      <c r="J588" s="312">
        <v>1913</v>
      </c>
      <c r="K588" s="312" t="s">
        <v>109</v>
      </c>
    </row>
    <row r="589" spans="1:11">
      <c r="A589" s="312" t="s">
        <v>608</v>
      </c>
      <c r="B589" s="312" t="s">
        <v>609</v>
      </c>
      <c r="C589" s="312" t="s">
        <v>105</v>
      </c>
      <c r="D589" s="312" t="s">
        <v>610</v>
      </c>
      <c r="E589" s="312" t="s">
        <v>107</v>
      </c>
      <c r="F589" s="312">
        <v>1825</v>
      </c>
      <c r="G589" s="312" t="s">
        <v>108</v>
      </c>
      <c r="H589" s="312">
        <v>1827</v>
      </c>
      <c r="I589" s="312" t="s">
        <v>107</v>
      </c>
      <c r="J589" s="312">
        <v>1913</v>
      </c>
      <c r="K589" s="312" t="s">
        <v>109</v>
      </c>
    </row>
    <row r="590" spans="1:11">
      <c r="A590" s="312" t="s">
        <v>740</v>
      </c>
      <c r="B590" s="312" t="s">
        <v>741</v>
      </c>
      <c r="C590" s="312" t="s">
        <v>105</v>
      </c>
      <c r="D590" s="312" t="s">
        <v>610</v>
      </c>
      <c r="E590" s="312" t="s">
        <v>107</v>
      </c>
      <c r="F590" s="312">
        <v>1825</v>
      </c>
      <c r="G590" s="312" t="s">
        <v>108</v>
      </c>
      <c r="H590" s="312">
        <v>1827</v>
      </c>
      <c r="I590" s="312" t="s">
        <v>107</v>
      </c>
      <c r="J590" s="312">
        <v>1913</v>
      </c>
      <c r="K590" s="312" t="s">
        <v>109</v>
      </c>
    </row>
    <row r="591" spans="1:11">
      <c r="A591" s="312" t="s">
        <v>742</v>
      </c>
      <c r="B591" s="312" t="s">
        <v>743</v>
      </c>
      <c r="C591" s="312" t="s">
        <v>105</v>
      </c>
      <c r="D591" s="312" t="s">
        <v>610</v>
      </c>
      <c r="E591" s="312" t="s">
        <v>107</v>
      </c>
      <c r="F591" s="312">
        <v>1825</v>
      </c>
      <c r="G591" s="312" t="s">
        <v>108</v>
      </c>
      <c r="H591" s="312">
        <v>1827</v>
      </c>
      <c r="I591" s="312" t="s">
        <v>107</v>
      </c>
      <c r="J591" s="312">
        <v>1913</v>
      </c>
      <c r="K591" s="312" t="s">
        <v>109</v>
      </c>
    </row>
    <row r="592" spans="1:11">
      <c r="A592" s="312" t="s">
        <v>1392</v>
      </c>
      <c r="B592" s="312" t="s">
        <v>1393</v>
      </c>
      <c r="C592" s="312" t="s">
        <v>105</v>
      </c>
      <c r="D592" s="312" t="s">
        <v>610</v>
      </c>
      <c r="E592" s="312" t="s">
        <v>107</v>
      </c>
      <c r="F592" s="312">
        <v>1825</v>
      </c>
      <c r="G592" s="312" t="s">
        <v>108</v>
      </c>
      <c r="H592" s="312">
        <v>1827</v>
      </c>
      <c r="I592" s="312" t="s">
        <v>107</v>
      </c>
      <c r="J592" s="312">
        <v>1913</v>
      </c>
      <c r="K592" s="312" t="s">
        <v>109</v>
      </c>
    </row>
    <row r="593" spans="1:11">
      <c r="A593" s="312" t="s">
        <v>2020</v>
      </c>
      <c r="B593" s="312" t="s">
        <v>2021</v>
      </c>
      <c r="C593" s="312" t="s">
        <v>105</v>
      </c>
      <c r="D593" s="312" t="s">
        <v>610</v>
      </c>
      <c r="E593" s="312" t="s">
        <v>107</v>
      </c>
      <c r="F593" s="312">
        <v>1825</v>
      </c>
      <c r="G593" s="312" t="s">
        <v>108</v>
      </c>
      <c r="H593" s="312">
        <v>1827</v>
      </c>
      <c r="I593" s="312" t="s">
        <v>107</v>
      </c>
      <c r="J593" s="312">
        <v>1913</v>
      </c>
      <c r="K593" s="312" t="s">
        <v>109</v>
      </c>
    </row>
    <row r="594" spans="1:11">
      <c r="A594" s="312" t="s">
        <v>2022</v>
      </c>
      <c r="B594" s="312" t="s">
        <v>2023</v>
      </c>
      <c r="C594" s="312" t="s">
        <v>105</v>
      </c>
      <c r="D594" s="312" t="s">
        <v>610</v>
      </c>
      <c r="E594" s="312" t="s">
        <v>107</v>
      </c>
      <c r="F594" s="312">
        <v>1825</v>
      </c>
      <c r="G594" s="312" t="s">
        <v>108</v>
      </c>
      <c r="H594" s="312">
        <v>1827</v>
      </c>
      <c r="I594" s="312" t="s">
        <v>107</v>
      </c>
      <c r="J594" s="312">
        <v>1913</v>
      </c>
      <c r="K594" s="312" t="s">
        <v>109</v>
      </c>
    </row>
    <row r="595" spans="1:11">
      <c r="A595" s="312" t="s">
        <v>3285</v>
      </c>
      <c r="B595" s="312" t="s">
        <v>3286</v>
      </c>
      <c r="C595" s="312" t="s">
        <v>105</v>
      </c>
      <c r="D595" s="312" t="s">
        <v>610</v>
      </c>
      <c r="E595" s="312" t="s">
        <v>107</v>
      </c>
      <c r="F595" s="312">
        <v>1825</v>
      </c>
      <c r="G595" s="312" t="s">
        <v>108</v>
      </c>
      <c r="H595" s="312">
        <v>1827</v>
      </c>
      <c r="I595" s="312" t="s">
        <v>107</v>
      </c>
      <c r="J595" s="312">
        <v>1913</v>
      </c>
      <c r="K595" s="312" t="s">
        <v>109</v>
      </c>
    </row>
    <row r="596" spans="1:11">
      <c r="A596" s="312" t="s">
        <v>4639</v>
      </c>
      <c r="B596" s="312" t="s">
        <v>4640</v>
      </c>
      <c r="C596" s="312" t="s">
        <v>105</v>
      </c>
      <c r="D596" s="312" t="s">
        <v>610</v>
      </c>
      <c r="E596" s="312" t="s">
        <v>107</v>
      </c>
      <c r="F596" s="312">
        <v>1825</v>
      </c>
      <c r="G596" s="312" t="s">
        <v>108</v>
      </c>
      <c r="H596" s="312">
        <v>1827</v>
      </c>
      <c r="I596" s="312" t="s">
        <v>107</v>
      </c>
      <c r="J596" s="312">
        <v>1913</v>
      </c>
      <c r="K596" s="312" t="s">
        <v>109</v>
      </c>
    </row>
    <row r="597" spans="1:11">
      <c r="A597" s="312" t="s">
        <v>5297</v>
      </c>
      <c r="B597" s="312" t="s">
        <v>5298</v>
      </c>
      <c r="C597" s="312" t="s">
        <v>105</v>
      </c>
      <c r="D597" s="312" t="s">
        <v>5299</v>
      </c>
      <c r="E597" s="312" t="s">
        <v>107</v>
      </c>
      <c r="F597" s="312">
        <v>1825</v>
      </c>
      <c r="G597" s="312" t="s">
        <v>108</v>
      </c>
      <c r="H597" s="312">
        <v>1827</v>
      </c>
      <c r="I597" s="312" t="s">
        <v>107</v>
      </c>
      <c r="J597" s="312">
        <v>1913</v>
      </c>
      <c r="K597" s="312" t="s">
        <v>109</v>
      </c>
    </row>
    <row r="598" spans="1:11">
      <c r="A598" s="312" t="s">
        <v>2066</v>
      </c>
      <c r="B598" s="312" t="s">
        <v>2067</v>
      </c>
      <c r="C598" s="312" t="s">
        <v>105</v>
      </c>
      <c r="D598" s="312" t="s">
        <v>2068</v>
      </c>
      <c r="E598" s="312" t="s">
        <v>107</v>
      </c>
      <c r="F598" s="312">
        <v>1825</v>
      </c>
      <c r="G598" s="312" t="s">
        <v>108</v>
      </c>
      <c r="H598" s="312">
        <v>1827</v>
      </c>
      <c r="I598" s="312" t="s">
        <v>107</v>
      </c>
      <c r="J598" s="312">
        <v>1913</v>
      </c>
      <c r="K598" s="312" t="s">
        <v>109</v>
      </c>
    </row>
    <row r="599" spans="1:11">
      <c r="A599" s="312" t="s">
        <v>4135</v>
      </c>
      <c r="B599" s="312" t="s">
        <v>4136</v>
      </c>
      <c r="C599" s="312" t="s">
        <v>105</v>
      </c>
      <c r="D599" s="312" t="s">
        <v>2068</v>
      </c>
      <c r="E599" s="312" t="s">
        <v>107</v>
      </c>
      <c r="F599" s="312">
        <v>1825</v>
      </c>
      <c r="G599" s="312" t="s">
        <v>108</v>
      </c>
      <c r="H599" s="312">
        <v>1827</v>
      </c>
      <c r="I599" s="312" t="s">
        <v>107</v>
      </c>
      <c r="J599" s="312">
        <v>1913</v>
      </c>
      <c r="K599" s="312" t="s">
        <v>109</v>
      </c>
    </row>
    <row r="600" spans="1:11">
      <c r="A600" s="312" t="s">
        <v>565</v>
      </c>
      <c r="B600" s="312" t="s">
        <v>566</v>
      </c>
      <c r="C600" s="312" t="s">
        <v>105</v>
      </c>
      <c r="D600" s="312" t="s">
        <v>567</v>
      </c>
      <c r="E600" s="312" t="s">
        <v>107</v>
      </c>
      <c r="F600" s="312">
        <v>1825</v>
      </c>
      <c r="G600" s="312" t="s">
        <v>108</v>
      </c>
      <c r="H600" s="312">
        <v>1827</v>
      </c>
      <c r="I600" s="312" t="s">
        <v>107</v>
      </c>
      <c r="J600" s="312">
        <v>1913</v>
      </c>
      <c r="K600" s="312" t="s">
        <v>109</v>
      </c>
    </row>
    <row r="601" spans="1:11">
      <c r="A601" s="312" t="s">
        <v>4318</v>
      </c>
      <c r="B601" s="312" t="s">
        <v>4319</v>
      </c>
      <c r="C601" s="312" t="s">
        <v>105</v>
      </c>
      <c r="D601" s="312" t="s">
        <v>567</v>
      </c>
      <c r="E601" s="312" t="s">
        <v>886</v>
      </c>
      <c r="F601" s="312">
        <v>1857</v>
      </c>
      <c r="G601" s="312" t="s">
        <v>887</v>
      </c>
      <c r="H601" s="312">
        <v>1858</v>
      </c>
      <c r="I601" s="312" t="s">
        <v>886</v>
      </c>
      <c r="J601" s="312">
        <v>1924</v>
      </c>
      <c r="K601" s="312" t="s">
        <v>888</v>
      </c>
    </row>
    <row r="602" spans="1:11">
      <c r="A602" s="312" t="s">
        <v>4320</v>
      </c>
      <c r="B602" s="312" t="s">
        <v>4321</v>
      </c>
      <c r="C602" s="312" t="s">
        <v>105</v>
      </c>
      <c r="D602" s="312" t="s">
        <v>567</v>
      </c>
      <c r="E602" s="312" t="s">
        <v>886</v>
      </c>
      <c r="F602" s="312">
        <v>1857</v>
      </c>
      <c r="G602" s="312" t="s">
        <v>887</v>
      </c>
      <c r="H602" s="312">
        <v>1858</v>
      </c>
      <c r="I602" s="312" t="s">
        <v>886</v>
      </c>
      <c r="J602" s="312">
        <v>1924</v>
      </c>
      <c r="K602" s="312" t="s">
        <v>888</v>
      </c>
    </row>
    <row r="603" spans="1:11">
      <c r="A603" s="312" t="s">
        <v>4555</v>
      </c>
      <c r="B603" s="312" t="s">
        <v>4556</v>
      </c>
      <c r="C603" s="312" t="s">
        <v>105</v>
      </c>
      <c r="D603" s="312" t="s">
        <v>567</v>
      </c>
      <c r="E603" s="312" t="s">
        <v>684</v>
      </c>
      <c r="F603" s="312">
        <v>1750</v>
      </c>
      <c r="G603" s="312" t="s">
        <v>685</v>
      </c>
      <c r="H603" s="312">
        <v>1754</v>
      </c>
      <c r="I603" s="312" t="s">
        <v>684</v>
      </c>
      <c r="J603" s="312">
        <v>1920</v>
      </c>
      <c r="K603" s="312" t="s">
        <v>686</v>
      </c>
    </row>
    <row r="604" spans="1:11">
      <c r="A604" s="312" t="s">
        <v>4559</v>
      </c>
      <c r="B604" s="312" t="s">
        <v>4560</v>
      </c>
      <c r="C604" s="312" t="s">
        <v>105</v>
      </c>
      <c r="D604" s="312" t="s">
        <v>567</v>
      </c>
      <c r="E604" s="312" t="s">
        <v>684</v>
      </c>
      <c r="F604" s="312">
        <v>1750</v>
      </c>
      <c r="G604" s="312" t="s">
        <v>685</v>
      </c>
      <c r="H604" s="312">
        <v>1754</v>
      </c>
      <c r="I604" s="312" t="s">
        <v>684</v>
      </c>
      <c r="J604" s="312">
        <v>1920</v>
      </c>
      <c r="K604" s="312" t="s">
        <v>686</v>
      </c>
    </row>
    <row r="605" spans="1:11">
      <c r="A605" s="312" t="s">
        <v>4645</v>
      </c>
      <c r="B605" s="312" t="s">
        <v>4646</v>
      </c>
      <c r="C605" s="312" t="s">
        <v>105</v>
      </c>
      <c r="D605" s="312" t="s">
        <v>567</v>
      </c>
      <c r="E605" s="312" t="s">
        <v>107</v>
      </c>
      <c r="F605" s="312">
        <v>1825</v>
      </c>
      <c r="G605" s="312" t="s">
        <v>108</v>
      </c>
      <c r="H605" s="312">
        <v>1827</v>
      </c>
      <c r="I605" s="312" t="s">
        <v>107</v>
      </c>
      <c r="J605" s="312">
        <v>1913</v>
      </c>
      <c r="K605" s="312" t="s">
        <v>109</v>
      </c>
    </row>
    <row r="606" spans="1:11">
      <c r="A606" s="312" t="s">
        <v>4647</v>
      </c>
      <c r="B606" s="312" t="s">
        <v>4648</v>
      </c>
      <c r="C606" s="312" t="s">
        <v>105</v>
      </c>
      <c r="D606" s="312" t="s">
        <v>567</v>
      </c>
      <c r="E606" s="312" t="s">
        <v>107</v>
      </c>
      <c r="F606" s="312">
        <v>1825</v>
      </c>
      <c r="G606" s="312" t="s">
        <v>108</v>
      </c>
      <c r="H606" s="312">
        <v>1827</v>
      </c>
      <c r="I606" s="312" t="s">
        <v>107</v>
      </c>
      <c r="J606" s="312">
        <v>1913</v>
      </c>
      <c r="K606" s="312" t="s">
        <v>109</v>
      </c>
    </row>
    <row r="607" spans="1:11">
      <c r="A607" s="312" t="s">
        <v>4669</v>
      </c>
      <c r="B607" s="312" t="s">
        <v>4670</v>
      </c>
      <c r="C607" s="312" t="s">
        <v>105</v>
      </c>
      <c r="D607" s="312" t="s">
        <v>567</v>
      </c>
      <c r="E607" s="312" t="s">
        <v>684</v>
      </c>
      <c r="F607" s="312">
        <v>1750</v>
      </c>
      <c r="G607" s="312" t="s">
        <v>685</v>
      </c>
      <c r="H607" s="312">
        <v>1754</v>
      </c>
      <c r="I607" s="312" t="s">
        <v>684</v>
      </c>
      <c r="J607" s="312">
        <v>1920</v>
      </c>
      <c r="K607" s="312" t="s">
        <v>686</v>
      </c>
    </row>
    <row r="608" spans="1:11">
      <c r="A608" s="312" t="s">
        <v>4671</v>
      </c>
      <c r="B608" s="312" t="s">
        <v>4672</v>
      </c>
      <c r="C608" s="312" t="s">
        <v>105</v>
      </c>
      <c r="D608" s="312" t="s">
        <v>567</v>
      </c>
      <c r="E608" s="312" t="s">
        <v>684</v>
      </c>
      <c r="F608" s="312">
        <v>1750</v>
      </c>
      <c r="G608" s="312" t="s">
        <v>685</v>
      </c>
      <c r="H608" s="312">
        <v>1754</v>
      </c>
      <c r="I608" s="312" t="s">
        <v>684</v>
      </c>
      <c r="J608" s="312">
        <v>1920</v>
      </c>
      <c r="K608" s="312" t="s">
        <v>686</v>
      </c>
    </row>
    <row r="609" spans="1:11">
      <c r="A609" s="312" t="s">
        <v>4673</v>
      </c>
      <c r="B609" s="312" t="s">
        <v>4674</v>
      </c>
      <c r="C609" s="312" t="s">
        <v>105</v>
      </c>
      <c r="D609" s="312" t="s">
        <v>567</v>
      </c>
      <c r="E609" s="312" t="s">
        <v>684</v>
      </c>
      <c r="F609" s="312">
        <v>1750</v>
      </c>
      <c r="G609" s="312" t="s">
        <v>685</v>
      </c>
      <c r="H609" s="312">
        <v>1754</v>
      </c>
      <c r="I609" s="312" t="s">
        <v>684</v>
      </c>
      <c r="J609" s="312">
        <v>1920</v>
      </c>
      <c r="K609" s="312" t="s">
        <v>686</v>
      </c>
    </row>
    <row r="610" spans="1:11">
      <c r="A610" s="312" t="s">
        <v>4675</v>
      </c>
      <c r="B610" s="312" t="s">
        <v>4676</v>
      </c>
      <c r="C610" s="312" t="s">
        <v>105</v>
      </c>
      <c r="D610" s="312" t="s">
        <v>567</v>
      </c>
      <c r="E610" s="312" t="s">
        <v>684</v>
      </c>
      <c r="F610" s="312">
        <v>1750</v>
      </c>
      <c r="G610" s="312" t="s">
        <v>685</v>
      </c>
      <c r="H610" s="312">
        <v>1754</v>
      </c>
      <c r="I610" s="312" t="s">
        <v>684</v>
      </c>
      <c r="J610" s="312">
        <v>1920</v>
      </c>
      <c r="K610" s="312" t="s">
        <v>686</v>
      </c>
    </row>
    <row r="611" spans="1:11">
      <c r="A611" s="312" t="s">
        <v>4677</v>
      </c>
      <c r="B611" s="312" t="s">
        <v>4678</v>
      </c>
      <c r="C611" s="312" t="s">
        <v>105</v>
      </c>
      <c r="D611" s="312" t="s">
        <v>567</v>
      </c>
      <c r="E611" s="312" t="s">
        <v>684</v>
      </c>
      <c r="F611" s="312">
        <v>1750</v>
      </c>
      <c r="G611" s="312" t="s">
        <v>685</v>
      </c>
      <c r="H611" s="312">
        <v>1754</v>
      </c>
      <c r="I611" s="312" t="s">
        <v>684</v>
      </c>
      <c r="J611" s="312">
        <v>1920</v>
      </c>
      <c r="K611" s="312" t="s">
        <v>686</v>
      </c>
    </row>
    <row r="612" spans="1:11">
      <c r="A612" s="312" t="s">
        <v>4679</v>
      </c>
      <c r="B612" s="312" t="s">
        <v>4680</v>
      </c>
      <c r="C612" s="312" t="s">
        <v>105</v>
      </c>
      <c r="D612" s="312" t="s">
        <v>567</v>
      </c>
      <c r="E612" s="312" t="s">
        <v>684</v>
      </c>
      <c r="F612" s="312">
        <v>1750</v>
      </c>
      <c r="G612" s="312" t="s">
        <v>685</v>
      </c>
      <c r="H612" s="312">
        <v>1754</v>
      </c>
      <c r="I612" s="312" t="s">
        <v>684</v>
      </c>
      <c r="J612" s="312">
        <v>1920</v>
      </c>
      <c r="K612" s="312" t="s">
        <v>686</v>
      </c>
    </row>
    <row r="613" spans="1:11">
      <c r="A613" s="312" t="s">
        <v>4681</v>
      </c>
      <c r="B613" s="312" t="s">
        <v>4682</v>
      </c>
      <c r="C613" s="312" t="s">
        <v>105</v>
      </c>
      <c r="D613" s="312" t="s">
        <v>567</v>
      </c>
      <c r="E613" s="312" t="s">
        <v>684</v>
      </c>
      <c r="F613" s="312">
        <v>1750</v>
      </c>
      <c r="G613" s="312" t="s">
        <v>685</v>
      </c>
      <c r="H613" s="312">
        <v>1754</v>
      </c>
      <c r="I613" s="312" t="s">
        <v>684</v>
      </c>
      <c r="J613" s="312">
        <v>1920</v>
      </c>
      <c r="K613" s="312" t="s">
        <v>686</v>
      </c>
    </row>
    <row r="614" spans="1:11">
      <c r="A614" s="312" t="s">
        <v>4683</v>
      </c>
      <c r="B614" s="312" t="s">
        <v>4684</v>
      </c>
      <c r="C614" s="312" t="s">
        <v>105</v>
      </c>
      <c r="D614" s="312" t="s">
        <v>567</v>
      </c>
      <c r="E614" s="312" t="s">
        <v>684</v>
      </c>
      <c r="F614" s="312">
        <v>1750</v>
      </c>
      <c r="G614" s="312" t="s">
        <v>685</v>
      </c>
      <c r="H614" s="312">
        <v>1754</v>
      </c>
      <c r="I614" s="312" t="s">
        <v>684</v>
      </c>
      <c r="J614" s="312">
        <v>1920</v>
      </c>
      <c r="K614" s="312" t="s">
        <v>686</v>
      </c>
    </row>
    <row r="615" spans="1:11">
      <c r="A615" s="312" t="s">
        <v>4685</v>
      </c>
      <c r="B615" s="312" t="s">
        <v>4686</v>
      </c>
      <c r="C615" s="312" t="s">
        <v>105</v>
      </c>
      <c r="D615" s="312" t="s">
        <v>567</v>
      </c>
      <c r="E615" s="312" t="s">
        <v>684</v>
      </c>
      <c r="F615" s="312">
        <v>1750</v>
      </c>
      <c r="G615" s="312" t="s">
        <v>685</v>
      </c>
      <c r="H615" s="312">
        <v>1754</v>
      </c>
      <c r="I615" s="312" t="s">
        <v>684</v>
      </c>
      <c r="J615" s="312">
        <v>1920</v>
      </c>
      <c r="K615" s="312" t="s">
        <v>686</v>
      </c>
    </row>
    <row r="616" spans="1:11">
      <c r="A616" s="312" t="s">
        <v>4687</v>
      </c>
      <c r="B616" s="312" t="s">
        <v>4688</v>
      </c>
      <c r="C616" s="312" t="s">
        <v>105</v>
      </c>
      <c r="D616" s="312" t="s">
        <v>567</v>
      </c>
      <c r="E616" s="312" t="s">
        <v>684</v>
      </c>
      <c r="F616" s="312">
        <v>1750</v>
      </c>
      <c r="G616" s="312" t="s">
        <v>685</v>
      </c>
      <c r="H616" s="312">
        <v>1754</v>
      </c>
      <c r="I616" s="312" t="s">
        <v>684</v>
      </c>
      <c r="J616" s="312">
        <v>1920</v>
      </c>
      <c r="K616" s="312" t="s">
        <v>686</v>
      </c>
    </row>
    <row r="617" spans="1:11">
      <c r="A617" s="312" t="s">
        <v>4689</v>
      </c>
      <c r="B617" s="312" t="s">
        <v>4690</v>
      </c>
      <c r="C617" s="312" t="s">
        <v>105</v>
      </c>
      <c r="D617" s="312" t="s">
        <v>567</v>
      </c>
      <c r="E617" s="312" t="s">
        <v>684</v>
      </c>
      <c r="F617" s="312">
        <v>1750</v>
      </c>
      <c r="G617" s="312" t="s">
        <v>685</v>
      </c>
      <c r="H617" s="312">
        <v>1754</v>
      </c>
      <c r="I617" s="312" t="s">
        <v>684</v>
      </c>
      <c r="J617" s="312">
        <v>1920</v>
      </c>
      <c r="K617" s="312" t="s">
        <v>686</v>
      </c>
    </row>
    <row r="618" spans="1:11">
      <c r="A618" s="312" t="s">
        <v>4691</v>
      </c>
      <c r="B618" s="312" t="s">
        <v>4692</v>
      </c>
      <c r="C618" s="312" t="s">
        <v>105</v>
      </c>
      <c r="D618" s="312" t="s">
        <v>567</v>
      </c>
      <c r="E618" s="312" t="s">
        <v>684</v>
      </c>
      <c r="F618" s="312">
        <v>1750</v>
      </c>
      <c r="G618" s="312" t="s">
        <v>685</v>
      </c>
      <c r="H618" s="312">
        <v>1754</v>
      </c>
      <c r="I618" s="312" t="s">
        <v>684</v>
      </c>
      <c r="J618" s="312">
        <v>1920</v>
      </c>
      <c r="K618" s="312" t="s">
        <v>686</v>
      </c>
    </row>
    <row r="619" spans="1:11">
      <c r="A619" s="312" t="s">
        <v>4693</v>
      </c>
      <c r="B619" s="312" t="s">
        <v>4694</v>
      </c>
      <c r="C619" s="312" t="s">
        <v>105</v>
      </c>
      <c r="D619" s="312" t="s">
        <v>567</v>
      </c>
      <c r="E619" s="312" t="s">
        <v>684</v>
      </c>
      <c r="F619" s="312">
        <v>1750</v>
      </c>
      <c r="G619" s="312" t="s">
        <v>685</v>
      </c>
      <c r="H619" s="312">
        <v>1754</v>
      </c>
      <c r="I619" s="312" t="s">
        <v>684</v>
      </c>
      <c r="J619" s="312">
        <v>1920</v>
      </c>
      <c r="K619" s="312" t="s">
        <v>686</v>
      </c>
    </row>
    <row r="620" spans="1:11">
      <c r="A620" s="312" t="s">
        <v>4695</v>
      </c>
      <c r="B620" s="312" t="s">
        <v>4696</v>
      </c>
      <c r="C620" s="312" t="s">
        <v>105</v>
      </c>
      <c r="D620" s="312" t="s">
        <v>567</v>
      </c>
      <c r="E620" s="312" t="s">
        <v>684</v>
      </c>
      <c r="F620" s="312">
        <v>1750</v>
      </c>
      <c r="G620" s="312" t="s">
        <v>685</v>
      </c>
      <c r="H620" s="312">
        <v>1754</v>
      </c>
      <c r="I620" s="312" t="s">
        <v>684</v>
      </c>
      <c r="J620" s="312">
        <v>1920</v>
      </c>
      <c r="K620" s="312" t="s">
        <v>686</v>
      </c>
    </row>
    <row r="621" spans="1:11">
      <c r="A621" s="312" t="s">
        <v>4697</v>
      </c>
      <c r="B621" s="312" t="s">
        <v>4698</v>
      </c>
      <c r="C621" s="312" t="s">
        <v>105</v>
      </c>
      <c r="D621" s="312" t="s">
        <v>567</v>
      </c>
      <c r="E621" s="312" t="s">
        <v>684</v>
      </c>
      <c r="F621" s="312">
        <v>1750</v>
      </c>
      <c r="G621" s="312" t="s">
        <v>685</v>
      </c>
      <c r="H621" s="312">
        <v>1754</v>
      </c>
      <c r="I621" s="312" t="s">
        <v>684</v>
      </c>
      <c r="J621" s="312">
        <v>1920</v>
      </c>
      <c r="K621" s="312" t="s">
        <v>686</v>
      </c>
    </row>
    <row r="622" spans="1:11">
      <c r="A622" s="312" t="s">
        <v>4699</v>
      </c>
      <c r="B622" s="312" t="s">
        <v>4700</v>
      </c>
      <c r="C622" s="312" t="s">
        <v>105</v>
      </c>
      <c r="D622" s="312" t="s">
        <v>567</v>
      </c>
      <c r="E622" s="312" t="s">
        <v>684</v>
      </c>
      <c r="F622" s="312">
        <v>1750</v>
      </c>
      <c r="G622" s="312" t="s">
        <v>685</v>
      </c>
      <c r="H622" s="312">
        <v>1754</v>
      </c>
      <c r="I622" s="312" t="s">
        <v>684</v>
      </c>
      <c r="J622" s="312">
        <v>1920</v>
      </c>
      <c r="K622" s="312" t="s">
        <v>686</v>
      </c>
    </row>
    <row r="623" spans="1:11">
      <c r="A623" s="312" t="s">
        <v>4701</v>
      </c>
      <c r="B623" s="312" t="s">
        <v>4702</v>
      </c>
      <c r="C623" s="312" t="s">
        <v>105</v>
      </c>
      <c r="D623" s="312" t="s">
        <v>567</v>
      </c>
      <c r="E623" s="312" t="s">
        <v>684</v>
      </c>
      <c r="F623" s="312">
        <v>1750</v>
      </c>
      <c r="G623" s="312" t="s">
        <v>685</v>
      </c>
      <c r="H623" s="312">
        <v>1754</v>
      </c>
      <c r="I623" s="312" t="s">
        <v>684</v>
      </c>
      <c r="J623" s="312">
        <v>1920</v>
      </c>
      <c r="K623" s="312" t="s">
        <v>686</v>
      </c>
    </row>
    <row r="624" spans="1:11">
      <c r="A624" s="312" t="s">
        <v>4703</v>
      </c>
      <c r="B624" s="312" t="s">
        <v>4704</v>
      </c>
      <c r="C624" s="312" t="s">
        <v>105</v>
      </c>
      <c r="D624" s="312" t="s">
        <v>567</v>
      </c>
      <c r="E624" s="312" t="s">
        <v>684</v>
      </c>
      <c r="F624" s="312">
        <v>1750</v>
      </c>
      <c r="G624" s="312" t="s">
        <v>685</v>
      </c>
      <c r="H624" s="312">
        <v>1754</v>
      </c>
      <c r="I624" s="312" t="s">
        <v>684</v>
      </c>
      <c r="J624" s="312">
        <v>1920</v>
      </c>
      <c r="K624" s="312" t="s">
        <v>686</v>
      </c>
    </row>
    <row r="625" spans="1:11">
      <c r="A625" s="312" t="s">
        <v>4705</v>
      </c>
      <c r="B625" s="312" t="s">
        <v>4706</v>
      </c>
      <c r="C625" s="312" t="s">
        <v>105</v>
      </c>
      <c r="D625" s="312" t="s">
        <v>567</v>
      </c>
      <c r="E625" s="312" t="s">
        <v>684</v>
      </c>
      <c r="F625" s="312">
        <v>1750</v>
      </c>
      <c r="G625" s="312" t="s">
        <v>685</v>
      </c>
      <c r="H625" s="312">
        <v>1754</v>
      </c>
      <c r="I625" s="312" t="s">
        <v>684</v>
      </c>
      <c r="J625" s="312">
        <v>1920</v>
      </c>
      <c r="K625" s="312" t="s">
        <v>686</v>
      </c>
    </row>
    <row r="626" spans="1:11">
      <c r="A626" s="312" t="s">
        <v>4707</v>
      </c>
      <c r="B626" s="312" t="s">
        <v>4708</v>
      </c>
      <c r="C626" s="312" t="s">
        <v>105</v>
      </c>
      <c r="D626" s="312" t="s">
        <v>567</v>
      </c>
      <c r="E626" s="312" t="s">
        <v>684</v>
      </c>
      <c r="F626" s="312">
        <v>1750</v>
      </c>
      <c r="G626" s="312" t="s">
        <v>685</v>
      </c>
      <c r="H626" s="312">
        <v>1754</v>
      </c>
      <c r="I626" s="312" t="s">
        <v>684</v>
      </c>
      <c r="J626" s="312">
        <v>1920</v>
      </c>
      <c r="K626" s="312" t="s">
        <v>686</v>
      </c>
    </row>
    <row r="627" spans="1:11">
      <c r="A627" s="312" t="s">
        <v>4709</v>
      </c>
      <c r="B627" s="312" t="s">
        <v>4710</v>
      </c>
      <c r="C627" s="312" t="s">
        <v>105</v>
      </c>
      <c r="D627" s="312" t="s">
        <v>567</v>
      </c>
      <c r="E627" s="312" t="s">
        <v>684</v>
      </c>
      <c r="F627" s="312">
        <v>1750</v>
      </c>
      <c r="G627" s="312" t="s">
        <v>685</v>
      </c>
      <c r="H627" s="312">
        <v>1754</v>
      </c>
      <c r="I627" s="312" t="s">
        <v>684</v>
      </c>
      <c r="J627" s="312">
        <v>1920</v>
      </c>
      <c r="K627" s="312" t="s">
        <v>686</v>
      </c>
    </row>
    <row r="628" spans="1:11">
      <c r="A628" s="312" t="s">
        <v>4711</v>
      </c>
      <c r="B628" s="312" t="s">
        <v>4712</v>
      </c>
      <c r="C628" s="312" t="s">
        <v>105</v>
      </c>
      <c r="D628" s="312" t="s">
        <v>567</v>
      </c>
      <c r="E628" s="312" t="s">
        <v>684</v>
      </c>
      <c r="F628" s="312">
        <v>1750</v>
      </c>
      <c r="G628" s="312" t="s">
        <v>685</v>
      </c>
      <c r="H628" s="312">
        <v>1754</v>
      </c>
      <c r="I628" s="312" t="s">
        <v>684</v>
      </c>
      <c r="J628" s="312">
        <v>1920</v>
      </c>
      <c r="K628" s="312" t="s">
        <v>686</v>
      </c>
    </row>
    <row r="629" spans="1:11">
      <c r="A629" s="312" t="s">
        <v>4713</v>
      </c>
      <c r="B629" s="312" t="s">
        <v>4714</v>
      </c>
      <c r="C629" s="312" t="s">
        <v>105</v>
      </c>
      <c r="D629" s="312" t="s">
        <v>567</v>
      </c>
      <c r="E629" s="312" t="s">
        <v>684</v>
      </c>
      <c r="F629" s="312">
        <v>1750</v>
      </c>
      <c r="G629" s="312" t="s">
        <v>685</v>
      </c>
      <c r="H629" s="312">
        <v>1754</v>
      </c>
      <c r="I629" s="312" t="s">
        <v>684</v>
      </c>
      <c r="J629" s="312">
        <v>1920</v>
      </c>
      <c r="K629" s="312" t="s">
        <v>686</v>
      </c>
    </row>
    <row r="630" spans="1:11">
      <c r="A630" s="312" t="s">
        <v>4715</v>
      </c>
      <c r="B630" s="312" t="s">
        <v>4716</v>
      </c>
      <c r="C630" s="312" t="s">
        <v>105</v>
      </c>
      <c r="D630" s="312" t="s">
        <v>567</v>
      </c>
      <c r="E630" s="312" t="s">
        <v>684</v>
      </c>
      <c r="F630" s="312">
        <v>1750</v>
      </c>
      <c r="G630" s="312" t="s">
        <v>685</v>
      </c>
      <c r="H630" s="312">
        <v>1754</v>
      </c>
      <c r="I630" s="312" t="s">
        <v>684</v>
      </c>
      <c r="J630" s="312">
        <v>1920</v>
      </c>
      <c r="K630" s="312" t="s">
        <v>686</v>
      </c>
    </row>
    <row r="631" spans="1:11">
      <c r="A631" s="312" t="s">
        <v>4717</v>
      </c>
      <c r="B631" s="312" t="s">
        <v>4718</v>
      </c>
      <c r="C631" s="312" t="s">
        <v>105</v>
      </c>
      <c r="D631" s="312" t="s">
        <v>567</v>
      </c>
      <c r="E631" s="312" t="s">
        <v>684</v>
      </c>
      <c r="F631" s="312">
        <v>1750</v>
      </c>
      <c r="G631" s="312" t="s">
        <v>685</v>
      </c>
      <c r="H631" s="312">
        <v>1754</v>
      </c>
      <c r="I631" s="312" t="s">
        <v>684</v>
      </c>
      <c r="J631" s="312">
        <v>1920</v>
      </c>
      <c r="K631" s="312" t="s">
        <v>686</v>
      </c>
    </row>
    <row r="632" spans="1:11">
      <c r="A632" s="312" t="s">
        <v>4719</v>
      </c>
      <c r="B632" s="312" t="s">
        <v>4720</v>
      </c>
      <c r="C632" s="312" t="s">
        <v>105</v>
      </c>
      <c r="D632" s="312" t="s">
        <v>567</v>
      </c>
      <c r="E632" s="312" t="s">
        <v>684</v>
      </c>
      <c r="F632" s="312">
        <v>1750</v>
      </c>
      <c r="G632" s="312" t="s">
        <v>685</v>
      </c>
      <c r="H632" s="312">
        <v>1754</v>
      </c>
      <c r="I632" s="312" t="s">
        <v>684</v>
      </c>
      <c r="J632" s="312">
        <v>1920</v>
      </c>
      <c r="K632" s="312" t="s">
        <v>686</v>
      </c>
    </row>
    <row r="633" spans="1:11">
      <c r="A633" s="312" t="s">
        <v>4721</v>
      </c>
      <c r="B633" s="312" t="s">
        <v>4722</v>
      </c>
      <c r="C633" s="312" t="s">
        <v>105</v>
      </c>
      <c r="D633" s="312" t="s">
        <v>567</v>
      </c>
      <c r="E633" s="312" t="s">
        <v>684</v>
      </c>
      <c r="F633" s="312">
        <v>1750</v>
      </c>
      <c r="G633" s="312" t="s">
        <v>685</v>
      </c>
      <c r="H633" s="312">
        <v>1754</v>
      </c>
      <c r="I633" s="312" t="s">
        <v>684</v>
      </c>
      <c r="J633" s="312">
        <v>1920</v>
      </c>
      <c r="K633" s="312" t="s">
        <v>686</v>
      </c>
    </row>
    <row r="634" spans="1:11">
      <c r="A634" s="312" t="s">
        <v>4723</v>
      </c>
      <c r="B634" s="312" t="s">
        <v>4724</v>
      </c>
      <c r="C634" s="312" t="s">
        <v>105</v>
      </c>
      <c r="D634" s="312" t="s">
        <v>567</v>
      </c>
      <c r="E634" s="312" t="s">
        <v>684</v>
      </c>
      <c r="F634" s="312">
        <v>1750</v>
      </c>
      <c r="G634" s="312" t="s">
        <v>685</v>
      </c>
      <c r="H634" s="312">
        <v>1754</v>
      </c>
      <c r="I634" s="312" t="s">
        <v>684</v>
      </c>
      <c r="J634" s="312">
        <v>1920</v>
      </c>
      <c r="K634" s="312" t="s">
        <v>686</v>
      </c>
    </row>
    <row r="635" spans="1:11">
      <c r="A635" s="312" t="s">
        <v>4725</v>
      </c>
      <c r="B635" s="312" t="s">
        <v>4726</v>
      </c>
      <c r="C635" s="312" t="s">
        <v>105</v>
      </c>
      <c r="D635" s="312" t="s">
        <v>567</v>
      </c>
      <c r="E635" s="312" t="s">
        <v>684</v>
      </c>
      <c r="F635" s="312">
        <v>1750</v>
      </c>
      <c r="G635" s="312" t="s">
        <v>685</v>
      </c>
      <c r="H635" s="312">
        <v>1754</v>
      </c>
      <c r="I635" s="312" t="s">
        <v>684</v>
      </c>
      <c r="J635" s="312">
        <v>1920</v>
      </c>
      <c r="K635" s="312" t="s">
        <v>686</v>
      </c>
    </row>
    <row r="636" spans="1:11">
      <c r="A636" s="312" t="s">
        <v>4727</v>
      </c>
      <c r="B636" s="312" t="s">
        <v>4728</v>
      </c>
      <c r="C636" s="312" t="s">
        <v>105</v>
      </c>
      <c r="D636" s="312" t="s">
        <v>567</v>
      </c>
      <c r="E636" s="312" t="s">
        <v>684</v>
      </c>
      <c r="F636" s="312">
        <v>1750</v>
      </c>
      <c r="G636" s="312" t="s">
        <v>685</v>
      </c>
      <c r="H636" s="312">
        <v>1754</v>
      </c>
      <c r="I636" s="312" t="s">
        <v>684</v>
      </c>
      <c r="J636" s="312">
        <v>1920</v>
      </c>
      <c r="K636" s="312" t="s">
        <v>686</v>
      </c>
    </row>
    <row r="637" spans="1:11">
      <c r="A637" s="312" t="s">
        <v>4729</v>
      </c>
      <c r="B637" s="312" t="s">
        <v>4730</v>
      </c>
      <c r="C637" s="312" t="s">
        <v>105</v>
      </c>
      <c r="D637" s="312" t="s">
        <v>567</v>
      </c>
      <c r="E637" s="312" t="s">
        <v>684</v>
      </c>
      <c r="F637" s="312">
        <v>1750</v>
      </c>
      <c r="G637" s="312" t="s">
        <v>685</v>
      </c>
      <c r="H637" s="312">
        <v>1754</v>
      </c>
      <c r="I637" s="312" t="s">
        <v>684</v>
      </c>
      <c r="J637" s="312">
        <v>1920</v>
      </c>
      <c r="K637" s="312" t="s">
        <v>686</v>
      </c>
    </row>
    <row r="638" spans="1:11">
      <c r="A638" s="312" t="s">
        <v>4731</v>
      </c>
      <c r="B638" s="312" t="s">
        <v>4732</v>
      </c>
      <c r="C638" s="312" t="s">
        <v>105</v>
      </c>
      <c r="D638" s="312" t="s">
        <v>567</v>
      </c>
      <c r="E638" s="312" t="s">
        <v>684</v>
      </c>
      <c r="F638" s="312">
        <v>1750</v>
      </c>
      <c r="G638" s="312" t="s">
        <v>685</v>
      </c>
      <c r="H638" s="312">
        <v>1754</v>
      </c>
      <c r="I638" s="312" t="s">
        <v>684</v>
      </c>
      <c r="J638" s="312">
        <v>1920</v>
      </c>
      <c r="K638" s="312" t="s">
        <v>686</v>
      </c>
    </row>
    <row r="639" spans="1:11">
      <c r="A639" s="312" t="s">
        <v>4733</v>
      </c>
      <c r="B639" s="312" t="s">
        <v>4734</v>
      </c>
      <c r="C639" s="312" t="s">
        <v>105</v>
      </c>
      <c r="D639" s="312" t="s">
        <v>567</v>
      </c>
      <c r="E639" s="312" t="s">
        <v>684</v>
      </c>
      <c r="F639" s="312">
        <v>1750</v>
      </c>
      <c r="G639" s="312" t="s">
        <v>685</v>
      </c>
      <c r="H639" s="312">
        <v>1754</v>
      </c>
      <c r="I639" s="312" t="s">
        <v>684</v>
      </c>
      <c r="J639" s="312">
        <v>1920</v>
      </c>
      <c r="K639" s="312" t="s">
        <v>686</v>
      </c>
    </row>
    <row r="640" spans="1:11">
      <c r="A640" s="312" t="s">
        <v>4735</v>
      </c>
      <c r="B640" s="312" t="s">
        <v>4736</v>
      </c>
      <c r="C640" s="312" t="s">
        <v>105</v>
      </c>
      <c r="D640" s="312" t="s">
        <v>567</v>
      </c>
      <c r="E640" s="312" t="s">
        <v>684</v>
      </c>
      <c r="F640" s="312">
        <v>1750</v>
      </c>
      <c r="G640" s="312" t="s">
        <v>685</v>
      </c>
      <c r="H640" s="312">
        <v>1754</v>
      </c>
      <c r="I640" s="312" t="s">
        <v>684</v>
      </c>
      <c r="J640" s="312">
        <v>1920</v>
      </c>
      <c r="K640" s="312" t="s">
        <v>686</v>
      </c>
    </row>
    <row r="641" spans="1:11">
      <c r="A641" s="312" t="s">
        <v>4737</v>
      </c>
      <c r="B641" s="312" t="s">
        <v>4738</v>
      </c>
      <c r="C641" s="312" t="s">
        <v>105</v>
      </c>
      <c r="D641" s="312" t="s">
        <v>567</v>
      </c>
      <c r="E641" s="312" t="s">
        <v>684</v>
      </c>
      <c r="F641" s="312">
        <v>1750</v>
      </c>
      <c r="G641" s="312" t="s">
        <v>685</v>
      </c>
      <c r="H641" s="312">
        <v>1754</v>
      </c>
      <c r="I641" s="312" t="s">
        <v>684</v>
      </c>
      <c r="J641" s="312">
        <v>1920</v>
      </c>
      <c r="K641" s="312" t="s">
        <v>686</v>
      </c>
    </row>
    <row r="642" spans="1:11">
      <c r="A642" s="312" t="s">
        <v>4739</v>
      </c>
      <c r="B642" s="312" t="s">
        <v>4740</v>
      </c>
      <c r="C642" s="312" t="s">
        <v>105</v>
      </c>
      <c r="D642" s="312" t="s">
        <v>567</v>
      </c>
      <c r="E642" s="312" t="s">
        <v>684</v>
      </c>
      <c r="F642" s="312">
        <v>1750</v>
      </c>
      <c r="G642" s="312" t="s">
        <v>685</v>
      </c>
      <c r="H642" s="312">
        <v>1754</v>
      </c>
      <c r="I642" s="312" t="s">
        <v>684</v>
      </c>
      <c r="J642" s="312">
        <v>1920</v>
      </c>
      <c r="K642" s="312" t="s">
        <v>686</v>
      </c>
    </row>
    <row r="643" spans="1:11">
      <c r="A643" s="312" t="s">
        <v>4792</v>
      </c>
      <c r="B643" s="312" t="s">
        <v>4793</v>
      </c>
      <c r="C643" s="312" t="s">
        <v>105</v>
      </c>
      <c r="D643" s="312" t="s">
        <v>567</v>
      </c>
      <c r="E643" s="312" t="s">
        <v>107</v>
      </c>
      <c r="F643" s="312">
        <v>1825</v>
      </c>
      <c r="G643" s="312" t="s">
        <v>108</v>
      </c>
      <c r="H643" s="312">
        <v>1827</v>
      </c>
      <c r="I643" s="312" t="s">
        <v>107</v>
      </c>
      <c r="J643" s="312">
        <v>1913</v>
      </c>
      <c r="K643" s="312" t="s">
        <v>109</v>
      </c>
    </row>
    <row r="644" spans="1:11">
      <c r="A644" s="312" t="s">
        <v>4794</v>
      </c>
      <c r="B644" s="312" t="s">
        <v>4795</v>
      </c>
      <c r="C644" s="312" t="s">
        <v>105</v>
      </c>
      <c r="D644" s="312" t="s">
        <v>567</v>
      </c>
      <c r="E644" s="312" t="s">
        <v>107</v>
      </c>
      <c r="F644" s="312">
        <v>1825</v>
      </c>
      <c r="G644" s="312" t="s">
        <v>108</v>
      </c>
      <c r="H644" s="312">
        <v>1827</v>
      </c>
      <c r="I644" s="312" t="s">
        <v>107</v>
      </c>
      <c r="J644" s="312">
        <v>1913</v>
      </c>
      <c r="K644" s="312" t="s">
        <v>109</v>
      </c>
    </row>
    <row r="645" spans="1:11">
      <c r="A645" s="312" t="s">
        <v>4796</v>
      </c>
      <c r="B645" s="312" t="s">
        <v>4797</v>
      </c>
      <c r="C645" s="312" t="s">
        <v>105</v>
      </c>
      <c r="D645" s="312" t="s">
        <v>567</v>
      </c>
      <c r="E645" s="312" t="s">
        <v>107</v>
      </c>
      <c r="F645" s="312">
        <v>1825</v>
      </c>
      <c r="G645" s="312" t="s">
        <v>108</v>
      </c>
      <c r="H645" s="312">
        <v>1827</v>
      </c>
      <c r="I645" s="312" t="s">
        <v>107</v>
      </c>
      <c r="J645" s="312">
        <v>1913</v>
      </c>
      <c r="K645" s="312" t="s">
        <v>109</v>
      </c>
    </row>
    <row r="646" spans="1:11">
      <c r="A646" s="312" t="s">
        <v>4798</v>
      </c>
      <c r="B646" s="312" t="s">
        <v>4799</v>
      </c>
      <c r="C646" s="312" t="s">
        <v>105</v>
      </c>
      <c r="D646" s="312" t="s">
        <v>567</v>
      </c>
      <c r="E646" s="312" t="s">
        <v>107</v>
      </c>
      <c r="F646" s="312">
        <v>1825</v>
      </c>
      <c r="G646" s="312" t="s">
        <v>108</v>
      </c>
      <c r="H646" s="312">
        <v>1827</v>
      </c>
      <c r="I646" s="312" t="s">
        <v>107</v>
      </c>
      <c r="J646" s="312">
        <v>1913</v>
      </c>
      <c r="K646" s="312" t="s">
        <v>109</v>
      </c>
    </row>
    <row r="647" spans="1:11">
      <c r="A647" s="312" t="s">
        <v>4865</v>
      </c>
      <c r="B647" s="312" t="s">
        <v>4866</v>
      </c>
      <c r="C647" s="312" t="s">
        <v>105</v>
      </c>
      <c r="D647" s="312" t="s">
        <v>567</v>
      </c>
      <c r="E647" s="312" t="s">
        <v>107</v>
      </c>
      <c r="F647" s="312">
        <v>1825</v>
      </c>
      <c r="G647" s="312" t="s">
        <v>108</v>
      </c>
      <c r="H647" s="312">
        <v>1827</v>
      </c>
      <c r="I647" s="312" t="s">
        <v>107</v>
      </c>
      <c r="J647" s="312">
        <v>1913</v>
      </c>
      <c r="K647" s="312" t="s">
        <v>109</v>
      </c>
    </row>
    <row r="648" spans="1:11">
      <c r="A648" s="312" t="s">
        <v>4867</v>
      </c>
      <c r="B648" s="312" t="s">
        <v>4868</v>
      </c>
      <c r="C648" s="312" t="s">
        <v>105</v>
      </c>
      <c r="D648" s="312" t="s">
        <v>567</v>
      </c>
      <c r="E648" s="312" t="s">
        <v>107</v>
      </c>
      <c r="F648" s="312">
        <v>1825</v>
      </c>
      <c r="G648" s="312" t="s">
        <v>108</v>
      </c>
      <c r="H648" s="312">
        <v>1827</v>
      </c>
      <c r="I648" s="312" t="s">
        <v>107</v>
      </c>
      <c r="J648" s="312">
        <v>1913</v>
      </c>
      <c r="K648" s="312" t="s">
        <v>109</v>
      </c>
    </row>
    <row r="649" spans="1:11">
      <c r="A649" s="312" t="s">
        <v>6102</v>
      </c>
      <c r="B649" s="312" t="s">
        <v>6103</v>
      </c>
      <c r="C649" s="312" t="s">
        <v>105</v>
      </c>
      <c r="D649" s="312" t="s">
        <v>567</v>
      </c>
      <c r="E649" s="312" t="s">
        <v>107</v>
      </c>
      <c r="F649" s="312">
        <v>1825</v>
      </c>
      <c r="G649" s="312" t="s">
        <v>108</v>
      </c>
      <c r="H649" s="312">
        <v>1827</v>
      </c>
      <c r="I649" s="312" t="s">
        <v>107</v>
      </c>
      <c r="J649" s="312">
        <v>1913</v>
      </c>
      <c r="K649" s="312" t="s">
        <v>109</v>
      </c>
    </row>
    <row r="650" spans="1:11">
      <c r="A650" s="312" t="s">
        <v>6117</v>
      </c>
      <c r="B650" s="312" t="s">
        <v>6118</v>
      </c>
      <c r="C650" s="312" t="s">
        <v>105</v>
      </c>
      <c r="D650" s="312" t="s">
        <v>567</v>
      </c>
      <c r="E650" s="312" t="s">
        <v>107</v>
      </c>
      <c r="F650" s="312">
        <v>1825</v>
      </c>
      <c r="G650" s="312" t="s">
        <v>108</v>
      </c>
      <c r="H650" s="312">
        <v>1827</v>
      </c>
      <c r="I650" s="312" t="s">
        <v>107</v>
      </c>
      <c r="J650" s="312">
        <v>1913</v>
      </c>
      <c r="K650" s="312" t="s">
        <v>109</v>
      </c>
    </row>
    <row r="651" spans="1:11">
      <c r="A651" s="312" t="s">
        <v>6129</v>
      </c>
      <c r="B651" s="312" t="s">
        <v>6130</v>
      </c>
      <c r="C651" s="312" t="s">
        <v>105</v>
      </c>
      <c r="D651" s="312" t="s">
        <v>567</v>
      </c>
      <c r="E651" s="312" t="s">
        <v>107</v>
      </c>
      <c r="F651" s="312">
        <v>1825</v>
      </c>
      <c r="G651" s="312" t="s">
        <v>108</v>
      </c>
      <c r="H651" s="312">
        <v>1827</v>
      </c>
      <c r="I651" s="312" t="s">
        <v>107</v>
      </c>
      <c r="J651" s="312">
        <v>1913</v>
      </c>
      <c r="K651" s="312" t="s">
        <v>109</v>
      </c>
    </row>
    <row r="652" spans="1:11">
      <c r="A652" s="312" t="s">
        <v>6131</v>
      </c>
      <c r="B652" s="312" t="s">
        <v>6132</v>
      </c>
      <c r="C652" s="312" t="s">
        <v>105</v>
      </c>
      <c r="D652" s="312" t="s">
        <v>567</v>
      </c>
      <c r="E652" s="312" t="s">
        <v>107</v>
      </c>
      <c r="F652" s="312">
        <v>1825</v>
      </c>
      <c r="G652" s="312" t="s">
        <v>108</v>
      </c>
      <c r="H652" s="312">
        <v>1827</v>
      </c>
      <c r="I652" s="312" t="s">
        <v>107</v>
      </c>
      <c r="J652" s="312">
        <v>1913</v>
      </c>
      <c r="K652" s="312" t="s">
        <v>109</v>
      </c>
    </row>
    <row r="653" spans="1:11">
      <c r="A653" s="312" t="s">
        <v>6133</v>
      </c>
      <c r="B653" s="312" t="s">
        <v>6134</v>
      </c>
      <c r="C653" s="312" t="s">
        <v>105</v>
      </c>
      <c r="D653" s="312" t="s">
        <v>567</v>
      </c>
      <c r="E653" s="312" t="s">
        <v>107</v>
      </c>
      <c r="F653" s="312">
        <v>1825</v>
      </c>
      <c r="G653" s="312" t="s">
        <v>108</v>
      </c>
      <c r="H653" s="312">
        <v>1827</v>
      </c>
      <c r="I653" s="312" t="s">
        <v>107</v>
      </c>
      <c r="J653" s="312">
        <v>1913</v>
      </c>
      <c r="K653" s="312" t="s">
        <v>109</v>
      </c>
    </row>
    <row r="654" spans="1:11">
      <c r="A654" s="312" t="s">
        <v>6135</v>
      </c>
      <c r="B654" s="312" t="s">
        <v>6136</v>
      </c>
      <c r="C654" s="312" t="s">
        <v>105</v>
      </c>
      <c r="D654" s="312" t="s">
        <v>567</v>
      </c>
      <c r="E654" s="312" t="s">
        <v>107</v>
      </c>
      <c r="F654" s="312">
        <v>1825</v>
      </c>
      <c r="G654" s="312" t="s">
        <v>108</v>
      </c>
      <c r="H654" s="312">
        <v>1827</v>
      </c>
      <c r="I654" s="312" t="s">
        <v>107</v>
      </c>
      <c r="J654" s="312">
        <v>1913</v>
      </c>
      <c r="K654" s="312" t="s">
        <v>109</v>
      </c>
    </row>
    <row r="655" spans="1:11">
      <c r="A655" s="312" t="s">
        <v>6137</v>
      </c>
      <c r="B655" s="312" t="s">
        <v>6138</v>
      </c>
      <c r="C655" s="312" t="s">
        <v>105</v>
      </c>
      <c r="D655" s="312" t="s">
        <v>567</v>
      </c>
      <c r="E655" s="312" t="s">
        <v>107</v>
      </c>
      <c r="F655" s="312">
        <v>1825</v>
      </c>
      <c r="G655" s="312" t="s">
        <v>108</v>
      </c>
      <c r="H655" s="312">
        <v>1827</v>
      </c>
      <c r="I655" s="312" t="s">
        <v>107</v>
      </c>
      <c r="J655" s="312">
        <v>1913</v>
      </c>
      <c r="K655" s="312" t="s">
        <v>109</v>
      </c>
    </row>
    <row r="656" spans="1:11">
      <c r="A656" s="312" t="s">
        <v>6139</v>
      </c>
      <c r="B656" s="312" t="s">
        <v>6140</v>
      </c>
      <c r="C656" s="312" t="s">
        <v>105</v>
      </c>
      <c r="D656" s="312" t="s">
        <v>567</v>
      </c>
      <c r="E656" s="312" t="s">
        <v>107</v>
      </c>
      <c r="F656" s="312">
        <v>1825</v>
      </c>
      <c r="G656" s="312" t="s">
        <v>108</v>
      </c>
      <c r="H656" s="312">
        <v>1827</v>
      </c>
      <c r="I656" s="312" t="s">
        <v>107</v>
      </c>
      <c r="J656" s="312">
        <v>1913</v>
      </c>
      <c r="K656" s="312" t="s">
        <v>109</v>
      </c>
    </row>
    <row r="657" spans="1:11">
      <c r="A657" s="312" t="s">
        <v>6141</v>
      </c>
      <c r="B657" s="312" t="s">
        <v>6142</v>
      </c>
      <c r="C657" s="312" t="s">
        <v>105</v>
      </c>
      <c r="D657" s="312" t="s">
        <v>567</v>
      </c>
      <c r="E657" s="312" t="s">
        <v>107</v>
      </c>
      <c r="F657" s="312">
        <v>1825</v>
      </c>
      <c r="G657" s="312" t="s">
        <v>108</v>
      </c>
      <c r="H657" s="312">
        <v>1827</v>
      </c>
      <c r="I657" s="312" t="s">
        <v>107</v>
      </c>
      <c r="J657" s="312">
        <v>1913</v>
      </c>
      <c r="K657" s="312" t="s">
        <v>109</v>
      </c>
    </row>
    <row r="658" spans="1:11">
      <c r="A658" s="312" t="s">
        <v>6143</v>
      </c>
      <c r="B658" s="312" t="s">
        <v>6144</v>
      </c>
      <c r="C658" s="312" t="s">
        <v>105</v>
      </c>
      <c r="D658" s="312" t="s">
        <v>567</v>
      </c>
      <c r="E658" s="312" t="s">
        <v>107</v>
      </c>
      <c r="F658" s="312">
        <v>1825</v>
      </c>
      <c r="G658" s="312" t="s">
        <v>108</v>
      </c>
      <c r="H658" s="312">
        <v>1827</v>
      </c>
      <c r="I658" s="312" t="s">
        <v>107</v>
      </c>
      <c r="J658" s="312">
        <v>1913</v>
      </c>
      <c r="K658" s="312" t="s">
        <v>109</v>
      </c>
    </row>
    <row r="659" spans="1:11">
      <c r="A659" s="312" t="s">
        <v>6145</v>
      </c>
      <c r="B659" s="312" t="s">
        <v>6146</v>
      </c>
      <c r="C659" s="312" t="s">
        <v>105</v>
      </c>
      <c r="D659" s="312" t="s">
        <v>567</v>
      </c>
      <c r="E659" s="312" t="s">
        <v>107</v>
      </c>
      <c r="F659" s="312">
        <v>1825</v>
      </c>
      <c r="G659" s="312" t="s">
        <v>108</v>
      </c>
      <c r="H659" s="312">
        <v>1827</v>
      </c>
      <c r="I659" s="312" t="s">
        <v>107</v>
      </c>
      <c r="J659" s="312">
        <v>1913</v>
      </c>
      <c r="K659" s="312" t="s">
        <v>109</v>
      </c>
    </row>
    <row r="660" spans="1:11">
      <c r="A660" s="312" t="s">
        <v>6147</v>
      </c>
      <c r="B660" s="312" t="s">
        <v>6148</v>
      </c>
      <c r="C660" s="312" t="s">
        <v>105</v>
      </c>
      <c r="D660" s="312" t="s">
        <v>567</v>
      </c>
      <c r="E660" s="312" t="s">
        <v>107</v>
      </c>
      <c r="F660" s="312">
        <v>1825</v>
      </c>
      <c r="G660" s="312" t="s">
        <v>108</v>
      </c>
      <c r="H660" s="312">
        <v>1827</v>
      </c>
      <c r="I660" s="312" t="s">
        <v>107</v>
      </c>
      <c r="J660" s="312">
        <v>1913</v>
      </c>
      <c r="K660" s="312" t="s">
        <v>109</v>
      </c>
    </row>
    <row r="661" spans="1:11">
      <c r="A661" s="312" t="s">
        <v>6149</v>
      </c>
      <c r="B661" s="312" t="s">
        <v>6150</v>
      </c>
      <c r="C661" s="312" t="s">
        <v>105</v>
      </c>
      <c r="D661" s="312" t="s">
        <v>567</v>
      </c>
      <c r="E661" s="312" t="s">
        <v>107</v>
      </c>
      <c r="F661" s="312">
        <v>1825</v>
      </c>
      <c r="G661" s="312" t="s">
        <v>108</v>
      </c>
      <c r="H661" s="312">
        <v>1827</v>
      </c>
      <c r="I661" s="312" t="s">
        <v>107</v>
      </c>
      <c r="J661" s="312">
        <v>1913</v>
      </c>
      <c r="K661" s="312" t="s">
        <v>109</v>
      </c>
    </row>
    <row r="662" spans="1:11">
      <c r="A662" s="312" t="s">
        <v>6151</v>
      </c>
      <c r="B662" s="312" t="s">
        <v>6152</v>
      </c>
      <c r="C662" s="312" t="s">
        <v>105</v>
      </c>
      <c r="D662" s="312" t="s">
        <v>567</v>
      </c>
      <c r="E662" s="312" t="s">
        <v>107</v>
      </c>
      <c r="F662" s="312">
        <v>1825</v>
      </c>
      <c r="G662" s="312" t="s">
        <v>108</v>
      </c>
      <c r="H662" s="312">
        <v>1827</v>
      </c>
      <c r="I662" s="312" t="s">
        <v>107</v>
      </c>
      <c r="J662" s="312">
        <v>1913</v>
      </c>
      <c r="K662" s="312" t="s">
        <v>109</v>
      </c>
    </row>
    <row r="663" spans="1:11">
      <c r="A663" s="312" t="s">
        <v>6153</v>
      </c>
      <c r="B663" s="312" t="s">
        <v>6154</v>
      </c>
      <c r="C663" s="312" t="s">
        <v>105</v>
      </c>
      <c r="D663" s="312" t="s">
        <v>567</v>
      </c>
      <c r="E663" s="312" t="s">
        <v>107</v>
      </c>
      <c r="F663" s="312">
        <v>1825</v>
      </c>
      <c r="G663" s="312" t="s">
        <v>108</v>
      </c>
      <c r="H663" s="312">
        <v>1827</v>
      </c>
      <c r="I663" s="312" t="s">
        <v>107</v>
      </c>
      <c r="J663" s="312">
        <v>1913</v>
      </c>
      <c r="K663" s="312" t="s">
        <v>109</v>
      </c>
    </row>
    <row r="664" spans="1:11">
      <c r="A664" s="312" t="s">
        <v>6155</v>
      </c>
      <c r="B664" s="312" t="s">
        <v>6156</v>
      </c>
      <c r="C664" s="312" t="s">
        <v>105</v>
      </c>
      <c r="D664" s="312" t="s">
        <v>567</v>
      </c>
      <c r="E664" s="312" t="s">
        <v>107</v>
      </c>
      <c r="F664" s="312">
        <v>1825</v>
      </c>
      <c r="G664" s="312" t="s">
        <v>108</v>
      </c>
      <c r="H664" s="312">
        <v>1827</v>
      </c>
      <c r="I664" s="312" t="s">
        <v>107</v>
      </c>
      <c r="J664" s="312">
        <v>1913</v>
      </c>
      <c r="K664" s="312" t="s">
        <v>109</v>
      </c>
    </row>
    <row r="665" spans="1:11">
      <c r="A665" s="312" t="s">
        <v>6157</v>
      </c>
      <c r="B665" s="312" t="s">
        <v>6158</v>
      </c>
      <c r="C665" s="312" t="s">
        <v>105</v>
      </c>
      <c r="D665" s="312" t="s">
        <v>567</v>
      </c>
      <c r="E665" s="312" t="s">
        <v>107</v>
      </c>
      <c r="F665" s="312">
        <v>1825</v>
      </c>
      <c r="G665" s="312" t="s">
        <v>108</v>
      </c>
      <c r="H665" s="312">
        <v>1827</v>
      </c>
      <c r="I665" s="312" t="s">
        <v>107</v>
      </c>
      <c r="J665" s="312">
        <v>1913</v>
      </c>
      <c r="K665" s="312" t="s">
        <v>109</v>
      </c>
    </row>
    <row r="666" spans="1:11">
      <c r="A666" s="312" t="s">
        <v>6159</v>
      </c>
      <c r="B666" s="312" t="s">
        <v>6160</v>
      </c>
      <c r="C666" s="312" t="s">
        <v>105</v>
      </c>
      <c r="D666" s="312" t="s">
        <v>567</v>
      </c>
      <c r="E666" s="312" t="s">
        <v>107</v>
      </c>
      <c r="F666" s="312">
        <v>1825</v>
      </c>
      <c r="G666" s="312" t="s">
        <v>108</v>
      </c>
      <c r="H666" s="312">
        <v>1827</v>
      </c>
      <c r="I666" s="312" t="s">
        <v>107</v>
      </c>
      <c r="J666" s="312">
        <v>1913</v>
      </c>
      <c r="K666" s="312" t="s">
        <v>109</v>
      </c>
    </row>
    <row r="667" spans="1:11">
      <c r="A667" s="312" t="s">
        <v>6161</v>
      </c>
      <c r="B667" s="312" t="s">
        <v>6162</v>
      </c>
      <c r="C667" s="312" t="s">
        <v>105</v>
      </c>
      <c r="D667" s="312" t="s">
        <v>567</v>
      </c>
      <c r="E667" s="312" t="s">
        <v>107</v>
      </c>
      <c r="F667" s="312">
        <v>1825</v>
      </c>
      <c r="G667" s="312" t="s">
        <v>108</v>
      </c>
      <c r="H667" s="312">
        <v>1827</v>
      </c>
      <c r="I667" s="312" t="s">
        <v>107</v>
      </c>
      <c r="J667" s="312">
        <v>1913</v>
      </c>
      <c r="K667" s="312" t="s">
        <v>109</v>
      </c>
    </row>
    <row r="668" spans="1:11">
      <c r="A668" s="312" t="s">
        <v>6163</v>
      </c>
      <c r="B668" s="312" t="s">
        <v>6164</v>
      </c>
      <c r="C668" s="312" t="s">
        <v>105</v>
      </c>
      <c r="D668" s="312" t="s">
        <v>567</v>
      </c>
      <c r="E668" s="312" t="s">
        <v>107</v>
      </c>
      <c r="F668" s="312">
        <v>1825</v>
      </c>
      <c r="G668" s="312" t="s">
        <v>108</v>
      </c>
      <c r="H668" s="312">
        <v>1827</v>
      </c>
      <c r="I668" s="312" t="s">
        <v>107</v>
      </c>
      <c r="J668" s="312">
        <v>1913</v>
      </c>
      <c r="K668" s="312" t="s">
        <v>109</v>
      </c>
    </row>
    <row r="669" spans="1:11">
      <c r="A669" s="312" t="s">
        <v>6183</v>
      </c>
      <c r="B669" s="312" t="s">
        <v>6184</v>
      </c>
      <c r="C669" s="312" t="s">
        <v>105</v>
      </c>
      <c r="D669" s="312" t="s">
        <v>567</v>
      </c>
      <c r="E669" s="312" t="s">
        <v>107</v>
      </c>
      <c r="F669" s="312">
        <v>1825</v>
      </c>
      <c r="G669" s="312" t="s">
        <v>108</v>
      </c>
      <c r="H669" s="312">
        <v>1827</v>
      </c>
      <c r="I669" s="312" t="s">
        <v>107</v>
      </c>
      <c r="J669" s="312">
        <v>1913</v>
      </c>
      <c r="K669" s="312" t="s">
        <v>109</v>
      </c>
    </row>
    <row r="670" spans="1:11">
      <c r="A670" s="312" t="s">
        <v>542</v>
      </c>
      <c r="B670" s="312" t="s">
        <v>543</v>
      </c>
      <c r="C670" s="312" t="s">
        <v>105</v>
      </c>
      <c r="D670" s="312" t="s">
        <v>544</v>
      </c>
      <c r="E670" s="312" t="s">
        <v>107</v>
      </c>
      <c r="F670" s="312">
        <v>1825</v>
      </c>
      <c r="G670" s="312" t="s">
        <v>108</v>
      </c>
      <c r="H670" s="312">
        <v>1827</v>
      </c>
      <c r="I670" s="312" t="s">
        <v>107</v>
      </c>
      <c r="J670" s="312">
        <v>1913</v>
      </c>
      <c r="K670" s="312" t="s">
        <v>109</v>
      </c>
    </row>
    <row r="671" spans="1:11">
      <c r="A671" s="312" t="s">
        <v>2059</v>
      </c>
      <c r="B671" s="312" t="s">
        <v>2060</v>
      </c>
      <c r="C671" s="312" t="s">
        <v>105</v>
      </c>
      <c r="D671" s="312" t="s">
        <v>544</v>
      </c>
      <c r="E671" s="312" t="s">
        <v>107</v>
      </c>
      <c r="F671" s="312">
        <v>1825</v>
      </c>
      <c r="G671" s="312" t="s">
        <v>108</v>
      </c>
      <c r="H671" s="312">
        <v>1827</v>
      </c>
      <c r="I671" s="312" t="s">
        <v>107</v>
      </c>
      <c r="J671" s="312">
        <v>1913</v>
      </c>
      <c r="K671" s="312" t="s">
        <v>109</v>
      </c>
    </row>
    <row r="672" spans="1:11">
      <c r="A672" s="312" t="s">
        <v>6191</v>
      </c>
      <c r="B672" s="312" t="s">
        <v>6192</v>
      </c>
      <c r="C672" s="312" t="s">
        <v>105</v>
      </c>
      <c r="D672" s="312" t="s">
        <v>544</v>
      </c>
      <c r="E672" s="312" t="s">
        <v>107</v>
      </c>
      <c r="F672" s="312">
        <v>1825</v>
      </c>
      <c r="G672" s="312" t="s">
        <v>108</v>
      </c>
      <c r="H672" s="312">
        <v>1827</v>
      </c>
      <c r="I672" s="312" t="s">
        <v>107</v>
      </c>
      <c r="J672" s="312">
        <v>1913</v>
      </c>
      <c r="K672" s="312" t="s">
        <v>109</v>
      </c>
    </row>
    <row r="673" spans="1:11">
      <c r="A673" s="312" t="s">
        <v>568</v>
      </c>
      <c r="B673" s="312" t="s">
        <v>569</v>
      </c>
      <c r="C673" s="312" t="s">
        <v>105</v>
      </c>
      <c r="D673" s="312" t="s">
        <v>570</v>
      </c>
      <c r="E673" s="312" t="s">
        <v>107</v>
      </c>
      <c r="F673" s="312">
        <v>1825</v>
      </c>
      <c r="G673" s="312" t="s">
        <v>108</v>
      </c>
      <c r="H673" s="312">
        <v>1827</v>
      </c>
      <c r="I673" s="312" t="s">
        <v>107</v>
      </c>
      <c r="J673" s="312">
        <v>1913</v>
      </c>
      <c r="K673" s="312" t="s">
        <v>109</v>
      </c>
    </row>
    <row r="674" spans="1:11">
      <c r="A674" s="312" t="s">
        <v>1265</v>
      </c>
      <c r="B674" s="312" t="s">
        <v>1266</v>
      </c>
      <c r="C674" s="312" t="s">
        <v>105</v>
      </c>
      <c r="D674" s="312" t="s">
        <v>570</v>
      </c>
      <c r="E674" s="312" t="s">
        <v>466</v>
      </c>
      <c r="F674" s="312">
        <v>1796</v>
      </c>
      <c r="G674" s="312" t="s">
        <v>467</v>
      </c>
      <c r="H674" s="312">
        <v>1799</v>
      </c>
      <c r="I674" s="312" t="s">
        <v>466</v>
      </c>
      <c r="J674" s="312">
        <v>1918</v>
      </c>
      <c r="K674" s="312" t="s">
        <v>468</v>
      </c>
    </row>
    <row r="675" spans="1:11">
      <c r="A675" s="312" t="s">
        <v>1469</v>
      </c>
      <c r="B675" s="312" t="s">
        <v>1470</v>
      </c>
      <c r="C675" s="312" t="s">
        <v>105</v>
      </c>
      <c r="D675" s="312" t="s">
        <v>570</v>
      </c>
      <c r="E675" s="312" t="s">
        <v>684</v>
      </c>
      <c r="F675" s="312">
        <v>1750</v>
      </c>
      <c r="G675" s="312" t="s">
        <v>685</v>
      </c>
      <c r="H675" s="312">
        <v>1754</v>
      </c>
      <c r="I675" s="312" t="s">
        <v>684</v>
      </c>
      <c r="J675" s="312">
        <v>1920</v>
      </c>
      <c r="K675" s="312" t="s">
        <v>686</v>
      </c>
    </row>
    <row r="676" spans="1:11">
      <c r="A676" s="312" t="s">
        <v>2006</v>
      </c>
      <c r="B676" s="312" t="s">
        <v>2007</v>
      </c>
      <c r="C676" s="312" t="s">
        <v>105</v>
      </c>
      <c r="D676" s="312" t="s">
        <v>570</v>
      </c>
      <c r="E676" s="312" t="s">
        <v>684</v>
      </c>
      <c r="F676" s="312">
        <v>1750</v>
      </c>
      <c r="G676" s="312" t="s">
        <v>685</v>
      </c>
      <c r="H676" s="312">
        <v>1754</v>
      </c>
      <c r="I676" s="312" t="s">
        <v>684</v>
      </c>
      <c r="J676" s="312">
        <v>1920</v>
      </c>
      <c r="K676" s="312" t="s">
        <v>686</v>
      </c>
    </row>
    <row r="677" spans="1:11">
      <c r="A677" s="312" t="s">
        <v>2008</v>
      </c>
      <c r="B677" s="312" t="s">
        <v>2009</v>
      </c>
      <c r="C677" s="312" t="s">
        <v>105</v>
      </c>
      <c r="D677" s="312" t="s">
        <v>570</v>
      </c>
      <c r="E677" s="312" t="s">
        <v>684</v>
      </c>
      <c r="F677" s="312">
        <v>1750</v>
      </c>
      <c r="G677" s="312" t="s">
        <v>685</v>
      </c>
      <c r="H677" s="312">
        <v>1754</v>
      </c>
      <c r="I677" s="312" t="s">
        <v>684</v>
      </c>
      <c r="J677" s="312">
        <v>1920</v>
      </c>
      <c r="K677" s="312" t="s">
        <v>686</v>
      </c>
    </row>
    <row r="678" spans="1:11">
      <c r="A678" s="312" t="s">
        <v>2010</v>
      </c>
      <c r="B678" s="312" t="s">
        <v>2011</v>
      </c>
      <c r="C678" s="312" t="s">
        <v>105</v>
      </c>
      <c r="D678" s="312" t="s">
        <v>570</v>
      </c>
      <c r="E678" s="312" t="s">
        <v>684</v>
      </c>
      <c r="F678" s="312">
        <v>1750</v>
      </c>
      <c r="G678" s="312" t="s">
        <v>685</v>
      </c>
      <c r="H678" s="312">
        <v>1754</v>
      </c>
      <c r="I678" s="312" t="s">
        <v>684</v>
      </c>
      <c r="J678" s="312">
        <v>1920</v>
      </c>
      <c r="K678" s="312" t="s">
        <v>686</v>
      </c>
    </row>
    <row r="679" spans="1:11">
      <c r="A679" s="312" t="s">
        <v>2012</v>
      </c>
      <c r="B679" s="312" t="s">
        <v>2013</v>
      </c>
      <c r="C679" s="312" t="s">
        <v>105</v>
      </c>
      <c r="D679" s="312" t="s">
        <v>570</v>
      </c>
      <c r="E679" s="312" t="s">
        <v>684</v>
      </c>
      <c r="F679" s="312">
        <v>1750</v>
      </c>
      <c r="G679" s="312" t="s">
        <v>685</v>
      </c>
      <c r="H679" s="312">
        <v>1754</v>
      </c>
      <c r="I679" s="312" t="s">
        <v>684</v>
      </c>
      <c r="J679" s="312">
        <v>1920</v>
      </c>
      <c r="K679" s="312" t="s">
        <v>686</v>
      </c>
    </row>
    <row r="680" spans="1:11">
      <c r="A680" s="312" t="s">
        <v>2286</v>
      </c>
      <c r="B680" s="312" t="s">
        <v>2287</v>
      </c>
      <c r="C680" s="312" t="s">
        <v>105</v>
      </c>
      <c r="D680" s="312" t="s">
        <v>570</v>
      </c>
      <c r="E680" s="312" t="s">
        <v>684</v>
      </c>
      <c r="F680" s="312">
        <v>1750</v>
      </c>
      <c r="G680" s="312" t="s">
        <v>685</v>
      </c>
      <c r="H680" s="312">
        <v>1754</v>
      </c>
      <c r="I680" s="312" t="s">
        <v>684</v>
      </c>
      <c r="J680" s="312">
        <v>1920</v>
      </c>
      <c r="K680" s="312" t="s">
        <v>686</v>
      </c>
    </row>
    <row r="681" spans="1:11">
      <c r="A681" s="312" t="s">
        <v>2288</v>
      </c>
      <c r="B681" s="312" t="s">
        <v>2289</v>
      </c>
      <c r="C681" s="312" t="s">
        <v>105</v>
      </c>
      <c r="D681" s="312" t="s">
        <v>570</v>
      </c>
      <c r="E681" s="312" t="s">
        <v>684</v>
      </c>
      <c r="F681" s="312">
        <v>1750</v>
      </c>
      <c r="G681" s="312" t="s">
        <v>685</v>
      </c>
      <c r="H681" s="312">
        <v>1754</v>
      </c>
      <c r="I681" s="312" t="s">
        <v>684</v>
      </c>
      <c r="J681" s="312">
        <v>1920</v>
      </c>
      <c r="K681" s="312" t="s">
        <v>686</v>
      </c>
    </row>
    <row r="682" spans="1:11">
      <c r="A682" s="312" t="s">
        <v>2290</v>
      </c>
      <c r="B682" s="312" t="s">
        <v>2291</v>
      </c>
      <c r="C682" s="312" t="s">
        <v>105</v>
      </c>
      <c r="D682" s="312" t="s">
        <v>570</v>
      </c>
      <c r="E682" s="312" t="s">
        <v>684</v>
      </c>
      <c r="F682" s="312">
        <v>1750</v>
      </c>
      <c r="G682" s="312" t="s">
        <v>685</v>
      </c>
      <c r="H682" s="312">
        <v>1754</v>
      </c>
      <c r="I682" s="312" t="s">
        <v>684</v>
      </c>
      <c r="J682" s="312">
        <v>1920</v>
      </c>
      <c r="K682" s="312" t="s">
        <v>686</v>
      </c>
    </row>
    <row r="683" spans="1:11">
      <c r="A683" s="312" t="s">
        <v>2292</v>
      </c>
      <c r="B683" s="312" t="s">
        <v>2293</v>
      </c>
      <c r="C683" s="312" t="s">
        <v>105</v>
      </c>
      <c r="D683" s="312" t="s">
        <v>570</v>
      </c>
      <c r="E683" s="312" t="s">
        <v>684</v>
      </c>
      <c r="F683" s="312">
        <v>1750</v>
      </c>
      <c r="G683" s="312" t="s">
        <v>685</v>
      </c>
      <c r="H683" s="312">
        <v>1754</v>
      </c>
      <c r="I683" s="312" t="s">
        <v>684</v>
      </c>
      <c r="J683" s="312">
        <v>1920</v>
      </c>
      <c r="K683" s="312" t="s">
        <v>686</v>
      </c>
    </row>
    <row r="684" spans="1:11">
      <c r="A684" s="312" t="s">
        <v>2848</v>
      </c>
      <c r="B684" s="312" t="s">
        <v>2849</v>
      </c>
      <c r="C684" s="312" t="s">
        <v>105</v>
      </c>
      <c r="D684" s="312" t="s">
        <v>570</v>
      </c>
      <c r="E684" s="312" t="s">
        <v>684</v>
      </c>
      <c r="F684" s="312">
        <v>1750</v>
      </c>
      <c r="G684" s="312" t="s">
        <v>685</v>
      </c>
      <c r="H684" s="312">
        <v>1754</v>
      </c>
      <c r="I684" s="312" t="s">
        <v>684</v>
      </c>
      <c r="J684" s="312">
        <v>1920</v>
      </c>
      <c r="K684" s="312" t="s">
        <v>686</v>
      </c>
    </row>
    <row r="685" spans="1:11">
      <c r="A685" s="312" t="s">
        <v>3275</v>
      </c>
      <c r="B685" s="312" t="s">
        <v>3276</v>
      </c>
      <c r="C685" s="312" t="s">
        <v>105</v>
      </c>
      <c r="D685" s="312" t="s">
        <v>570</v>
      </c>
      <c r="E685" s="312" t="s">
        <v>684</v>
      </c>
      <c r="F685" s="312">
        <v>1750</v>
      </c>
      <c r="G685" s="312" t="s">
        <v>685</v>
      </c>
      <c r="H685" s="312">
        <v>1754</v>
      </c>
      <c r="I685" s="312" t="s">
        <v>684</v>
      </c>
      <c r="J685" s="312">
        <v>1920</v>
      </c>
      <c r="K685" s="312" t="s">
        <v>686</v>
      </c>
    </row>
    <row r="686" spans="1:11">
      <c r="A686" s="312" t="s">
        <v>3773</v>
      </c>
      <c r="B686" s="312" t="s">
        <v>3774</v>
      </c>
      <c r="C686" s="312" t="s">
        <v>105</v>
      </c>
      <c r="D686" s="312" t="s">
        <v>570</v>
      </c>
      <c r="E686" s="312" t="s">
        <v>684</v>
      </c>
      <c r="F686" s="312">
        <v>1750</v>
      </c>
      <c r="G686" s="312" t="s">
        <v>685</v>
      </c>
      <c r="H686" s="312">
        <v>1754</v>
      </c>
      <c r="I686" s="312" t="s">
        <v>684</v>
      </c>
      <c r="J686" s="312">
        <v>1920</v>
      </c>
      <c r="K686" s="312" t="s">
        <v>686</v>
      </c>
    </row>
    <row r="687" spans="1:11">
      <c r="A687" s="312" t="s">
        <v>3849</v>
      </c>
      <c r="B687" s="312" t="s">
        <v>3850</v>
      </c>
      <c r="C687" s="312" t="s">
        <v>105</v>
      </c>
      <c r="D687" s="312" t="s">
        <v>570</v>
      </c>
      <c r="E687" s="312" t="s">
        <v>107</v>
      </c>
      <c r="F687" s="312">
        <v>1825</v>
      </c>
      <c r="G687" s="312" t="s">
        <v>108</v>
      </c>
      <c r="H687" s="312">
        <v>1827</v>
      </c>
      <c r="I687" s="312" t="s">
        <v>107</v>
      </c>
      <c r="J687" s="312">
        <v>1913</v>
      </c>
      <c r="K687" s="312" t="s">
        <v>109</v>
      </c>
    </row>
    <row r="688" spans="1:11">
      <c r="A688" s="312" t="s">
        <v>3867</v>
      </c>
      <c r="B688" s="312" t="s">
        <v>3868</v>
      </c>
      <c r="C688" s="312" t="s">
        <v>105</v>
      </c>
      <c r="D688" s="312" t="s">
        <v>570</v>
      </c>
      <c r="E688" s="312" t="s">
        <v>684</v>
      </c>
      <c r="F688" s="312">
        <v>1750</v>
      </c>
      <c r="G688" s="312" t="s">
        <v>685</v>
      </c>
      <c r="H688" s="312">
        <v>1754</v>
      </c>
      <c r="I688" s="312" t="s">
        <v>684</v>
      </c>
      <c r="J688" s="312">
        <v>1920</v>
      </c>
      <c r="K688" s="312" t="s">
        <v>686</v>
      </c>
    </row>
    <row r="689" spans="1:11">
      <c r="A689" s="312" t="s">
        <v>3869</v>
      </c>
      <c r="B689" s="1" t="s">
        <v>3870</v>
      </c>
      <c r="C689" s="312" t="s">
        <v>105</v>
      </c>
      <c r="D689" s="312" t="s">
        <v>570</v>
      </c>
      <c r="E689" s="312" t="s">
        <v>684</v>
      </c>
      <c r="F689" s="312">
        <v>1750</v>
      </c>
      <c r="G689" s="312" t="s">
        <v>685</v>
      </c>
      <c r="H689" s="312">
        <v>1754</v>
      </c>
      <c r="I689" s="312" t="s">
        <v>684</v>
      </c>
      <c r="J689" s="312">
        <v>1920</v>
      </c>
      <c r="K689" s="312" t="s">
        <v>686</v>
      </c>
    </row>
    <row r="690" spans="1:11">
      <c r="A690" s="312" t="s">
        <v>4127</v>
      </c>
      <c r="B690" s="312" t="s">
        <v>4128</v>
      </c>
      <c r="C690" s="312" t="s">
        <v>105</v>
      </c>
      <c r="D690" s="312" t="s">
        <v>570</v>
      </c>
      <c r="E690" s="312" t="s">
        <v>684</v>
      </c>
      <c r="F690" s="312">
        <v>1750</v>
      </c>
      <c r="G690" s="312" t="s">
        <v>685</v>
      </c>
      <c r="H690" s="312">
        <v>1754</v>
      </c>
      <c r="I690" s="312" t="s">
        <v>684</v>
      </c>
      <c r="J690" s="312">
        <v>1920</v>
      </c>
      <c r="K690" s="312" t="s">
        <v>686</v>
      </c>
    </row>
    <row r="691" spans="1:11">
      <c r="A691" s="312" t="s">
        <v>4561</v>
      </c>
      <c r="B691" s="312" t="s">
        <v>4562</v>
      </c>
      <c r="C691" s="312" t="s">
        <v>105</v>
      </c>
      <c r="D691" s="312" t="s">
        <v>570</v>
      </c>
      <c r="E691" s="312" t="s">
        <v>684</v>
      </c>
      <c r="F691" s="312">
        <v>1750</v>
      </c>
      <c r="G691" s="312" t="s">
        <v>685</v>
      </c>
      <c r="H691" s="312">
        <v>1754</v>
      </c>
      <c r="I691" s="312" t="s">
        <v>684</v>
      </c>
      <c r="J691" s="312">
        <v>1920</v>
      </c>
      <c r="K691" s="312" t="s">
        <v>686</v>
      </c>
    </row>
    <row r="692" spans="1:11">
      <c r="A692" s="312" t="s">
        <v>5149</v>
      </c>
      <c r="B692" s="312" t="s">
        <v>5150</v>
      </c>
      <c r="C692" s="312" t="s">
        <v>105</v>
      </c>
      <c r="D692" s="312" t="s">
        <v>570</v>
      </c>
      <c r="E692" s="312" t="s">
        <v>684</v>
      </c>
      <c r="F692" s="312">
        <v>1750</v>
      </c>
      <c r="G692" s="312" t="s">
        <v>685</v>
      </c>
      <c r="H692" s="312">
        <v>1754</v>
      </c>
      <c r="I692" s="312" t="s">
        <v>684</v>
      </c>
      <c r="J692" s="312">
        <v>1920</v>
      </c>
      <c r="K692" s="312" t="s">
        <v>686</v>
      </c>
    </row>
    <row r="693" spans="1:11">
      <c r="A693" s="312" t="s">
        <v>5324</v>
      </c>
      <c r="B693" s="312" t="s">
        <v>5325</v>
      </c>
      <c r="C693" s="312" t="s">
        <v>105</v>
      </c>
      <c r="D693" s="312" t="s">
        <v>570</v>
      </c>
      <c r="E693" s="312" t="s">
        <v>684</v>
      </c>
      <c r="F693" s="312">
        <v>1750</v>
      </c>
      <c r="G693" s="312" t="s">
        <v>685</v>
      </c>
      <c r="H693" s="312">
        <v>1754</v>
      </c>
      <c r="I693" s="312" t="s">
        <v>684</v>
      </c>
      <c r="J693" s="312">
        <v>1920</v>
      </c>
      <c r="K693" s="312" t="s">
        <v>686</v>
      </c>
    </row>
    <row r="694" spans="1:11">
      <c r="A694" s="312" t="s">
        <v>5806</v>
      </c>
      <c r="B694" s="312" t="s">
        <v>5807</v>
      </c>
      <c r="C694" s="312" t="s">
        <v>105</v>
      </c>
      <c r="D694" s="312" t="s">
        <v>570</v>
      </c>
      <c r="E694" s="312" t="s">
        <v>684</v>
      </c>
      <c r="F694" s="312">
        <v>1750</v>
      </c>
      <c r="G694" s="312" t="s">
        <v>685</v>
      </c>
      <c r="H694" s="312">
        <v>1754</v>
      </c>
      <c r="I694" s="312" t="s">
        <v>684</v>
      </c>
      <c r="J694" s="312">
        <v>1920</v>
      </c>
      <c r="K694" s="312" t="s">
        <v>686</v>
      </c>
    </row>
    <row r="695" spans="1:11">
      <c r="A695" s="312" t="s">
        <v>6107</v>
      </c>
      <c r="B695" s="312" t="s">
        <v>6108</v>
      </c>
      <c r="C695" s="312" t="s">
        <v>105</v>
      </c>
      <c r="D695" s="312" t="s">
        <v>570</v>
      </c>
      <c r="E695" s="312" t="s">
        <v>107</v>
      </c>
      <c r="F695" s="312">
        <v>1825</v>
      </c>
      <c r="G695" s="312" t="s">
        <v>108</v>
      </c>
      <c r="H695" s="312">
        <v>1827</v>
      </c>
      <c r="I695" s="312" t="s">
        <v>107</v>
      </c>
      <c r="J695" s="312">
        <v>1913</v>
      </c>
      <c r="K695" s="312" t="s">
        <v>109</v>
      </c>
    </row>
    <row r="696" spans="1:11">
      <c r="A696" s="312" t="s">
        <v>6185</v>
      </c>
      <c r="B696" s="312" t="s">
        <v>6186</v>
      </c>
      <c r="C696" s="312" t="s">
        <v>105</v>
      </c>
      <c r="D696" s="312" t="s">
        <v>570</v>
      </c>
      <c r="E696" s="312" t="s">
        <v>684</v>
      </c>
      <c r="F696" s="312">
        <v>1750</v>
      </c>
      <c r="G696" s="312" t="s">
        <v>685</v>
      </c>
      <c r="H696" s="312">
        <v>1754</v>
      </c>
      <c r="I696" s="312" t="s">
        <v>684</v>
      </c>
      <c r="J696" s="312">
        <v>1920</v>
      </c>
      <c r="K696" s="312" t="s">
        <v>686</v>
      </c>
    </row>
    <row r="697" spans="1:11">
      <c r="A697" s="312" t="s">
        <v>1644</v>
      </c>
      <c r="B697" s="312" t="s">
        <v>1645</v>
      </c>
      <c r="C697" s="312" t="s">
        <v>105</v>
      </c>
      <c r="D697" s="312" t="s">
        <v>1646</v>
      </c>
      <c r="E697" s="312" t="s">
        <v>466</v>
      </c>
      <c r="F697" s="312">
        <v>1796</v>
      </c>
      <c r="G697" s="312" t="s">
        <v>467</v>
      </c>
      <c r="H697" s="312">
        <v>1799</v>
      </c>
      <c r="I697" s="312" t="s">
        <v>466</v>
      </c>
      <c r="J697" s="312">
        <v>1918</v>
      </c>
      <c r="K697" s="312" t="s">
        <v>468</v>
      </c>
    </row>
    <row r="698" spans="1:11">
      <c r="A698" s="312" t="s">
        <v>1647</v>
      </c>
      <c r="B698" s="312" t="s">
        <v>1648</v>
      </c>
      <c r="C698" s="312" t="s">
        <v>105</v>
      </c>
      <c r="D698" s="312" t="s">
        <v>1646</v>
      </c>
      <c r="E698" s="312" t="s">
        <v>466</v>
      </c>
      <c r="F698" s="312">
        <v>1796</v>
      </c>
      <c r="G698" s="312" t="s">
        <v>467</v>
      </c>
      <c r="H698" s="312">
        <v>1799</v>
      </c>
      <c r="I698" s="312" t="s">
        <v>466</v>
      </c>
      <c r="J698" s="312">
        <v>1918</v>
      </c>
      <c r="K698" s="312" t="s">
        <v>468</v>
      </c>
    </row>
    <row r="699" spans="1:11">
      <c r="A699" s="312" t="s">
        <v>1651</v>
      </c>
      <c r="B699" s="312" t="s">
        <v>1652</v>
      </c>
      <c r="C699" s="312" t="s">
        <v>105</v>
      </c>
      <c r="D699" s="312" t="s">
        <v>1646</v>
      </c>
      <c r="E699" s="312" t="s">
        <v>466</v>
      </c>
      <c r="F699" s="312">
        <v>1796</v>
      </c>
      <c r="G699" s="312" t="s">
        <v>467</v>
      </c>
      <c r="H699" s="312">
        <v>1799</v>
      </c>
      <c r="I699" s="312" t="s">
        <v>466</v>
      </c>
      <c r="J699" s="312">
        <v>1918</v>
      </c>
      <c r="K699" s="312" t="s">
        <v>468</v>
      </c>
    </row>
    <row r="700" spans="1:11">
      <c r="A700" s="312" t="s">
        <v>2828</v>
      </c>
      <c r="B700" s="312" t="s">
        <v>2829</v>
      </c>
      <c r="C700" s="312" t="s">
        <v>105</v>
      </c>
      <c r="D700" s="312" t="s">
        <v>1646</v>
      </c>
      <c r="E700" s="312" t="s">
        <v>320</v>
      </c>
      <c r="F700" s="312">
        <v>1716</v>
      </c>
      <c r="G700" s="312" t="s">
        <v>321</v>
      </c>
      <c r="H700" s="312">
        <v>1725</v>
      </c>
      <c r="I700" s="312" t="s">
        <v>320</v>
      </c>
      <c r="J700" s="312">
        <v>1910</v>
      </c>
      <c r="K700" s="312" t="s">
        <v>322</v>
      </c>
    </row>
    <row r="701" spans="1:11">
      <c r="A701" s="312" t="s">
        <v>6090</v>
      </c>
      <c r="B701" s="312" t="s">
        <v>6091</v>
      </c>
      <c r="C701" s="312" t="s">
        <v>105</v>
      </c>
      <c r="D701" s="312" t="s">
        <v>1646</v>
      </c>
      <c r="E701" s="312" t="s">
        <v>466</v>
      </c>
      <c r="F701" s="312">
        <v>1796</v>
      </c>
      <c r="G701" s="312" t="s">
        <v>467</v>
      </c>
      <c r="H701" s="312">
        <v>1799</v>
      </c>
      <c r="I701" s="312" t="s">
        <v>466</v>
      </c>
      <c r="J701" s="312">
        <v>1918</v>
      </c>
      <c r="K701" s="312" t="s">
        <v>468</v>
      </c>
    </row>
    <row r="702" spans="1:11">
      <c r="A702" s="312" t="s">
        <v>6113</v>
      </c>
      <c r="B702" s="312" t="s">
        <v>6114</v>
      </c>
      <c r="C702" s="312" t="s">
        <v>105</v>
      </c>
      <c r="D702" s="312" t="s">
        <v>1646</v>
      </c>
      <c r="E702" s="312" t="s">
        <v>466</v>
      </c>
      <c r="F702" s="312">
        <v>1796</v>
      </c>
      <c r="G702" s="312" t="s">
        <v>467</v>
      </c>
      <c r="H702" s="312">
        <v>1799</v>
      </c>
      <c r="I702" s="312" t="s">
        <v>466</v>
      </c>
      <c r="J702" s="312">
        <v>1918</v>
      </c>
      <c r="K702" s="312" t="s">
        <v>468</v>
      </c>
    </row>
    <row r="703" spans="1:11">
      <c r="A703" s="312" t="s">
        <v>1883</v>
      </c>
      <c r="B703" s="312" t="s">
        <v>1884</v>
      </c>
      <c r="C703" s="312" t="s">
        <v>105</v>
      </c>
      <c r="D703" s="312" t="s">
        <v>1885</v>
      </c>
      <c r="E703" s="312" t="s">
        <v>167</v>
      </c>
      <c r="F703" s="312">
        <v>1705</v>
      </c>
      <c r="G703" s="312" t="s">
        <v>168</v>
      </c>
      <c r="H703" s="312">
        <v>1707</v>
      </c>
      <c r="I703" s="312" t="s">
        <v>167</v>
      </c>
      <c r="J703" s="312">
        <v>1899</v>
      </c>
      <c r="K703" s="312" t="s">
        <v>169</v>
      </c>
    </row>
    <row r="704" spans="1:11">
      <c r="A704" s="312" t="s">
        <v>1154</v>
      </c>
      <c r="B704" s="312" t="s">
        <v>1155</v>
      </c>
      <c r="C704" s="312" t="s">
        <v>105</v>
      </c>
      <c r="D704" s="312" t="s">
        <v>1156</v>
      </c>
      <c r="E704" s="312" t="s">
        <v>107</v>
      </c>
      <c r="F704" s="312">
        <v>1825</v>
      </c>
      <c r="G704" s="312" t="s">
        <v>108</v>
      </c>
      <c r="H704" s="312">
        <v>1827</v>
      </c>
      <c r="I704" s="312" t="s">
        <v>107</v>
      </c>
      <c r="J704" s="312">
        <v>1913</v>
      </c>
      <c r="K704" s="312" t="s">
        <v>109</v>
      </c>
    </row>
    <row r="705" spans="1:11">
      <c r="A705" s="312" t="s">
        <v>1437</v>
      </c>
      <c r="B705" s="312" t="s">
        <v>1438</v>
      </c>
      <c r="C705" s="312" t="s">
        <v>105</v>
      </c>
      <c r="D705" s="312" t="s">
        <v>1156</v>
      </c>
      <c r="E705" s="312" t="s">
        <v>107</v>
      </c>
      <c r="F705" s="312">
        <v>1825</v>
      </c>
      <c r="G705" s="312" t="s">
        <v>108</v>
      </c>
      <c r="H705" s="312">
        <v>1827</v>
      </c>
      <c r="I705" s="312" t="s">
        <v>107</v>
      </c>
      <c r="J705" s="312">
        <v>1913</v>
      </c>
      <c r="K705" s="312" t="s">
        <v>109</v>
      </c>
    </row>
    <row r="706" spans="1:11">
      <c r="A706" s="312" t="s">
        <v>1525</v>
      </c>
      <c r="B706" s="312" t="s">
        <v>1526</v>
      </c>
      <c r="C706" s="312" t="s">
        <v>105</v>
      </c>
      <c r="D706" s="312" t="s">
        <v>1156</v>
      </c>
      <c r="E706" s="312" t="s">
        <v>107</v>
      </c>
      <c r="F706" s="312">
        <v>1825</v>
      </c>
      <c r="G706" s="312" t="s">
        <v>108</v>
      </c>
      <c r="H706" s="312">
        <v>1827</v>
      </c>
      <c r="I706" s="312" t="s">
        <v>107</v>
      </c>
      <c r="J706" s="312">
        <v>1913</v>
      </c>
      <c r="K706" s="312" t="s">
        <v>109</v>
      </c>
    </row>
    <row r="707" spans="1:11">
      <c r="A707" s="312" t="s">
        <v>2106</v>
      </c>
      <c r="B707" s="312" t="s">
        <v>2107</v>
      </c>
      <c r="C707" s="312" t="s">
        <v>105</v>
      </c>
      <c r="D707" s="312" t="s">
        <v>1156</v>
      </c>
      <c r="E707" s="312" t="s">
        <v>107</v>
      </c>
      <c r="F707" s="312">
        <v>1825</v>
      </c>
      <c r="G707" s="312" t="s">
        <v>108</v>
      </c>
      <c r="H707" s="312">
        <v>1827</v>
      </c>
      <c r="I707" s="312" t="s">
        <v>107</v>
      </c>
      <c r="J707" s="312">
        <v>1913</v>
      </c>
      <c r="K707" s="312" t="s">
        <v>109</v>
      </c>
    </row>
    <row r="708" spans="1:11">
      <c r="A708" s="312" t="s">
        <v>2320</v>
      </c>
      <c r="B708" s="312" t="s">
        <v>2321</v>
      </c>
      <c r="C708" s="312" t="s">
        <v>105</v>
      </c>
      <c r="D708" s="312" t="s">
        <v>1156</v>
      </c>
      <c r="E708" s="312" t="s">
        <v>107</v>
      </c>
      <c r="F708" s="312">
        <v>1825</v>
      </c>
      <c r="G708" s="312" t="s">
        <v>108</v>
      </c>
      <c r="H708" s="312">
        <v>1827</v>
      </c>
      <c r="I708" s="312" t="s">
        <v>107</v>
      </c>
      <c r="J708" s="312">
        <v>1913</v>
      </c>
      <c r="K708" s="312" t="s">
        <v>109</v>
      </c>
    </row>
    <row r="709" spans="1:11">
      <c r="A709" s="312" t="s">
        <v>2842</v>
      </c>
      <c r="B709" s="312" t="s">
        <v>2843</v>
      </c>
      <c r="C709" s="312" t="s">
        <v>105</v>
      </c>
      <c r="D709" s="312" t="s">
        <v>1156</v>
      </c>
      <c r="E709" s="312" t="s">
        <v>107</v>
      </c>
      <c r="F709" s="312">
        <v>1825</v>
      </c>
      <c r="G709" s="312" t="s">
        <v>108</v>
      </c>
      <c r="H709" s="312">
        <v>1827</v>
      </c>
      <c r="I709" s="312" t="s">
        <v>107</v>
      </c>
      <c r="J709" s="312">
        <v>1913</v>
      </c>
      <c r="K709" s="312" t="s">
        <v>109</v>
      </c>
    </row>
    <row r="710" spans="1:11">
      <c r="A710" s="312" t="s">
        <v>3851</v>
      </c>
      <c r="B710" s="312" t="s">
        <v>3852</v>
      </c>
      <c r="C710" s="312" t="s">
        <v>105</v>
      </c>
      <c r="D710" s="312" t="s">
        <v>1156</v>
      </c>
      <c r="E710" s="312" t="s">
        <v>107</v>
      </c>
      <c r="F710" s="312">
        <v>1825</v>
      </c>
      <c r="G710" s="312" t="s">
        <v>108</v>
      </c>
      <c r="H710" s="312">
        <v>1827</v>
      </c>
      <c r="I710" s="312" t="s">
        <v>107</v>
      </c>
      <c r="J710" s="312">
        <v>1913</v>
      </c>
      <c r="K710" s="312" t="s">
        <v>109</v>
      </c>
    </row>
    <row r="711" spans="1:11">
      <c r="A711" s="312" t="s">
        <v>3853</v>
      </c>
      <c r="B711" s="312" t="s">
        <v>3854</v>
      </c>
      <c r="C711" s="312" t="s">
        <v>105</v>
      </c>
      <c r="D711" s="312" t="s">
        <v>1156</v>
      </c>
      <c r="E711" s="312" t="s">
        <v>107</v>
      </c>
      <c r="F711" s="312">
        <v>1825</v>
      </c>
      <c r="G711" s="312" t="s">
        <v>108</v>
      </c>
      <c r="H711" s="312">
        <v>1827</v>
      </c>
      <c r="I711" s="312" t="s">
        <v>107</v>
      </c>
      <c r="J711" s="312">
        <v>1913</v>
      </c>
      <c r="K711" s="312" t="s">
        <v>109</v>
      </c>
    </row>
    <row r="712" spans="1:11">
      <c r="A712" s="312" t="s">
        <v>3855</v>
      </c>
      <c r="B712" s="312" t="s">
        <v>3856</v>
      </c>
      <c r="C712" s="312" t="s">
        <v>105</v>
      </c>
      <c r="D712" s="312" t="s">
        <v>1156</v>
      </c>
      <c r="E712" s="312" t="s">
        <v>107</v>
      </c>
      <c r="F712" s="312">
        <v>1825</v>
      </c>
      <c r="G712" s="312" t="s">
        <v>108</v>
      </c>
      <c r="H712" s="312">
        <v>1827</v>
      </c>
      <c r="I712" s="312" t="s">
        <v>107</v>
      </c>
      <c r="J712" s="312">
        <v>1913</v>
      </c>
      <c r="K712" s="312" t="s">
        <v>109</v>
      </c>
    </row>
    <row r="713" spans="1:11">
      <c r="A713" s="312" t="s">
        <v>3857</v>
      </c>
      <c r="B713" s="312" t="s">
        <v>3858</v>
      </c>
      <c r="C713" s="312" t="s">
        <v>105</v>
      </c>
      <c r="D713" s="312" t="s">
        <v>1156</v>
      </c>
      <c r="E713" s="312" t="s">
        <v>107</v>
      </c>
      <c r="F713" s="312">
        <v>1825</v>
      </c>
      <c r="G713" s="312" t="s">
        <v>108</v>
      </c>
      <c r="H713" s="312">
        <v>1827</v>
      </c>
      <c r="I713" s="312" t="s">
        <v>107</v>
      </c>
      <c r="J713" s="312">
        <v>1913</v>
      </c>
      <c r="K713" s="312" t="s">
        <v>109</v>
      </c>
    </row>
    <row r="714" spans="1:11">
      <c r="A714" s="312" t="s">
        <v>3859</v>
      </c>
      <c r="B714" s="312" t="s">
        <v>3860</v>
      </c>
      <c r="C714" s="312" t="s">
        <v>105</v>
      </c>
      <c r="D714" s="312" t="s">
        <v>1156</v>
      </c>
      <c r="E714" s="312" t="s">
        <v>107</v>
      </c>
      <c r="F714" s="312">
        <v>1825</v>
      </c>
      <c r="G714" s="312" t="s">
        <v>108</v>
      </c>
      <c r="H714" s="312">
        <v>1827</v>
      </c>
      <c r="I714" s="312" t="s">
        <v>107</v>
      </c>
      <c r="J714" s="312">
        <v>1913</v>
      </c>
      <c r="K714" s="312" t="s">
        <v>109</v>
      </c>
    </row>
    <row r="715" spans="1:11">
      <c r="A715" s="312" t="s">
        <v>5001</v>
      </c>
      <c r="B715" s="312" t="s">
        <v>5002</v>
      </c>
      <c r="C715" s="312" t="s">
        <v>105</v>
      </c>
      <c r="D715" s="312" t="s">
        <v>1156</v>
      </c>
      <c r="E715" s="312" t="s">
        <v>107</v>
      </c>
      <c r="F715" s="312">
        <v>1825</v>
      </c>
      <c r="G715" s="312" t="s">
        <v>108</v>
      </c>
      <c r="H715" s="312">
        <v>1827</v>
      </c>
      <c r="I715" s="312" t="s">
        <v>107</v>
      </c>
      <c r="J715" s="312">
        <v>1913</v>
      </c>
      <c r="K715" s="312" t="s">
        <v>109</v>
      </c>
    </row>
    <row r="716" spans="1:11">
      <c r="A716" s="312" t="s">
        <v>5117</v>
      </c>
      <c r="B716" s="312" t="s">
        <v>5118</v>
      </c>
      <c r="C716" s="312" t="s">
        <v>105</v>
      </c>
      <c r="D716" s="312" t="s">
        <v>1156</v>
      </c>
      <c r="E716" s="312" t="s">
        <v>107</v>
      </c>
      <c r="F716" s="312">
        <v>1825</v>
      </c>
      <c r="G716" s="312" t="s">
        <v>108</v>
      </c>
      <c r="H716" s="312">
        <v>1827</v>
      </c>
      <c r="I716" s="312" t="s">
        <v>107</v>
      </c>
      <c r="J716" s="312">
        <v>1913</v>
      </c>
      <c r="K716" s="312" t="s">
        <v>109</v>
      </c>
    </row>
    <row r="717" spans="1:11">
      <c r="A717" s="312" t="s">
        <v>5182</v>
      </c>
      <c r="B717" s="312" t="s">
        <v>5183</v>
      </c>
      <c r="C717" s="312" t="s">
        <v>105</v>
      </c>
      <c r="D717" s="312" t="s">
        <v>1156</v>
      </c>
      <c r="E717" s="312" t="s">
        <v>107</v>
      </c>
      <c r="F717" s="312">
        <v>1825</v>
      </c>
      <c r="G717" s="312" t="s">
        <v>108</v>
      </c>
      <c r="H717" s="312">
        <v>1827</v>
      </c>
      <c r="I717" s="312" t="s">
        <v>107</v>
      </c>
      <c r="J717" s="312">
        <v>1913</v>
      </c>
      <c r="K717" s="312" t="s">
        <v>109</v>
      </c>
    </row>
    <row r="718" spans="1:11">
      <c r="A718" s="312" t="s">
        <v>5184</v>
      </c>
      <c r="B718" s="312" t="s">
        <v>5185</v>
      </c>
      <c r="C718" s="312" t="s">
        <v>105</v>
      </c>
      <c r="D718" s="312" t="s">
        <v>1156</v>
      </c>
      <c r="E718" s="312" t="s">
        <v>107</v>
      </c>
      <c r="F718" s="312">
        <v>1825</v>
      </c>
      <c r="G718" s="312" t="s">
        <v>108</v>
      </c>
      <c r="H718" s="312">
        <v>1827</v>
      </c>
      <c r="I718" s="312" t="s">
        <v>107</v>
      </c>
      <c r="J718" s="312">
        <v>1913</v>
      </c>
      <c r="K718" s="312" t="s">
        <v>109</v>
      </c>
    </row>
    <row r="719" spans="1:11">
      <c r="A719" s="312" t="s">
        <v>5190</v>
      </c>
      <c r="B719" s="312" t="s">
        <v>5191</v>
      </c>
      <c r="C719" s="312" t="s">
        <v>105</v>
      </c>
      <c r="D719" s="312" t="s">
        <v>1156</v>
      </c>
      <c r="E719" s="312" t="s">
        <v>107</v>
      </c>
      <c r="F719" s="312">
        <v>1825</v>
      </c>
      <c r="G719" s="312" t="s">
        <v>108</v>
      </c>
      <c r="H719" s="312">
        <v>1827</v>
      </c>
      <c r="I719" s="312" t="s">
        <v>107</v>
      </c>
      <c r="J719" s="312">
        <v>1913</v>
      </c>
      <c r="K719" s="312" t="s">
        <v>109</v>
      </c>
    </row>
    <row r="720" spans="1:11">
      <c r="A720" s="312" t="s">
        <v>5246</v>
      </c>
      <c r="B720" s="312" t="s">
        <v>5247</v>
      </c>
      <c r="C720" s="312" t="s">
        <v>105</v>
      </c>
      <c r="D720" s="312" t="s">
        <v>1156</v>
      </c>
      <c r="E720" s="312" t="s">
        <v>107</v>
      </c>
      <c r="F720" s="312">
        <v>1825</v>
      </c>
      <c r="G720" s="312" t="s">
        <v>108</v>
      </c>
      <c r="H720" s="312">
        <v>1827</v>
      </c>
      <c r="I720" s="312" t="s">
        <v>107</v>
      </c>
      <c r="J720" s="312">
        <v>1913</v>
      </c>
      <c r="K720" s="312" t="s">
        <v>109</v>
      </c>
    </row>
    <row r="721" spans="1:11">
      <c r="A721" s="312" t="s">
        <v>5320</v>
      </c>
      <c r="B721" s="312" t="s">
        <v>5321</v>
      </c>
      <c r="C721" s="312" t="s">
        <v>105</v>
      </c>
      <c r="D721" s="312" t="s">
        <v>1156</v>
      </c>
      <c r="E721" s="312" t="s">
        <v>107</v>
      </c>
      <c r="F721" s="312">
        <v>1825</v>
      </c>
      <c r="G721" s="312" t="s">
        <v>108</v>
      </c>
      <c r="H721" s="312">
        <v>1827</v>
      </c>
      <c r="I721" s="312" t="s">
        <v>107</v>
      </c>
      <c r="J721" s="312">
        <v>1913</v>
      </c>
      <c r="K721" s="312" t="s">
        <v>109</v>
      </c>
    </row>
    <row r="722" spans="1:11">
      <c r="A722" s="312" t="s">
        <v>5369</v>
      </c>
      <c r="B722" s="312" t="s">
        <v>5370</v>
      </c>
      <c r="C722" s="312" t="s">
        <v>105</v>
      </c>
      <c r="D722" s="312" t="s">
        <v>1156</v>
      </c>
      <c r="E722" s="312" t="s">
        <v>107</v>
      </c>
      <c r="F722" s="312">
        <v>1825</v>
      </c>
      <c r="G722" s="312" t="s">
        <v>108</v>
      </c>
      <c r="H722" s="312">
        <v>1827</v>
      </c>
      <c r="I722" s="312" t="s">
        <v>107</v>
      </c>
      <c r="J722" s="312">
        <v>1913</v>
      </c>
      <c r="K722" s="312" t="s">
        <v>109</v>
      </c>
    </row>
    <row r="723" spans="1:11">
      <c r="A723" s="312" t="s">
        <v>5812</v>
      </c>
      <c r="B723" s="312" t="s">
        <v>5813</v>
      </c>
      <c r="C723" s="312" t="s">
        <v>105</v>
      </c>
      <c r="D723" s="312" t="s">
        <v>1156</v>
      </c>
      <c r="E723" s="312" t="s">
        <v>107</v>
      </c>
      <c r="F723" s="312">
        <v>1825</v>
      </c>
      <c r="G723" s="312" t="s">
        <v>108</v>
      </c>
      <c r="H723" s="312">
        <v>1827</v>
      </c>
      <c r="I723" s="312" t="s">
        <v>107</v>
      </c>
      <c r="J723" s="312">
        <v>1913</v>
      </c>
      <c r="K723" s="312" t="s">
        <v>109</v>
      </c>
    </row>
    <row r="724" spans="1:11">
      <c r="A724" s="312" t="s">
        <v>6058</v>
      </c>
      <c r="B724" s="312" t="s">
        <v>6059</v>
      </c>
      <c r="C724" s="312" t="s">
        <v>105</v>
      </c>
      <c r="D724" s="312" t="s">
        <v>1156</v>
      </c>
      <c r="E724" s="312" t="s">
        <v>107</v>
      </c>
      <c r="F724" s="312">
        <v>1825</v>
      </c>
      <c r="G724" s="312" t="s">
        <v>108</v>
      </c>
      <c r="H724" s="312">
        <v>1827</v>
      </c>
      <c r="I724" s="312" t="s">
        <v>107</v>
      </c>
      <c r="J724" s="312">
        <v>1913</v>
      </c>
      <c r="K724" s="312" t="s">
        <v>109</v>
      </c>
    </row>
    <row r="725" spans="1:11">
      <c r="A725" s="312" t="s">
        <v>676</v>
      </c>
      <c r="B725" s="312" t="s">
        <v>677</v>
      </c>
      <c r="C725" s="312" t="s">
        <v>105</v>
      </c>
      <c r="D725" s="312" t="s">
        <v>678</v>
      </c>
      <c r="E725" s="312" t="s">
        <v>466</v>
      </c>
      <c r="F725" s="312">
        <v>1796</v>
      </c>
      <c r="G725" s="312" t="s">
        <v>467</v>
      </c>
      <c r="H725" s="312">
        <v>1799</v>
      </c>
      <c r="I725" s="312" t="s">
        <v>466</v>
      </c>
      <c r="J725" s="312">
        <v>1918</v>
      </c>
      <c r="K725" s="312" t="s">
        <v>468</v>
      </c>
    </row>
    <row r="726" spans="1:11">
      <c r="A726" s="312" t="s">
        <v>978</v>
      </c>
      <c r="B726" s="312" t="s">
        <v>979</v>
      </c>
      <c r="C726" s="312" t="s">
        <v>105</v>
      </c>
      <c r="D726" s="312" t="s">
        <v>678</v>
      </c>
      <c r="E726" s="312" t="s">
        <v>107</v>
      </c>
      <c r="F726" s="312">
        <v>1825</v>
      </c>
      <c r="G726" s="312" t="s">
        <v>108</v>
      </c>
      <c r="H726" s="312">
        <v>1827</v>
      </c>
      <c r="I726" s="312" t="s">
        <v>107</v>
      </c>
      <c r="J726" s="312">
        <v>1913</v>
      </c>
      <c r="K726" s="312" t="s">
        <v>109</v>
      </c>
    </row>
    <row r="727" spans="1:11">
      <c r="A727" s="312" t="s">
        <v>980</v>
      </c>
      <c r="B727" s="312" t="s">
        <v>981</v>
      </c>
      <c r="C727" s="312" t="s">
        <v>105</v>
      </c>
      <c r="D727" s="312" t="s">
        <v>678</v>
      </c>
      <c r="E727" s="312" t="s">
        <v>107</v>
      </c>
      <c r="F727" s="312">
        <v>1825</v>
      </c>
      <c r="G727" s="312" t="s">
        <v>108</v>
      </c>
      <c r="H727" s="312">
        <v>1827</v>
      </c>
      <c r="I727" s="312" t="s">
        <v>107</v>
      </c>
      <c r="J727" s="312">
        <v>1913</v>
      </c>
      <c r="K727" s="312" t="s">
        <v>109</v>
      </c>
    </row>
    <row r="728" spans="1:11">
      <c r="A728" s="312" t="s">
        <v>1388</v>
      </c>
      <c r="B728" s="312" t="s">
        <v>1389</v>
      </c>
      <c r="C728" s="312" t="s">
        <v>105</v>
      </c>
      <c r="D728" s="312" t="s">
        <v>678</v>
      </c>
      <c r="E728" s="312" t="s">
        <v>107</v>
      </c>
      <c r="F728" s="312">
        <v>1825</v>
      </c>
      <c r="G728" s="312" t="s">
        <v>108</v>
      </c>
      <c r="H728" s="312">
        <v>1827</v>
      </c>
      <c r="I728" s="312" t="s">
        <v>107</v>
      </c>
      <c r="J728" s="312">
        <v>1913</v>
      </c>
      <c r="K728" s="312" t="s">
        <v>109</v>
      </c>
    </row>
    <row r="729" spans="1:11">
      <c r="A729" s="312" t="s">
        <v>1390</v>
      </c>
      <c r="B729" s="312" t="s">
        <v>1391</v>
      </c>
      <c r="C729" s="312" t="s">
        <v>105</v>
      </c>
      <c r="D729" s="312" t="s">
        <v>678</v>
      </c>
      <c r="E729" s="312" t="s">
        <v>107</v>
      </c>
      <c r="F729" s="312">
        <v>1825</v>
      </c>
      <c r="G729" s="312" t="s">
        <v>108</v>
      </c>
      <c r="H729" s="312">
        <v>1827</v>
      </c>
      <c r="I729" s="312" t="s">
        <v>107</v>
      </c>
      <c r="J729" s="312">
        <v>1913</v>
      </c>
      <c r="K729" s="312" t="s">
        <v>109</v>
      </c>
    </row>
    <row r="730" spans="1:11">
      <c r="A730" s="312" t="s">
        <v>1445</v>
      </c>
      <c r="B730" s="312" t="s">
        <v>1446</v>
      </c>
      <c r="C730" s="312" t="s">
        <v>105</v>
      </c>
      <c r="D730" s="312" t="s">
        <v>678</v>
      </c>
      <c r="E730" s="312" t="s">
        <v>107</v>
      </c>
      <c r="F730" s="312">
        <v>1825</v>
      </c>
      <c r="G730" s="312" t="s">
        <v>108</v>
      </c>
      <c r="H730" s="312">
        <v>1827</v>
      </c>
      <c r="I730" s="312" t="s">
        <v>107</v>
      </c>
      <c r="J730" s="312">
        <v>1913</v>
      </c>
      <c r="K730" s="312" t="s">
        <v>109</v>
      </c>
    </row>
    <row r="731" spans="1:11">
      <c r="A731" s="312" t="s">
        <v>3008</v>
      </c>
      <c r="B731" s="312" t="s">
        <v>3009</v>
      </c>
      <c r="C731" s="312" t="s">
        <v>105</v>
      </c>
      <c r="D731" s="312" t="s">
        <v>678</v>
      </c>
      <c r="E731" s="312" t="s">
        <v>107</v>
      </c>
      <c r="F731" s="312">
        <v>1825</v>
      </c>
      <c r="G731" s="312" t="s">
        <v>108</v>
      </c>
      <c r="H731" s="312">
        <v>1827</v>
      </c>
      <c r="I731" s="312" t="s">
        <v>107</v>
      </c>
      <c r="J731" s="312">
        <v>1913</v>
      </c>
      <c r="K731" s="312" t="s">
        <v>109</v>
      </c>
    </row>
    <row r="732" spans="1:11">
      <c r="A732" s="312" t="s">
        <v>3010</v>
      </c>
      <c r="B732" s="312" t="s">
        <v>3011</v>
      </c>
      <c r="C732" s="312" t="s">
        <v>105</v>
      </c>
      <c r="D732" s="312" t="s">
        <v>678</v>
      </c>
      <c r="E732" s="312" t="s">
        <v>107</v>
      </c>
      <c r="F732" s="312">
        <v>1825</v>
      </c>
      <c r="G732" s="312" t="s">
        <v>108</v>
      </c>
      <c r="H732" s="312">
        <v>1827</v>
      </c>
      <c r="I732" s="312" t="s">
        <v>107</v>
      </c>
      <c r="J732" s="312">
        <v>1913</v>
      </c>
      <c r="K732" s="312" t="s">
        <v>109</v>
      </c>
    </row>
    <row r="733" spans="1:11">
      <c r="A733" s="312" t="s">
        <v>3847</v>
      </c>
      <c r="B733" s="312" t="s">
        <v>3848</v>
      </c>
      <c r="C733" s="312" t="s">
        <v>105</v>
      </c>
      <c r="D733" s="312" t="s">
        <v>678</v>
      </c>
      <c r="E733" s="312" t="s">
        <v>107</v>
      </c>
      <c r="F733" s="312">
        <v>1825</v>
      </c>
      <c r="G733" s="312" t="s">
        <v>108</v>
      </c>
      <c r="H733" s="312">
        <v>1827</v>
      </c>
      <c r="I733" s="312" t="s">
        <v>107</v>
      </c>
      <c r="J733" s="312">
        <v>1913</v>
      </c>
      <c r="K733" s="312" t="s">
        <v>109</v>
      </c>
    </row>
    <row r="734" spans="1:11">
      <c r="A734" s="312" t="s">
        <v>1052</v>
      </c>
      <c r="B734" s="312" t="s">
        <v>1053</v>
      </c>
      <c r="C734" s="312" t="s">
        <v>105</v>
      </c>
      <c r="D734" s="312" t="s">
        <v>1054</v>
      </c>
      <c r="E734" s="312" t="s">
        <v>107</v>
      </c>
      <c r="F734" s="312">
        <v>1825</v>
      </c>
      <c r="G734" s="312" t="s">
        <v>108</v>
      </c>
      <c r="H734" s="312">
        <v>1827</v>
      </c>
      <c r="I734" s="312" t="s">
        <v>107</v>
      </c>
      <c r="J734" s="312">
        <v>1913</v>
      </c>
      <c r="K734" s="312" t="s">
        <v>109</v>
      </c>
    </row>
    <row r="735" spans="1:11">
      <c r="A735" s="312" t="s">
        <v>4338</v>
      </c>
      <c r="B735" s="312" t="s">
        <v>4339</v>
      </c>
      <c r="C735" s="312" t="s">
        <v>105</v>
      </c>
      <c r="D735" s="312" t="s">
        <v>4340</v>
      </c>
      <c r="E735" s="312" t="s">
        <v>107</v>
      </c>
      <c r="F735" s="312">
        <v>1825</v>
      </c>
      <c r="G735" s="312" t="s">
        <v>108</v>
      </c>
      <c r="H735" s="312">
        <v>1827</v>
      </c>
      <c r="I735" s="312" t="s">
        <v>107</v>
      </c>
      <c r="J735" s="312">
        <v>1913</v>
      </c>
      <c r="K735" s="312" t="s">
        <v>109</v>
      </c>
    </row>
    <row r="736" spans="1:11">
      <c r="A736" s="312" t="s">
        <v>2850</v>
      </c>
      <c r="B736" s="312" t="s">
        <v>2851</v>
      </c>
      <c r="C736" s="312" t="s">
        <v>105</v>
      </c>
      <c r="D736" s="312" t="s">
        <v>2852</v>
      </c>
      <c r="E736" s="312" t="s">
        <v>466</v>
      </c>
      <c r="F736" s="312">
        <v>1796</v>
      </c>
      <c r="G736" s="312" t="s">
        <v>467</v>
      </c>
      <c r="H736" s="312">
        <v>1799</v>
      </c>
      <c r="I736" s="312" t="s">
        <v>466</v>
      </c>
      <c r="J736" s="312">
        <v>1918</v>
      </c>
      <c r="K736" s="312" t="s">
        <v>468</v>
      </c>
    </row>
    <row r="737" spans="1:11">
      <c r="A737" s="312" t="s">
        <v>656</v>
      </c>
      <c r="B737" s="312" t="s">
        <v>657</v>
      </c>
      <c r="C737" s="312" t="s">
        <v>105</v>
      </c>
      <c r="D737" s="312" t="s">
        <v>658</v>
      </c>
      <c r="E737" s="312" t="s">
        <v>107</v>
      </c>
      <c r="F737" s="312">
        <v>1825</v>
      </c>
      <c r="G737" s="312" t="s">
        <v>108</v>
      </c>
      <c r="H737" s="312">
        <v>1827</v>
      </c>
      <c r="I737" s="312" t="s">
        <v>107</v>
      </c>
      <c r="J737" s="312">
        <v>1913</v>
      </c>
      <c r="K737" s="312" t="s">
        <v>109</v>
      </c>
    </row>
    <row r="738" spans="1:11">
      <c r="A738" s="312" t="s">
        <v>1257</v>
      </c>
      <c r="B738" s="312" t="s">
        <v>1258</v>
      </c>
      <c r="C738" s="312" t="s">
        <v>105</v>
      </c>
      <c r="D738" s="312" t="s">
        <v>658</v>
      </c>
      <c r="E738" s="312" t="s">
        <v>696</v>
      </c>
      <c r="F738" s="312">
        <v>1736</v>
      </c>
      <c r="G738" s="312" t="s">
        <v>697</v>
      </c>
      <c r="H738" s="312">
        <v>1741</v>
      </c>
      <c r="I738" s="312" t="s">
        <v>696</v>
      </c>
      <c r="J738" s="312">
        <v>1929</v>
      </c>
      <c r="K738" s="312" t="s">
        <v>698</v>
      </c>
    </row>
    <row r="739" spans="1:11">
      <c r="A739" s="312" t="s">
        <v>1303</v>
      </c>
      <c r="B739" s="312" t="s">
        <v>1304</v>
      </c>
      <c r="C739" s="312" t="s">
        <v>105</v>
      </c>
      <c r="D739" s="312" t="s">
        <v>658</v>
      </c>
      <c r="E739" s="312" t="s">
        <v>696</v>
      </c>
      <c r="F739" s="312">
        <v>1736</v>
      </c>
      <c r="G739" s="312" t="s">
        <v>697</v>
      </c>
      <c r="H739" s="312">
        <v>1741</v>
      </c>
      <c r="I739" s="312" t="s">
        <v>696</v>
      </c>
      <c r="J739" s="312">
        <v>1929</v>
      </c>
      <c r="K739" s="312" t="s">
        <v>698</v>
      </c>
    </row>
    <row r="740" spans="1:11">
      <c r="A740" s="312" t="s">
        <v>115</v>
      </c>
      <c r="B740" s="312" t="s">
        <v>116</v>
      </c>
      <c r="C740" s="312" t="s">
        <v>105</v>
      </c>
      <c r="D740" s="312" t="s">
        <v>117</v>
      </c>
      <c r="E740" s="312" t="s">
        <v>107</v>
      </c>
      <c r="F740" s="312">
        <v>1825</v>
      </c>
      <c r="G740" s="312" t="s">
        <v>108</v>
      </c>
      <c r="H740" s="312">
        <v>1827</v>
      </c>
      <c r="I740" s="312" t="s">
        <v>107</v>
      </c>
      <c r="J740" s="312">
        <v>1913</v>
      </c>
      <c r="K740" s="312" t="s">
        <v>109</v>
      </c>
    </row>
    <row r="741" spans="1:11">
      <c r="A741" s="312" t="s">
        <v>118</v>
      </c>
      <c r="B741" s="312" t="s">
        <v>119</v>
      </c>
      <c r="C741" s="312" t="s">
        <v>105</v>
      </c>
      <c r="D741" s="312" t="s">
        <v>117</v>
      </c>
      <c r="E741" s="312" t="s">
        <v>107</v>
      </c>
      <c r="F741" s="312">
        <v>1825</v>
      </c>
      <c r="G741" s="312" t="s">
        <v>108</v>
      </c>
      <c r="H741" s="312">
        <v>1827</v>
      </c>
      <c r="I741" s="312" t="s">
        <v>107</v>
      </c>
      <c r="J741" s="312">
        <v>1913</v>
      </c>
      <c r="K741" s="312" t="s">
        <v>109</v>
      </c>
    </row>
    <row r="742" spans="1:11">
      <c r="A742" s="312" t="s">
        <v>122</v>
      </c>
      <c r="B742" s="312" t="s">
        <v>123</v>
      </c>
      <c r="C742" s="312" t="s">
        <v>105</v>
      </c>
      <c r="D742" s="312" t="s">
        <v>117</v>
      </c>
      <c r="E742" s="312" t="s">
        <v>107</v>
      </c>
      <c r="F742" s="312">
        <v>1825</v>
      </c>
      <c r="G742" s="312" t="s">
        <v>108</v>
      </c>
      <c r="H742" s="312">
        <v>1827</v>
      </c>
      <c r="I742" s="312" t="s">
        <v>107</v>
      </c>
      <c r="J742" s="312">
        <v>1913</v>
      </c>
      <c r="K742" s="312" t="s">
        <v>109</v>
      </c>
    </row>
    <row r="743" spans="1:11">
      <c r="A743" s="312" t="s">
        <v>124</v>
      </c>
      <c r="B743" s="312" t="s">
        <v>125</v>
      </c>
      <c r="C743" s="312" t="s">
        <v>105</v>
      </c>
      <c r="D743" s="312" t="s">
        <v>117</v>
      </c>
      <c r="E743" s="312" t="s">
        <v>107</v>
      </c>
      <c r="F743" s="312">
        <v>1825</v>
      </c>
      <c r="G743" s="312" t="s">
        <v>108</v>
      </c>
      <c r="H743" s="312">
        <v>1827</v>
      </c>
      <c r="I743" s="312" t="s">
        <v>107</v>
      </c>
      <c r="J743" s="312">
        <v>1913</v>
      </c>
      <c r="K743" s="312" t="s">
        <v>109</v>
      </c>
    </row>
    <row r="744" spans="1:11">
      <c r="A744" s="312" t="s">
        <v>146</v>
      </c>
      <c r="B744" s="312" t="s">
        <v>147</v>
      </c>
      <c r="C744" s="312" t="s">
        <v>105</v>
      </c>
      <c r="D744" s="312" t="s">
        <v>117</v>
      </c>
      <c r="E744" s="312" t="s">
        <v>107</v>
      </c>
      <c r="F744" s="312">
        <v>1825</v>
      </c>
      <c r="G744" s="312" t="s">
        <v>108</v>
      </c>
      <c r="H744" s="312">
        <v>1827</v>
      </c>
      <c r="I744" s="312" t="s">
        <v>107</v>
      </c>
      <c r="J744" s="312">
        <v>1913</v>
      </c>
      <c r="K744" s="312" t="s">
        <v>109</v>
      </c>
    </row>
    <row r="745" spans="1:11">
      <c r="A745" s="312" t="s">
        <v>594</v>
      </c>
      <c r="B745" s="312" t="s">
        <v>595</v>
      </c>
      <c r="C745" s="312" t="s">
        <v>105</v>
      </c>
      <c r="D745" s="312" t="s">
        <v>117</v>
      </c>
      <c r="E745" s="312" t="s">
        <v>107</v>
      </c>
      <c r="F745" s="312">
        <v>1825</v>
      </c>
      <c r="G745" s="312" t="s">
        <v>108</v>
      </c>
      <c r="H745" s="312">
        <v>1827</v>
      </c>
      <c r="I745" s="312" t="s">
        <v>107</v>
      </c>
      <c r="J745" s="312">
        <v>1913</v>
      </c>
      <c r="K745" s="312" t="s">
        <v>109</v>
      </c>
    </row>
    <row r="746" spans="1:11">
      <c r="A746" s="312" t="s">
        <v>861</v>
      </c>
      <c r="B746" s="312" t="s">
        <v>862</v>
      </c>
      <c r="C746" s="312" t="s">
        <v>105</v>
      </c>
      <c r="D746" s="312" t="s">
        <v>117</v>
      </c>
      <c r="E746" s="312" t="s">
        <v>107</v>
      </c>
      <c r="F746" s="312">
        <v>1825</v>
      </c>
      <c r="G746" s="312" t="s">
        <v>108</v>
      </c>
      <c r="H746" s="312">
        <v>1827</v>
      </c>
      <c r="I746" s="312" t="s">
        <v>107</v>
      </c>
      <c r="J746" s="312">
        <v>1913</v>
      </c>
      <c r="K746" s="312" t="s">
        <v>109</v>
      </c>
    </row>
    <row r="747" spans="1:11">
      <c r="A747" s="312" t="s">
        <v>870</v>
      </c>
      <c r="B747" s="312" t="s">
        <v>871</v>
      </c>
      <c r="C747" s="312" t="s">
        <v>105</v>
      </c>
      <c r="D747" s="312" t="s">
        <v>117</v>
      </c>
      <c r="E747" s="312" t="s">
        <v>107</v>
      </c>
      <c r="F747" s="312">
        <v>1825</v>
      </c>
      <c r="G747" s="312" t="s">
        <v>108</v>
      </c>
      <c r="H747" s="312">
        <v>1827</v>
      </c>
      <c r="I747" s="312" t="s">
        <v>107</v>
      </c>
      <c r="J747" s="312">
        <v>1913</v>
      </c>
      <c r="K747" s="312" t="s">
        <v>109</v>
      </c>
    </row>
    <row r="748" spans="1:11">
      <c r="A748" s="312" t="s">
        <v>876</v>
      </c>
      <c r="B748" s="312" t="s">
        <v>877</v>
      </c>
      <c r="C748" s="312" t="s">
        <v>105</v>
      </c>
      <c r="D748" s="312" t="s">
        <v>117</v>
      </c>
      <c r="E748" s="312" t="s">
        <v>107</v>
      </c>
      <c r="F748" s="312">
        <v>1825</v>
      </c>
      <c r="G748" s="312" t="s">
        <v>108</v>
      </c>
      <c r="H748" s="312">
        <v>1827</v>
      </c>
      <c r="I748" s="312" t="s">
        <v>107</v>
      </c>
      <c r="J748" s="312">
        <v>1913</v>
      </c>
      <c r="K748" s="312" t="s">
        <v>109</v>
      </c>
    </row>
    <row r="749" spans="1:11">
      <c r="A749" s="312" t="s">
        <v>1548</v>
      </c>
      <c r="B749" s="312" t="s">
        <v>1549</v>
      </c>
      <c r="C749" s="312" t="s">
        <v>105</v>
      </c>
      <c r="D749" s="312" t="s">
        <v>117</v>
      </c>
      <c r="E749" s="312" t="s">
        <v>107</v>
      </c>
      <c r="F749" s="312">
        <v>1825</v>
      </c>
      <c r="G749" s="312" t="s">
        <v>108</v>
      </c>
      <c r="H749" s="312">
        <v>1827</v>
      </c>
      <c r="I749" s="312" t="s">
        <v>107</v>
      </c>
      <c r="J749" s="312">
        <v>1913</v>
      </c>
      <c r="K749" s="312" t="s">
        <v>109</v>
      </c>
    </row>
    <row r="750" spans="1:11">
      <c r="A750" s="312" t="s">
        <v>1560</v>
      </c>
      <c r="B750" s="312" t="s">
        <v>1561</v>
      </c>
      <c r="C750" s="312" t="s">
        <v>105</v>
      </c>
      <c r="D750" s="312" t="s">
        <v>117</v>
      </c>
      <c r="E750" s="312" t="s">
        <v>107</v>
      </c>
      <c r="F750" s="312">
        <v>1825</v>
      </c>
      <c r="G750" s="312" t="s">
        <v>108</v>
      </c>
      <c r="H750" s="312">
        <v>1827</v>
      </c>
      <c r="I750" s="312" t="s">
        <v>107</v>
      </c>
      <c r="J750" s="312">
        <v>1913</v>
      </c>
      <c r="K750" s="312" t="s">
        <v>109</v>
      </c>
    </row>
    <row r="751" spans="1:11">
      <c r="A751" s="312" t="s">
        <v>1855</v>
      </c>
      <c r="B751" s="312" t="s">
        <v>1856</v>
      </c>
      <c r="C751" s="312" t="s">
        <v>105</v>
      </c>
      <c r="D751" s="312" t="s">
        <v>117</v>
      </c>
      <c r="E751" s="312" t="s">
        <v>107</v>
      </c>
      <c r="F751" s="312">
        <v>1825</v>
      </c>
      <c r="G751" s="312" t="s">
        <v>108</v>
      </c>
      <c r="H751" s="312">
        <v>1827</v>
      </c>
      <c r="I751" s="312" t="s">
        <v>107</v>
      </c>
      <c r="J751" s="312">
        <v>1913</v>
      </c>
      <c r="K751" s="312" t="s">
        <v>109</v>
      </c>
    </row>
    <row r="752" spans="1:11">
      <c r="A752" s="312" t="s">
        <v>1875</v>
      </c>
      <c r="B752" s="312" t="s">
        <v>1876</v>
      </c>
      <c r="C752" s="312" t="s">
        <v>105</v>
      </c>
      <c r="D752" s="312" t="s">
        <v>117</v>
      </c>
      <c r="E752" s="312" t="s">
        <v>107</v>
      </c>
      <c r="F752" s="312">
        <v>1825</v>
      </c>
      <c r="G752" s="312" t="s">
        <v>108</v>
      </c>
      <c r="H752" s="312">
        <v>1827</v>
      </c>
      <c r="I752" s="312" t="s">
        <v>107</v>
      </c>
      <c r="J752" s="312">
        <v>1913</v>
      </c>
      <c r="K752" s="312" t="s">
        <v>109</v>
      </c>
    </row>
    <row r="753" spans="1:11">
      <c r="A753" s="312" t="s">
        <v>1929</v>
      </c>
      <c r="B753" s="312" t="s">
        <v>1930</v>
      </c>
      <c r="C753" s="312" t="s">
        <v>105</v>
      </c>
      <c r="D753" s="312" t="s">
        <v>117</v>
      </c>
      <c r="E753" s="312" t="s">
        <v>107</v>
      </c>
      <c r="F753" s="312">
        <v>1825</v>
      </c>
      <c r="G753" s="312" t="s">
        <v>108</v>
      </c>
      <c r="H753" s="312">
        <v>1827</v>
      </c>
      <c r="I753" s="312" t="s">
        <v>107</v>
      </c>
      <c r="J753" s="312">
        <v>1913</v>
      </c>
      <c r="K753" s="312" t="s">
        <v>109</v>
      </c>
    </row>
    <row r="754" spans="1:11">
      <c r="A754" s="312" t="s">
        <v>2124</v>
      </c>
      <c r="B754" s="312" t="s">
        <v>2125</v>
      </c>
      <c r="C754" s="312" t="s">
        <v>105</v>
      </c>
      <c r="D754" s="312" t="s">
        <v>117</v>
      </c>
      <c r="E754" s="312" t="s">
        <v>107</v>
      </c>
      <c r="F754" s="312">
        <v>1825</v>
      </c>
      <c r="G754" s="312" t="s">
        <v>108</v>
      </c>
      <c r="H754" s="312">
        <v>1827</v>
      </c>
      <c r="I754" s="312" t="s">
        <v>107</v>
      </c>
      <c r="J754" s="312">
        <v>1913</v>
      </c>
      <c r="K754" s="312" t="s">
        <v>109</v>
      </c>
    </row>
    <row r="755" spans="1:11">
      <c r="A755" s="312" t="s">
        <v>2126</v>
      </c>
      <c r="B755" s="312" t="s">
        <v>2127</v>
      </c>
      <c r="C755" s="312" t="s">
        <v>105</v>
      </c>
      <c r="D755" s="312" t="s">
        <v>117</v>
      </c>
      <c r="E755" s="312" t="s">
        <v>107</v>
      </c>
      <c r="F755" s="312">
        <v>1825</v>
      </c>
      <c r="G755" s="312" t="s">
        <v>108</v>
      </c>
      <c r="H755" s="312">
        <v>1827</v>
      </c>
      <c r="I755" s="312" t="s">
        <v>107</v>
      </c>
      <c r="J755" s="312">
        <v>1913</v>
      </c>
      <c r="K755" s="312" t="s">
        <v>109</v>
      </c>
    </row>
    <row r="756" spans="1:11">
      <c r="A756" s="312" t="s">
        <v>2128</v>
      </c>
      <c r="B756" s="312" t="s">
        <v>2129</v>
      </c>
      <c r="C756" s="312" t="s">
        <v>105</v>
      </c>
      <c r="D756" s="312" t="s">
        <v>117</v>
      </c>
      <c r="E756" s="312" t="s">
        <v>107</v>
      </c>
      <c r="F756" s="312">
        <v>1825</v>
      </c>
      <c r="G756" s="312" t="s">
        <v>108</v>
      </c>
      <c r="H756" s="312">
        <v>1827</v>
      </c>
      <c r="I756" s="312" t="s">
        <v>107</v>
      </c>
      <c r="J756" s="312">
        <v>1913</v>
      </c>
      <c r="K756" s="312" t="s">
        <v>109</v>
      </c>
    </row>
    <row r="757" spans="1:11">
      <c r="A757" s="312" t="s">
        <v>2389</v>
      </c>
      <c r="B757" s="312" t="s">
        <v>2390</v>
      </c>
      <c r="C757" s="312" t="s">
        <v>105</v>
      </c>
      <c r="D757" s="312" t="s">
        <v>117</v>
      </c>
      <c r="E757" s="312" t="s">
        <v>696</v>
      </c>
      <c r="F757" s="312">
        <v>1736</v>
      </c>
      <c r="G757" s="312" t="s">
        <v>697</v>
      </c>
      <c r="H757" s="312">
        <v>1741</v>
      </c>
      <c r="I757" s="312" t="s">
        <v>696</v>
      </c>
      <c r="J757" s="312">
        <v>1929</v>
      </c>
      <c r="K757" s="312" t="s">
        <v>698</v>
      </c>
    </row>
    <row r="758" spans="1:11">
      <c r="A758" s="312" t="s">
        <v>2546</v>
      </c>
      <c r="B758" s="312" t="s">
        <v>2547</v>
      </c>
      <c r="C758" s="312" t="s">
        <v>105</v>
      </c>
      <c r="D758" s="312" t="s">
        <v>117</v>
      </c>
      <c r="E758" s="312" t="s">
        <v>107</v>
      </c>
      <c r="F758" s="312">
        <v>1825</v>
      </c>
      <c r="G758" s="312" t="s">
        <v>108</v>
      </c>
      <c r="H758" s="312">
        <v>1827</v>
      </c>
      <c r="I758" s="312" t="s">
        <v>107</v>
      </c>
      <c r="J758" s="312">
        <v>1913</v>
      </c>
      <c r="K758" s="312" t="s">
        <v>109</v>
      </c>
    </row>
    <row r="759" spans="1:11">
      <c r="A759" s="312" t="s">
        <v>2560</v>
      </c>
      <c r="B759" s="312" t="s">
        <v>2561</v>
      </c>
      <c r="C759" s="312" t="s">
        <v>105</v>
      </c>
      <c r="D759" s="312" t="s">
        <v>117</v>
      </c>
      <c r="E759" s="312" t="s">
        <v>107</v>
      </c>
      <c r="F759" s="312">
        <v>1825</v>
      </c>
      <c r="G759" s="312" t="s">
        <v>108</v>
      </c>
      <c r="H759" s="312">
        <v>1827</v>
      </c>
      <c r="I759" s="312" t="s">
        <v>107</v>
      </c>
      <c r="J759" s="312">
        <v>1913</v>
      </c>
      <c r="K759" s="312" t="s">
        <v>109</v>
      </c>
    </row>
    <row r="760" spans="1:11">
      <c r="A760" s="312" t="s">
        <v>2566</v>
      </c>
      <c r="B760" s="312" t="s">
        <v>2567</v>
      </c>
      <c r="C760" s="312" t="s">
        <v>105</v>
      </c>
      <c r="D760" s="312" t="s">
        <v>117</v>
      </c>
      <c r="E760" s="312" t="s">
        <v>107</v>
      </c>
      <c r="F760" s="312">
        <v>1825</v>
      </c>
      <c r="G760" s="312" t="s">
        <v>108</v>
      </c>
      <c r="H760" s="312">
        <v>1827</v>
      </c>
      <c r="I760" s="312" t="s">
        <v>107</v>
      </c>
      <c r="J760" s="312">
        <v>1913</v>
      </c>
      <c r="K760" s="312" t="s">
        <v>109</v>
      </c>
    </row>
    <row r="761" spans="1:11">
      <c r="A761" s="312" t="s">
        <v>2611</v>
      </c>
      <c r="B761" s="312" t="s">
        <v>2612</v>
      </c>
      <c r="C761" s="312" t="s">
        <v>105</v>
      </c>
      <c r="D761" s="312" t="s">
        <v>117</v>
      </c>
      <c r="E761" s="312" t="s">
        <v>107</v>
      </c>
      <c r="F761" s="312">
        <v>1825</v>
      </c>
      <c r="G761" s="312" t="s">
        <v>108</v>
      </c>
      <c r="H761" s="312">
        <v>1827</v>
      </c>
      <c r="I761" s="312" t="s">
        <v>107</v>
      </c>
      <c r="J761" s="312">
        <v>1913</v>
      </c>
      <c r="K761" s="312" t="s">
        <v>109</v>
      </c>
    </row>
    <row r="762" spans="1:11">
      <c r="A762" s="312" t="s">
        <v>2810</v>
      </c>
      <c r="B762" s="312" t="s">
        <v>2811</v>
      </c>
      <c r="C762" s="312" t="s">
        <v>105</v>
      </c>
      <c r="D762" s="312" t="s">
        <v>117</v>
      </c>
      <c r="E762" s="312" t="s">
        <v>107</v>
      </c>
      <c r="F762" s="312">
        <v>1825</v>
      </c>
      <c r="G762" s="312" t="s">
        <v>108</v>
      </c>
      <c r="H762" s="312">
        <v>1827</v>
      </c>
      <c r="I762" s="312" t="s">
        <v>107</v>
      </c>
      <c r="J762" s="312">
        <v>1913</v>
      </c>
      <c r="K762" s="312" t="s">
        <v>109</v>
      </c>
    </row>
    <row r="763" spans="1:11">
      <c r="A763" s="312" t="s">
        <v>2836</v>
      </c>
      <c r="B763" s="312" t="s">
        <v>2837</v>
      </c>
      <c r="C763" s="312" t="s">
        <v>105</v>
      </c>
      <c r="D763" s="312" t="s">
        <v>117</v>
      </c>
      <c r="E763" s="312" t="s">
        <v>107</v>
      </c>
      <c r="F763" s="312">
        <v>1825</v>
      </c>
      <c r="G763" s="312" t="s">
        <v>108</v>
      </c>
      <c r="H763" s="312">
        <v>1827</v>
      </c>
      <c r="I763" s="312" t="s">
        <v>107</v>
      </c>
      <c r="J763" s="312">
        <v>1913</v>
      </c>
      <c r="K763" s="312" t="s">
        <v>109</v>
      </c>
    </row>
    <row r="764" spans="1:11">
      <c r="A764" s="312" t="s">
        <v>2941</v>
      </c>
      <c r="B764" s="312" t="s">
        <v>2942</v>
      </c>
      <c r="C764" s="312" t="s">
        <v>105</v>
      </c>
      <c r="D764" s="312" t="s">
        <v>117</v>
      </c>
      <c r="E764" s="312" t="s">
        <v>107</v>
      </c>
      <c r="F764" s="312">
        <v>1825</v>
      </c>
      <c r="G764" s="312" t="s">
        <v>108</v>
      </c>
      <c r="H764" s="312">
        <v>1827</v>
      </c>
      <c r="I764" s="312" t="s">
        <v>107</v>
      </c>
      <c r="J764" s="312">
        <v>1913</v>
      </c>
      <c r="K764" s="312" t="s">
        <v>109</v>
      </c>
    </row>
    <row r="765" spans="1:11">
      <c r="A765" s="312" t="s">
        <v>2958</v>
      </c>
      <c r="B765" s="312" t="s">
        <v>2959</v>
      </c>
      <c r="C765" s="312" t="s">
        <v>105</v>
      </c>
      <c r="D765" s="312" t="s">
        <v>117</v>
      </c>
      <c r="E765" s="312" t="s">
        <v>696</v>
      </c>
      <c r="F765" s="312">
        <v>1736</v>
      </c>
      <c r="G765" s="312" t="s">
        <v>697</v>
      </c>
      <c r="H765" s="312">
        <v>1741</v>
      </c>
      <c r="I765" s="312" t="s">
        <v>696</v>
      </c>
      <c r="J765" s="312">
        <v>1929</v>
      </c>
      <c r="K765" s="312" t="s">
        <v>698</v>
      </c>
    </row>
    <row r="766" spans="1:11">
      <c r="A766" s="312" t="s">
        <v>2994</v>
      </c>
      <c r="B766" s="312" t="s">
        <v>2995</v>
      </c>
      <c r="C766" s="312" t="s">
        <v>105</v>
      </c>
      <c r="D766" s="312" t="s">
        <v>117</v>
      </c>
      <c r="E766" s="312" t="s">
        <v>107</v>
      </c>
      <c r="F766" s="312">
        <v>1825</v>
      </c>
      <c r="G766" s="312" t="s">
        <v>108</v>
      </c>
      <c r="H766" s="312">
        <v>1827</v>
      </c>
      <c r="I766" s="312" t="s">
        <v>107</v>
      </c>
      <c r="J766" s="312">
        <v>1913</v>
      </c>
      <c r="K766" s="312" t="s">
        <v>109</v>
      </c>
    </row>
    <row r="767" spans="1:11">
      <c r="A767" s="312" t="s">
        <v>3048</v>
      </c>
      <c r="B767" s="312" t="s">
        <v>3049</v>
      </c>
      <c r="C767" s="312" t="s">
        <v>105</v>
      </c>
      <c r="D767" s="312" t="s">
        <v>117</v>
      </c>
      <c r="E767" s="312" t="s">
        <v>107</v>
      </c>
      <c r="F767" s="312">
        <v>1825</v>
      </c>
      <c r="G767" s="312" t="s">
        <v>108</v>
      </c>
      <c r="H767" s="312">
        <v>1827</v>
      </c>
      <c r="I767" s="312" t="s">
        <v>107</v>
      </c>
      <c r="J767" s="312">
        <v>1913</v>
      </c>
      <c r="K767" s="312" t="s">
        <v>109</v>
      </c>
    </row>
    <row r="768" spans="1:11">
      <c r="A768" s="312" t="s">
        <v>3328</v>
      </c>
      <c r="B768" s="312" t="s">
        <v>3329</v>
      </c>
      <c r="C768" s="312" t="s">
        <v>105</v>
      </c>
      <c r="D768" s="312" t="s">
        <v>117</v>
      </c>
      <c r="E768" s="312" t="s">
        <v>107</v>
      </c>
      <c r="F768" s="312">
        <v>1825</v>
      </c>
      <c r="G768" s="312" t="s">
        <v>108</v>
      </c>
      <c r="H768" s="312">
        <v>1827</v>
      </c>
      <c r="I768" s="312" t="s">
        <v>107</v>
      </c>
      <c r="J768" s="312">
        <v>1913</v>
      </c>
      <c r="K768" s="312" t="s">
        <v>109</v>
      </c>
    </row>
    <row r="769" spans="1:11">
      <c r="A769" s="312" t="s">
        <v>3338</v>
      </c>
      <c r="B769" s="312" t="s">
        <v>3339</v>
      </c>
      <c r="C769" s="312" t="s">
        <v>105</v>
      </c>
      <c r="D769" s="312" t="s">
        <v>117</v>
      </c>
      <c r="E769" s="312" t="s">
        <v>107</v>
      </c>
      <c r="F769" s="312">
        <v>1825</v>
      </c>
      <c r="G769" s="312" t="s">
        <v>108</v>
      </c>
      <c r="H769" s="312">
        <v>1827</v>
      </c>
      <c r="I769" s="312" t="s">
        <v>107</v>
      </c>
      <c r="J769" s="312">
        <v>1913</v>
      </c>
      <c r="K769" s="312" t="s">
        <v>109</v>
      </c>
    </row>
    <row r="770" spans="1:11">
      <c r="A770" s="312" t="s">
        <v>3356</v>
      </c>
      <c r="B770" s="312" t="s">
        <v>3357</v>
      </c>
      <c r="C770" s="312" t="s">
        <v>105</v>
      </c>
      <c r="D770" s="312" t="s">
        <v>117</v>
      </c>
      <c r="E770" s="312" t="s">
        <v>107</v>
      </c>
      <c r="F770" s="312">
        <v>1825</v>
      </c>
      <c r="G770" s="312" t="s">
        <v>108</v>
      </c>
      <c r="H770" s="312">
        <v>1827</v>
      </c>
      <c r="I770" s="312" t="s">
        <v>107</v>
      </c>
      <c r="J770" s="312">
        <v>1913</v>
      </c>
      <c r="K770" s="312" t="s">
        <v>109</v>
      </c>
    </row>
    <row r="771" spans="1:11">
      <c r="A771" s="312" t="s">
        <v>3489</v>
      </c>
      <c r="B771" s="312" t="s">
        <v>3490</v>
      </c>
      <c r="C771" s="312" t="s">
        <v>105</v>
      </c>
      <c r="D771" s="312" t="s">
        <v>117</v>
      </c>
      <c r="E771" s="312" t="s">
        <v>107</v>
      </c>
      <c r="F771" s="312">
        <v>1825</v>
      </c>
      <c r="G771" s="312" t="s">
        <v>108</v>
      </c>
      <c r="H771" s="312">
        <v>1827</v>
      </c>
      <c r="I771" s="312" t="s">
        <v>107</v>
      </c>
      <c r="J771" s="312">
        <v>1913</v>
      </c>
      <c r="K771" s="312" t="s">
        <v>109</v>
      </c>
    </row>
    <row r="772" spans="1:11">
      <c r="A772" s="312" t="s">
        <v>3861</v>
      </c>
      <c r="B772" s="312" t="s">
        <v>3862</v>
      </c>
      <c r="C772" s="312" t="s">
        <v>105</v>
      </c>
      <c r="D772" s="312" t="s">
        <v>117</v>
      </c>
      <c r="E772" s="312" t="s">
        <v>107</v>
      </c>
      <c r="F772" s="312">
        <v>1825</v>
      </c>
      <c r="G772" s="312" t="s">
        <v>108</v>
      </c>
      <c r="H772" s="312">
        <v>1827</v>
      </c>
      <c r="I772" s="312" t="s">
        <v>107</v>
      </c>
      <c r="J772" s="312">
        <v>1913</v>
      </c>
      <c r="K772" s="312" t="s">
        <v>109</v>
      </c>
    </row>
    <row r="773" spans="1:11">
      <c r="A773" s="312" t="s">
        <v>3915</v>
      </c>
      <c r="B773" s="312" t="s">
        <v>3916</v>
      </c>
      <c r="C773" s="312" t="s">
        <v>105</v>
      </c>
      <c r="D773" s="312" t="s">
        <v>117</v>
      </c>
      <c r="E773" s="312" t="s">
        <v>107</v>
      </c>
      <c r="F773" s="312">
        <v>1825</v>
      </c>
      <c r="G773" s="312" t="s">
        <v>108</v>
      </c>
      <c r="H773" s="312">
        <v>1827</v>
      </c>
      <c r="I773" s="312" t="s">
        <v>107</v>
      </c>
      <c r="J773" s="312">
        <v>1913</v>
      </c>
      <c r="K773" s="312" t="s">
        <v>109</v>
      </c>
    </row>
    <row r="774" spans="1:11">
      <c r="A774" s="312" t="s">
        <v>3917</v>
      </c>
      <c r="B774" s="312" t="s">
        <v>3918</v>
      </c>
      <c r="C774" s="312" t="s">
        <v>105</v>
      </c>
      <c r="D774" s="312" t="s">
        <v>117</v>
      </c>
      <c r="E774" s="312" t="s">
        <v>107</v>
      </c>
      <c r="F774" s="312">
        <v>1825</v>
      </c>
      <c r="G774" s="312" t="s">
        <v>108</v>
      </c>
      <c r="H774" s="312">
        <v>1827</v>
      </c>
      <c r="I774" s="312" t="s">
        <v>107</v>
      </c>
      <c r="J774" s="312">
        <v>1913</v>
      </c>
      <c r="K774" s="312" t="s">
        <v>109</v>
      </c>
    </row>
    <row r="775" spans="1:11">
      <c r="A775" s="312" t="s">
        <v>3919</v>
      </c>
      <c r="B775" s="312" t="s">
        <v>3920</v>
      </c>
      <c r="C775" s="312" t="s">
        <v>105</v>
      </c>
      <c r="D775" s="312" t="s">
        <v>117</v>
      </c>
      <c r="E775" s="312" t="s">
        <v>107</v>
      </c>
      <c r="F775" s="312">
        <v>1825</v>
      </c>
      <c r="G775" s="312" t="s">
        <v>108</v>
      </c>
      <c r="H775" s="312">
        <v>1827</v>
      </c>
      <c r="I775" s="312" t="s">
        <v>107</v>
      </c>
      <c r="J775" s="312">
        <v>1913</v>
      </c>
      <c r="K775" s="312" t="s">
        <v>109</v>
      </c>
    </row>
    <row r="776" spans="1:11">
      <c r="A776" s="312" t="s">
        <v>3921</v>
      </c>
      <c r="B776" s="312" t="s">
        <v>3922</v>
      </c>
      <c r="C776" s="312" t="s">
        <v>105</v>
      </c>
      <c r="D776" s="312" t="s">
        <v>117</v>
      </c>
      <c r="E776" s="312" t="s">
        <v>107</v>
      </c>
      <c r="F776" s="312">
        <v>1825</v>
      </c>
      <c r="G776" s="312" t="s">
        <v>108</v>
      </c>
      <c r="H776" s="312">
        <v>1827</v>
      </c>
      <c r="I776" s="312" t="s">
        <v>107</v>
      </c>
      <c r="J776" s="312">
        <v>1913</v>
      </c>
      <c r="K776" s="312" t="s">
        <v>109</v>
      </c>
    </row>
    <row r="777" spans="1:11">
      <c r="A777" s="312" t="s">
        <v>3923</v>
      </c>
      <c r="B777" s="312" t="s">
        <v>3924</v>
      </c>
      <c r="C777" s="312" t="s">
        <v>105</v>
      </c>
      <c r="D777" s="312" t="s">
        <v>117</v>
      </c>
      <c r="E777" s="312" t="s">
        <v>107</v>
      </c>
      <c r="F777" s="312">
        <v>1825</v>
      </c>
      <c r="G777" s="312" t="s">
        <v>108</v>
      </c>
      <c r="H777" s="312">
        <v>1827</v>
      </c>
      <c r="I777" s="312" t="s">
        <v>107</v>
      </c>
      <c r="J777" s="312">
        <v>1913</v>
      </c>
      <c r="K777" s="312" t="s">
        <v>109</v>
      </c>
    </row>
    <row r="778" spans="1:11">
      <c r="A778" s="312" t="s">
        <v>3925</v>
      </c>
      <c r="B778" s="312" t="s">
        <v>3926</v>
      </c>
      <c r="C778" s="312" t="s">
        <v>105</v>
      </c>
      <c r="D778" s="312" t="s">
        <v>117</v>
      </c>
      <c r="E778" s="312" t="s">
        <v>107</v>
      </c>
      <c r="F778" s="312">
        <v>1825</v>
      </c>
      <c r="G778" s="312" t="s">
        <v>108</v>
      </c>
      <c r="H778" s="312">
        <v>1827</v>
      </c>
      <c r="I778" s="312" t="s">
        <v>107</v>
      </c>
      <c r="J778" s="312">
        <v>1913</v>
      </c>
      <c r="K778" s="312" t="s">
        <v>109</v>
      </c>
    </row>
    <row r="779" spans="1:11">
      <c r="A779" s="312" t="s">
        <v>3927</v>
      </c>
      <c r="B779" s="312" t="s">
        <v>3928</v>
      </c>
      <c r="C779" s="312" t="s">
        <v>105</v>
      </c>
      <c r="D779" s="312" t="s">
        <v>117</v>
      </c>
      <c r="E779" s="312" t="s">
        <v>107</v>
      </c>
      <c r="F779" s="312">
        <v>1825</v>
      </c>
      <c r="G779" s="312" t="s">
        <v>108</v>
      </c>
      <c r="H779" s="312">
        <v>1827</v>
      </c>
      <c r="I779" s="312" t="s">
        <v>107</v>
      </c>
      <c r="J779" s="312">
        <v>1913</v>
      </c>
      <c r="K779" s="312" t="s">
        <v>109</v>
      </c>
    </row>
    <row r="780" spans="1:11">
      <c r="A780" s="312" t="s">
        <v>3933</v>
      </c>
      <c r="B780" s="312" t="s">
        <v>3934</v>
      </c>
      <c r="C780" s="312" t="s">
        <v>105</v>
      </c>
      <c r="D780" s="312" t="s">
        <v>117</v>
      </c>
      <c r="E780" s="312" t="s">
        <v>107</v>
      </c>
      <c r="F780" s="312">
        <v>1825</v>
      </c>
      <c r="G780" s="312" t="s">
        <v>108</v>
      </c>
      <c r="H780" s="312">
        <v>1827</v>
      </c>
      <c r="I780" s="312" t="s">
        <v>107</v>
      </c>
      <c r="J780" s="312">
        <v>1913</v>
      </c>
      <c r="K780" s="312" t="s">
        <v>109</v>
      </c>
    </row>
    <row r="781" spans="1:11">
      <c r="A781" s="312" t="s">
        <v>3939</v>
      </c>
      <c r="B781" s="312" t="s">
        <v>3940</v>
      </c>
      <c r="C781" s="312" t="s">
        <v>105</v>
      </c>
      <c r="D781" s="312" t="s">
        <v>117</v>
      </c>
      <c r="E781" s="312" t="s">
        <v>107</v>
      </c>
      <c r="F781" s="312">
        <v>1825</v>
      </c>
      <c r="G781" s="312" t="s">
        <v>108</v>
      </c>
      <c r="H781" s="312">
        <v>1827</v>
      </c>
      <c r="I781" s="312" t="s">
        <v>107</v>
      </c>
      <c r="J781" s="312">
        <v>1913</v>
      </c>
      <c r="K781" s="312" t="s">
        <v>109</v>
      </c>
    </row>
    <row r="782" spans="1:11">
      <c r="A782" s="312" t="s">
        <v>4086</v>
      </c>
      <c r="B782" s="312" t="s">
        <v>4087</v>
      </c>
      <c r="C782" s="312" t="s">
        <v>105</v>
      </c>
      <c r="D782" s="312" t="s">
        <v>117</v>
      </c>
      <c r="E782" s="312" t="s">
        <v>107</v>
      </c>
      <c r="F782" s="312">
        <v>1825</v>
      </c>
      <c r="G782" s="312" t="s">
        <v>108</v>
      </c>
      <c r="H782" s="312">
        <v>1827</v>
      </c>
      <c r="I782" s="312" t="s">
        <v>107</v>
      </c>
      <c r="J782" s="312">
        <v>1913</v>
      </c>
      <c r="K782" s="312" t="s">
        <v>109</v>
      </c>
    </row>
    <row r="783" spans="1:11">
      <c r="A783" s="312" t="s">
        <v>4410</v>
      </c>
      <c r="B783" s="312" t="s">
        <v>4411</v>
      </c>
      <c r="C783" s="312" t="s">
        <v>105</v>
      </c>
      <c r="D783" s="312" t="s">
        <v>117</v>
      </c>
      <c r="E783" s="312" t="s">
        <v>107</v>
      </c>
      <c r="F783" s="312">
        <v>1825</v>
      </c>
      <c r="G783" s="312" t="s">
        <v>108</v>
      </c>
      <c r="H783" s="312">
        <v>1827</v>
      </c>
      <c r="I783" s="312" t="s">
        <v>107</v>
      </c>
      <c r="J783" s="312">
        <v>1913</v>
      </c>
      <c r="K783" s="312" t="s">
        <v>109</v>
      </c>
    </row>
    <row r="784" spans="1:11">
      <c r="A784" s="312" t="s">
        <v>4416</v>
      </c>
      <c r="B784" s="312" t="s">
        <v>4417</v>
      </c>
      <c r="C784" s="312" t="s">
        <v>105</v>
      </c>
      <c r="D784" s="312" t="s">
        <v>117</v>
      </c>
      <c r="E784" s="312" t="s">
        <v>107</v>
      </c>
      <c r="F784" s="312">
        <v>1825</v>
      </c>
      <c r="G784" s="312" t="s">
        <v>108</v>
      </c>
      <c r="H784" s="312">
        <v>1827</v>
      </c>
      <c r="I784" s="312" t="s">
        <v>107</v>
      </c>
      <c r="J784" s="312">
        <v>1913</v>
      </c>
      <c r="K784" s="312" t="s">
        <v>109</v>
      </c>
    </row>
    <row r="785" spans="1:11">
      <c r="A785" s="312" t="s">
        <v>4436</v>
      </c>
      <c r="B785" s="312" t="s">
        <v>4437</v>
      </c>
      <c r="C785" s="312" t="s">
        <v>105</v>
      </c>
      <c r="D785" s="312" t="s">
        <v>117</v>
      </c>
      <c r="E785" s="312" t="s">
        <v>696</v>
      </c>
      <c r="F785" s="312">
        <v>1736</v>
      </c>
      <c r="G785" s="312" t="s">
        <v>697</v>
      </c>
      <c r="H785" s="312">
        <v>1741</v>
      </c>
      <c r="I785" s="312" t="s">
        <v>696</v>
      </c>
      <c r="J785" s="312">
        <v>1929</v>
      </c>
      <c r="K785" s="312" t="s">
        <v>698</v>
      </c>
    </row>
    <row r="786" spans="1:11">
      <c r="A786" s="312" t="s">
        <v>4530</v>
      </c>
      <c r="B786" s="312" t="s">
        <v>4531</v>
      </c>
      <c r="C786" s="312" t="s">
        <v>105</v>
      </c>
      <c r="D786" s="312" t="s">
        <v>117</v>
      </c>
      <c r="E786" s="312" t="s">
        <v>107</v>
      </c>
      <c r="F786" s="312">
        <v>1825</v>
      </c>
      <c r="G786" s="312" t="s">
        <v>108</v>
      </c>
      <c r="H786" s="312">
        <v>1827</v>
      </c>
      <c r="I786" s="312" t="s">
        <v>107</v>
      </c>
      <c r="J786" s="312">
        <v>1913</v>
      </c>
      <c r="K786" s="312" t="s">
        <v>109</v>
      </c>
    </row>
    <row r="787" spans="1:11">
      <c r="A787" s="312" t="s">
        <v>4532</v>
      </c>
      <c r="B787" s="312" t="s">
        <v>4533</v>
      </c>
      <c r="C787" s="312" t="s">
        <v>105</v>
      </c>
      <c r="D787" s="312" t="s">
        <v>117</v>
      </c>
      <c r="E787" s="312" t="s">
        <v>107</v>
      </c>
      <c r="F787" s="312">
        <v>1825</v>
      </c>
      <c r="G787" s="312" t="s">
        <v>108</v>
      </c>
      <c r="H787" s="312">
        <v>1827</v>
      </c>
      <c r="I787" s="312" t="s">
        <v>107</v>
      </c>
      <c r="J787" s="312">
        <v>1913</v>
      </c>
      <c r="K787" s="312" t="s">
        <v>109</v>
      </c>
    </row>
    <row r="788" spans="1:11">
      <c r="A788" s="312" t="s">
        <v>6014</v>
      </c>
      <c r="B788" s="312" t="s">
        <v>6015</v>
      </c>
      <c r="C788" s="312" t="s">
        <v>105</v>
      </c>
      <c r="D788" s="312" t="s">
        <v>117</v>
      </c>
      <c r="E788" s="312" t="s">
        <v>107</v>
      </c>
      <c r="F788" s="312">
        <v>1825</v>
      </c>
      <c r="G788" s="312" t="s">
        <v>108</v>
      </c>
      <c r="H788" s="312">
        <v>1827</v>
      </c>
      <c r="I788" s="312" t="s">
        <v>107</v>
      </c>
      <c r="J788" s="312">
        <v>1913</v>
      </c>
      <c r="K788" s="312" t="s">
        <v>109</v>
      </c>
    </row>
    <row r="789" spans="1:11">
      <c r="A789" s="312" t="s">
        <v>6060</v>
      </c>
      <c r="B789" s="312" t="s">
        <v>6061</v>
      </c>
      <c r="C789" s="312" t="s">
        <v>105</v>
      </c>
      <c r="D789" s="312" t="s">
        <v>117</v>
      </c>
      <c r="E789" s="312" t="s">
        <v>107</v>
      </c>
      <c r="F789" s="312">
        <v>1825</v>
      </c>
      <c r="G789" s="312" t="s">
        <v>108</v>
      </c>
      <c r="H789" s="312">
        <v>1827</v>
      </c>
      <c r="I789" s="312" t="s">
        <v>107</v>
      </c>
      <c r="J789" s="312">
        <v>1913</v>
      </c>
      <c r="K789" s="312" t="s">
        <v>109</v>
      </c>
    </row>
    <row r="790" spans="1:11">
      <c r="A790" s="312" t="s">
        <v>1756</v>
      </c>
      <c r="B790" s="312" t="s">
        <v>1757</v>
      </c>
      <c r="C790" s="312" t="s">
        <v>105</v>
      </c>
      <c r="D790" s="312" t="s">
        <v>1758</v>
      </c>
      <c r="E790" s="312" t="s">
        <v>107</v>
      </c>
      <c r="F790" s="312">
        <v>1825</v>
      </c>
      <c r="G790" s="312" t="s">
        <v>108</v>
      </c>
      <c r="H790" s="312">
        <v>1827</v>
      </c>
      <c r="I790" s="312" t="s">
        <v>107</v>
      </c>
      <c r="J790" s="312">
        <v>1913</v>
      </c>
      <c r="K790" s="312" t="s">
        <v>109</v>
      </c>
    </row>
    <row r="791" spans="1:11">
      <c r="A791" s="312" t="s">
        <v>5009</v>
      </c>
      <c r="B791" s="312" t="s">
        <v>5010</v>
      </c>
      <c r="C791" s="312" t="s">
        <v>105</v>
      </c>
      <c r="D791" s="312" t="s">
        <v>1758</v>
      </c>
      <c r="E791" s="312" t="s">
        <v>107</v>
      </c>
      <c r="F791" s="312">
        <v>1825</v>
      </c>
      <c r="G791" s="312" t="s">
        <v>108</v>
      </c>
      <c r="H791" s="312">
        <v>1827</v>
      </c>
      <c r="I791" s="312" t="s">
        <v>107</v>
      </c>
      <c r="J791" s="312">
        <v>1913</v>
      </c>
      <c r="K791" s="312" t="s">
        <v>109</v>
      </c>
    </row>
    <row r="792" spans="1:11">
      <c r="A792" s="312" t="s">
        <v>1151</v>
      </c>
      <c r="B792" s="312" t="s">
        <v>1152</v>
      </c>
      <c r="C792" s="312" t="s">
        <v>105</v>
      </c>
      <c r="D792" s="312" t="s">
        <v>1153</v>
      </c>
      <c r="E792" s="312" t="s">
        <v>107</v>
      </c>
      <c r="F792" s="312">
        <v>1825</v>
      </c>
      <c r="G792" s="312" t="s">
        <v>108</v>
      </c>
      <c r="H792" s="312">
        <v>1827</v>
      </c>
      <c r="I792" s="312" t="s">
        <v>107</v>
      </c>
      <c r="J792" s="312">
        <v>1913</v>
      </c>
      <c r="K792" s="312" t="s">
        <v>109</v>
      </c>
    </row>
    <row r="793" spans="1:11">
      <c r="A793" s="312" t="s">
        <v>112</v>
      </c>
      <c r="B793" s="312" t="s">
        <v>113</v>
      </c>
      <c r="C793" s="312" t="s">
        <v>105</v>
      </c>
      <c r="D793" s="312" t="s">
        <v>114</v>
      </c>
      <c r="E793" s="312" t="s">
        <v>107</v>
      </c>
      <c r="F793" s="312">
        <v>1825</v>
      </c>
      <c r="G793" s="312" t="s">
        <v>108</v>
      </c>
      <c r="H793" s="312">
        <v>1827</v>
      </c>
      <c r="I793" s="312" t="s">
        <v>107</v>
      </c>
      <c r="J793" s="312">
        <v>1913</v>
      </c>
      <c r="K793" s="312" t="s">
        <v>109</v>
      </c>
    </row>
    <row r="794" spans="1:11">
      <c r="A794" s="312" t="s">
        <v>120</v>
      </c>
      <c r="B794" s="312" t="s">
        <v>121</v>
      </c>
      <c r="C794" s="312" t="s">
        <v>105</v>
      </c>
      <c r="D794" s="312" t="s">
        <v>114</v>
      </c>
      <c r="E794" s="312" t="s">
        <v>107</v>
      </c>
      <c r="F794" s="312">
        <v>1825</v>
      </c>
      <c r="G794" s="312" t="s">
        <v>108</v>
      </c>
      <c r="H794" s="312">
        <v>1827</v>
      </c>
      <c r="I794" s="312" t="s">
        <v>107</v>
      </c>
      <c r="J794" s="312">
        <v>1913</v>
      </c>
      <c r="K794" s="312" t="s">
        <v>109</v>
      </c>
    </row>
    <row r="795" spans="1:11">
      <c r="A795" s="312" t="s">
        <v>126</v>
      </c>
      <c r="B795" s="312" t="s">
        <v>127</v>
      </c>
      <c r="C795" s="312" t="s">
        <v>105</v>
      </c>
      <c r="D795" s="312" t="s">
        <v>114</v>
      </c>
      <c r="E795" s="312" t="s">
        <v>107</v>
      </c>
      <c r="F795" s="312">
        <v>1825</v>
      </c>
      <c r="G795" s="312" t="s">
        <v>108</v>
      </c>
      <c r="H795" s="312">
        <v>1827</v>
      </c>
      <c r="I795" s="312" t="s">
        <v>107</v>
      </c>
      <c r="J795" s="312">
        <v>1913</v>
      </c>
      <c r="K795" s="312" t="s">
        <v>109</v>
      </c>
    </row>
    <row r="796" spans="1:11">
      <c r="A796" s="312" t="s">
        <v>128</v>
      </c>
      <c r="B796" s="312" t="s">
        <v>129</v>
      </c>
      <c r="C796" s="312" t="s">
        <v>105</v>
      </c>
      <c r="D796" s="312" t="s">
        <v>114</v>
      </c>
      <c r="E796" s="312" t="s">
        <v>107</v>
      </c>
      <c r="F796" s="312">
        <v>1825</v>
      </c>
      <c r="G796" s="312" t="s">
        <v>108</v>
      </c>
      <c r="H796" s="312">
        <v>1827</v>
      </c>
      <c r="I796" s="312" t="s">
        <v>107</v>
      </c>
      <c r="J796" s="312">
        <v>1913</v>
      </c>
      <c r="K796" s="312" t="s">
        <v>109</v>
      </c>
    </row>
    <row r="797" spans="1:11">
      <c r="A797" s="312" t="s">
        <v>130</v>
      </c>
      <c r="B797" s="312" t="s">
        <v>131</v>
      </c>
      <c r="C797" s="312" t="s">
        <v>105</v>
      </c>
      <c r="D797" s="312" t="s">
        <v>114</v>
      </c>
      <c r="E797" s="312" t="s">
        <v>107</v>
      </c>
      <c r="F797" s="312">
        <v>1825</v>
      </c>
      <c r="G797" s="312" t="s">
        <v>108</v>
      </c>
      <c r="H797" s="312">
        <v>1827</v>
      </c>
      <c r="I797" s="312" t="s">
        <v>107</v>
      </c>
      <c r="J797" s="312">
        <v>1913</v>
      </c>
      <c r="K797" s="312" t="s">
        <v>109</v>
      </c>
    </row>
    <row r="798" spans="1:11">
      <c r="A798" s="312" t="s">
        <v>132</v>
      </c>
      <c r="B798" s="312" t="s">
        <v>133</v>
      </c>
      <c r="C798" s="312" t="s">
        <v>105</v>
      </c>
      <c r="D798" s="312" t="s">
        <v>114</v>
      </c>
      <c r="E798" s="312" t="s">
        <v>107</v>
      </c>
      <c r="F798" s="312">
        <v>1825</v>
      </c>
      <c r="G798" s="312" t="s">
        <v>108</v>
      </c>
      <c r="H798" s="312">
        <v>1827</v>
      </c>
      <c r="I798" s="312" t="s">
        <v>107</v>
      </c>
      <c r="J798" s="312">
        <v>1913</v>
      </c>
      <c r="K798" s="312" t="s">
        <v>109</v>
      </c>
    </row>
    <row r="799" spans="1:11">
      <c r="A799" s="312" t="s">
        <v>134</v>
      </c>
      <c r="B799" s="312" t="s">
        <v>135</v>
      </c>
      <c r="C799" s="312" t="s">
        <v>105</v>
      </c>
      <c r="D799" s="312" t="s">
        <v>114</v>
      </c>
      <c r="E799" s="312" t="s">
        <v>107</v>
      </c>
      <c r="F799" s="312">
        <v>1825</v>
      </c>
      <c r="G799" s="312" t="s">
        <v>108</v>
      </c>
      <c r="H799" s="312">
        <v>1827</v>
      </c>
      <c r="I799" s="312" t="s">
        <v>107</v>
      </c>
      <c r="J799" s="312">
        <v>1913</v>
      </c>
      <c r="K799" s="312" t="s">
        <v>109</v>
      </c>
    </row>
    <row r="800" spans="1:11">
      <c r="A800" s="312" t="s">
        <v>136</v>
      </c>
      <c r="B800" s="312" t="s">
        <v>137</v>
      </c>
      <c r="C800" s="312" t="s">
        <v>105</v>
      </c>
      <c r="D800" s="312" t="s">
        <v>114</v>
      </c>
      <c r="E800" s="312" t="s">
        <v>107</v>
      </c>
      <c r="F800" s="312">
        <v>1825</v>
      </c>
      <c r="G800" s="312" t="s">
        <v>108</v>
      </c>
      <c r="H800" s="312">
        <v>1827</v>
      </c>
      <c r="I800" s="312" t="s">
        <v>107</v>
      </c>
      <c r="J800" s="312">
        <v>1913</v>
      </c>
      <c r="K800" s="312" t="s">
        <v>109</v>
      </c>
    </row>
    <row r="801" spans="1:11">
      <c r="A801" s="312" t="s">
        <v>138</v>
      </c>
      <c r="B801" s="312" t="s">
        <v>139</v>
      </c>
      <c r="C801" s="312" t="s">
        <v>105</v>
      </c>
      <c r="D801" s="312" t="s">
        <v>114</v>
      </c>
      <c r="E801" s="312" t="s">
        <v>107</v>
      </c>
      <c r="F801" s="312">
        <v>1825</v>
      </c>
      <c r="G801" s="312" t="s">
        <v>108</v>
      </c>
      <c r="H801" s="312">
        <v>1827</v>
      </c>
      <c r="I801" s="312" t="s">
        <v>107</v>
      </c>
      <c r="J801" s="312">
        <v>1913</v>
      </c>
      <c r="K801" s="312" t="s">
        <v>109</v>
      </c>
    </row>
    <row r="802" spans="1:11">
      <c r="A802" s="312" t="s">
        <v>140</v>
      </c>
      <c r="B802" s="312" t="s">
        <v>141</v>
      </c>
      <c r="C802" s="312" t="s">
        <v>105</v>
      </c>
      <c r="D802" s="312" t="s">
        <v>114</v>
      </c>
      <c r="E802" s="312" t="s">
        <v>107</v>
      </c>
      <c r="F802" s="312">
        <v>1825</v>
      </c>
      <c r="G802" s="312" t="s">
        <v>108</v>
      </c>
      <c r="H802" s="312">
        <v>1827</v>
      </c>
      <c r="I802" s="312" t="s">
        <v>107</v>
      </c>
      <c r="J802" s="312">
        <v>1913</v>
      </c>
      <c r="K802" s="312" t="s">
        <v>109</v>
      </c>
    </row>
    <row r="803" spans="1:11">
      <c r="A803" s="312" t="s">
        <v>142</v>
      </c>
      <c r="B803" s="312" t="s">
        <v>143</v>
      </c>
      <c r="C803" s="312" t="s">
        <v>105</v>
      </c>
      <c r="D803" s="312" t="s">
        <v>114</v>
      </c>
      <c r="E803" s="312" t="s">
        <v>107</v>
      </c>
      <c r="F803" s="312">
        <v>1825</v>
      </c>
      <c r="G803" s="312" t="s">
        <v>108</v>
      </c>
      <c r="H803" s="312">
        <v>1827</v>
      </c>
      <c r="I803" s="312" t="s">
        <v>107</v>
      </c>
      <c r="J803" s="312">
        <v>1913</v>
      </c>
      <c r="K803" s="312" t="s">
        <v>109</v>
      </c>
    </row>
    <row r="804" spans="1:11">
      <c r="A804" s="312" t="s">
        <v>144</v>
      </c>
      <c r="B804" s="312" t="s">
        <v>145</v>
      </c>
      <c r="C804" s="312" t="s">
        <v>105</v>
      </c>
      <c r="D804" s="312" t="s">
        <v>114</v>
      </c>
      <c r="E804" s="312" t="s">
        <v>107</v>
      </c>
      <c r="F804" s="312">
        <v>1825</v>
      </c>
      <c r="G804" s="312" t="s">
        <v>108</v>
      </c>
      <c r="H804" s="312">
        <v>1827</v>
      </c>
      <c r="I804" s="312" t="s">
        <v>107</v>
      </c>
      <c r="J804" s="312">
        <v>1913</v>
      </c>
      <c r="K804" s="312" t="s">
        <v>109</v>
      </c>
    </row>
    <row r="805" spans="1:11">
      <c r="A805" s="312" t="s">
        <v>148</v>
      </c>
      <c r="B805" s="312" t="s">
        <v>149</v>
      </c>
      <c r="C805" s="312" t="s">
        <v>105</v>
      </c>
      <c r="D805" s="312" t="s">
        <v>114</v>
      </c>
      <c r="E805" s="312" t="s">
        <v>107</v>
      </c>
      <c r="F805" s="312">
        <v>1825</v>
      </c>
      <c r="G805" s="312" t="s">
        <v>108</v>
      </c>
      <c r="H805" s="312">
        <v>1827</v>
      </c>
      <c r="I805" s="312" t="s">
        <v>107</v>
      </c>
      <c r="J805" s="312">
        <v>1913</v>
      </c>
      <c r="K805" s="312" t="s">
        <v>109</v>
      </c>
    </row>
    <row r="806" spans="1:11">
      <c r="A806" s="312" t="s">
        <v>150</v>
      </c>
      <c r="B806" s="312" t="s">
        <v>151</v>
      </c>
      <c r="C806" s="312" t="s">
        <v>105</v>
      </c>
      <c r="D806" s="312" t="s">
        <v>114</v>
      </c>
      <c r="E806" s="312" t="s">
        <v>107</v>
      </c>
      <c r="F806" s="312">
        <v>1825</v>
      </c>
      <c r="G806" s="312" t="s">
        <v>108</v>
      </c>
      <c r="H806" s="312">
        <v>1827</v>
      </c>
      <c r="I806" s="312" t="s">
        <v>107</v>
      </c>
      <c r="J806" s="312">
        <v>1913</v>
      </c>
      <c r="K806" s="312" t="s">
        <v>109</v>
      </c>
    </row>
    <row r="807" spans="1:11">
      <c r="A807" s="312" t="s">
        <v>152</v>
      </c>
      <c r="B807" s="312" t="s">
        <v>153</v>
      </c>
      <c r="C807" s="312" t="s">
        <v>105</v>
      </c>
      <c r="D807" s="312" t="s">
        <v>114</v>
      </c>
      <c r="E807" s="312" t="s">
        <v>107</v>
      </c>
      <c r="F807" s="312">
        <v>1825</v>
      </c>
      <c r="G807" s="312" t="s">
        <v>108</v>
      </c>
      <c r="H807" s="312">
        <v>1827</v>
      </c>
      <c r="I807" s="312" t="s">
        <v>107</v>
      </c>
      <c r="J807" s="312">
        <v>1913</v>
      </c>
      <c r="K807" s="312" t="s">
        <v>109</v>
      </c>
    </row>
    <row r="808" spans="1:11">
      <c r="A808" s="312" t="s">
        <v>154</v>
      </c>
      <c r="B808" s="312" t="s">
        <v>155</v>
      </c>
      <c r="C808" s="312" t="s">
        <v>105</v>
      </c>
      <c r="D808" s="312" t="s">
        <v>114</v>
      </c>
      <c r="E808" s="312" t="s">
        <v>107</v>
      </c>
      <c r="F808" s="312">
        <v>1825</v>
      </c>
      <c r="G808" s="312" t="s">
        <v>108</v>
      </c>
      <c r="H808" s="312">
        <v>1827</v>
      </c>
      <c r="I808" s="312" t="s">
        <v>107</v>
      </c>
      <c r="J808" s="312">
        <v>1913</v>
      </c>
      <c r="K808" s="312" t="s">
        <v>109</v>
      </c>
    </row>
    <row r="809" spans="1:11">
      <c r="A809" s="312" t="s">
        <v>156</v>
      </c>
      <c r="B809" s="312" t="s">
        <v>157</v>
      </c>
      <c r="C809" s="312" t="s">
        <v>105</v>
      </c>
      <c r="D809" s="312" t="s">
        <v>114</v>
      </c>
      <c r="E809" s="312" t="s">
        <v>107</v>
      </c>
      <c r="F809" s="312">
        <v>1825</v>
      </c>
      <c r="G809" s="312" t="s">
        <v>108</v>
      </c>
      <c r="H809" s="312">
        <v>1827</v>
      </c>
      <c r="I809" s="312" t="s">
        <v>107</v>
      </c>
      <c r="J809" s="312">
        <v>1913</v>
      </c>
      <c r="K809" s="312" t="s">
        <v>109</v>
      </c>
    </row>
    <row r="810" spans="1:11">
      <c r="A810" s="312" t="s">
        <v>158</v>
      </c>
      <c r="B810" s="312" t="s">
        <v>159</v>
      </c>
      <c r="C810" s="312" t="s">
        <v>105</v>
      </c>
      <c r="D810" s="312" t="s">
        <v>114</v>
      </c>
      <c r="E810" s="312" t="s">
        <v>107</v>
      </c>
      <c r="F810" s="312">
        <v>1825</v>
      </c>
      <c r="G810" s="312" t="s">
        <v>108</v>
      </c>
      <c r="H810" s="312">
        <v>1827</v>
      </c>
      <c r="I810" s="312" t="s">
        <v>107</v>
      </c>
      <c r="J810" s="312">
        <v>1913</v>
      </c>
      <c r="K810" s="312" t="s">
        <v>109</v>
      </c>
    </row>
    <row r="811" spans="1:11">
      <c r="A811" s="312" t="s">
        <v>160</v>
      </c>
      <c r="B811" s="312" t="s">
        <v>161</v>
      </c>
      <c r="C811" s="312" t="s">
        <v>105</v>
      </c>
      <c r="D811" s="312" t="s">
        <v>114</v>
      </c>
      <c r="E811" s="312" t="s">
        <v>107</v>
      </c>
      <c r="F811" s="312">
        <v>1825</v>
      </c>
      <c r="G811" s="312" t="s">
        <v>108</v>
      </c>
      <c r="H811" s="312">
        <v>1827</v>
      </c>
      <c r="I811" s="312" t="s">
        <v>107</v>
      </c>
      <c r="J811" s="312">
        <v>1913</v>
      </c>
      <c r="K811" s="312" t="s">
        <v>109</v>
      </c>
    </row>
    <row r="812" spans="1:11">
      <c r="A812" s="312" t="s">
        <v>162</v>
      </c>
      <c r="B812" s="312" t="s">
        <v>163</v>
      </c>
      <c r="C812" s="312" t="s">
        <v>105</v>
      </c>
      <c r="D812" s="312" t="s">
        <v>114</v>
      </c>
      <c r="E812" s="312" t="s">
        <v>107</v>
      </c>
      <c r="F812" s="312">
        <v>1825</v>
      </c>
      <c r="G812" s="312" t="s">
        <v>108</v>
      </c>
      <c r="H812" s="312">
        <v>1827</v>
      </c>
      <c r="I812" s="312" t="s">
        <v>107</v>
      </c>
      <c r="J812" s="312">
        <v>1913</v>
      </c>
      <c r="K812" s="312" t="s">
        <v>109</v>
      </c>
    </row>
    <row r="813" spans="1:11">
      <c r="A813" s="312" t="s">
        <v>170</v>
      </c>
      <c r="B813" s="1" t="s">
        <v>171</v>
      </c>
      <c r="C813" s="312" t="s">
        <v>105</v>
      </c>
      <c r="D813" s="312" t="s">
        <v>114</v>
      </c>
      <c r="E813" s="312" t="s">
        <v>107</v>
      </c>
      <c r="F813" s="312">
        <v>1825</v>
      </c>
      <c r="G813" s="312" t="s">
        <v>108</v>
      </c>
      <c r="H813" s="312">
        <v>1827</v>
      </c>
      <c r="I813" s="312" t="s">
        <v>107</v>
      </c>
      <c r="J813" s="312">
        <v>1913</v>
      </c>
      <c r="K813" s="312" t="s">
        <v>109</v>
      </c>
    </row>
    <row r="814" spans="1:11">
      <c r="A814" s="312" t="s">
        <v>174</v>
      </c>
      <c r="B814" s="312" t="s">
        <v>175</v>
      </c>
      <c r="C814" s="312" t="s">
        <v>105</v>
      </c>
      <c r="D814" s="312" t="s">
        <v>114</v>
      </c>
      <c r="E814" s="312" t="s">
        <v>107</v>
      </c>
      <c r="F814" s="312">
        <v>1825</v>
      </c>
      <c r="G814" s="312" t="s">
        <v>108</v>
      </c>
      <c r="H814" s="312">
        <v>1827</v>
      </c>
      <c r="I814" s="312" t="s">
        <v>107</v>
      </c>
      <c r="J814" s="312">
        <v>1913</v>
      </c>
      <c r="K814" s="312" t="s">
        <v>109</v>
      </c>
    </row>
    <row r="815" spans="1:11">
      <c r="A815" s="312" t="s">
        <v>176</v>
      </c>
      <c r="B815" s="312" t="s">
        <v>177</v>
      </c>
      <c r="C815" s="312" t="s">
        <v>105</v>
      </c>
      <c r="D815" s="312" t="s">
        <v>114</v>
      </c>
      <c r="E815" s="312" t="s">
        <v>107</v>
      </c>
      <c r="F815" s="312">
        <v>1825</v>
      </c>
      <c r="G815" s="312" t="s">
        <v>108</v>
      </c>
      <c r="H815" s="312">
        <v>1827</v>
      </c>
      <c r="I815" s="312" t="s">
        <v>107</v>
      </c>
      <c r="J815" s="312">
        <v>1913</v>
      </c>
      <c r="K815" s="312" t="s">
        <v>109</v>
      </c>
    </row>
    <row r="816" spans="1:11">
      <c r="A816" s="312" t="s">
        <v>178</v>
      </c>
      <c r="B816" s="312" t="s">
        <v>179</v>
      </c>
      <c r="C816" s="312" t="s">
        <v>105</v>
      </c>
      <c r="D816" s="312" t="s">
        <v>114</v>
      </c>
      <c r="E816" s="312" t="s">
        <v>107</v>
      </c>
      <c r="F816" s="312">
        <v>1825</v>
      </c>
      <c r="G816" s="312" t="s">
        <v>108</v>
      </c>
      <c r="H816" s="312">
        <v>1827</v>
      </c>
      <c r="I816" s="312" t="s">
        <v>107</v>
      </c>
      <c r="J816" s="312">
        <v>1913</v>
      </c>
      <c r="K816" s="312" t="s">
        <v>109</v>
      </c>
    </row>
    <row r="817" spans="1:11">
      <c r="A817" s="312" t="s">
        <v>180</v>
      </c>
      <c r="B817" s="312" t="s">
        <v>181</v>
      </c>
      <c r="C817" s="312" t="s">
        <v>105</v>
      </c>
      <c r="D817" s="312" t="s">
        <v>114</v>
      </c>
      <c r="E817" s="312" t="s">
        <v>107</v>
      </c>
      <c r="F817" s="312">
        <v>1825</v>
      </c>
      <c r="G817" s="312" t="s">
        <v>108</v>
      </c>
      <c r="H817" s="312">
        <v>1827</v>
      </c>
      <c r="I817" s="312" t="s">
        <v>107</v>
      </c>
      <c r="J817" s="312">
        <v>1913</v>
      </c>
      <c r="K817" s="312" t="s">
        <v>109</v>
      </c>
    </row>
    <row r="818" spans="1:11">
      <c r="A818" s="312" t="s">
        <v>185</v>
      </c>
      <c r="B818" s="312" t="s">
        <v>186</v>
      </c>
      <c r="C818" s="312" t="s">
        <v>105</v>
      </c>
      <c r="D818" s="312" t="s">
        <v>114</v>
      </c>
      <c r="E818" s="312" t="s">
        <v>107</v>
      </c>
      <c r="F818" s="312">
        <v>1825</v>
      </c>
      <c r="G818" s="312" t="s">
        <v>108</v>
      </c>
      <c r="H818" s="312">
        <v>1827</v>
      </c>
      <c r="I818" s="312" t="s">
        <v>107</v>
      </c>
      <c r="J818" s="312">
        <v>1913</v>
      </c>
      <c r="K818" s="312" t="s">
        <v>109</v>
      </c>
    </row>
    <row r="819" spans="1:11">
      <c r="A819" s="312" t="s">
        <v>187</v>
      </c>
      <c r="B819" s="312" t="s">
        <v>188</v>
      </c>
      <c r="C819" s="312" t="s">
        <v>105</v>
      </c>
      <c r="D819" s="312" t="s">
        <v>114</v>
      </c>
      <c r="E819" s="312" t="s">
        <v>107</v>
      </c>
      <c r="F819" s="312">
        <v>1825</v>
      </c>
      <c r="G819" s="312" t="s">
        <v>108</v>
      </c>
      <c r="H819" s="312">
        <v>1827</v>
      </c>
      <c r="I819" s="312" t="s">
        <v>107</v>
      </c>
      <c r="J819" s="312">
        <v>1913</v>
      </c>
      <c r="K819" s="312" t="s">
        <v>109</v>
      </c>
    </row>
    <row r="820" spans="1:11">
      <c r="A820" s="312" t="s">
        <v>189</v>
      </c>
      <c r="B820" s="312" t="s">
        <v>190</v>
      </c>
      <c r="C820" s="312" t="s">
        <v>105</v>
      </c>
      <c r="D820" s="312" t="s">
        <v>114</v>
      </c>
      <c r="E820" s="312" t="s">
        <v>107</v>
      </c>
      <c r="F820" s="312">
        <v>1825</v>
      </c>
      <c r="G820" s="312" t="s">
        <v>108</v>
      </c>
      <c r="H820" s="312">
        <v>1827</v>
      </c>
      <c r="I820" s="312" t="s">
        <v>107</v>
      </c>
      <c r="J820" s="312">
        <v>1913</v>
      </c>
      <c r="K820" s="312" t="s">
        <v>109</v>
      </c>
    </row>
    <row r="821" spans="1:11">
      <c r="A821" s="312" t="s">
        <v>191</v>
      </c>
      <c r="B821" s="312" t="s">
        <v>192</v>
      </c>
      <c r="C821" s="312" t="s">
        <v>105</v>
      </c>
      <c r="D821" s="312" t="s">
        <v>114</v>
      </c>
      <c r="E821" s="312" t="s">
        <v>107</v>
      </c>
      <c r="F821" s="312">
        <v>1825</v>
      </c>
      <c r="G821" s="312" t="s">
        <v>108</v>
      </c>
      <c r="H821" s="312">
        <v>1827</v>
      </c>
      <c r="I821" s="312" t="s">
        <v>107</v>
      </c>
      <c r="J821" s="312">
        <v>1913</v>
      </c>
      <c r="K821" s="312" t="s">
        <v>109</v>
      </c>
    </row>
    <row r="822" spans="1:11">
      <c r="A822" s="312" t="s">
        <v>195</v>
      </c>
      <c r="B822" s="312" t="s">
        <v>196</v>
      </c>
      <c r="C822" s="312" t="s">
        <v>105</v>
      </c>
      <c r="D822" s="312" t="s">
        <v>114</v>
      </c>
      <c r="E822" s="312" t="s">
        <v>107</v>
      </c>
      <c r="F822" s="312">
        <v>1825</v>
      </c>
      <c r="G822" s="312" t="s">
        <v>108</v>
      </c>
      <c r="H822" s="312">
        <v>1827</v>
      </c>
      <c r="I822" s="312" t="s">
        <v>107</v>
      </c>
      <c r="J822" s="312">
        <v>1913</v>
      </c>
      <c r="K822" s="312" t="s">
        <v>109</v>
      </c>
    </row>
    <row r="823" spans="1:11">
      <c r="A823" s="312" t="s">
        <v>197</v>
      </c>
      <c r="B823" s="312" t="s">
        <v>198</v>
      </c>
      <c r="C823" s="312" t="s">
        <v>105</v>
      </c>
      <c r="D823" s="312" t="s">
        <v>114</v>
      </c>
      <c r="E823" s="312" t="s">
        <v>107</v>
      </c>
      <c r="F823" s="312">
        <v>1825</v>
      </c>
      <c r="G823" s="312" t="s">
        <v>108</v>
      </c>
      <c r="H823" s="312">
        <v>1827</v>
      </c>
      <c r="I823" s="312" t="s">
        <v>107</v>
      </c>
      <c r="J823" s="312">
        <v>1913</v>
      </c>
      <c r="K823" s="312" t="s">
        <v>109</v>
      </c>
    </row>
    <row r="824" spans="1:11">
      <c r="A824" s="312" t="s">
        <v>208</v>
      </c>
      <c r="B824" s="312" t="s">
        <v>209</v>
      </c>
      <c r="C824" s="312" t="s">
        <v>105</v>
      </c>
      <c r="D824" s="312" t="s">
        <v>114</v>
      </c>
      <c r="E824" s="312" t="s">
        <v>107</v>
      </c>
      <c r="F824" s="312">
        <v>1825</v>
      </c>
      <c r="G824" s="312" t="s">
        <v>108</v>
      </c>
      <c r="H824" s="312">
        <v>1827</v>
      </c>
      <c r="I824" s="312" t="s">
        <v>107</v>
      </c>
      <c r="J824" s="312">
        <v>1913</v>
      </c>
      <c r="K824" s="312" t="s">
        <v>109</v>
      </c>
    </row>
    <row r="825" spans="1:11">
      <c r="A825" s="312" t="s">
        <v>212</v>
      </c>
      <c r="B825" s="312" t="s">
        <v>213</v>
      </c>
      <c r="C825" s="312" t="s">
        <v>105</v>
      </c>
      <c r="D825" s="312" t="s">
        <v>114</v>
      </c>
      <c r="E825" s="312" t="s">
        <v>107</v>
      </c>
      <c r="F825" s="312">
        <v>1825</v>
      </c>
      <c r="G825" s="312" t="s">
        <v>108</v>
      </c>
      <c r="H825" s="312">
        <v>1827</v>
      </c>
      <c r="I825" s="312" t="s">
        <v>107</v>
      </c>
      <c r="J825" s="312">
        <v>1913</v>
      </c>
      <c r="K825" s="312" t="s">
        <v>109</v>
      </c>
    </row>
    <row r="826" spans="1:11">
      <c r="A826" s="312" t="s">
        <v>217</v>
      </c>
      <c r="B826" s="312" t="s">
        <v>218</v>
      </c>
      <c r="C826" s="312" t="s">
        <v>105</v>
      </c>
      <c r="D826" s="312" t="s">
        <v>114</v>
      </c>
      <c r="E826" s="312" t="s">
        <v>107</v>
      </c>
      <c r="F826" s="312">
        <v>1825</v>
      </c>
      <c r="G826" s="312" t="s">
        <v>108</v>
      </c>
      <c r="H826" s="312">
        <v>1827</v>
      </c>
      <c r="I826" s="312" t="s">
        <v>107</v>
      </c>
      <c r="J826" s="312">
        <v>1913</v>
      </c>
      <c r="K826" s="312" t="s">
        <v>109</v>
      </c>
    </row>
    <row r="827" spans="1:11">
      <c r="A827" s="312" t="s">
        <v>224</v>
      </c>
      <c r="B827" s="312" t="s">
        <v>225</v>
      </c>
      <c r="C827" s="312" t="s">
        <v>105</v>
      </c>
      <c r="D827" s="312" t="s">
        <v>114</v>
      </c>
      <c r="E827" s="312" t="s">
        <v>107</v>
      </c>
      <c r="F827" s="312">
        <v>1825</v>
      </c>
      <c r="G827" s="312" t="s">
        <v>108</v>
      </c>
      <c r="H827" s="312">
        <v>1827</v>
      </c>
      <c r="I827" s="312" t="s">
        <v>107</v>
      </c>
      <c r="J827" s="312">
        <v>1913</v>
      </c>
      <c r="K827" s="312" t="s">
        <v>109</v>
      </c>
    </row>
    <row r="828" spans="1:11">
      <c r="A828" s="312" t="s">
        <v>299</v>
      </c>
      <c r="B828" s="312" t="s">
        <v>300</v>
      </c>
      <c r="C828" s="312" t="s">
        <v>105</v>
      </c>
      <c r="D828" s="312" t="s">
        <v>114</v>
      </c>
      <c r="E828" s="312" t="s">
        <v>107</v>
      </c>
      <c r="F828" s="312">
        <v>1825</v>
      </c>
      <c r="G828" s="312" t="s">
        <v>108</v>
      </c>
      <c r="H828" s="312">
        <v>1827</v>
      </c>
      <c r="I828" s="312" t="s">
        <v>107</v>
      </c>
      <c r="J828" s="312">
        <v>1913</v>
      </c>
      <c r="K828" s="312" t="s">
        <v>109</v>
      </c>
    </row>
    <row r="829" spans="1:11">
      <c r="A829" s="312" t="s">
        <v>301</v>
      </c>
      <c r="B829" s="312" t="s">
        <v>302</v>
      </c>
      <c r="C829" s="312" t="s">
        <v>105</v>
      </c>
      <c r="D829" s="312" t="s">
        <v>114</v>
      </c>
      <c r="E829" s="312" t="s">
        <v>107</v>
      </c>
      <c r="F829" s="312">
        <v>1825</v>
      </c>
      <c r="G829" s="312" t="s">
        <v>108</v>
      </c>
      <c r="H829" s="312">
        <v>1827</v>
      </c>
      <c r="I829" s="312" t="s">
        <v>107</v>
      </c>
      <c r="J829" s="312">
        <v>1913</v>
      </c>
      <c r="K829" s="312" t="s">
        <v>109</v>
      </c>
    </row>
    <row r="830" spans="1:11">
      <c r="A830" s="312" t="s">
        <v>306</v>
      </c>
      <c r="B830" s="312" t="s">
        <v>307</v>
      </c>
      <c r="C830" s="312" t="s">
        <v>105</v>
      </c>
      <c r="D830" s="312" t="s">
        <v>114</v>
      </c>
      <c r="E830" s="312" t="s">
        <v>107</v>
      </c>
      <c r="F830" s="312">
        <v>1825</v>
      </c>
      <c r="G830" s="312" t="s">
        <v>108</v>
      </c>
      <c r="H830" s="312">
        <v>1827</v>
      </c>
      <c r="I830" s="312" t="s">
        <v>107</v>
      </c>
      <c r="J830" s="312">
        <v>1913</v>
      </c>
      <c r="K830" s="312" t="s">
        <v>109</v>
      </c>
    </row>
    <row r="831" spans="1:11">
      <c r="A831" s="312" t="s">
        <v>308</v>
      </c>
      <c r="B831" s="312" t="s">
        <v>309</v>
      </c>
      <c r="C831" s="312" t="s">
        <v>105</v>
      </c>
      <c r="D831" s="312" t="s">
        <v>114</v>
      </c>
      <c r="E831" s="312" t="s">
        <v>107</v>
      </c>
      <c r="F831" s="312">
        <v>1825</v>
      </c>
      <c r="G831" s="312" t="s">
        <v>108</v>
      </c>
      <c r="H831" s="312">
        <v>1827</v>
      </c>
      <c r="I831" s="312" t="s">
        <v>107</v>
      </c>
      <c r="J831" s="312">
        <v>1913</v>
      </c>
      <c r="K831" s="312" t="s">
        <v>109</v>
      </c>
    </row>
    <row r="832" spans="1:11">
      <c r="A832" s="312" t="s">
        <v>328</v>
      </c>
      <c r="B832" s="312" t="s">
        <v>329</v>
      </c>
      <c r="C832" s="312" t="s">
        <v>105</v>
      </c>
      <c r="D832" s="312" t="s">
        <v>114</v>
      </c>
      <c r="E832" s="312" t="s">
        <v>107</v>
      </c>
      <c r="F832" s="312">
        <v>1825</v>
      </c>
      <c r="G832" s="312" t="s">
        <v>108</v>
      </c>
      <c r="H832" s="312">
        <v>1827</v>
      </c>
      <c r="I832" s="312" t="s">
        <v>107</v>
      </c>
      <c r="J832" s="312">
        <v>1913</v>
      </c>
      <c r="K832" s="312" t="s">
        <v>109</v>
      </c>
    </row>
    <row r="833" spans="1:11">
      <c r="A833" s="312" t="s">
        <v>335</v>
      </c>
      <c r="B833" s="312" t="s">
        <v>336</v>
      </c>
      <c r="C833" s="312" t="s">
        <v>105</v>
      </c>
      <c r="D833" s="312" t="s">
        <v>114</v>
      </c>
      <c r="E833" s="312" t="s">
        <v>107</v>
      </c>
      <c r="F833" s="312">
        <v>1825</v>
      </c>
      <c r="G833" s="312" t="s">
        <v>108</v>
      </c>
      <c r="H833" s="312">
        <v>1827</v>
      </c>
      <c r="I833" s="312" t="s">
        <v>107</v>
      </c>
      <c r="J833" s="312">
        <v>1913</v>
      </c>
      <c r="K833" s="312" t="s">
        <v>109</v>
      </c>
    </row>
    <row r="834" spans="1:11">
      <c r="A834" s="312" t="s">
        <v>337</v>
      </c>
      <c r="B834" s="312" t="s">
        <v>338</v>
      </c>
      <c r="C834" s="312" t="s">
        <v>105</v>
      </c>
      <c r="D834" s="312" t="s">
        <v>114</v>
      </c>
      <c r="E834" s="312" t="s">
        <v>107</v>
      </c>
      <c r="F834" s="312">
        <v>1825</v>
      </c>
      <c r="G834" s="312" t="s">
        <v>108</v>
      </c>
      <c r="H834" s="312">
        <v>1827</v>
      </c>
      <c r="I834" s="312" t="s">
        <v>107</v>
      </c>
      <c r="J834" s="312">
        <v>1913</v>
      </c>
      <c r="K834" s="312" t="s">
        <v>109</v>
      </c>
    </row>
    <row r="835" spans="1:11">
      <c r="A835" s="312" t="s">
        <v>382</v>
      </c>
      <c r="B835" s="312" t="s">
        <v>383</v>
      </c>
      <c r="C835" s="312" t="s">
        <v>105</v>
      </c>
      <c r="D835" s="312" t="s">
        <v>114</v>
      </c>
      <c r="E835" s="312" t="s">
        <v>107</v>
      </c>
      <c r="F835" s="312">
        <v>1825</v>
      </c>
      <c r="G835" s="312" t="s">
        <v>108</v>
      </c>
      <c r="H835" s="312">
        <v>1827</v>
      </c>
      <c r="I835" s="312" t="s">
        <v>107</v>
      </c>
      <c r="J835" s="312">
        <v>1913</v>
      </c>
      <c r="K835" s="312" t="s">
        <v>109</v>
      </c>
    </row>
    <row r="836" spans="1:11">
      <c r="A836" s="312" t="s">
        <v>384</v>
      </c>
      <c r="B836" s="312" t="s">
        <v>385</v>
      </c>
      <c r="C836" s="312" t="s">
        <v>105</v>
      </c>
      <c r="D836" s="312" t="s">
        <v>114</v>
      </c>
      <c r="E836" s="312" t="s">
        <v>107</v>
      </c>
      <c r="F836" s="312">
        <v>1825</v>
      </c>
      <c r="G836" s="312" t="s">
        <v>108</v>
      </c>
      <c r="H836" s="312">
        <v>1827</v>
      </c>
      <c r="I836" s="312" t="s">
        <v>107</v>
      </c>
      <c r="J836" s="312">
        <v>1913</v>
      </c>
      <c r="K836" s="312" t="s">
        <v>109</v>
      </c>
    </row>
    <row r="837" spans="1:11">
      <c r="A837" s="312" t="s">
        <v>400</v>
      </c>
      <c r="B837" s="312" t="s">
        <v>401</v>
      </c>
      <c r="C837" s="312" t="s">
        <v>105</v>
      </c>
      <c r="D837" s="312" t="s">
        <v>114</v>
      </c>
      <c r="E837" s="312" t="s">
        <v>107</v>
      </c>
      <c r="F837" s="312">
        <v>1825</v>
      </c>
      <c r="G837" s="312" t="s">
        <v>108</v>
      </c>
      <c r="H837" s="312">
        <v>1827</v>
      </c>
      <c r="I837" s="312" t="s">
        <v>107</v>
      </c>
      <c r="J837" s="312">
        <v>1913</v>
      </c>
      <c r="K837" s="312" t="s">
        <v>109</v>
      </c>
    </row>
    <row r="838" spans="1:11">
      <c r="A838" s="312" t="s">
        <v>415</v>
      </c>
      <c r="B838" s="312" t="s">
        <v>416</v>
      </c>
      <c r="C838" s="312" t="s">
        <v>105</v>
      </c>
      <c r="D838" s="312" t="s">
        <v>114</v>
      </c>
      <c r="E838" s="312" t="s">
        <v>107</v>
      </c>
      <c r="F838" s="312">
        <v>1825</v>
      </c>
      <c r="G838" s="312" t="s">
        <v>108</v>
      </c>
      <c r="H838" s="312">
        <v>1827</v>
      </c>
      <c r="I838" s="312" t="s">
        <v>107</v>
      </c>
      <c r="J838" s="312">
        <v>1913</v>
      </c>
      <c r="K838" s="312" t="s">
        <v>109</v>
      </c>
    </row>
    <row r="839" spans="1:11">
      <c r="A839" s="312" t="s">
        <v>421</v>
      </c>
      <c r="B839" s="312" t="s">
        <v>422</v>
      </c>
      <c r="C839" s="312" t="s">
        <v>105</v>
      </c>
      <c r="D839" s="312" t="s">
        <v>114</v>
      </c>
      <c r="E839" s="312" t="s">
        <v>107</v>
      </c>
      <c r="F839" s="312">
        <v>1825</v>
      </c>
      <c r="G839" s="312" t="s">
        <v>108</v>
      </c>
      <c r="H839" s="312">
        <v>1827</v>
      </c>
      <c r="I839" s="312" t="s">
        <v>107</v>
      </c>
      <c r="J839" s="312">
        <v>1913</v>
      </c>
      <c r="K839" s="312" t="s">
        <v>109</v>
      </c>
    </row>
    <row r="840" spans="1:11">
      <c r="A840" s="312" t="s">
        <v>441</v>
      </c>
      <c r="B840" s="312" t="s">
        <v>442</v>
      </c>
      <c r="C840" s="312" t="s">
        <v>105</v>
      </c>
      <c r="D840" s="312" t="s">
        <v>114</v>
      </c>
      <c r="E840" s="312" t="s">
        <v>107</v>
      </c>
      <c r="F840" s="312">
        <v>1825</v>
      </c>
      <c r="G840" s="312" t="s">
        <v>108</v>
      </c>
      <c r="H840" s="312">
        <v>1827</v>
      </c>
      <c r="I840" s="312" t="s">
        <v>107</v>
      </c>
      <c r="J840" s="312">
        <v>1913</v>
      </c>
      <c r="K840" s="312" t="s">
        <v>109</v>
      </c>
    </row>
    <row r="841" spans="1:11">
      <c r="A841" s="312" t="s">
        <v>469</v>
      </c>
      <c r="B841" s="312" t="s">
        <v>470</v>
      </c>
      <c r="C841" s="312" t="s">
        <v>105</v>
      </c>
      <c r="D841" s="312" t="s">
        <v>114</v>
      </c>
      <c r="E841" s="312" t="s">
        <v>107</v>
      </c>
      <c r="F841" s="312">
        <v>1825</v>
      </c>
      <c r="G841" s="312" t="s">
        <v>108</v>
      </c>
      <c r="H841" s="312">
        <v>1827</v>
      </c>
      <c r="I841" s="312" t="s">
        <v>107</v>
      </c>
      <c r="J841" s="312">
        <v>1913</v>
      </c>
      <c r="K841" s="312" t="s">
        <v>109</v>
      </c>
    </row>
    <row r="842" spans="1:11">
      <c r="A842" s="312" t="s">
        <v>471</v>
      </c>
      <c r="B842" s="312" t="s">
        <v>472</v>
      </c>
      <c r="C842" s="312" t="s">
        <v>105</v>
      </c>
      <c r="D842" s="312" t="s">
        <v>114</v>
      </c>
      <c r="E842" s="312" t="s">
        <v>107</v>
      </c>
      <c r="F842" s="312">
        <v>1825</v>
      </c>
      <c r="G842" s="312" t="s">
        <v>108</v>
      </c>
      <c r="H842" s="312">
        <v>1827</v>
      </c>
      <c r="I842" s="312" t="s">
        <v>107</v>
      </c>
      <c r="J842" s="312">
        <v>1913</v>
      </c>
      <c r="K842" s="312" t="s">
        <v>109</v>
      </c>
    </row>
    <row r="843" spans="1:11">
      <c r="A843" s="312" t="s">
        <v>486</v>
      </c>
      <c r="B843" s="312" t="s">
        <v>487</v>
      </c>
      <c r="C843" s="312" t="s">
        <v>105</v>
      </c>
      <c r="D843" s="312" t="s">
        <v>114</v>
      </c>
      <c r="E843" s="312" t="s">
        <v>107</v>
      </c>
      <c r="F843" s="312">
        <v>1825</v>
      </c>
      <c r="G843" s="312" t="s">
        <v>108</v>
      </c>
      <c r="H843" s="312">
        <v>1827</v>
      </c>
      <c r="I843" s="312" t="s">
        <v>107</v>
      </c>
      <c r="J843" s="312">
        <v>1913</v>
      </c>
      <c r="K843" s="312" t="s">
        <v>109</v>
      </c>
    </row>
    <row r="844" spans="1:11">
      <c r="A844" s="312" t="s">
        <v>488</v>
      </c>
      <c r="B844" s="312" t="s">
        <v>489</v>
      </c>
      <c r="C844" s="312" t="s">
        <v>105</v>
      </c>
      <c r="D844" s="312" t="s">
        <v>114</v>
      </c>
      <c r="E844" s="312" t="s">
        <v>107</v>
      </c>
      <c r="F844" s="312">
        <v>1825</v>
      </c>
      <c r="G844" s="312" t="s">
        <v>108</v>
      </c>
      <c r="H844" s="312">
        <v>1827</v>
      </c>
      <c r="I844" s="312" t="s">
        <v>107</v>
      </c>
      <c r="J844" s="312">
        <v>1913</v>
      </c>
      <c r="K844" s="312" t="s">
        <v>109</v>
      </c>
    </row>
    <row r="845" spans="1:11">
      <c r="A845" s="312" t="s">
        <v>490</v>
      </c>
      <c r="B845" s="312" t="s">
        <v>491</v>
      </c>
      <c r="C845" s="312" t="s">
        <v>105</v>
      </c>
      <c r="D845" s="312" t="s">
        <v>114</v>
      </c>
      <c r="E845" s="312" t="s">
        <v>107</v>
      </c>
      <c r="F845" s="312">
        <v>1825</v>
      </c>
      <c r="G845" s="312" t="s">
        <v>108</v>
      </c>
      <c r="H845" s="312">
        <v>1827</v>
      </c>
      <c r="I845" s="312" t="s">
        <v>107</v>
      </c>
      <c r="J845" s="312">
        <v>1913</v>
      </c>
      <c r="K845" s="312" t="s">
        <v>109</v>
      </c>
    </row>
    <row r="846" spans="1:11">
      <c r="A846" s="312" t="s">
        <v>525</v>
      </c>
      <c r="B846" s="312" t="s">
        <v>526</v>
      </c>
      <c r="C846" s="312" t="s">
        <v>105</v>
      </c>
      <c r="D846" s="312" t="s">
        <v>114</v>
      </c>
      <c r="E846" s="312" t="s">
        <v>107</v>
      </c>
      <c r="F846" s="312">
        <v>1825</v>
      </c>
      <c r="G846" s="312" t="s">
        <v>108</v>
      </c>
      <c r="H846" s="312">
        <v>1827</v>
      </c>
      <c r="I846" s="312" t="s">
        <v>107</v>
      </c>
      <c r="J846" s="312">
        <v>1913</v>
      </c>
      <c r="K846" s="312" t="s">
        <v>109</v>
      </c>
    </row>
    <row r="847" spans="1:11">
      <c r="A847" s="312" t="s">
        <v>532</v>
      </c>
      <c r="B847" s="312" t="s">
        <v>533</v>
      </c>
      <c r="C847" s="312" t="s">
        <v>105</v>
      </c>
      <c r="D847" s="312" t="s">
        <v>114</v>
      </c>
      <c r="E847" s="312" t="s">
        <v>107</v>
      </c>
      <c r="F847" s="312">
        <v>1825</v>
      </c>
      <c r="G847" s="312" t="s">
        <v>108</v>
      </c>
      <c r="H847" s="312">
        <v>1827</v>
      </c>
      <c r="I847" s="312" t="s">
        <v>107</v>
      </c>
      <c r="J847" s="312">
        <v>1913</v>
      </c>
      <c r="K847" s="312" t="s">
        <v>109</v>
      </c>
    </row>
    <row r="848" spans="1:11">
      <c r="A848" s="312" t="s">
        <v>557</v>
      </c>
      <c r="B848" s="312" t="s">
        <v>558</v>
      </c>
      <c r="C848" s="312" t="s">
        <v>105</v>
      </c>
      <c r="D848" s="312" t="s">
        <v>114</v>
      </c>
      <c r="E848" s="312" t="s">
        <v>107</v>
      </c>
      <c r="F848" s="312">
        <v>1825</v>
      </c>
      <c r="G848" s="312" t="s">
        <v>108</v>
      </c>
      <c r="H848" s="312">
        <v>1827</v>
      </c>
      <c r="I848" s="312" t="s">
        <v>107</v>
      </c>
      <c r="J848" s="312">
        <v>1913</v>
      </c>
      <c r="K848" s="312" t="s">
        <v>109</v>
      </c>
    </row>
    <row r="849" spans="1:11">
      <c r="A849" s="312" t="s">
        <v>559</v>
      </c>
      <c r="B849" s="312" t="s">
        <v>560</v>
      </c>
      <c r="C849" s="312" t="s">
        <v>105</v>
      </c>
      <c r="D849" s="312" t="s">
        <v>114</v>
      </c>
      <c r="E849" s="312" t="s">
        <v>107</v>
      </c>
      <c r="F849" s="312">
        <v>1825</v>
      </c>
      <c r="G849" s="312" t="s">
        <v>108</v>
      </c>
      <c r="H849" s="312">
        <v>1827</v>
      </c>
      <c r="I849" s="312" t="s">
        <v>107</v>
      </c>
      <c r="J849" s="312">
        <v>1913</v>
      </c>
      <c r="K849" s="312" t="s">
        <v>109</v>
      </c>
    </row>
    <row r="850" spans="1:11">
      <c r="A850" s="312" t="s">
        <v>561</v>
      </c>
      <c r="B850" s="312" t="s">
        <v>562</v>
      </c>
      <c r="C850" s="312" t="s">
        <v>105</v>
      </c>
      <c r="D850" s="312" t="s">
        <v>114</v>
      </c>
      <c r="E850" s="312" t="s">
        <v>107</v>
      </c>
      <c r="F850" s="312">
        <v>1825</v>
      </c>
      <c r="G850" s="312" t="s">
        <v>108</v>
      </c>
      <c r="H850" s="312">
        <v>1827</v>
      </c>
      <c r="I850" s="312" t="s">
        <v>107</v>
      </c>
      <c r="J850" s="312">
        <v>1913</v>
      </c>
      <c r="K850" s="312" t="s">
        <v>109</v>
      </c>
    </row>
    <row r="851" spans="1:11">
      <c r="A851" s="312" t="s">
        <v>563</v>
      </c>
      <c r="B851" s="1" t="s">
        <v>564</v>
      </c>
      <c r="C851" s="312" t="s">
        <v>105</v>
      </c>
      <c r="D851" s="312" t="s">
        <v>114</v>
      </c>
      <c r="E851" s="312" t="s">
        <v>107</v>
      </c>
      <c r="F851" s="312">
        <v>1825</v>
      </c>
      <c r="G851" s="312" t="s">
        <v>108</v>
      </c>
      <c r="H851" s="312">
        <v>1827</v>
      </c>
      <c r="I851" s="312" t="s">
        <v>107</v>
      </c>
      <c r="J851" s="312">
        <v>1913</v>
      </c>
      <c r="K851" s="312" t="s">
        <v>109</v>
      </c>
    </row>
    <row r="852" spans="1:11">
      <c r="A852" s="312" t="s">
        <v>650</v>
      </c>
      <c r="B852" s="312" t="s">
        <v>651</v>
      </c>
      <c r="C852" s="312" t="s">
        <v>105</v>
      </c>
      <c r="D852" s="312" t="s">
        <v>114</v>
      </c>
      <c r="E852" s="312" t="s">
        <v>107</v>
      </c>
      <c r="F852" s="312">
        <v>1825</v>
      </c>
      <c r="G852" s="312" t="s">
        <v>108</v>
      </c>
      <c r="H852" s="312">
        <v>1827</v>
      </c>
      <c r="I852" s="312" t="s">
        <v>107</v>
      </c>
      <c r="J852" s="312">
        <v>1913</v>
      </c>
      <c r="K852" s="312" t="s">
        <v>109</v>
      </c>
    </row>
    <row r="853" spans="1:11">
      <c r="A853" s="312" t="s">
        <v>652</v>
      </c>
      <c r="B853" s="312" t="s">
        <v>653</v>
      </c>
      <c r="C853" s="312" t="s">
        <v>105</v>
      </c>
      <c r="D853" s="312" t="s">
        <v>114</v>
      </c>
      <c r="E853" s="312" t="s">
        <v>107</v>
      </c>
      <c r="F853" s="312">
        <v>1825</v>
      </c>
      <c r="G853" s="312" t="s">
        <v>108</v>
      </c>
      <c r="H853" s="312">
        <v>1827</v>
      </c>
      <c r="I853" s="312" t="s">
        <v>107</v>
      </c>
      <c r="J853" s="312">
        <v>1913</v>
      </c>
      <c r="K853" s="312" t="s">
        <v>109</v>
      </c>
    </row>
    <row r="854" spans="1:11">
      <c r="A854" s="312" t="s">
        <v>654</v>
      </c>
      <c r="B854" s="312" t="s">
        <v>655</v>
      </c>
      <c r="C854" s="312" t="s">
        <v>105</v>
      </c>
      <c r="D854" s="312" t="s">
        <v>114</v>
      </c>
      <c r="E854" s="312" t="s">
        <v>107</v>
      </c>
      <c r="F854" s="312">
        <v>1825</v>
      </c>
      <c r="G854" s="312" t="s">
        <v>108</v>
      </c>
      <c r="H854" s="312">
        <v>1827</v>
      </c>
      <c r="I854" s="312" t="s">
        <v>107</v>
      </c>
      <c r="J854" s="312">
        <v>1913</v>
      </c>
      <c r="K854" s="312" t="s">
        <v>109</v>
      </c>
    </row>
    <row r="855" spans="1:11">
      <c r="A855" s="312" t="s">
        <v>663</v>
      </c>
      <c r="B855" s="312" t="s">
        <v>664</v>
      </c>
      <c r="C855" s="312" t="s">
        <v>105</v>
      </c>
      <c r="D855" s="312" t="s">
        <v>114</v>
      </c>
      <c r="E855" s="312" t="s">
        <v>107</v>
      </c>
      <c r="F855" s="312">
        <v>1825</v>
      </c>
      <c r="G855" s="312" t="s">
        <v>108</v>
      </c>
      <c r="H855" s="312">
        <v>1827</v>
      </c>
      <c r="I855" s="312" t="s">
        <v>107</v>
      </c>
      <c r="J855" s="312">
        <v>1913</v>
      </c>
      <c r="K855" s="312" t="s">
        <v>109</v>
      </c>
    </row>
    <row r="856" spans="1:11">
      <c r="A856" s="312" t="s">
        <v>667</v>
      </c>
      <c r="B856" s="312" t="s">
        <v>668</v>
      </c>
      <c r="C856" s="312" t="s">
        <v>105</v>
      </c>
      <c r="D856" s="312" t="s">
        <v>114</v>
      </c>
      <c r="E856" s="312" t="s">
        <v>107</v>
      </c>
      <c r="F856" s="312">
        <v>1825</v>
      </c>
      <c r="G856" s="312" t="s">
        <v>108</v>
      </c>
      <c r="H856" s="312">
        <v>1827</v>
      </c>
      <c r="I856" s="312" t="s">
        <v>107</v>
      </c>
      <c r="J856" s="312">
        <v>1913</v>
      </c>
      <c r="K856" s="312" t="s">
        <v>109</v>
      </c>
    </row>
    <row r="857" spans="1:11">
      <c r="A857" s="312" t="s">
        <v>669</v>
      </c>
      <c r="B857" s="312" t="s">
        <v>670</v>
      </c>
      <c r="C857" s="312" t="s">
        <v>105</v>
      </c>
      <c r="D857" s="312" t="s">
        <v>114</v>
      </c>
      <c r="E857" s="312" t="s">
        <v>107</v>
      </c>
      <c r="F857" s="312">
        <v>1825</v>
      </c>
      <c r="G857" s="312" t="s">
        <v>108</v>
      </c>
      <c r="H857" s="312">
        <v>1827</v>
      </c>
      <c r="I857" s="312" t="s">
        <v>107</v>
      </c>
      <c r="J857" s="312">
        <v>1913</v>
      </c>
      <c r="K857" s="312" t="s">
        <v>109</v>
      </c>
    </row>
    <row r="858" spans="1:11">
      <c r="A858" s="312" t="s">
        <v>707</v>
      </c>
      <c r="B858" s="312" t="s">
        <v>708</v>
      </c>
      <c r="C858" s="312" t="s">
        <v>105</v>
      </c>
      <c r="D858" s="312" t="s">
        <v>114</v>
      </c>
      <c r="E858" s="312" t="s">
        <v>107</v>
      </c>
      <c r="F858" s="312">
        <v>1825</v>
      </c>
      <c r="G858" s="312" t="s">
        <v>108</v>
      </c>
      <c r="H858" s="312">
        <v>1827</v>
      </c>
      <c r="I858" s="312" t="s">
        <v>107</v>
      </c>
      <c r="J858" s="312">
        <v>1913</v>
      </c>
      <c r="K858" s="312" t="s">
        <v>109</v>
      </c>
    </row>
    <row r="859" spans="1:11">
      <c r="A859" s="312" t="s">
        <v>763</v>
      </c>
      <c r="B859" s="312" t="s">
        <v>764</v>
      </c>
      <c r="C859" s="312" t="s">
        <v>105</v>
      </c>
      <c r="D859" s="312" t="s">
        <v>114</v>
      </c>
      <c r="E859" s="312" t="s">
        <v>107</v>
      </c>
      <c r="F859" s="312">
        <v>1825</v>
      </c>
      <c r="G859" s="312" t="s">
        <v>108</v>
      </c>
      <c r="H859" s="312">
        <v>1827</v>
      </c>
      <c r="I859" s="312" t="s">
        <v>107</v>
      </c>
      <c r="J859" s="312">
        <v>1913</v>
      </c>
      <c r="K859" s="312" t="s">
        <v>109</v>
      </c>
    </row>
    <row r="860" spans="1:11">
      <c r="A860" s="312" t="s">
        <v>770</v>
      </c>
      <c r="B860" s="312" t="s">
        <v>771</v>
      </c>
      <c r="C860" s="312" t="s">
        <v>105</v>
      </c>
      <c r="D860" s="312" t="s">
        <v>114</v>
      </c>
      <c r="E860" s="312" t="s">
        <v>107</v>
      </c>
      <c r="F860" s="312">
        <v>1825</v>
      </c>
      <c r="G860" s="312" t="s">
        <v>108</v>
      </c>
      <c r="H860" s="312">
        <v>1827</v>
      </c>
      <c r="I860" s="312" t="s">
        <v>107</v>
      </c>
      <c r="J860" s="312">
        <v>1913</v>
      </c>
      <c r="K860" s="312" t="s">
        <v>109</v>
      </c>
    </row>
    <row r="861" spans="1:11">
      <c r="A861" s="312" t="s">
        <v>772</v>
      </c>
      <c r="B861" s="312" t="s">
        <v>773</v>
      </c>
      <c r="C861" s="312" t="s">
        <v>105</v>
      </c>
      <c r="D861" s="312" t="s">
        <v>114</v>
      </c>
      <c r="E861" s="312" t="s">
        <v>107</v>
      </c>
      <c r="F861" s="312">
        <v>1825</v>
      </c>
      <c r="G861" s="312" t="s">
        <v>108</v>
      </c>
      <c r="H861" s="312">
        <v>1827</v>
      </c>
      <c r="I861" s="312" t="s">
        <v>107</v>
      </c>
      <c r="J861" s="312">
        <v>1913</v>
      </c>
      <c r="K861" s="312" t="s">
        <v>109</v>
      </c>
    </row>
    <row r="862" spans="1:11">
      <c r="A862" s="312" t="s">
        <v>774</v>
      </c>
      <c r="B862" s="312" t="s">
        <v>775</v>
      </c>
      <c r="C862" s="312" t="s">
        <v>105</v>
      </c>
      <c r="D862" s="312" t="s">
        <v>114</v>
      </c>
      <c r="E862" s="312" t="s">
        <v>107</v>
      </c>
      <c r="F862" s="312">
        <v>1825</v>
      </c>
      <c r="G862" s="312" t="s">
        <v>108</v>
      </c>
      <c r="H862" s="312">
        <v>1827</v>
      </c>
      <c r="I862" s="312" t="s">
        <v>107</v>
      </c>
      <c r="J862" s="312">
        <v>1913</v>
      </c>
      <c r="K862" s="312" t="s">
        <v>109</v>
      </c>
    </row>
    <row r="863" spans="1:11">
      <c r="A863" s="312" t="s">
        <v>803</v>
      </c>
      <c r="B863" s="312" t="s">
        <v>804</v>
      </c>
      <c r="C863" s="312" t="s">
        <v>105</v>
      </c>
      <c r="D863" s="312" t="s">
        <v>114</v>
      </c>
      <c r="E863" s="312" t="s">
        <v>107</v>
      </c>
      <c r="F863" s="312">
        <v>1825</v>
      </c>
      <c r="G863" s="312" t="s">
        <v>108</v>
      </c>
      <c r="H863" s="312">
        <v>1827</v>
      </c>
      <c r="I863" s="312" t="s">
        <v>107</v>
      </c>
      <c r="J863" s="312">
        <v>1913</v>
      </c>
      <c r="K863" s="312" t="s">
        <v>109</v>
      </c>
    </row>
    <row r="864" spans="1:11">
      <c r="A864" s="312" t="s">
        <v>805</v>
      </c>
      <c r="B864" s="312" t="s">
        <v>806</v>
      </c>
      <c r="C864" s="312" t="s">
        <v>105</v>
      </c>
      <c r="D864" s="312" t="s">
        <v>114</v>
      </c>
      <c r="E864" s="312" t="s">
        <v>107</v>
      </c>
      <c r="F864" s="312">
        <v>1825</v>
      </c>
      <c r="G864" s="312" t="s">
        <v>108</v>
      </c>
      <c r="H864" s="312">
        <v>1827</v>
      </c>
      <c r="I864" s="312" t="s">
        <v>107</v>
      </c>
      <c r="J864" s="312">
        <v>1913</v>
      </c>
      <c r="K864" s="312" t="s">
        <v>109</v>
      </c>
    </row>
    <row r="865" spans="1:11">
      <c r="A865" s="312" t="s">
        <v>859</v>
      </c>
      <c r="B865" s="312" t="s">
        <v>860</v>
      </c>
      <c r="C865" s="312" t="s">
        <v>105</v>
      </c>
      <c r="D865" s="312" t="s">
        <v>114</v>
      </c>
      <c r="E865" s="312" t="s">
        <v>107</v>
      </c>
      <c r="F865" s="312">
        <v>1825</v>
      </c>
      <c r="G865" s="312" t="s">
        <v>108</v>
      </c>
      <c r="H865" s="312">
        <v>1827</v>
      </c>
      <c r="I865" s="312" t="s">
        <v>107</v>
      </c>
      <c r="J865" s="312">
        <v>1913</v>
      </c>
      <c r="K865" s="312" t="s">
        <v>109</v>
      </c>
    </row>
    <row r="866" spans="1:11">
      <c r="A866" s="312" t="s">
        <v>868</v>
      </c>
      <c r="B866" s="312" t="s">
        <v>869</v>
      </c>
      <c r="C866" s="312" t="s">
        <v>105</v>
      </c>
      <c r="D866" s="312" t="s">
        <v>114</v>
      </c>
      <c r="E866" s="312" t="s">
        <v>107</v>
      </c>
      <c r="F866" s="312">
        <v>1825</v>
      </c>
      <c r="G866" s="312" t="s">
        <v>108</v>
      </c>
      <c r="H866" s="312">
        <v>1827</v>
      </c>
      <c r="I866" s="312" t="s">
        <v>107</v>
      </c>
      <c r="J866" s="312">
        <v>1913</v>
      </c>
      <c r="K866" s="312" t="s">
        <v>109</v>
      </c>
    </row>
    <row r="867" spans="1:11">
      <c r="A867" s="312" t="s">
        <v>872</v>
      </c>
      <c r="B867" s="312" t="s">
        <v>873</v>
      </c>
      <c r="C867" s="312" t="s">
        <v>105</v>
      </c>
      <c r="D867" s="312" t="s">
        <v>114</v>
      </c>
      <c r="E867" s="312" t="s">
        <v>107</v>
      </c>
      <c r="F867" s="312">
        <v>1825</v>
      </c>
      <c r="G867" s="312" t="s">
        <v>108</v>
      </c>
      <c r="H867" s="312">
        <v>1827</v>
      </c>
      <c r="I867" s="312" t="s">
        <v>107</v>
      </c>
      <c r="J867" s="312">
        <v>1913</v>
      </c>
      <c r="K867" s="312" t="s">
        <v>109</v>
      </c>
    </row>
    <row r="868" spans="1:11">
      <c r="A868" s="312" t="s">
        <v>874</v>
      </c>
      <c r="B868" s="312" t="s">
        <v>875</v>
      </c>
      <c r="C868" s="312" t="s">
        <v>105</v>
      </c>
      <c r="D868" s="312" t="s">
        <v>114</v>
      </c>
      <c r="E868" s="312" t="s">
        <v>107</v>
      </c>
      <c r="F868" s="312">
        <v>1825</v>
      </c>
      <c r="G868" s="312" t="s">
        <v>108</v>
      </c>
      <c r="H868" s="312">
        <v>1827</v>
      </c>
      <c r="I868" s="312" t="s">
        <v>107</v>
      </c>
      <c r="J868" s="312">
        <v>1913</v>
      </c>
      <c r="K868" s="312" t="s">
        <v>109</v>
      </c>
    </row>
    <row r="869" spans="1:11">
      <c r="A869" s="312" t="s">
        <v>907</v>
      </c>
      <c r="B869" s="312" t="s">
        <v>908</v>
      </c>
      <c r="C869" s="312" t="s">
        <v>105</v>
      </c>
      <c r="D869" s="312" t="s">
        <v>114</v>
      </c>
      <c r="E869" s="312" t="s">
        <v>107</v>
      </c>
      <c r="F869" s="312">
        <v>1825</v>
      </c>
      <c r="G869" s="312" t="s">
        <v>108</v>
      </c>
      <c r="H869" s="312">
        <v>1827</v>
      </c>
      <c r="I869" s="312" t="s">
        <v>107</v>
      </c>
      <c r="J869" s="312">
        <v>1913</v>
      </c>
      <c r="K869" s="312" t="s">
        <v>109</v>
      </c>
    </row>
    <row r="870" spans="1:11">
      <c r="A870" s="312" t="s">
        <v>913</v>
      </c>
      <c r="B870" s="312" t="s">
        <v>914</v>
      </c>
      <c r="C870" s="312" t="s">
        <v>105</v>
      </c>
      <c r="D870" s="312" t="s">
        <v>114</v>
      </c>
      <c r="E870" s="312" t="s">
        <v>107</v>
      </c>
      <c r="F870" s="312">
        <v>1825</v>
      </c>
      <c r="G870" s="312" t="s">
        <v>108</v>
      </c>
      <c r="H870" s="312">
        <v>1827</v>
      </c>
      <c r="I870" s="312" t="s">
        <v>107</v>
      </c>
      <c r="J870" s="312">
        <v>1913</v>
      </c>
      <c r="K870" s="312" t="s">
        <v>109</v>
      </c>
    </row>
    <row r="871" spans="1:11">
      <c r="A871" s="312" t="s">
        <v>915</v>
      </c>
      <c r="B871" s="312" t="s">
        <v>916</v>
      </c>
      <c r="C871" s="312" t="s">
        <v>105</v>
      </c>
      <c r="D871" s="312" t="s">
        <v>114</v>
      </c>
      <c r="E871" s="312" t="s">
        <v>107</v>
      </c>
      <c r="F871" s="312">
        <v>1825</v>
      </c>
      <c r="G871" s="312" t="s">
        <v>108</v>
      </c>
      <c r="H871" s="312">
        <v>1827</v>
      </c>
      <c r="I871" s="312" t="s">
        <v>107</v>
      </c>
      <c r="J871" s="312">
        <v>1913</v>
      </c>
      <c r="K871" s="312" t="s">
        <v>109</v>
      </c>
    </row>
    <row r="872" spans="1:11">
      <c r="A872" s="312" t="s">
        <v>917</v>
      </c>
      <c r="B872" s="312" t="s">
        <v>918</v>
      </c>
      <c r="C872" s="312" t="s">
        <v>105</v>
      </c>
      <c r="D872" s="312" t="s">
        <v>114</v>
      </c>
      <c r="E872" s="312" t="s">
        <v>107</v>
      </c>
      <c r="F872" s="312">
        <v>1825</v>
      </c>
      <c r="G872" s="312" t="s">
        <v>108</v>
      </c>
      <c r="H872" s="312">
        <v>1827</v>
      </c>
      <c r="I872" s="312" t="s">
        <v>107</v>
      </c>
      <c r="J872" s="312">
        <v>1913</v>
      </c>
      <c r="K872" s="312" t="s">
        <v>109</v>
      </c>
    </row>
    <row r="873" spans="1:11">
      <c r="A873" s="312" t="s">
        <v>927</v>
      </c>
      <c r="B873" s="312" t="s">
        <v>928</v>
      </c>
      <c r="C873" s="312" t="s">
        <v>105</v>
      </c>
      <c r="D873" s="312" t="s">
        <v>114</v>
      </c>
      <c r="E873" s="312" t="s">
        <v>107</v>
      </c>
      <c r="F873" s="312">
        <v>1825</v>
      </c>
      <c r="G873" s="312" t="s">
        <v>108</v>
      </c>
      <c r="H873" s="312">
        <v>1827</v>
      </c>
      <c r="I873" s="312" t="s">
        <v>107</v>
      </c>
      <c r="J873" s="312">
        <v>1913</v>
      </c>
      <c r="K873" s="312" t="s">
        <v>109</v>
      </c>
    </row>
    <row r="874" spans="1:11">
      <c r="A874" s="312" t="s">
        <v>929</v>
      </c>
      <c r="B874" s="312" t="s">
        <v>930</v>
      </c>
      <c r="C874" s="312" t="s">
        <v>105</v>
      </c>
      <c r="D874" s="312" t="s">
        <v>114</v>
      </c>
      <c r="E874" s="312" t="s">
        <v>107</v>
      </c>
      <c r="F874" s="312">
        <v>1825</v>
      </c>
      <c r="G874" s="312" t="s">
        <v>108</v>
      </c>
      <c r="H874" s="312">
        <v>1827</v>
      </c>
      <c r="I874" s="312" t="s">
        <v>107</v>
      </c>
      <c r="J874" s="312">
        <v>1913</v>
      </c>
      <c r="K874" s="312" t="s">
        <v>109</v>
      </c>
    </row>
    <row r="875" spans="1:11">
      <c r="A875" s="312" t="s">
        <v>931</v>
      </c>
      <c r="B875" s="312" t="s">
        <v>932</v>
      </c>
      <c r="C875" s="312" t="s">
        <v>105</v>
      </c>
      <c r="D875" s="312" t="s">
        <v>114</v>
      </c>
      <c r="E875" s="312" t="s">
        <v>107</v>
      </c>
      <c r="F875" s="312">
        <v>1825</v>
      </c>
      <c r="G875" s="312" t="s">
        <v>108</v>
      </c>
      <c r="H875" s="312">
        <v>1827</v>
      </c>
      <c r="I875" s="312" t="s">
        <v>107</v>
      </c>
      <c r="J875" s="312">
        <v>1913</v>
      </c>
      <c r="K875" s="312" t="s">
        <v>109</v>
      </c>
    </row>
    <row r="876" spans="1:11">
      <c r="A876" s="312" t="s">
        <v>956</v>
      </c>
      <c r="B876" s="1" t="s">
        <v>957</v>
      </c>
      <c r="C876" s="312" t="s">
        <v>105</v>
      </c>
      <c r="D876" s="312" t="s">
        <v>114</v>
      </c>
      <c r="E876" s="312" t="s">
        <v>107</v>
      </c>
      <c r="F876" s="312">
        <v>1825</v>
      </c>
      <c r="G876" s="312" t="s">
        <v>108</v>
      </c>
      <c r="H876" s="312">
        <v>1827</v>
      </c>
      <c r="I876" s="312" t="s">
        <v>107</v>
      </c>
      <c r="J876" s="312">
        <v>1913</v>
      </c>
      <c r="K876" s="312" t="s">
        <v>109</v>
      </c>
    </row>
    <row r="877" spans="1:11">
      <c r="A877" s="312" t="s">
        <v>960</v>
      </c>
      <c r="B877" s="312" t="s">
        <v>961</v>
      </c>
      <c r="C877" s="312" t="s">
        <v>105</v>
      </c>
      <c r="D877" s="312" t="s">
        <v>114</v>
      </c>
      <c r="E877" s="312" t="s">
        <v>107</v>
      </c>
      <c r="F877" s="312">
        <v>1825</v>
      </c>
      <c r="G877" s="312" t="s">
        <v>108</v>
      </c>
      <c r="H877" s="312">
        <v>1827</v>
      </c>
      <c r="I877" s="312" t="s">
        <v>107</v>
      </c>
      <c r="J877" s="312">
        <v>1913</v>
      </c>
      <c r="K877" s="312" t="s">
        <v>109</v>
      </c>
    </row>
    <row r="878" spans="1:11">
      <c r="A878" s="312" t="s">
        <v>962</v>
      </c>
      <c r="B878" s="312" t="s">
        <v>963</v>
      </c>
      <c r="C878" s="312" t="s">
        <v>105</v>
      </c>
      <c r="D878" s="312" t="s">
        <v>114</v>
      </c>
      <c r="E878" s="312" t="s">
        <v>107</v>
      </c>
      <c r="F878" s="312">
        <v>1825</v>
      </c>
      <c r="G878" s="312" t="s">
        <v>108</v>
      </c>
      <c r="H878" s="312">
        <v>1827</v>
      </c>
      <c r="I878" s="312" t="s">
        <v>107</v>
      </c>
      <c r="J878" s="312">
        <v>1913</v>
      </c>
      <c r="K878" s="312" t="s">
        <v>109</v>
      </c>
    </row>
    <row r="879" spans="1:11">
      <c r="A879" s="312" t="s">
        <v>966</v>
      </c>
      <c r="B879" s="312" t="s">
        <v>967</v>
      </c>
      <c r="C879" s="312" t="s">
        <v>105</v>
      </c>
      <c r="D879" s="312" t="s">
        <v>114</v>
      </c>
      <c r="E879" s="312" t="s">
        <v>107</v>
      </c>
      <c r="F879" s="312">
        <v>1825</v>
      </c>
      <c r="G879" s="312" t="s">
        <v>108</v>
      </c>
      <c r="H879" s="312">
        <v>1827</v>
      </c>
      <c r="I879" s="312" t="s">
        <v>107</v>
      </c>
      <c r="J879" s="312">
        <v>1913</v>
      </c>
      <c r="K879" s="312" t="s">
        <v>109</v>
      </c>
    </row>
    <row r="880" spans="1:11">
      <c r="A880" s="312" t="s">
        <v>968</v>
      </c>
      <c r="B880" s="312" t="s">
        <v>969</v>
      </c>
      <c r="C880" s="312" t="s">
        <v>105</v>
      </c>
      <c r="D880" s="312" t="s">
        <v>114</v>
      </c>
      <c r="E880" s="312" t="s">
        <v>107</v>
      </c>
      <c r="F880" s="312">
        <v>1825</v>
      </c>
      <c r="G880" s="312" t="s">
        <v>108</v>
      </c>
      <c r="H880" s="312">
        <v>1827</v>
      </c>
      <c r="I880" s="312" t="s">
        <v>107</v>
      </c>
      <c r="J880" s="312">
        <v>1913</v>
      </c>
      <c r="K880" s="312" t="s">
        <v>109</v>
      </c>
    </row>
    <row r="881" spans="1:11">
      <c r="A881" s="312" t="s">
        <v>970</v>
      </c>
      <c r="B881" s="312" t="s">
        <v>971</v>
      </c>
      <c r="C881" s="312" t="s">
        <v>105</v>
      </c>
      <c r="D881" s="312" t="s">
        <v>114</v>
      </c>
      <c r="E881" s="312" t="s">
        <v>107</v>
      </c>
      <c r="F881" s="312">
        <v>1825</v>
      </c>
      <c r="G881" s="312" t="s">
        <v>108</v>
      </c>
      <c r="H881" s="312">
        <v>1827</v>
      </c>
      <c r="I881" s="312" t="s">
        <v>107</v>
      </c>
      <c r="J881" s="312">
        <v>1913</v>
      </c>
      <c r="K881" s="312" t="s">
        <v>109</v>
      </c>
    </row>
    <row r="882" spans="1:11">
      <c r="A882" s="312" t="s">
        <v>1149</v>
      </c>
      <c r="B882" s="312" t="s">
        <v>1150</v>
      </c>
      <c r="C882" s="312" t="s">
        <v>105</v>
      </c>
      <c r="D882" s="312" t="s">
        <v>114</v>
      </c>
      <c r="E882" s="312" t="s">
        <v>107</v>
      </c>
      <c r="F882" s="312">
        <v>1825</v>
      </c>
      <c r="G882" s="312" t="s">
        <v>108</v>
      </c>
      <c r="H882" s="312">
        <v>1827</v>
      </c>
      <c r="I882" s="312" t="s">
        <v>107</v>
      </c>
      <c r="J882" s="312">
        <v>1913</v>
      </c>
      <c r="K882" s="312" t="s">
        <v>109</v>
      </c>
    </row>
    <row r="883" spans="1:11">
      <c r="A883" s="312" t="s">
        <v>1171</v>
      </c>
      <c r="B883" s="312" t="s">
        <v>1172</v>
      </c>
      <c r="C883" s="312" t="s">
        <v>105</v>
      </c>
      <c r="D883" s="312" t="s">
        <v>114</v>
      </c>
      <c r="E883" s="312" t="s">
        <v>107</v>
      </c>
      <c r="F883" s="312">
        <v>1825</v>
      </c>
      <c r="G883" s="312" t="s">
        <v>108</v>
      </c>
      <c r="H883" s="312">
        <v>1827</v>
      </c>
      <c r="I883" s="312" t="s">
        <v>107</v>
      </c>
      <c r="J883" s="312">
        <v>1913</v>
      </c>
      <c r="K883" s="312" t="s">
        <v>109</v>
      </c>
    </row>
    <row r="884" spans="1:11">
      <c r="A884" s="312" t="s">
        <v>1175</v>
      </c>
      <c r="B884" s="1" t="s">
        <v>1176</v>
      </c>
      <c r="C884" s="312" t="s">
        <v>105</v>
      </c>
      <c r="D884" s="312" t="s">
        <v>114</v>
      </c>
      <c r="E884" s="312" t="s">
        <v>107</v>
      </c>
      <c r="F884" s="312">
        <v>1825</v>
      </c>
      <c r="G884" s="312" t="s">
        <v>108</v>
      </c>
      <c r="H884" s="312">
        <v>1827</v>
      </c>
      <c r="I884" s="312" t="s">
        <v>107</v>
      </c>
      <c r="J884" s="312">
        <v>1913</v>
      </c>
      <c r="K884" s="312" t="s">
        <v>109</v>
      </c>
    </row>
    <row r="885" spans="1:11">
      <c r="A885" s="312" t="s">
        <v>1177</v>
      </c>
      <c r="B885" s="312" t="s">
        <v>1178</v>
      </c>
      <c r="C885" s="312" t="s">
        <v>105</v>
      </c>
      <c r="D885" s="312" t="s">
        <v>114</v>
      </c>
      <c r="E885" s="312" t="s">
        <v>107</v>
      </c>
      <c r="F885" s="312">
        <v>1825</v>
      </c>
      <c r="G885" s="312" t="s">
        <v>108</v>
      </c>
      <c r="H885" s="312">
        <v>1827</v>
      </c>
      <c r="I885" s="312" t="s">
        <v>107</v>
      </c>
      <c r="J885" s="312">
        <v>1913</v>
      </c>
      <c r="K885" s="312" t="s">
        <v>109</v>
      </c>
    </row>
    <row r="886" spans="1:11">
      <c r="A886" s="312" t="s">
        <v>1179</v>
      </c>
      <c r="B886" s="312" t="s">
        <v>1180</v>
      </c>
      <c r="C886" s="312" t="s">
        <v>105</v>
      </c>
      <c r="D886" s="312" t="s">
        <v>114</v>
      </c>
      <c r="E886" s="312" t="s">
        <v>107</v>
      </c>
      <c r="F886" s="312">
        <v>1825</v>
      </c>
      <c r="G886" s="312" t="s">
        <v>108</v>
      </c>
      <c r="H886" s="312">
        <v>1827</v>
      </c>
      <c r="I886" s="312" t="s">
        <v>107</v>
      </c>
      <c r="J886" s="312">
        <v>1913</v>
      </c>
      <c r="K886" s="312" t="s">
        <v>109</v>
      </c>
    </row>
    <row r="887" spans="1:11">
      <c r="A887" s="312" t="s">
        <v>1181</v>
      </c>
      <c r="B887" s="312" t="s">
        <v>1182</v>
      </c>
      <c r="C887" s="312" t="s">
        <v>105</v>
      </c>
      <c r="D887" s="312" t="s">
        <v>114</v>
      </c>
      <c r="E887" s="312" t="s">
        <v>107</v>
      </c>
      <c r="F887" s="312">
        <v>1825</v>
      </c>
      <c r="G887" s="312" t="s">
        <v>108</v>
      </c>
      <c r="H887" s="312">
        <v>1827</v>
      </c>
      <c r="I887" s="312" t="s">
        <v>107</v>
      </c>
      <c r="J887" s="312">
        <v>1913</v>
      </c>
      <c r="K887" s="312" t="s">
        <v>109</v>
      </c>
    </row>
    <row r="888" spans="1:11">
      <c r="A888" s="312" t="s">
        <v>1183</v>
      </c>
      <c r="B888" s="312" t="s">
        <v>1184</v>
      </c>
      <c r="C888" s="312" t="s">
        <v>105</v>
      </c>
      <c r="D888" s="312" t="s">
        <v>114</v>
      </c>
      <c r="E888" s="312" t="s">
        <v>107</v>
      </c>
      <c r="F888" s="312">
        <v>1825</v>
      </c>
      <c r="G888" s="312" t="s">
        <v>108</v>
      </c>
      <c r="H888" s="312">
        <v>1827</v>
      </c>
      <c r="I888" s="312" t="s">
        <v>107</v>
      </c>
      <c r="J888" s="312">
        <v>1913</v>
      </c>
      <c r="K888" s="312" t="s">
        <v>109</v>
      </c>
    </row>
    <row r="889" spans="1:11">
      <c r="A889" s="312" t="s">
        <v>1185</v>
      </c>
      <c r="B889" s="312" t="s">
        <v>1186</v>
      </c>
      <c r="C889" s="312" t="s">
        <v>105</v>
      </c>
      <c r="D889" s="312" t="s">
        <v>114</v>
      </c>
      <c r="E889" s="312" t="s">
        <v>107</v>
      </c>
      <c r="F889" s="312">
        <v>1825</v>
      </c>
      <c r="G889" s="312" t="s">
        <v>108</v>
      </c>
      <c r="H889" s="312">
        <v>1827</v>
      </c>
      <c r="I889" s="312" t="s">
        <v>107</v>
      </c>
      <c r="J889" s="312">
        <v>1913</v>
      </c>
      <c r="K889" s="312" t="s">
        <v>109</v>
      </c>
    </row>
    <row r="890" spans="1:11">
      <c r="A890" s="312" t="s">
        <v>1187</v>
      </c>
      <c r="B890" s="312" t="s">
        <v>1188</v>
      </c>
      <c r="C890" s="312" t="s">
        <v>105</v>
      </c>
      <c r="D890" s="312" t="s">
        <v>114</v>
      </c>
      <c r="E890" s="312" t="s">
        <v>107</v>
      </c>
      <c r="F890" s="312">
        <v>1825</v>
      </c>
      <c r="G890" s="312" t="s">
        <v>108</v>
      </c>
      <c r="H890" s="312">
        <v>1827</v>
      </c>
      <c r="I890" s="312" t="s">
        <v>107</v>
      </c>
      <c r="J890" s="312">
        <v>1913</v>
      </c>
      <c r="K890" s="312" t="s">
        <v>109</v>
      </c>
    </row>
    <row r="891" spans="1:11">
      <c r="A891" s="312" t="s">
        <v>1189</v>
      </c>
      <c r="B891" s="312" t="s">
        <v>1190</v>
      </c>
      <c r="C891" s="312" t="s">
        <v>105</v>
      </c>
      <c r="D891" s="312" t="s">
        <v>114</v>
      </c>
      <c r="E891" s="312" t="s">
        <v>107</v>
      </c>
      <c r="F891" s="312">
        <v>1825</v>
      </c>
      <c r="G891" s="312" t="s">
        <v>108</v>
      </c>
      <c r="H891" s="312">
        <v>1827</v>
      </c>
      <c r="I891" s="312" t="s">
        <v>107</v>
      </c>
      <c r="J891" s="312">
        <v>1913</v>
      </c>
      <c r="K891" s="312" t="s">
        <v>109</v>
      </c>
    </row>
    <row r="892" spans="1:11">
      <c r="A892" s="312" t="s">
        <v>1191</v>
      </c>
      <c r="B892" s="312" t="s">
        <v>1192</v>
      </c>
      <c r="C892" s="312" t="s">
        <v>105</v>
      </c>
      <c r="D892" s="312" t="s">
        <v>114</v>
      </c>
      <c r="E892" s="312" t="s">
        <v>107</v>
      </c>
      <c r="F892" s="312">
        <v>1825</v>
      </c>
      <c r="G892" s="312" t="s">
        <v>108</v>
      </c>
      <c r="H892" s="312">
        <v>1827</v>
      </c>
      <c r="I892" s="312" t="s">
        <v>107</v>
      </c>
      <c r="J892" s="312">
        <v>1913</v>
      </c>
      <c r="K892" s="312" t="s">
        <v>109</v>
      </c>
    </row>
    <row r="893" spans="1:11">
      <c r="A893" s="312" t="s">
        <v>1203</v>
      </c>
      <c r="B893" s="312" t="s">
        <v>1204</v>
      </c>
      <c r="C893" s="312" t="s">
        <v>105</v>
      </c>
      <c r="D893" s="312" t="s">
        <v>114</v>
      </c>
      <c r="E893" s="312" t="s">
        <v>107</v>
      </c>
      <c r="F893" s="312">
        <v>1825</v>
      </c>
      <c r="G893" s="312" t="s">
        <v>108</v>
      </c>
      <c r="H893" s="312">
        <v>1827</v>
      </c>
      <c r="I893" s="312" t="s">
        <v>107</v>
      </c>
      <c r="J893" s="312">
        <v>1913</v>
      </c>
      <c r="K893" s="312" t="s">
        <v>109</v>
      </c>
    </row>
    <row r="894" spans="1:11">
      <c r="A894" s="312" t="s">
        <v>1231</v>
      </c>
      <c r="B894" s="312" t="s">
        <v>1232</v>
      </c>
      <c r="C894" s="312" t="s">
        <v>105</v>
      </c>
      <c r="D894" s="312" t="s">
        <v>114</v>
      </c>
      <c r="E894" s="312" t="s">
        <v>107</v>
      </c>
      <c r="F894" s="312">
        <v>1825</v>
      </c>
      <c r="G894" s="312" t="s">
        <v>108</v>
      </c>
      <c r="H894" s="312">
        <v>1827</v>
      </c>
      <c r="I894" s="312" t="s">
        <v>107</v>
      </c>
      <c r="J894" s="312">
        <v>1913</v>
      </c>
      <c r="K894" s="312" t="s">
        <v>109</v>
      </c>
    </row>
    <row r="895" spans="1:11">
      <c r="A895" s="312" t="s">
        <v>1277</v>
      </c>
      <c r="B895" s="312" t="s">
        <v>1278</v>
      </c>
      <c r="C895" s="312" t="s">
        <v>105</v>
      </c>
      <c r="D895" s="312" t="s">
        <v>114</v>
      </c>
      <c r="E895" s="312" t="s">
        <v>107</v>
      </c>
      <c r="F895" s="312">
        <v>1825</v>
      </c>
      <c r="G895" s="312" t="s">
        <v>108</v>
      </c>
      <c r="H895" s="312">
        <v>1827</v>
      </c>
      <c r="I895" s="312" t="s">
        <v>107</v>
      </c>
      <c r="J895" s="312">
        <v>1913</v>
      </c>
      <c r="K895" s="312" t="s">
        <v>109</v>
      </c>
    </row>
    <row r="896" spans="1:11">
      <c r="A896" s="312" t="s">
        <v>1323</v>
      </c>
      <c r="B896" s="312" t="s">
        <v>1324</v>
      </c>
      <c r="C896" s="312" t="s">
        <v>105</v>
      </c>
      <c r="D896" s="312" t="s">
        <v>114</v>
      </c>
      <c r="E896" s="312" t="s">
        <v>684</v>
      </c>
      <c r="F896" s="312">
        <v>1750</v>
      </c>
      <c r="G896" s="312" t="s">
        <v>685</v>
      </c>
      <c r="H896" s="312">
        <v>1754</v>
      </c>
      <c r="I896" s="312" t="s">
        <v>684</v>
      </c>
      <c r="J896" s="312">
        <v>1920</v>
      </c>
      <c r="K896" s="312" t="s">
        <v>686</v>
      </c>
    </row>
    <row r="897" spans="1:11">
      <c r="A897" s="312" t="s">
        <v>1325</v>
      </c>
      <c r="B897" s="312" t="s">
        <v>1326</v>
      </c>
      <c r="C897" s="312" t="s">
        <v>105</v>
      </c>
      <c r="D897" s="312" t="s">
        <v>114</v>
      </c>
      <c r="E897" s="312" t="s">
        <v>684</v>
      </c>
      <c r="F897" s="312">
        <v>1750</v>
      </c>
      <c r="G897" s="312" t="s">
        <v>685</v>
      </c>
      <c r="H897" s="312">
        <v>1754</v>
      </c>
      <c r="I897" s="312" t="s">
        <v>684</v>
      </c>
      <c r="J897" s="312">
        <v>1920</v>
      </c>
      <c r="K897" s="312" t="s">
        <v>686</v>
      </c>
    </row>
    <row r="898" spans="1:11">
      <c r="A898" s="312" t="s">
        <v>1327</v>
      </c>
      <c r="B898" s="312" t="s">
        <v>1328</v>
      </c>
      <c r="C898" s="312" t="s">
        <v>105</v>
      </c>
      <c r="D898" s="312" t="s">
        <v>114</v>
      </c>
      <c r="E898" s="312" t="s">
        <v>684</v>
      </c>
      <c r="F898" s="312">
        <v>1750</v>
      </c>
      <c r="G898" s="312" t="s">
        <v>685</v>
      </c>
      <c r="H898" s="312">
        <v>1754</v>
      </c>
      <c r="I898" s="312" t="s">
        <v>684</v>
      </c>
      <c r="J898" s="312">
        <v>1920</v>
      </c>
      <c r="K898" s="312" t="s">
        <v>686</v>
      </c>
    </row>
    <row r="899" spans="1:11">
      <c r="A899" s="312" t="s">
        <v>1329</v>
      </c>
      <c r="B899" s="312" t="s">
        <v>1330</v>
      </c>
      <c r="C899" s="312" t="s">
        <v>105</v>
      </c>
      <c r="D899" s="312" t="s">
        <v>114</v>
      </c>
      <c r="E899" s="312" t="s">
        <v>684</v>
      </c>
      <c r="F899" s="312">
        <v>1750</v>
      </c>
      <c r="G899" s="312" t="s">
        <v>685</v>
      </c>
      <c r="H899" s="312">
        <v>1754</v>
      </c>
      <c r="I899" s="312" t="s">
        <v>684</v>
      </c>
      <c r="J899" s="312">
        <v>1920</v>
      </c>
      <c r="K899" s="312" t="s">
        <v>686</v>
      </c>
    </row>
    <row r="900" spans="1:11">
      <c r="A900" s="312" t="s">
        <v>1331</v>
      </c>
      <c r="B900" s="312" t="s">
        <v>1332</v>
      </c>
      <c r="C900" s="312" t="s">
        <v>105</v>
      </c>
      <c r="D900" s="312" t="s">
        <v>114</v>
      </c>
      <c r="E900" s="312" t="s">
        <v>684</v>
      </c>
      <c r="F900" s="312">
        <v>1750</v>
      </c>
      <c r="G900" s="312" t="s">
        <v>685</v>
      </c>
      <c r="H900" s="312">
        <v>1754</v>
      </c>
      <c r="I900" s="312" t="s">
        <v>684</v>
      </c>
      <c r="J900" s="312">
        <v>1920</v>
      </c>
      <c r="K900" s="312" t="s">
        <v>686</v>
      </c>
    </row>
    <row r="901" spans="1:11">
      <c r="A901" s="312" t="s">
        <v>1415</v>
      </c>
      <c r="B901" s="312" t="s">
        <v>1416</v>
      </c>
      <c r="C901" s="312" t="s">
        <v>105</v>
      </c>
      <c r="D901" s="312" t="s">
        <v>114</v>
      </c>
      <c r="E901" s="312" t="s">
        <v>107</v>
      </c>
      <c r="F901" s="312">
        <v>1825</v>
      </c>
      <c r="G901" s="312" t="s">
        <v>108</v>
      </c>
      <c r="H901" s="312">
        <v>1827</v>
      </c>
      <c r="I901" s="312" t="s">
        <v>107</v>
      </c>
      <c r="J901" s="312">
        <v>1913</v>
      </c>
      <c r="K901" s="312" t="s">
        <v>109</v>
      </c>
    </row>
    <row r="902" spans="1:11">
      <c r="A902" s="312" t="s">
        <v>1421</v>
      </c>
      <c r="B902" s="312" t="s">
        <v>1422</v>
      </c>
      <c r="C902" s="312" t="s">
        <v>105</v>
      </c>
      <c r="D902" s="312" t="s">
        <v>114</v>
      </c>
      <c r="E902" s="312" t="s">
        <v>107</v>
      </c>
      <c r="F902" s="312">
        <v>1825</v>
      </c>
      <c r="G902" s="312" t="s">
        <v>108</v>
      </c>
      <c r="H902" s="312">
        <v>1827</v>
      </c>
      <c r="I902" s="312" t="s">
        <v>107</v>
      </c>
      <c r="J902" s="312">
        <v>1913</v>
      </c>
      <c r="K902" s="312" t="s">
        <v>109</v>
      </c>
    </row>
    <row r="903" spans="1:11">
      <c r="A903" s="312" t="s">
        <v>1427</v>
      </c>
      <c r="B903" s="312" t="s">
        <v>1428</v>
      </c>
      <c r="C903" s="312" t="s">
        <v>105</v>
      </c>
      <c r="D903" s="312" t="s">
        <v>114</v>
      </c>
      <c r="E903" s="312" t="s">
        <v>107</v>
      </c>
      <c r="F903" s="312">
        <v>1825</v>
      </c>
      <c r="G903" s="312" t="s">
        <v>108</v>
      </c>
      <c r="H903" s="312">
        <v>1827</v>
      </c>
      <c r="I903" s="312" t="s">
        <v>107</v>
      </c>
      <c r="J903" s="312">
        <v>1913</v>
      </c>
      <c r="K903" s="312" t="s">
        <v>109</v>
      </c>
    </row>
    <row r="904" spans="1:11">
      <c r="A904" s="312" t="s">
        <v>1473</v>
      </c>
      <c r="B904" s="312" t="s">
        <v>1474</v>
      </c>
      <c r="C904" s="312" t="s">
        <v>105</v>
      </c>
      <c r="D904" s="312" t="s">
        <v>114</v>
      </c>
      <c r="E904" s="312" t="s">
        <v>107</v>
      </c>
      <c r="F904" s="312">
        <v>1825</v>
      </c>
      <c r="G904" s="312" t="s">
        <v>108</v>
      </c>
      <c r="H904" s="312">
        <v>1827</v>
      </c>
      <c r="I904" s="312" t="s">
        <v>107</v>
      </c>
      <c r="J904" s="312">
        <v>1913</v>
      </c>
      <c r="K904" s="312" t="s">
        <v>109</v>
      </c>
    </row>
    <row r="905" spans="1:11">
      <c r="A905" s="312" t="s">
        <v>1477</v>
      </c>
      <c r="B905" s="312" t="s">
        <v>1478</v>
      </c>
      <c r="C905" s="312" t="s">
        <v>105</v>
      </c>
      <c r="D905" s="312" t="s">
        <v>114</v>
      </c>
      <c r="E905" s="312" t="s">
        <v>107</v>
      </c>
      <c r="F905" s="312">
        <v>1825</v>
      </c>
      <c r="G905" s="312" t="s">
        <v>108</v>
      </c>
      <c r="H905" s="312">
        <v>1827</v>
      </c>
      <c r="I905" s="312" t="s">
        <v>107</v>
      </c>
      <c r="J905" s="312">
        <v>1913</v>
      </c>
      <c r="K905" s="312" t="s">
        <v>109</v>
      </c>
    </row>
    <row r="906" spans="1:11">
      <c r="A906" s="312" t="s">
        <v>1479</v>
      </c>
      <c r="B906" s="312" t="s">
        <v>1480</v>
      </c>
      <c r="C906" s="312" t="s">
        <v>105</v>
      </c>
      <c r="D906" s="312" t="s">
        <v>114</v>
      </c>
      <c r="E906" s="312" t="s">
        <v>107</v>
      </c>
      <c r="F906" s="312">
        <v>1825</v>
      </c>
      <c r="G906" s="312" t="s">
        <v>108</v>
      </c>
      <c r="H906" s="312">
        <v>1827</v>
      </c>
      <c r="I906" s="312" t="s">
        <v>107</v>
      </c>
      <c r="J906" s="312">
        <v>1913</v>
      </c>
      <c r="K906" s="312" t="s">
        <v>109</v>
      </c>
    </row>
    <row r="907" spans="1:11">
      <c r="A907" s="312" t="s">
        <v>1481</v>
      </c>
      <c r="B907" s="312" t="s">
        <v>1482</v>
      </c>
      <c r="C907" s="312" t="s">
        <v>105</v>
      </c>
      <c r="D907" s="312" t="s">
        <v>114</v>
      </c>
      <c r="E907" s="312" t="s">
        <v>107</v>
      </c>
      <c r="F907" s="312">
        <v>1825</v>
      </c>
      <c r="G907" s="312" t="s">
        <v>108</v>
      </c>
      <c r="H907" s="312">
        <v>1827</v>
      </c>
      <c r="I907" s="312" t="s">
        <v>107</v>
      </c>
      <c r="J907" s="312">
        <v>1913</v>
      </c>
      <c r="K907" s="312" t="s">
        <v>109</v>
      </c>
    </row>
    <row r="908" spans="1:11">
      <c r="A908" s="312" t="s">
        <v>1483</v>
      </c>
      <c r="B908" s="312" t="s">
        <v>1484</v>
      </c>
      <c r="C908" s="312" t="s">
        <v>105</v>
      </c>
      <c r="D908" s="312" t="s">
        <v>114</v>
      </c>
      <c r="E908" s="312" t="s">
        <v>107</v>
      </c>
      <c r="F908" s="312">
        <v>1825</v>
      </c>
      <c r="G908" s="312" t="s">
        <v>108</v>
      </c>
      <c r="H908" s="312">
        <v>1827</v>
      </c>
      <c r="I908" s="312" t="s">
        <v>107</v>
      </c>
      <c r="J908" s="312">
        <v>1913</v>
      </c>
      <c r="K908" s="312" t="s">
        <v>109</v>
      </c>
    </row>
    <row r="909" spans="1:11">
      <c r="A909" s="312" t="s">
        <v>1487</v>
      </c>
      <c r="B909" s="312" t="s">
        <v>1488</v>
      </c>
      <c r="C909" s="312" t="s">
        <v>105</v>
      </c>
      <c r="D909" s="312" t="s">
        <v>114</v>
      </c>
      <c r="E909" s="312" t="s">
        <v>107</v>
      </c>
      <c r="F909" s="312">
        <v>1825</v>
      </c>
      <c r="G909" s="312" t="s">
        <v>108</v>
      </c>
      <c r="H909" s="312">
        <v>1827</v>
      </c>
      <c r="I909" s="312" t="s">
        <v>107</v>
      </c>
      <c r="J909" s="312">
        <v>1913</v>
      </c>
      <c r="K909" s="312" t="s">
        <v>109</v>
      </c>
    </row>
    <row r="910" spans="1:11">
      <c r="A910" s="312" t="s">
        <v>1489</v>
      </c>
      <c r="B910" s="312" t="s">
        <v>1490</v>
      </c>
      <c r="C910" s="312" t="s">
        <v>105</v>
      </c>
      <c r="D910" s="312" t="s">
        <v>114</v>
      </c>
      <c r="E910" s="312" t="s">
        <v>107</v>
      </c>
      <c r="F910" s="312">
        <v>1825</v>
      </c>
      <c r="G910" s="312" t="s">
        <v>108</v>
      </c>
      <c r="H910" s="312">
        <v>1827</v>
      </c>
      <c r="I910" s="312" t="s">
        <v>107</v>
      </c>
      <c r="J910" s="312">
        <v>1913</v>
      </c>
      <c r="K910" s="312" t="s">
        <v>109</v>
      </c>
    </row>
    <row r="911" spans="1:11">
      <c r="A911" s="312" t="s">
        <v>1491</v>
      </c>
      <c r="B911" s="312" t="s">
        <v>1492</v>
      </c>
      <c r="C911" s="312" t="s">
        <v>105</v>
      </c>
      <c r="D911" s="312" t="s">
        <v>114</v>
      </c>
      <c r="E911" s="312" t="s">
        <v>107</v>
      </c>
      <c r="F911" s="312">
        <v>1825</v>
      </c>
      <c r="G911" s="312" t="s">
        <v>108</v>
      </c>
      <c r="H911" s="312">
        <v>1827</v>
      </c>
      <c r="I911" s="312" t="s">
        <v>107</v>
      </c>
      <c r="J911" s="312">
        <v>1913</v>
      </c>
      <c r="K911" s="312" t="s">
        <v>109</v>
      </c>
    </row>
    <row r="912" spans="1:11">
      <c r="A912" s="312" t="s">
        <v>1495</v>
      </c>
      <c r="B912" s="312" t="s">
        <v>1496</v>
      </c>
      <c r="C912" s="312" t="s">
        <v>105</v>
      </c>
      <c r="D912" s="312" t="s">
        <v>114</v>
      </c>
      <c r="E912" s="312" t="s">
        <v>107</v>
      </c>
      <c r="F912" s="312">
        <v>1825</v>
      </c>
      <c r="G912" s="312" t="s">
        <v>108</v>
      </c>
      <c r="H912" s="312">
        <v>1827</v>
      </c>
      <c r="I912" s="312" t="s">
        <v>107</v>
      </c>
      <c r="J912" s="312">
        <v>1913</v>
      </c>
      <c r="K912" s="312" t="s">
        <v>109</v>
      </c>
    </row>
    <row r="913" spans="1:11">
      <c r="A913" s="312" t="s">
        <v>1523</v>
      </c>
      <c r="B913" s="312" t="s">
        <v>1524</v>
      </c>
      <c r="C913" s="312" t="s">
        <v>105</v>
      </c>
      <c r="D913" s="312" t="s">
        <v>114</v>
      </c>
      <c r="E913" s="312" t="s">
        <v>107</v>
      </c>
      <c r="F913" s="312">
        <v>1825</v>
      </c>
      <c r="G913" s="312" t="s">
        <v>108</v>
      </c>
      <c r="H913" s="312">
        <v>1827</v>
      </c>
      <c r="I913" s="312" t="s">
        <v>107</v>
      </c>
      <c r="J913" s="312">
        <v>1913</v>
      </c>
      <c r="K913" s="312" t="s">
        <v>109</v>
      </c>
    </row>
    <row r="914" spans="1:11">
      <c r="A914" s="312" t="s">
        <v>1527</v>
      </c>
      <c r="B914" s="312" t="s">
        <v>1528</v>
      </c>
      <c r="C914" s="312" t="s">
        <v>105</v>
      </c>
      <c r="D914" s="312" t="s">
        <v>114</v>
      </c>
      <c r="E914" s="312" t="s">
        <v>107</v>
      </c>
      <c r="F914" s="312">
        <v>1825</v>
      </c>
      <c r="G914" s="312" t="s">
        <v>108</v>
      </c>
      <c r="H914" s="312">
        <v>1827</v>
      </c>
      <c r="I914" s="312" t="s">
        <v>107</v>
      </c>
      <c r="J914" s="312">
        <v>1913</v>
      </c>
      <c r="K914" s="312" t="s">
        <v>109</v>
      </c>
    </row>
    <row r="915" spans="1:11">
      <c r="A915" s="312" t="s">
        <v>1540</v>
      </c>
      <c r="B915" s="312" t="s">
        <v>1541</v>
      </c>
      <c r="C915" s="312" t="s">
        <v>105</v>
      </c>
      <c r="D915" s="312" t="s">
        <v>114</v>
      </c>
      <c r="E915" s="312" t="s">
        <v>107</v>
      </c>
      <c r="F915" s="312">
        <v>1825</v>
      </c>
      <c r="G915" s="312" t="s">
        <v>108</v>
      </c>
      <c r="H915" s="312">
        <v>1827</v>
      </c>
      <c r="I915" s="312" t="s">
        <v>107</v>
      </c>
      <c r="J915" s="312">
        <v>1913</v>
      </c>
      <c r="K915" s="312" t="s">
        <v>109</v>
      </c>
    </row>
    <row r="916" spans="1:11">
      <c r="A916" s="312" t="s">
        <v>1542</v>
      </c>
      <c r="B916" s="312" t="s">
        <v>1543</v>
      </c>
      <c r="C916" s="312" t="s">
        <v>105</v>
      </c>
      <c r="D916" s="312" t="s">
        <v>114</v>
      </c>
      <c r="E916" s="312" t="s">
        <v>107</v>
      </c>
      <c r="F916" s="312">
        <v>1825</v>
      </c>
      <c r="G916" s="312" t="s">
        <v>108</v>
      </c>
      <c r="H916" s="312">
        <v>1827</v>
      </c>
      <c r="I916" s="312" t="s">
        <v>107</v>
      </c>
      <c r="J916" s="312">
        <v>1913</v>
      </c>
      <c r="K916" s="312" t="s">
        <v>109</v>
      </c>
    </row>
    <row r="917" spans="1:11">
      <c r="A917" s="312" t="s">
        <v>1544</v>
      </c>
      <c r="B917" s="312" t="s">
        <v>1545</v>
      </c>
      <c r="C917" s="312" t="s">
        <v>105</v>
      </c>
      <c r="D917" s="312" t="s">
        <v>114</v>
      </c>
      <c r="E917" s="312" t="s">
        <v>107</v>
      </c>
      <c r="F917" s="312">
        <v>1825</v>
      </c>
      <c r="G917" s="312" t="s">
        <v>108</v>
      </c>
      <c r="H917" s="312">
        <v>1827</v>
      </c>
      <c r="I917" s="312" t="s">
        <v>107</v>
      </c>
      <c r="J917" s="312">
        <v>1913</v>
      </c>
      <c r="K917" s="312" t="s">
        <v>109</v>
      </c>
    </row>
    <row r="918" spans="1:11">
      <c r="A918" s="312" t="s">
        <v>1566</v>
      </c>
      <c r="B918" s="312" t="s">
        <v>1567</v>
      </c>
      <c r="C918" s="312" t="s">
        <v>105</v>
      </c>
      <c r="D918" s="312" t="s">
        <v>114</v>
      </c>
      <c r="E918" s="312" t="s">
        <v>107</v>
      </c>
      <c r="F918" s="312">
        <v>1825</v>
      </c>
      <c r="G918" s="312" t="s">
        <v>108</v>
      </c>
      <c r="H918" s="312">
        <v>1827</v>
      </c>
      <c r="I918" s="312" t="s">
        <v>107</v>
      </c>
      <c r="J918" s="312">
        <v>1913</v>
      </c>
      <c r="K918" s="312" t="s">
        <v>109</v>
      </c>
    </row>
    <row r="919" spans="1:11">
      <c r="A919" s="312" t="s">
        <v>1568</v>
      </c>
      <c r="B919" s="312" t="s">
        <v>1569</v>
      </c>
      <c r="C919" s="312" t="s">
        <v>105</v>
      </c>
      <c r="D919" s="312" t="s">
        <v>114</v>
      </c>
      <c r="E919" s="312" t="s">
        <v>107</v>
      </c>
      <c r="F919" s="312">
        <v>1825</v>
      </c>
      <c r="G919" s="312" t="s">
        <v>108</v>
      </c>
      <c r="H919" s="312">
        <v>1827</v>
      </c>
      <c r="I919" s="312" t="s">
        <v>107</v>
      </c>
      <c r="J919" s="312">
        <v>1913</v>
      </c>
      <c r="K919" s="312" t="s">
        <v>109</v>
      </c>
    </row>
    <row r="920" spans="1:11">
      <c r="A920" s="312" t="s">
        <v>1570</v>
      </c>
      <c r="B920" s="312" t="s">
        <v>1571</v>
      </c>
      <c r="C920" s="312" t="s">
        <v>105</v>
      </c>
      <c r="D920" s="312" t="s">
        <v>114</v>
      </c>
      <c r="E920" s="312" t="s">
        <v>107</v>
      </c>
      <c r="F920" s="312">
        <v>1825</v>
      </c>
      <c r="G920" s="312" t="s">
        <v>108</v>
      </c>
      <c r="H920" s="312">
        <v>1827</v>
      </c>
      <c r="I920" s="312" t="s">
        <v>107</v>
      </c>
      <c r="J920" s="312">
        <v>1913</v>
      </c>
      <c r="K920" s="312" t="s">
        <v>109</v>
      </c>
    </row>
    <row r="921" spans="1:11">
      <c r="A921" s="312" t="s">
        <v>1576</v>
      </c>
      <c r="B921" s="312" t="s">
        <v>1577</v>
      </c>
      <c r="C921" s="312" t="s">
        <v>105</v>
      </c>
      <c r="D921" s="312" t="s">
        <v>114</v>
      </c>
      <c r="E921" s="312" t="s">
        <v>107</v>
      </c>
      <c r="F921" s="312">
        <v>1825</v>
      </c>
      <c r="G921" s="312" t="s">
        <v>108</v>
      </c>
      <c r="H921" s="312">
        <v>1827</v>
      </c>
      <c r="I921" s="312" t="s">
        <v>107</v>
      </c>
      <c r="J921" s="312">
        <v>1913</v>
      </c>
      <c r="K921" s="312" t="s">
        <v>109</v>
      </c>
    </row>
    <row r="922" spans="1:11">
      <c r="A922" s="312" t="s">
        <v>1578</v>
      </c>
      <c r="B922" s="312" t="s">
        <v>1579</v>
      </c>
      <c r="C922" s="312" t="s">
        <v>105</v>
      </c>
      <c r="D922" s="312" t="s">
        <v>114</v>
      </c>
      <c r="E922" s="312" t="s">
        <v>107</v>
      </c>
      <c r="F922" s="312">
        <v>1825</v>
      </c>
      <c r="G922" s="312" t="s">
        <v>108</v>
      </c>
      <c r="H922" s="312">
        <v>1827</v>
      </c>
      <c r="I922" s="312" t="s">
        <v>107</v>
      </c>
      <c r="J922" s="312">
        <v>1913</v>
      </c>
      <c r="K922" s="312" t="s">
        <v>109</v>
      </c>
    </row>
    <row r="923" spans="1:11">
      <c r="A923" s="312" t="s">
        <v>1580</v>
      </c>
      <c r="B923" s="312" t="s">
        <v>1581</v>
      </c>
      <c r="C923" s="312" t="s">
        <v>105</v>
      </c>
      <c r="D923" s="312" t="s">
        <v>114</v>
      </c>
      <c r="E923" s="312" t="s">
        <v>107</v>
      </c>
      <c r="F923" s="312">
        <v>1825</v>
      </c>
      <c r="G923" s="312" t="s">
        <v>108</v>
      </c>
      <c r="H923" s="312">
        <v>1827</v>
      </c>
      <c r="I923" s="312" t="s">
        <v>107</v>
      </c>
      <c r="J923" s="312">
        <v>1913</v>
      </c>
      <c r="K923" s="312" t="s">
        <v>109</v>
      </c>
    </row>
    <row r="924" spans="1:11">
      <c r="A924" s="312" t="s">
        <v>1582</v>
      </c>
      <c r="B924" s="312" t="s">
        <v>1583</v>
      </c>
      <c r="C924" s="312" t="s">
        <v>105</v>
      </c>
      <c r="D924" s="312" t="s">
        <v>114</v>
      </c>
      <c r="E924" s="312" t="s">
        <v>107</v>
      </c>
      <c r="F924" s="312">
        <v>1825</v>
      </c>
      <c r="G924" s="312" t="s">
        <v>108</v>
      </c>
      <c r="H924" s="312">
        <v>1827</v>
      </c>
      <c r="I924" s="312" t="s">
        <v>107</v>
      </c>
      <c r="J924" s="312">
        <v>1913</v>
      </c>
      <c r="K924" s="312" t="s">
        <v>109</v>
      </c>
    </row>
    <row r="925" spans="1:11">
      <c r="A925" s="312" t="s">
        <v>1584</v>
      </c>
      <c r="B925" s="312" t="s">
        <v>1585</v>
      </c>
      <c r="C925" s="312" t="s">
        <v>105</v>
      </c>
      <c r="D925" s="312" t="s">
        <v>114</v>
      </c>
      <c r="E925" s="312" t="s">
        <v>107</v>
      </c>
      <c r="F925" s="312">
        <v>1825</v>
      </c>
      <c r="G925" s="312" t="s">
        <v>108</v>
      </c>
      <c r="H925" s="312">
        <v>1827</v>
      </c>
      <c r="I925" s="312" t="s">
        <v>107</v>
      </c>
      <c r="J925" s="312">
        <v>1913</v>
      </c>
      <c r="K925" s="312" t="s">
        <v>109</v>
      </c>
    </row>
    <row r="926" spans="1:11">
      <c r="A926" s="312" t="s">
        <v>1586</v>
      </c>
      <c r="B926" s="312" t="s">
        <v>1587</v>
      </c>
      <c r="C926" s="312" t="s">
        <v>105</v>
      </c>
      <c r="D926" s="312" t="s">
        <v>114</v>
      </c>
      <c r="E926" s="312" t="s">
        <v>107</v>
      </c>
      <c r="F926" s="312">
        <v>1825</v>
      </c>
      <c r="G926" s="312" t="s">
        <v>108</v>
      </c>
      <c r="H926" s="312">
        <v>1827</v>
      </c>
      <c r="I926" s="312" t="s">
        <v>107</v>
      </c>
      <c r="J926" s="312">
        <v>1913</v>
      </c>
      <c r="K926" s="312" t="s">
        <v>109</v>
      </c>
    </row>
    <row r="927" spans="1:11">
      <c r="A927" s="312" t="s">
        <v>1588</v>
      </c>
      <c r="B927" s="312" t="s">
        <v>1589</v>
      </c>
      <c r="C927" s="312" t="s">
        <v>105</v>
      </c>
      <c r="D927" s="312" t="s">
        <v>114</v>
      </c>
      <c r="E927" s="312" t="s">
        <v>107</v>
      </c>
      <c r="F927" s="312">
        <v>1825</v>
      </c>
      <c r="G927" s="312" t="s">
        <v>108</v>
      </c>
      <c r="H927" s="312">
        <v>1827</v>
      </c>
      <c r="I927" s="312" t="s">
        <v>107</v>
      </c>
      <c r="J927" s="312">
        <v>1913</v>
      </c>
      <c r="K927" s="312" t="s">
        <v>109</v>
      </c>
    </row>
    <row r="928" spans="1:11">
      <c r="A928" s="312" t="s">
        <v>1590</v>
      </c>
      <c r="B928" s="312" t="s">
        <v>1591</v>
      </c>
      <c r="C928" s="312" t="s">
        <v>105</v>
      </c>
      <c r="D928" s="312" t="s">
        <v>114</v>
      </c>
      <c r="E928" s="312" t="s">
        <v>107</v>
      </c>
      <c r="F928" s="312">
        <v>1825</v>
      </c>
      <c r="G928" s="312" t="s">
        <v>108</v>
      </c>
      <c r="H928" s="312">
        <v>1827</v>
      </c>
      <c r="I928" s="312" t="s">
        <v>107</v>
      </c>
      <c r="J928" s="312">
        <v>1913</v>
      </c>
      <c r="K928" s="312" t="s">
        <v>109</v>
      </c>
    </row>
    <row r="929" spans="1:11">
      <c r="A929" s="312" t="s">
        <v>1592</v>
      </c>
      <c r="B929" s="312" t="s">
        <v>1593</v>
      </c>
      <c r="C929" s="312" t="s">
        <v>105</v>
      </c>
      <c r="D929" s="312" t="s">
        <v>114</v>
      </c>
      <c r="E929" s="312" t="s">
        <v>107</v>
      </c>
      <c r="F929" s="312">
        <v>1825</v>
      </c>
      <c r="G929" s="312" t="s">
        <v>108</v>
      </c>
      <c r="H929" s="312">
        <v>1827</v>
      </c>
      <c r="I929" s="312" t="s">
        <v>107</v>
      </c>
      <c r="J929" s="312">
        <v>1913</v>
      </c>
      <c r="K929" s="312" t="s">
        <v>109</v>
      </c>
    </row>
    <row r="930" spans="1:11">
      <c r="A930" s="312" t="s">
        <v>1594</v>
      </c>
      <c r="B930" s="312" t="s">
        <v>1595</v>
      </c>
      <c r="C930" s="312" t="s">
        <v>105</v>
      </c>
      <c r="D930" s="312" t="s">
        <v>114</v>
      </c>
      <c r="E930" s="312" t="s">
        <v>107</v>
      </c>
      <c r="F930" s="312">
        <v>1825</v>
      </c>
      <c r="G930" s="312" t="s">
        <v>108</v>
      </c>
      <c r="H930" s="312">
        <v>1827</v>
      </c>
      <c r="I930" s="312" t="s">
        <v>107</v>
      </c>
      <c r="J930" s="312">
        <v>1913</v>
      </c>
      <c r="K930" s="312" t="s">
        <v>109</v>
      </c>
    </row>
    <row r="931" spans="1:11">
      <c r="A931" s="312" t="s">
        <v>1596</v>
      </c>
      <c r="B931" s="312" t="s">
        <v>1597</v>
      </c>
      <c r="C931" s="312" t="s">
        <v>105</v>
      </c>
      <c r="D931" s="312" t="s">
        <v>114</v>
      </c>
      <c r="E931" s="312" t="s">
        <v>107</v>
      </c>
      <c r="F931" s="312">
        <v>1825</v>
      </c>
      <c r="G931" s="312" t="s">
        <v>108</v>
      </c>
      <c r="H931" s="312">
        <v>1827</v>
      </c>
      <c r="I931" s="312" t="s">
        <v>107</v>
      </c>
      <c r="J931" s="312">
        <v>1913</v>
      </c>
      <c r="K931" s="312" t="s">
        <v>109</v>
      </c>
    </row>
    <row r="932" spans="1:11">
      <c r="A932" s="312" t="s">
        <v>1598</v>
      </c>
      <c r="B932" s="312" t="s">
        <v>1599</v>
      </c>
      <c r="C932" s="312" t="s">
        <v>105</v>
      </c>
      <c r="D932" s="312" t="s">
        <v>114</v>
      </c>
      <c r="E932" s="312" t="s">
        <v>107</v>
      </c>
      <c r="F932" s="312">
        <v>1825</v>
      </c>
      <c r="G932" s="312" t="s">
        <v>108</v>
      </c>
      <c r="H932" s="312">
        <v>1827</v>
      </c>
      <c r="I932" s="312" t="s">
        <v>107</v>
      </c>
      <c r="J932" s="312">
        <v>1913</v>
      </c>
      <c r="K932" s="312" t="s">
        <v>109</v>
      </c>
    </row>
    <row r="933" spans="1:11">
      <c r="A933" s="312" t="s">
        <v>1600</v>
      </c>
      <c r="B933" s="312" t="s">
        <v>1601</v>
      </c>
      <c r="C933" s="312" t="s">
        <v>105</v>
      </c>
      <c r="D933" s="312" t="s">
        <v>114</v>
      </c>
      <c r="E933" s="312" t="s">
        <v>107</v>
      </c>
      <c r="F933" s="312">
        <v>1825</v>
      </c>
      <c r="G933" s="312" t="s">
        <v>108</v>
      </c>
      <c r="H933" s="312">
        <v>1827</v>
      </c>
      <c r="I933" s="312" t="s">
        <v>107</v>
      </c>
      <c r="J933" s="312">
        <v>1913</v>
      </c>
      <c r="K933" s="312" t="s">
        <v>109</v>
      </c>
    </row>
    <row r="934" spans="1:11">
      <c r="A934" s="312" t="s">
        <v>1604</v>
      </c>
      <c r="B934" s="312" t="s">
        <v>1605</v>
      </c>
      <c r="C934" s="312" t="s">
        <v>105</v>
      </c>
      <c r="D934" s="312" t="s">
        <v>114</v>
      </c>
      <c r="E934" s="312" t="s">
        <v>107</v>
      </c>
      <c r="F934" s="312">
        <v>1825</v>
      </c>
      <c r="G934" s="312" t="s">
        <v>108</v>
      </c>
      <c r="H934" s="312">
        <v>1827</v>
      </c>
      <c r="I934" s="312" t="s">
        <v>107</v>
      </c>
      <c r="J934" s="312">
        <v>1913</v>
      </c>
      <c r="K934" s="312" t="s">
        <v>109</v>
      </c>
    </row>
    <row r="935" spans="1:11">
      <c r="A935" s="312" t="s">
        <v>1612</v>
      </c>
      <c r="B935" s="312" t="s">
        <v>1613</v>
      </c>
      <c r="C935" s="312" t="s">
        <v>105</v>
      </c>
      <c r="D935" s="312" t="s">
        <v>114</v>
      </c>
      <c r="E935" s="312" t="s">
        <v>107</v>
      </c>
      <c r="F935" s="312">
        <v>1825</v>
      </c>
      <c r="G935" s="312" t="s">
        <v>108</v>
      </c>
      <c r="H935" s="312">
        <v>1827</v>
      </c>
      <c r="I935" s="312" t="s">
        <v>107</v>
      </c>
      <c r="J935" s="312">
        <v>1913</v>
      </c>
      <c r="K935" s="312" t="s">
        <v>109</v>
      </c>
    </row>
    <row r="936" spans="1:11">
      <c r="A936" s="312" t="s">
        <v>1616</v>
      </c>
      <c r="B936" s="312" t="s">
        <v>1617</v>
      </c>
      <c r="C936" s="312" t="s">
        <v>105</v>
      </c>
      <c r="D936" s="312" t="s">
        <v>114</v>
      </c>
      <c r="E936" s="312" t="s">
        <v>107</v>
      </c>
      <c r="F936" s="312">
        <v>1825</v>
      </c>
      <c r="G936" s="312" t="s">
        <v>108</v>
      </c>
      <c r="H936" s="312">
        <v>1827</v>
      </c>
      <c r="I936" s="312" t="s">
        <v>107</v>
      </c>
      <c r="J936" s="312">
        <v>1913</v>
      </c>
      <c r="K936" s="312" t="s">
        <v>109</v>
      </c>
    </row>
    <row r="937" spans="1:11">
      <c r="A937" s="312" t="s">
        <v>1618</v>
      </c>
      <c r="B937" s="312" t="s">
        <v>1619</v>
      </c>
      <c r="C937" s="312" t="s">
        <v>105</v>
      </c>
      <c r="D937" s="312" t="s">
        <v>114</v>
      </c>
      <c r="E937" s="312" t="s">
        <v>107</v>
      </c>
      <c r="F937" s="312">
        <v>1825</v>
      </c>
      <c r="G937" s="312" t="s">
        <v>108</v>
      </c>
      <c r="H937" s="312">
        <v>1827</v>
      </c>
      <c r="I937" s="312" t="s">
        <v>107</v>
      </c>
      <c r="J937" s="312">
        <v>1913</v>
      </c>
      <c r="K937" s="312" t="s">
        <v>109</v>
      </c>
    </row>
    <row r="938" spans="1:11">
      <c r="A938" s="312" t="s">
        <v>1626</v>
      </c>
      <c r="B938" s="312" t="s">
        <v>1627</v>
      </c>
      <c r="C938" s="312" t="s">
        <v>105</v>
      </c>
      <c r="D938" s="312" t="s">
        <v>114</v>
      </c>
      <c r="E938" s="312" t="s">
        <v>107</v>
      </c>
      <c r="F938" s="312">
        <v>1825</v>
      </c>
      <c r="G938" s="312" t="s">
        <v>108</v>
      </c>
      <c r="H938" s="312">
        <v>1827</v>
      </c>
      <c r="I938" s="312" t="s">
        <v>107</v>
      </c>
      <c r="J938" s="312">
        <v>1913</v>
      </c>
      <c r="K938" s="312" t="s">
        <v>109</v>
      </c>
    </row>
    <row r="939" spans="1:11">
      <c r="A939" s="312" t="s">
        <v>1632</v>
      </c>
      <c r="B939" s="312" t="s">
        <v>1633</v>
      </c>
      <c r="C939" s="312" t="s">
        <v>105</v>
      </c>
      <c r="D939" s="312" t="s">
        <v>114</v>
      </c>
      <c r="E939" s="312" t="s">
        <v>107</v>
      </c>
      <c r="F939" s="312">
        <v>1825</v>
      </c>
      <c r="G939" s="312" t="s">
        <v>108</v>
      </c>
      <c r="H939" s="312">
        <v>1827</v>
      </c>
      <c r="I939" s="312" t="s">
        <v>107</v>
      </c>
      <c r="J939" s="312">
        <v>1913</v>
      </c>
      <c r="K939" s="312" t="s">
        <v>109</v>
      </c>
    </row>
    <row r="940" spans="1:11">
      <c r="A940" s="312" t="s">
        <v>1638</v>
      </c>
      <c r="B940" s="312" t="s">
        <v>1639</v>
      </c>
      <c r="C940" s="312" t="s">
        <v>105</v>
      </c>
      <c r="D940" s="312" t="s">
        <v>114</v>
      </c>
      <c r="E940" s="312" t="s">
        <v>107</v>
      </c>
      <c r="F940" s="312">
        <v>1825</v>
      </c>
      <c r="G940" s="312" t="s">
        <v>108</v>
      </c>
      <c r="H940" s="312">
        <v>1827</v>
      </c>
      <c r="I940" s="312" t="s">
        <v>107</v>
      </c>
      <c r="J940" s="312">
        <v>1913</v>
      </c>
      <c r="K940" s="312" t="s">
        <v>109</v>
      </c>
    </row>
    <row r="941" spans="1:11">
      <c r="A941" s="312" t="s">
        <v>1679</v>
      </c>
      <c r="B941" s="312" t="s">
        <v>1680</v>
      </c>
      <c r="C941" s="312" t="s">
        <v>105</v>
      </c>
      <c r="D941" s="312" t="s">
        <v>114</v>
      </c>
      <c r="E941" s="312" t="s">
        <v>107</v>
      </c>
      <c r="F941" s="312">
        <v>1825</v>
      </c>
      <c r="G941" s="312" t="s">
        <v>108</v>
      </c>
      <c r="H941" s="312">
        <v>1827</v>
      </c>
      <c r="I941" s="312" t="s">
        <v>107</v>
      </c>
      <c r="J941" s="312">
        <v>1913</v>
      </c>
      <c r="K941" s="312" t="s">
        <v>109</v>
      </c>
    </row>
    <row r="942" spans="1:11">
      <c r="A942" s="312" t="s">
        <v>1691</v>
      </c>
      <c r="B942" s="312" t="s">
        <v>1692</v>
      </c>
      <c r="C942" s="312" t="s">
        <v>105</v>
      </c>
      <c r="D942" s="312" t="s">
        <v>114</v>
      </c>
      <c r="E942" s="312" t="s">
        <v>107</v>
      </c>
      <c r="F942" s="312">
        <v>1825</v>
      </c>
      <c r="G942" s="312" t="s">
        <v>108</v>
      </c>
      <c r="H942" s="312">
        <v>1827</v>
      </c>
      <c r="I942" s="312" t="s">
        <v>107</v>
      </c>
      <c r="J942" s="312">
        <v>1913</v>
      </c>
      <c r="K942" s="312" t="s">
        <v>109</v>
      </c>
    </row>
    <row r="943" spans="1:11">
      <c r="A943" s="312" t="s">
        <v>1761</v>
      </c>
      <c r="B943" s="312" t="s">
        <v>1762</v>
      </c>
      <c r="C943" s="312" t="s">
        <v>105</v>
      </c>
      <c r="D943" s="312" t="s">
        <v>114</v>
      </c>
      <c r="E943" s="312" t="s">
        <v>107</v>
      </c>
      <c r="F943" s="312">
        <v>1825</v>
      </c>
      <c r="G943" s="312" t="s">
        <v>108</v>
      </c>
      <c r="H943" s="312">
        <v>1827</v>
      </c>
      <c r="I943" s="312" t="s">
        <v>107</v>
      </c>
      <c r="J943" s="312">
        <v>1913</v>
      </c>
      <c r="K943" s="312" t="s">
        <v>109</v>
      </c>
    </row>
    <row r="944" spans="1:11">
      <c r="A944" s="312" t="s">
        <v>1807</v>
      </c>
      <c r="B944" s="312" t="s">
        <v>1808</v>
      </c>
      <c r="C944" s="312" t="s">
        <v>105</v>
      </c>
      <c r="D944" s="312" t="s">
        <v>114</v>
      </c>
      <c r="E944" s="312" t="s">
        <v>107</v>
      </c>
      <c r="F944" s="312">
        <v>1825</v>
      </c>
      <c r="G944" s="312" t="s">
        <v>108</v>
      </c>
      <c r="H944" s="312">
        <v>1827</v>
      </c>
      <c r="I944" s="312" t="s">
        <v>107</v>
      </c>
      <c r="J944" s="312">
        <v>1913</v>
      </c>
      <c r="K944" s="312" t="s">
        <v>109</v>
      </c>
    </row>
    <row r="945" spans="1:11">
      <c r="A945" s="312" t="s">
        <v>1809</v>
      </c>
      <c r="B945" s="312" t="s">
        <v>1810</v>
      </c>
      <c r="C945" s="312" t="s">
        <v>105</v>
      </c>
      <c r="D945" s="312" t="s">
        <v>114</v>
      </c>
      <c r="E945" s="312" t="s">
        <v>107</v>
      </c>
      <c r="F945" s="312">
        <v>1825</v>
      </c>
      <c r="G945" s="312" t="s">
        <v>108</v>
      </c>
      <c r="H945" s="312">
        <v>1827</v>
      </c>
      <c r="I945" s="312" t="s">
        <v>107</v>
      </c>
      <c r="J945" s="312">
        <v>1913</v>
      </c>
      <c r="K945" s="312" t="s">
        <v>109</v>
      </c>
    </row>
    <row r="946" spans="1:11">
      <c r="A946" s="312" t="s">
        <v>1811</v>
      </c>
      <c r="B946" s="312" t="s">
        <v>1812</v>
      </c>
      <c r="C946" s="312" t="s">
        <v>105</v>
      </c>
      <c r="D946" s="312" t="s">
        <v>114</v>
      </c>
      <c r="E946" s="312" t="s">
        <v>107</v>
      </c>
      <c r="F946" s="312">
        <v>1825</v>
      </c>
      <c r="G946" s="312" t="s">
        <v>108</v>
      </c>
      <c r="H946" s="312">
        <v>1827</v>
      </c>
      <c r="I946" s="312" t="s">
        <v>107</v>
      </c>
      <c r="J946" s="312">
        <v>1913</v>
      </c>
      <c r="K946" s="312" t="s">
        <v>109</v>
      </c>
    </row>
    <row r="947" spans="1:11">
      <c r="A947" s="312" t="s">
        <v>1817</v>
      </c>
      <c r="B947" s="312" t="s">
        <v>1818</v>
      </c>
      <c r="C947" s="312" t="s">
        <v>105</v>
      </c>
      <c r="D947" s="312" t="s">
        <v>114</v>
      </c>
      <c r="E947" s="312" t="s">
        <v>107</v>
      </c>
      <c r="F947" s="312">
        <v>1825</v>
      </c>
      <c r="G947" s="312" t="s">
        <v>108</v>
      </c>
      <c r="H947" s="312">
        <v>1827</v>
      </c>
      <c r="I947" s="312" t="s">
        <v>107</v>
      </c>
      <c r="J947" s="312">
        <v>1913</v>
      </c>
      <c r="K947" s="312" t="s">
        <v>109</v>
      </c>
    </row>
    <row r="948" spans="1:11">
      <c r="A948" s="312" t="s">
        <v>1825</v>
      </c>
      <c r="B948" s="312" t="s">
        <v>1826</v>
      </c>
      <c r="C948" s="312" t="s">
        <v>105</v>
      </c>
      <c r="D948" s="312" t="s">
        <v>114</v>
      </c>
      <c r="E948" s="312" t="s">
        <v>107</v>
      </c>
      <c r="F948" s="312">
        <v>1825</v>
      </c>
      <c r="G948" s="312" t="s">
        <v>108</v>
      </c>
      <c r="H948" s="312">
        <v>1827</v>
      </c>
      <c r="I948" s="312" t="s">
        <v>107</v>
      </c>
      <c r="J948" s="312">
        <v>1913</v>
      </c>
      <c r="K948" s="312" t="s">
        <v>109</v>
      </c>
    </row>
    <row r="949" spans="1:11">
      <c r="A949" s="312" t="s">
        <v>1831</v>
      </c>
      <c r="B949" s="312" t="s">
        <v>1832</v>
      </c>
      <c r="C949" s="312" t="s">
        <v>105</v>
      </c>
      <c r="D949" s="312" t="s">
        <v>114</v>
      </c>
      <c r="E949" s="312" t="s">
        <v>107</v>
      </c>
      <c r="F949" s="312">
        <v>1825</v>
      </c>
      <c r="G949" s="312" t="s">
        <v>108</v>
      </c>
      <c r="H949" s="312">
        <v>1827</v>
      </c>
      <c r="I949" s="312" t="s">
        <v>107</v>
      </c>
      <c r="J949" s="312">
        <v>1913</v>
      </c>
      <c r="K949" s="312" t="s">
        <v>109</v>
      </c>
    </row>
    <row r="950" spans="1:11">
      <c r="A950" s="312" t="s">
        <v>1833</v>
      </c>
      <c r="B950" s="312" t="s">
        <v>1834</v>
      </c>
      <c r="C950" s="312" t="s">
        <v>105</v>
      </c>
      <c r="D950" s="312" t="s">
        <v>114</v>
      </c>
      <c r="E950" s="312" t="s">
        <v>107</v>
      </c>
      <c r="F950" s="312">
        <v>1825</v>
      </c>
      <c r="G950" s="312" t="s">
        <v>108</v>
      </c>
      <c r="H950" s="312">
        <v>1827</v>
      </c>
      <c r="I950" s="312" t="s">
        <v>107</v>
      </c>
      <c r="J950" s="312">
        <v>1913</v>
      </c>
      <c r="K950" s="312" t="s">
        <v>109</v>
      </c>
    </row>
    <row r="951" spans="1:11">
      <c r="A951" s="312" t="s">
        <v>1837</v>
      </c>
      <c r="B951" s="312" t="s">
        <v>1838</v>
      </c>
      <c r="C951" s="312" t="s">
        <v>105</v>
      </c>
      <c r="D951" s="312" t="s">
        <v>114</v>
      </c>
      <c r="E951" s="312" t="s">
        <v>107</v>
      </c>
      <c r="F951" s="312">
        <v>1825</v>
      </c>
      <c r="G951" s="312" t="s">
        <v>108</v>
      </c>
      <c r="H951" s="312">
        <v>1827</v>
      </c>
      <c r="I951" s="312" t="s">
        <v>107</v>
      </c>
      <c r="J951" s="312">
        <v>1913</v>
      </c>
      <c r="K951" s="312" t="s">
        <v>109</v>
      </c>
    </row>
    <row r="952" spans="1:11">
      <c r="A952" s="312" t="s">
        <v>1847</v>
      </c>
      <c r="B952" s="312" t="s">
        <v>1848</v>
      </c>
      <c r="C952" s="312" t="s">
        <v>105</v>
      </c>
      <c r="D952" s="312" t="s">
        <v>114</v>
      </c>
      <c r="E952" s="312" t="s">
        <v>107</v>
      </c>
      <c r="F952" s="312">
        <v>1825</v>
      </c>
      <c r="G952" s="312" t="s">
        <v>108</v>
      </c>
      <c r="H952" s="312">
        <v>1827</v>
      </c>
      <c r="I952" s="312" t="s">
        <v>107</v>
      </c>
      <c r="J952" s="312">
        <v>1913</v>
      </c>
      <c r="K952" s="312" t="s">
        <v>109</v>
      </c>
    </row>
    <row r="953" spans="1:11">
      <c r="A953" s="312" t="s">
        <v>1849</v>
      </c>
      <c r="B953" s="312" t="s">
        <v>1850</v>
      </c>
      <c r="C953" s="312" t="s">
        <v>105</v>
      </c>
      <c r="D953" s="312" t="s">
        <v>114</v>
      </c>
      <c r="E953" s="312" t="s">
        <v>107</v>
      </c>
      <c r="F953" s="312">
        <v>1825</v>
      </c>
      <c r="G953" s="312" t="s">
        <v>108</v>
      </c>
      <c r="H953" s="312">
        <v>1827</v>
      </c>
      <c r="I953" s="312" t="s">
        <v>107</v>
      </c>
      <c r="J953" s="312">
        <v>1913</v>
      </c>
      <c r="K953" s="312" t="s">
        <v>109</v>
      </c>
    </row>
    <row r="954" spans="1:11">
      <c r="A954" s="312" t="s">
        <v>1851</v>
      </c>
      <c r="B954" s="312" t="s">
        <v>1852</v>
      </c>
      <c r="C954" s="312" t="s">
        <v>105</v>
      </c>
      <c r="D954" s="312" t="s">
        <v>114</v>
      </c>
      <c r="E954" s="312" t="s">
        <v>107</v>
      </c>
      <c r="F954" s="312">
        <v>1825</v>
      </c>
      <c r="G954" s="312" t="s">
        <v>108</v>
      </c>
      <c r="H954" s="312">
        <v>1827</v>
      </c>
      <c r="I954" s="312" t="s">
        <v>107</v>
      </c>
      <c r="J954" s="312">
        <v>1913</v>
      </c>
      <c r="K954" s="312" t="s">
        <v>109</v>
      </c>
    </row>
    <row r="955" spans="1:11">
      <c r="A955" s="312" t="s">
        <v>1853</v>
      </c>
      <c r="B955" s="312" t="s">
        <v>1854</v>
      </c>
      <c r="C955" s="312" t="s">
        <v>105</v>
      </c>
      <c r="D955" s="312" t="s">
        <v>114</v>
      </c>
      <c r="E955" s="312" t="s">
        <v>107</v>
      </c>
      <c r="F955" s="312">
        <v>1825</v>
      </c>
      <c r="G955" s="312" t="s">
        <v>108</v>
      </c>
      <c r="H955" s="312">
        <v>1827</v>
      </c>
      <c r="I955" s="312" t="s">
        <v>107</v>
      </c>
      <c r="J955" s="312">
        <v>1913</v>
      </c>
      <c r="K955" s="312" t="s">
        <v>109</v>
      </c>
    </row>
    <row r="956" spans="1:11">
      <c r="A956" s="312" t="s">
        <v>1857</v>
      </c>
      <c r="B956" s="312" t="s">
        <v>1858</v>
      </c>
      <c r="C956" s="312" t="s">
        <v>105</v>
      </c>
      <c r="D956" s="312" t="s">
        <v>114</v>
      </c>
      <c r="E956" s="312" t="s">
        <v>107</v>
      </c>
      <c r="F956" s="312">
        <v>1825</v>
      </c>
      <c r="G956" s="312" t="s">
        <v>108</v>
      </c>
      <c r="H956" s="312">
        <v>1827</v>
      </c>
      <c r="I956" s="312" t="s">
        <v>107</v>
      </c>
      <c r="J956" s="312">
        <v>1913</v>
      </c>
      <c r="K956" s="312" t="s">
        <v>109</v>
      </c>
    </row>
    <row r="957" spans="1:11">
      <c r="A957" s="312" t="s">
        <v>1859</v>
      </c>
      <c r="B957" s="312" t="s">
        <v>1860</v>
      </c>
      <c r="C957" s="312" t="s">
        <v>105</v>
      </c>
      <c r="D957" s="312" t="s">
        <v>114</v>
      </c>
      <c r="E957" s="312" t="s">
        <v>107</v>
      </c>
      <c r="F957" s="312">
        <v>1825</v>
      </c>
      <c r="G957" s="312" t="s">
        <v>108</v>
      </c>
      <c r="H957" s="312">
        <v>1827</v>
      </c>
      <c r="I957" s="312" t="s">
        <v>107</v>
      </c>
      <c r="J957" s="312">
        <v>1913</v>
      </c>
      <c r="K957" s="312" t="s">
        <v>109</v>
      </c>
    </row>
    <row r="958" spans="1:11">
      <c r="A958" s="312" t="s">
        <v>1861</v>
      </c>
      <c r="B958" s="312" t="s">
        <v>1862</v>
      </c>
      <c r="C958" s="312" t="s">
        <v>105</v>
      </c>
      <c r="D958" s="312" t="s">
        <v>114</v>
      </c>
      <c r="E958" s="312" t="s">
        <v>107</v>
      </c>
      <c r="F958" s="312">
        <v>1825</v>
      </c>
      <c r="G958" s="312" t="s">
        <v>108</v>
      </c>
      <c r="H958" s="312">
        <v>1827</v>
      </c>
      <c r="I958" s="312" t="s">
        <v>107</v>
      </c>
      <c r="J958" s="312">
        <v>1913</v>
      </c>
      <c r="K958" s="312" t="s">
        <v>109</v>
      </c>
    </row>
    <row r="959" spans="1:11">
      <c r="A959" s="312" t="s">
        <v>1863</v>
      </c>
      <c r="B959" s="312" t="s">
        <v>1864</v>
      </c>
      <c r="C959" s="312" t="s">
        <v>105</v>
      </c>
      <c r="D959" s="312" t="s">
        <v>114</v>
      </c>
      <c r="E959" s="312" t="s">
        <v>107</v>
      </c>
      <c r="F959" s="312">
        <v>1825</v>
      </c>
      <c r="G959" s="312" t="s">
        <v>108</v>
      </c>
      <c r="H959" s="312">
        <v>1827</v>
      </c>
      <c r="I959" s="312" t="s">
        <v>107</v>
      </c>
      <c r="J959" s="312">
        <v>1913</v>
      </c>
      <c r="K959" s="312" t="s">
        <v>109</v>
      </c>
    </row>
    <row r="960" spans="1:11">
      <c r="A960" s="312" t="s">
        <v>1865</v>
      </c>
      <c r="B960" s="312" t="s">
        <v>1866</v>
      </c>
      <c r="C960" s="312" t="s">
        <v>105</v>
      </c>
      <c r="D960" s="312" t="s">
        <v>114</v>
      </c>
      <c r="E960" s="312" t="s">
        <v>107</v>
      </c>
      <c r="F960" s="312">
        <v>1825</v>
      </c>
      <c r="G960" s="312" t="s">
        <v>108</v>
      </c>
      <c r="H960" s="312">
        <v>1827</v>
      </c>
      <c r="I960" s="312" t="s">
        <v>107</v>
      </c>
      <c r="J960" s="312">
        <v>1913</v>
      </c>
      <c r="K960" s="312" t="s">
        <v>109</v>
      </c>
    </row>
    <row r="961" spans="1:11">
      <c r="A961" s="312" t="s">
        <v>1867</v>
      </c>
      <c r="B961" s="312" t="s">
        <v>1868</v>
      </c>
      <c r="C961" s="312" t="s">
        <v>105</v>
      </c>
      <c r="D961" s="312" t="s">
        <v>114</v>
      </c>
      <c r="E961" s="312" t="s">
        <v>107</v>
      </c>
      <c r="F961" s="312">
        <v>1825</v>
      </c>
      <c r="G961" s="312" t="s">
        <v>108</v>
      </c>
      <c r="H961" s="312">
        <v>1827</v>
      </c>
      <c r="I961" s="312" t="s">
        <v>107</v>
      </c>
      <c r="J961" s="312">
        <v>1913</v>
      </c>
      <c r="K961" s="312" t="s">
        <v>109</v>
      </c>
    </row>
    <row r="962" spans="1:11">
      <c r="A962" s="312" t="s">
        <v>1869</v>
      </c>
      <c r="B962" s="312" t="s">
        <v>1870</v>
      </c>
      <c r="C962" s="312" t="s">
        <v>105</v>
      </c>
      <c r="D962" s="312" t="s">
        <v>114</v>
      </c>
      <c r="E962" s="312" t="s">
        <v>107</v>
      </c>
      <c r="F962" s="312">
        <v>1825</v>
      </c>
      <c r="G962" s="312" t="s">
        <v>108</v>
      </c>
      <c r="H962" s="312">
        <v>1827</v>
      </c>
      <c r="I962" s="312" t="s">
        <v>107</v>
      </c>
      <c r="J962" s="312">
        <v>1913</v>
      </c>
      <c r="K962" s="312" t="s">
        <v>109</v>
      </c>
    </row>
    <row r="963" spans="1:11">
      <c r="A963" s="312" t="s">
        <v>1871</v>
      </c>
      <c r="B963" s="312" t="s">
        <v>1872</v>
      </c>
      <c r="C963" s="312" t="s">
        <v>105</v>
      </c>
      <c r="D963" s="312" t="s">
        <v>114</v>
      </c>
      <c r="E963" s="312" t="s">
        <v>107</v>
      </c>
      <c r="F963" s="312">
        <v>1825</v>
      </c>
      <c r="G963" s="312" t="s">
        <v>108</v>
      </c>
      <c r="H963" s="312">
        <v>1827</v>
      </c>
      <c r="I963" s="312" t="s">
        <v>107</v>
      </c>
      <c r="J963" s="312">
        <v>1913</v>
      </c>
      <c r="K963" s="312" t="s">
        <v>109</v>
      </c>
    </row>
    <row r="964" spans="1:11">
      <c r="A964" s="312" t="s">
        <v>1877</v>
      </c>
      <c r="B964" s="312" t="s">
        <v>1878</v>
      </c>
      <c r="C964" s="312" t="s">
        <v>105</v>
      </c>
      <c r="D964" s="312" t="s">
        <v>114</v>
      </c>
      <c r="E964" s="312" t="s">
        <v>107</v>
      </c>
      <c r="F964" s="312">
        <v>1825</v>
      </c>
      <c r="G964" s="312" t="s">
        <v>108</v>
      </c>
      <c r="H964" s="312">
        <v>1827</v>
      </c>
      <c r="I964" s="312" t="s">
        <v>107</v>
      </c>
      <c r="J964" s="312">
        <v>1913</v>
      </c>
      <c r="K964" s="312" t="s">
        <v>109</v>
      </c>
    </row>
    <row r="965" spans="1:11">
      <c r="A965" s="312" t="s">
        <v>1927</v>
      </c>
      <c r="B965" s="312" t="s">
        <v>1928</v>
      </c>
      <c r="C965" s="312" t="s">
        <v>105</v>
      </c>
      <c r="D965" s="312" t="s">
        <v>114</v>
      </c>
      <c r="E965" s="312" t="s">
        <v>107</v>
      </c>
      <c r="F965" s="312">
        <v>1825</v>
      </c>
      <c r="G965" s="312" t="s">
        <v>108</v>
      </c>
      <c r="H965" s="312">
        <v>1827</v>
      </c>
      <c r="I965" s="312" t="s">
        <v>107</v>
      </c>
      <c r="J965" s="312">
        <v>1913</v>
      </c>
      <c r="K965" s="312" t="s">
        <v>109</v>
      </c>
    </row>
    <row r="966" spans="1:11">
      <c r="A966" s="312" t="s">
        <v>1931</v>
      </c>
      <c r="B966" s="312" t="s">
        <v>1932</v>
      </c>
      <c r="C966" s="312" t="s">
        <v>105</v>
      </c>
      <c r="D966" s="312" t="s">
        <v>114</v>
      </c>
      <c r="E966" s="312" t="s">
        <v>107</v>
      </c>
      <c r="F966" s="312">
        <v>1825</v>
      </c>
      <c r="G966" s="312" t="s">
        <v>108</v>
      </c>
      <c r="H966" s="312">
        <v>1827</v>
      </c>
      <c r="I966" s="312" t="s">
        <v>107</v>
      </c>
      <c r="J966" s="312">
        <v>1913</v>
      </c>
      <c r="K966" s="312" t="s">
        <v>109</v>
      </c>
    </row>
    <row r="967" spans="1:11">
      <c r="A967" s="312" t="s">
        <v>2076</v>
      </c>
      <c r="B967" s="312" t="s">
        <v>2077</v>
      </c>
      <c r="C967" s="312" t="s">
        <v>105</v>
      </c>
      <c r="D967" s="312" t="s">
        <v>114</v>
      </c>
      <c r="E967" s="312" t="s">
        <v>107</v>
      </c>
      <c r="F967" s="312">
        <v>1825</v>
      </c>
      <c r="G967" s="312" t="s">
        <v>108</v>
      </c>
      <c r="H967" s="312">
        <v>1827</v>
      </c>
      <c r="I967" s="312" t="s">
        <v>107</v>
      </c>
      <c r="J967" s="312">
        <v>1913</v>
      </c>
      <c r="K967" s="312" t="s">
        <v>109</v>
      </c>
    </row>
    <row r="968" spans="1:11">
      <c r="A968" s="312" t="s">
        <v>2078</v>
      </c>
      <c r="B968" s="312" t="s">
        <v>2079</v>
      </c>
      <c r="C968" s="312" t="s">
        <v>105</v>
      </c>
      <c r="D968" s="312" t="s">
        <v>114</v>
      </c>
      <c r="E968" s="312" t="s">
        <v>107</v>
      </c>
      <c r="F968" s="312">
        <v>1825</v>
      </c>
      <c r="G968" s="312" t="s">
        <v>108</v>
      </c>
      <c r="H968" s="312">
        <v>1827</v>
      </c>
      <c r="I968" s="312" t="s">
        <v>107</v>
      </c>
      <c r="J968" s="312">
        <v>1913</v>
      </c>
      <c r="K968" s="312" t="s">
        <v>109</v>
      </c>
    </row>
    <row r="969" spans="1:11">
      <c r="A969" s="312" t="s">
        <v>2080</v>
      </c>
      <c r="B969" s="312" t="s">
        <v>2081</v>
      </c>
      <c r="C969" s="312" t="s">
        <v>105</v>
      </c>
      <c r="D969" s="312" t="s">
        <v>114</v>
      </c>
      <c r="E969" s="312" t="s">
        <v>107</v>
      </c>
      <c r="F969" s="312">
        <v>1825</v>
      </c>
      <c r="G969" s="312" t="s">
        <v>108</v>
      </c>
      <c r="H969" s="312">
        <v>1827</v>
      </c>
      <c r="I969" s="312" t="s">
        <v>107</v>
      </c>
      <c r="J969" s="312">
        <v>1913</v>
      </c>
      <c r="K969" s="312" t="s">
        <v>109</v>
      </c>
    </row>
    <row r="970" spans="1:11">
      <c r="A970" s="312" t="s">
        <v>2104</v>
      </c>
      <c r="B970" s="312" t="s">
        <v>2105</v>
      </c>
      <c r="C970" s="312" t="s">
        <v>105</v>
      </c>
      <c r="D970" s="312" t="s">
        <v>114</v>
      </c>
      <c r="E970" s="312" t="s">
        <v>107</v>
      </c>
      <c r="F970" s="312">
        <v>1825</v>
      </c>
      <c r="G970" s="312" t="s">
        <v>108</v>
      </c>
      <c r="H970" s="312">
        <v>1827</v>
      </c>
      <c r="I970" s="312" t="s">
        <v>107</v>
      </c>
      <c r="J970" s="312">
        <v>1913</v>
      </c>
      <c r="K970" s="312" t="s">
        <v>109</v>
      </c>
    </row>
    <row r="971" spans="1:11">
      <c r="A971" s="312" t="s">
        <v>2114</v>
      </c>
      <c r="B971" s="312" t="s">
        <v>2115</v>
      </c>
      <c r="C971" s="312" t="s">
        <v>105</v>
      </c>
      <c r="D971" s="312" t="s">
        <v>114</v>
      </c>
      <c r="E971" s="312" t="s">
        <v>107</v>
      </c>
      <c r="F971" s="312">
        <v>1825</v>
      </c>
      <c r="G971" s="312" t="s">
        <v>108</v>
      </c>
      <c r="H971" s="312">
        <v>1827</v>
      </c>
      <c r="I971" s="312" t="s">
        <v>107</v>
      </c>
      <c r="J971" s="312">
        <v>1913</v>
      </c>
      <c r="K971" s="312" t="s">
        <v>109</v>
      </c>
    </row>
    <row r="972" spans="1:11">
      <c r="A972" s="312" t="s">
        <v>2116</v>
      </c>
      <c r="B972" s="312" t="s">
        <v>2117</v>
      </c>
      <c r="C972" s="312" t="s">
        <v>105</v>
      </c>
      <c r="D972" s="312" t="s">
        <v>114</v>
      </c>
      <c r="E972" s="312" t="s">
        <v>107</v>
      </c>
      <c r="F972" s="312">
        <v>1825</v>
      </c>
      <c r="G972" s="312" t="s">
        <v>108</v>
      </c>
      <c r="H972" s="312">
        <v>1827</v>
      </c>
      <c r="I972" s="312" t="s">
        <v>107</v>
      </c>
      <c r="J972" s="312">
        <v>1913</v>
      </c>
      <c r="K972" s="312" t="s">
        <v>109</v>
      </c>
    </row>
    <row r="973" spans="1:11">
      <c r="A973" s="312" t="s">
        <v>2132</v>
      </c>
      <c r="B973" s="312" t="s">
        <v>2133</v>
      </c>
      <c r="C973" s="312" t="s">
        <v>105</v>
      </c>
      <c r="D973" s="312" t="s">
        <v>114</v>
      </c>
      <c r="E973" s="312" t="s">
        <v>107</v>
      </c>
      <c r="F973" s="312">
        <v>1825</v>
      </c>
      <c r="G973" s="312" t="s">
        <v>108</v>
      </c>
      <c r="H973" s="312">
        <v>1827</v>
      </c>
      <c r="I973" s="312" t="s">
        <v>107</v>
      </c>
      <c r="J973" s="312">
        <v>1913</v>
      </c>
      <c r="K973" s="312" t="s">
        <v>109</v>
      </c>
    </row>
    <row r="974" spans="1:11">
      <c r="A974" s="312" t="s">
        <v>2218</v>
      </c>
      <c r="B974" s="312" t="s">
        <v>2219</v>
      </c>
      <c r="C974" s="312" t="s">
        <v>105</v>
      </c>
      <c r="D974" s="312" t="s">
        <v>114</v>
      </c>
      <c r="E974" s="312" t="s">
        <v>107</v>
      </c>
      <c r="F974" s="312">
        <v>1825</v>
      </c>
      <c r="G974" s="312" t="s">
        <v>108</v>
      </c>
      <c r="H974" s="312">
        <v>1827</v>
      </c>
      <c r="I974" s="312" t="s">
        <v>107</v>
      </c>
      <c r="J974" s="312">
        <v>1913</v>
      </c>
      <c r="K974" s="312" t="s">
        <v>109</v>
      </c>
    </row>
    <row r="975" spans="1:11">
      <c r="A975" s="312" t="s">
        <v>2220</v>
      </c>
      <c r="B975" s="1" t="s">
        <v>2221</v>
      </c>
      <c r="C975" s="312" t="s">
        <v>105</v>
      </c>
      <c r="D975" s="312" t="s">
        <v>114</v>
      </c>
      <c r="E975" s="312" t="s">
        <v>107</v>
      </c>
      <c r="F975" s="312">
        <v>1825</v>
      </c>
      <c r="G975" s="312" t="s">
        <v>108</v>
      </c>
      <c r="H975" s="312">
        <v>1827</v>
      </c>
      <c r="I975" s="312" t="s">
        <v>107</v>
      </c>
      <c r="J975" s="312">
        <v>1913</v>
      </c>
      <c r="K975" s="312" t="s">
        <v>109</v>
      </c>
    </row>
    <row r="976" spans="1:11">
      <c r="A976" s="312" t="s">
        <v>2298</v>
      </c>
      <c r="B976" s="312" t="s">
        <v>2299</v>
      </c>
      <c r="C976" s="312" t="s">
        <v>105</v>
      </c>
      <c r="D976" s="312" t="s">
        <v>114</v>
      </c>
      <c r="E976" s="312" t="s">
        <v>107</v>
      </c>
      <c r="F976" s="312">
        <v>1825</v>
      </c>
      <c r="G976" s="312" t="s">
        <v>108</v>
      </c>
      <c r="H976" s="312">
        <v>1827</v>
      </c>
      <c r="I976" s="312" t="s">
        <v>107</v>
      </c>
      <c r="J976" s="312">
        <v>1913</v>
      </c>
      <c r="K976" s="312" t="s">
        <v>109</v>
      </c>
    </row>
    <row r="977" spans="1:11">
      <c r="A977" s="312" t="s">
        <v>2300</v>
      </c>
      <c r="B977" s="312" t="s">
        <v>2301</v>
      </c>
      <c r="C977" s="312" t="s">
        <v>105</v>
      </c>
      <c r="D977" s="312" t="s">
        <v>114</v>
      </c>
      <c r="E977" s="312" t="s">
        <v>107</v>
      </c>
      <c r="F977" s="312">
        <v>1825</v>
      </c>
      <c r="G977" s="312" t="s">
        <v>108</v>
      </c>
      <c r="H977" s="312">
        <v>1827</v>
      </c>
      <c r="I977" s="312" t="s">
        <v>107</v>
      </c>
      <c r="J977" s="312">
        <v>1913</v>
      </c>
      <c r="K977" s="312" t="s">
        <v>109</v>
      </c>
    </row>
    <row r="978" spans="1:11">
      <c r="A978" s="312" t="s">
        <v>2302</v>
      </c>
      <c r="B978" s="312" t="s">
        <v>2303</v>
      </c>
      <c r="C978" s="312" t="s">
        <v>105</v>
      </c>
      <c r="D978" s="312" t="s">
        <v>114</v>
      </c>
      <c r="E978" s="312" t="s">
        <v>107</v>
      </c>
      <c r="F978" s="312">
        <v>1825</v>
      </c>
      <c r="G978" s="312" t="s">
        <v>108</v>
      </c>
      <c r="H978" s="312">
        <v>1827</v>
      </c>
      <c r="I978" s="312" t="s">
        <v>107</v>
      </c>
      <c r="J978" s="312">
        <v>1913</v>
      </c>
      <c r="K978" s="312" t="s">
        <v>109</v>
      </c>
    </row>
    <row r="979" spans="1:11">
      <c r="A979" s="312" t="s">
        <v>2324</v>
      </c>
      <c r="B979" s="312" t="s">
        <v>2325</v>
      </c>
      <c r="C979" s="312" t="s">
        <v>105</v>
      </c>
      <c r="D979" s="312" t="s">
        <v>114</v>
      </c>
      <c r="E979" s="312" t="s">
        <v>107</v>
      </c>
      <c r="F979" s="312">
        <v>1825</v>
      </c>
      <c r="G979" s="312" t="s">
        <v>108</v>
      </c>
      <c r="H979" s="312">
        <v>1827</v>
      </c>
      <c r="I979" s="312" t="s">
        <v>107</v>
      </c>
      <c r="J979" s="312">
        <v>1913</v>
      </c>
      <c r="K979" s="312" t="s">
        <v>109</v>
      </c>
    </row>
    <row r="980" spans="1:11">
      <c r="A980" s="312" t="s">
        <v>2326</v>
      </c>
      <c r="B980" s="312" t="s">
        <v>2327</v>
      </c>
      <c r="C980" s="312" t="s">
        <v>105</v>
      </c>
      <c r="D980" s="312" t="s">
        <v>114</v>
      </c>
      <c r="E980" s="312" t="s">
        <v>107</v>
      </c>
      <c r="F980" s="312">
        <v>1825</v>
      </c>
      <c r="G980" s="312" t="s">
        <v>108</v>
      </c>
      <c r="H980" s="312">
        <v>1827</v>
      </c>
      <c r="I980" s="312" t="s">
        <v>107</v>
      </c>
      <c r="J980" s="312">
        <v>1913</v>
      </c>
      <c r="K980" s="312" t="s">
        <v>109</v>
      </c>
    </row>
    <row r="981" spans="1:11">
      <c r="A981" s="312" t="s">
        <v>2554</v>
      </c>
      <c r="B981" s="312" t="s">
        <v>2555</v>
      </c>
      <c r="C981" s="312" t="s">
        <v>105</v>
      </c>
      <c r="D981" s="312" t="s">
        <v>114</v>
      </c>
      <c r="E981" s="312" t="s">
        <v>107</v>
      </c>
      <c r="F981" s="312">
        <v>1825</v>
      </c>
      <c r="G981" s="312" t="s">
        <v>108</v>
      </c>
      <c r="H981" s="312">
        <v>1827</v>
      </c>
      <c r="I981" s="312" t="s">
        <v>107</v>
      </c>
      <c r="J981" s="312">
        <v>1913</v>
      </c>
      <c r="K981" s="312" t="s">
        <v>109</v>
      </c>
    </row>
    <row r="982" spans="1:11">
      <c r="A982" s="312" t="s">
        <v>2558</v>
      </c>
      <c r="B982" s="312" t="s">
        <v>2559</v>
      </c>
      <c r="C982" s="312" t="s">
        <v>105</v>
      </c>
      <c r="D982" s="312" t="s">
        <v>114</v>
      </c>
      <c r="E982" s="312" t="s">
        <v>107</v>
      </c>
      <c r="F982" s="312">
        <v>1825</v>
      </c>
      <c r="G982" s="312" t="s">
        <v>108</v>
      </c>
      <c r="H982" s="312">
        <v>1827</v>
      </c>
      <c r="I982" s="312" t="s">
        <v>107</v>
      </c>
      <c r="J982" s="312">
        <v>1913</v>
      </c>
      <c r="K982" s="312" t="s">
        <v>109</v>
      </c>
    </row>
    <row r="983" spans="1:11">
      <c r="A983" s="312" t="s">
        <v>2562</v>
      </c>
      <c r="B983" s="312" t="s">
        <v>2563</v>
      </c>
      <c r="C983" s="312" t="s">
        <v>105</v>
      </c>
      <c r="D983" s="312" t="s">
        <v>114</v>
      </c>
      <c r="E983" s="312" t="s">
        <v>107</v>
      </c>
      <c r="F983" s="312">
        <v>1825</v>
      </c>
      <c r="G983" s="312" t="s">
        <v>108</v>
      </c>
      <c r="H983" s="312">
        <v>1827</v>
      </c>
      <c r="I983" s="312" t="s">
        <v>107</v>
      </c>
      <c r="J983" s="312">
        <v>1913</v>
      </c>
      <c r="K983" s="312" t="s">
        <v>109</v>
      </c>
    </row>
    <row r="984" spans="1:11">
      <c r="A984" s="312" t="s">
        <v>2564</v>
      </c>
      <c r="B984" s="312" t="s">
        <v>2565</v>
      </c>
      <c r="C984" s="312" t="s">
        <v>105</v>
      </c>
      <c r="D984" s="312" t="s">
        <v>114</v>
      </c>
      <c r="E984" s="312" t="s">
        <v>107</v>
      </c>
      <c r="F984" s="312">
        <v>1825</v>
      </c>
      <c r="G984" s="312" t="s">
        <v>108</v>
      </c>
      <c r="H984" s="312">
        <v>1827</v>
      </c>
      <c r="I984" s="312" t="s">
        <v>107</v>
      </c>
      <c r="J984" s="312">
        <v>1913</v>
      </c>
      <c r="K984" s="312" t="s">
        <v>109</v>
      </c>
    </row>
    <row r="985" spans="1:11">
      <c r="A985" s="312" t="s">
        <v>2597</v>
      </c>
      <c r="B985" s="312" t="s">
        <v>2598</v>
      </c>
      <c r="C985" s="312" t="s">
        <v>105</v>
      </c>
      <c r="D985" s="312" t="s">
        <v>114</v>
      </c>
      <c r="E985" s="312" t="s">
        <v>107</v>
      </c>
      <c r="F985" s="312">
        <v>1825</v>
      </c>
      <c r="G985" s="312" t="s">
        <v>108</v>
      </c>
      <c r="H985" s="312">
        <v>1827</v>
      </c>
      <c r="I985" s="312" t="s">
        <v>107</v>
      </c>
      <c r="J985" s="312">
        <v>1913</v>
      </c>
      <c r="K985" s="312" t="s">
        <v>109</v>
      </c>
    </row>
    <row r="986" spans="1:11">
      <c r="A986" s="312" t="s">
        <v>2599</v>
      </c>
      <c r="B986" s="312" t="s">
        <v>2600</v>
      </c>
      <c r="C986" s="312" t="s">
        <v>105</v>
      </c>
      <c r="D986" s="312" t="s">
        <v>114</v>
      </c>
      <c r="E986" s="312" t="s">
        <v>107</v>
      </c>
      <c r="F986" s="312">
        <v>1825</v>
      </c>
      <c r="G986" s="312" t="s">
        <v>108</v>
      </c>
      <c r="H986" s="312">
        <v>1827</v>
      </c>
      <c r="I986" s="312" t="s">
        <v>107</v>
      </c>
      <c r="J986" s="312">
        <v>1913</v>
      </c>
      <c r="K986" s="312" t="s">
        <v>109</v>
      </c>
    </row>
    <row r="987" spans="1:11">
      <c r="A987" s="312" t="s">
        <v>2601</v>
      </c>
      <c r="B987" s="312" t="s">
        <v>2602</v>
      </c>
      <c r="C987" s="312" t="s">
        <v>105</v>
      </c>
      <c r="D987" s="312" t="s">
        <v>114</v>
      </c>
      <c r="E987" s="312" t="s">
        <v>107</v>
      </c>
      <c r="F987" s="312">
        <v>1825</v>
      </c>
      <c r="G987" s="312" t="s">
        <v>108</v>
      </c>
      <c r="H987" s="312">
        <v>1827</v>
      </c>
      <c r="I987" s="312" t="s">
        <v>107</v>
      </c>
      <c r="J987" s="312">
        <v>1913</v>
      </c>
      <c r="K987" s="312" t="s">
        <v>109</v>
      </c>
    </row>
    <row r="988" spans="1:11">
      <c r="A988" s="312" t="s">
        <v>2603</v>
      </c>
      <c r="B988" s="312" t="s">
        <v>2604</v>
      </c>
      <c r="C988" s="312" t="s">
        <v>105</v>
      </c>
      <c r="D988" s="312" t="s">
        <v>114</v>
      </c>
      <c r="E988" s="312" t="s">
        <v>107</v>
      </c>
      <c r="F988" s="312">
        <v>1825</v>
      </c>
      <c r="G988" s="312" t="s">
        <v>108</v>
      </c>
      <c r="H988" s="312">
        <v>1827</v>
      </c>
      <c r="I988" s="312" t="s">
        <v>107</v>
      </c>
      <c r="J988" s="312">
        <v>1913</v>
      </c>
      <c r="K988" s="312" t="s">
        <v>109</v>
      </c>
    </row>
    <row r="989" spans="1:11">
      <c r="A989" s="312" t="s">
        <v>2605</v>
      </c>
      <c r="B989" s="312" t="s">
        <v>2606</v>
      </c>
      <c r="C989" s="312" t="s">
        <v>105</v>
      </c>
      <c r="D989" s="312" t="s">
        <v>114</v>
      </c>
      <c r="E989" s="312" t="s">
        <v>107</v>
      </c>
      <c r="F989" s="312">
        <v>1825</v>
      </c>
      <c r="G989" s="312" t="s">
        <v>108</v>
      </c>
      <c r="H989" s="312">
        <v>1827</v>
      </c>
      <c r="I989" s="312" t="s">
        <v>107</v>
      </c>
      <c r="J989" s="312">
        <v>1913</v>
      </c>
      <c r="K989" s="312" t="s">
        <v>109</v>
      </c>
    </row>
    <row r="990" spans="1:11">
      <c r="A990" s="312" t="s">
        <v>2607</v>
      </c>
      <c r="B990" s="312" t="s">
        <v>2608</v>
      </c>
      <c r="C990" s="312" t="s">
        <v>105</v>
      </c>
      <c r="D990" s="312" t="s">
        <v>114</v>
      </c>
      <c r="E990" s="312" t="s">
        <v>107</v>
      </c>
      <c r="F990" s="312">
        <v>1825</v>
      </c>
      <c r="G990" s="312" t="s">
        <v>108</v>
      </c>
      <c r="H990" s="312">
        <v>1827</v>
      </c>
      <c r="I990" s="312" t="s">
        <v>107</v>
      </c>
      <c r="J990" s="312">
        <v>1913</v>
      </c>
      <c r="K990" s="312" t="s">
        <v>109</v>
      </c>
    </row>
    <row r="991" spans="1:11">
      <c r="A991" s="312" t="s">
        <v>2609</v>
      </c>
      <c r="B991" s="312" t="s">
        <v>2610</v>
      </c>
      <c r="C991" s="312" t="s">
        <v>105</v>
      </c>
      <c r="D991" s="312" t="s">
        <v>114</v>
      </c>
      <c r="E991" s="312" t="s">
        <v>107</v>
      </c>
      <c r="F991" s="312">
        <v>1825</v>
      </c>
      <c r="G991" s="312" t="s">
        <v>108</v>
      </c>
      <c r="H991" s="312">
        <v>1827</v>
      </c>
      <c r="I991" s="312" t="s">
        <v>107</v>
      </c>
      <c r="J991" s="312">
        <v>1913</v>
      </c>
      <c r="K991" s="312" t="s">
        <v>109</v>
      </c>
    </row>
    <row r="992" spans="1:11">
      <c r="A992" s="312" t="s">
        <v>2613</v>
      </c>
      <c r="B992" s="312" t="s">
        <v>2614</v>
      </c>
      <c r="C992" s="312" t="s">
        <v>105</v>
      </c>
      <c r="D992" s="312" t="s">
        <v>114</v>
      </c>
      <c r="E992" s="312" t="s">
        <v>107</v>
      </c>
      <c r="F992" s="312">
        <v>1825</v>
      </c>
      <c r="G992" s="312" t="s">
        <v>108</v>
      </c>
      <c r="H992" s="312">
        <v>1827</v>
      </c>
      <c r="I992" s="312" t="s">
        <v>107</v>
      </c>
      <c r="J992" s="312">
        <v>1913</v>
      </c>
      <c r="K992" s="312" t="s">
        <v>109</v>
      </c>
    </row>
    <row r="993" spans="1:11">
      <c r="A993" s="312" t="s">
        <v>2623</v>
      </c>
      <c r="B993" s="312" t="s">
        <v>2624</v>
      </c>
      <c r="C993" s="312" t="s">
        <v>105</v>
      </c>
      <c r="D993" s="312" t="s">
        <v>114</v>
      </c>
      <c r="E993" s="312" t="s">
        <v>107</v>
      </c>
      <c r="F993" s="312">
        <v>1825</v>
      </c>
      <c r="G993" s="312" t="s">
        <v>108</v>
      </c>
      <c r="H993" s="312">
        <v>1827</v>
      </c>
      <c r="I993" s="312" t="s">
        <v>107</v>
      </c>
      <c r="J993" s="312">
        <v>1913</v>
      </c>
      <c r="K993" s="312" t="s">
        <v>109</v>
      </c>
    </row>
    <row r="994" spans="1:11">
      <c r="A994" s="312" t="s">
        <v>2625</v>
      </c>
      <c r="B994" s="312" t="s">
        <v>2626</v>
      </c>
      <c r="C994" s="312" t="s">
        <v>105</v>
      </c>
      <c r="D994" s="312" t="s">
        <v>114</v>
      </c>
      <c r="E994" s="312" t="s">
        <v>107</v>
      </c>
      <c r="F994" s="312">
        <v>1825</v>
      </c>
      <c r="G994" s="312" t="s">
        <v>108</v>
      </c>
      <c r="H994" s="312">
        <v>1827</v>
      </c>
      <c r="I994" s="312" t="s">
        <v>107</v>
      </c>
      <c r="J994" s="312">
        <v>1913</v>
      </c>
      <c r="K994" s="312" t="s">
        <v>109</v>
      </c>
    </row>
    <row r="995" spans="1:11">
      <c r="A995" s="312" t="s">
        <v>2631</v>
      </c>
      <c r="B995" s="1" t="s">
        <v>2632</v>
      </c>
      <c r="C995" s="312" t="s">
        <v>105</v>
      </c>
      <c r="D995" s="312" t="s">
        <v>114</v>
      </c>
      <c r="E995" s="312" t="s">
        <v>107</v>
      </c>
      <c r="F995" s="312">
        <v>1825</v>
      </c>
      <c r="G995" s="312" t="s">
        <v>108</v>
      </c>
      <c r="H995" s="312">
        <v>1827</v>
      </c>
      <c r="I995" s="312" t="s">
        <v>107</v>
      </c>
      <c r="J995" s="312">
        <v>1913</v>
      </c>
      <c r="K995" s="312" t="s">
        <v>109</v>
      </c>
    </row>
    <row r="996" spans="1:11">
      <c r="A996" s="312" t="s">
        <v>2695</v>
      </c>
      <c r="B996" s="312" t="s">
        <v>2696</v>
      </c>
      <c r="C996" s="312" t="s">
        <v>105</v>
      </c>
      <c r="D996" s="312" t="s">
        <v>114</v>
      </c>
      <c r="E996" s="312" t="s">
        <v>107</v>
      </c>
      <c r="F996" s="312">
        <v>1825</v>
      </c>
      <c r="G996" s="312" t="s">
        <v>108</v>
      </c>
      <c r="H996" s="312">
        <v>1827</v>
      </c>
      <c r="I996" s="312" t="s">
        <v>107</v>
      </c>
      <c r="J996" s="312">
        <v>1913</v>
      </c>
      <c r="K996" s="312" t="s">
        <v>109</v>
      </c>
    </row>
    <row r="997" spans="1:11">
      <c r="A997" s="312" t="s">
        <v>2721</v>
      </c>
      <c r="B997" s="312" t="s">
        <v>2722</v>
      </c>
      <c r="C997" s="312" t="s">
        <v>105</v>
      </c>
      <c r="D997" s="312" t="s">
        <v>114</v>
      </c>
      <c r="E997" s="312" t="s">
        <v>107</v>
      </c>
      <c r="F997" s="312">
        <v>1825</v>
      </c>
      <c r="G997" s="312" t="s">
        <v>108</v>
      </c>
      <c r="H997" s="312">
        <v>1827</v>
      </c>
      <c r="I997" s="312" t="s">
        <v>107</v>
      </c>
      <c r="J997" s="312">
        <v>1913</v>
      </c>
      <c r="K997" s="312" t="s">
        <v>109</v>
      </c>
    </row>
    <row r="998" spans="1:11">
      <c r="A998" s="312" t="s">
        <v>2773</v>
      </c>
      <c r="B998" s="312" t="s">
        <v>2774</v>
      </c>
      <c r="C998" s="312" t="s">
        <v>105</v>
      </c>
      <c r="D998" s="312" t="s">
        <v>114</v>
      </c>
      <c r="E998" s="312" t="s">
        <v>107</v>
      </c>
      <c r="F998" s="312">
        <v>1825</v>
      </c>
      <c r="G998" s="312" t="s">
        <v>108</v>
      </c>
      <c r="H998" s="312">
        <v>1827</v>
      </c>
      <c r="I998" s="312" t="s">
        <v>107</v>
      </c>
      <c r="J998" s="312">
        <v>1913</v>
      </c>
      <c r="K998" s="312" t="s">
        <v>109</v>
      </c>
    </row>
    <row r="999" spans="1:11">
      <c r="A999" s="312" t="s">
        <v>2777</v>
      </c>
      <c r="B999" s="312" t="s">
        <v>2778</v>
      </c>
      <c r="C999" s="312" t="s">
        <v>105</v>
      </c>
      <c r="D999" s="312" t="s">
        <v>114</v>
      </c>
      <c r="E999" s="312" t="s">
        <v>107</v>
      </c>
      <c r="F999" s="312">
        <v>1825</v>
      </c>
      <c r="G999" s="312" t="s">
        <v>108</v>
      </c>
      <c r="H999" s="312">
        <v>1827</v>
      </c>
      <c r="I999" s="312" t="s">
        <v>107</v>
      </c>
      <c r="J999" s="312">
        <v>1913</v>
      </c>
      <c r="K999" s="312" t="s">
        <v>109</v>
      </c>
    </row>
    <row r="1000" spans="1:11">
      <c r="A1000" s="312" t="s">
        <v>2794</v>
      </c>
      <c r="B1000" s="312" t="s">
        <v>2795</v>
      </c>
      <c r="C1000" s="312" t="s">
        <v>105</v>
      </c>
      <c r="D1000" s="312" t="s">
        <v>114</v>
      </c>
      <c r="E1000" s="312" t="s">
        <v>107</v>
      </c>
      <c r="F1000" s="312">
        <v>1825</v>
      </c>
      <c r="G1000" s="312" t="s">
        <v>108</v>
      </c>
      <c r="H1000" s="312">
        <v>1827</v>
      </c>
      <c r="I1000" s="312" t="s">
        <v>107</v>
      </c>
      <c r="J1000" s="312">
        <v>1913</v>
      </c>
      <c r="K1000" s="312" t="s">
        <v>109</v>
      </c>
    </row>
    <row r="1001" spans="1:11">
      <c r="A1001" s="312" t="s">
        <v>2796</v>
      </c>
      <c r="B1001" s="312" t="s">
        <v>2797</v>
      </c>
      <c r="C1001" s="312" t="s">
        <v>105</v>
      </c>
      <c r="D1001" s="312" t="s">
        <v>114</v>
      </c>
      <c r="E1001" s="312" t="s">
        <v>107</v>
      </c>
      <c r="F1001" s="312">
        <v>1825</v>
      </c>
      <c r="G1001" s="312" t="s">
        <v>108</v>
      </c>
      <c r="H1001" s="312">
        <v>1827</v>
      </c>
      <c r="I1001" s="312" t="s">
        <v>107</v>
      </c>
      <c r="J1001" s="312">
        <v>1913</v>
      </c>
      <c r="K1001" s="312" t="s">
        <v>109</v>
      </c>
    </row>
    <row r="1002" spans="1:11">
      <c r="A1002" s="312" t="s">
        <v>2798</v>
      </c>
      <c r="B1002" s="312" t="s">
        <v>2799</v>
      </c>
      <c r="C1002" s="312" t="s">
        <v>105</v>
      </c>
      <c r="D1002" s="312" t="s">
        <v>114</v>
      </c>
      <c r="E1002" s="312" t="s">
        <v>107</v>
      </c>
      <c r="F1002" s="312">
        <v>1825</v>
      </c>
      <c r="G1002" s="312" t="s">
        <v>108</v>
      </c>
      <c r="H1002" s="312">
        <v>1827</v>
      </c>
      <c r="I1002" s="312" t="s">
        <v>107</v>
      </c>
      <c r="J1002" s="312">
        <v>1913</v>
      </c>
      <c r="K1002" s="312" t="s">
        <v>109</v>
      </c>
    </row>
    <row r="1003" spans="1:11">
      <c r="A1003" s="312" t="s">
        <v>2800</v>
      </c>
      <c r="B1003" s="312" t="s">
        <v>2801</v>
      </c>
      <c r="C1003" s="312" t="s">
        <v>105</v>
      </c>
      <c r="D1003" s="312" t="s">
        <v>114</v>
      </c>
      <c r="E1003" s="312" t="s">
        <v>107</v>
      </c>
      <c r="F1003" s="312">
        <v>1825</v>
      </c>
      <c r="G1003" s="312" t="s">
        <v>108</v>
      </c>
      <c r="H1003" s="312">
        <v>1827</v>
      </c>
      <c r="I1003" s="312" t="s">
        <v>107</v>
      </c>
      <c r="J1003" s="312">
        <v>1913</v>
      </c>
      <c r="K1003" s="312" t="s">
        <v>109</v>
      </c>
    </row>
    <row r="1004" spans="1:11">
      <c r="A1004" s="312" t="s">
        <v>2802</v>
      </c>
      <c r="B1004" s="312" t="s">
        <v>2803</v>
      </c>
      <c r="C1004" s="312" t="s">
        <v>105</v>
      </c>
      <c r="D1004" s="312" t="s">
        <v>114</v>
      </c>
      <c r="E1004" s="312" t="s">
        <v>107</v>
      </c>
      <c r="F1004" s="312">
        <v>1825</v>
      </c>
      <c r="G1004" s="312" t="s">
        <v>108</v>
      </c>
      <c r="H1004" s="312">
        <v>1827</v>
      </c>
      <c r="I1004" s="312" t="s">
        <v>107</v>
      </c>
      <c r="J1004" s="312">
        <v>1913</v>
      </c>
      <c r="K1004" s="312" t="s">
        <v>109</v>
      </c>
    </row>
    <row r="1005" spans="1:11">
      <c r="A1005" s="312" t="s">
        <v>2812</v>
      </c>
      <c r="B1005" s="312" t="s">
        <v>2813</v>
      </c>
      <c r="C1005" s="312" t="s">
        <v>105</v>
      </c>
      <c r="D1005" s="312" t="s">
        <v>114</v>
      </c>
      <c r="E1005" s="312" t="s">
        <v>107</v>
      </c>
      <c r="F1005" s="312">
        <v>1825</v>
      </c>
      <c r="G1005" s="312" t="s">
        <v>108</v>
      </c>
      <c r="H1005" s="312">
        <v>1827</v>
      </c>
      <c r="I1005" s="312" t="s">
        <v>107</v>
      </c>
      <c r="J1005" s="312">
        <v>1913</v>
      </c>
      <c r="K1005" s="312" t="s">
        <v>109</v>
      </c>
    </row>
    <row r="1006" spans="1:11">
      <c r="A1006" s="312" t="s">
        <v>2814</v>
      </c>
      <c r="B1006" s="312" t="s">
        <v>2815</v>
      </c>
      <c r="C1006" s="312" t="s">
        <v>105</v>
      </c>
      <c r="D1006" s="312" t="s">
        <v>114</v>
      </c>
      <c r="E1006" s="312" t="s">
        <v>107</v>
      </c>
      <c r="F1006" s="312">
        <v>1825</v>
      </c>
      <c r="G1006" s="312" t="s">
        <v>108</v>
      </c>
      <c r="H1006" s="312">
        <v>1827</v>
      </c>
      <c r="I1006" s="312" t="s">
        <v>107</v>
      </c>
      <c r="J1006" s="312">
        <v>1913</v>
      </c>
      <c r="K1006" s="312" t="s">
        <v>109</v>
      </c>
    </row>
    <row r="1007" spans="1:11">
      <c r="A1007" s="312" t="s">
        <v>2818</v>
      </c>
      <c r="B1007" s="312" t="s">
        <v>2819</v>
      </c>
      <c r="C1007" s="312" t="s">
        <v>105</v>
      </c>
      <c r="D1007" s="312" t="s">
        <v>114</v>
      </c>
      <c r="E1007" s="312" t="s">
        <v>107</v>
      </c>
      <c r="F1007" s="312">
        <v>1825</v>
      </c>
      <c r="G1007" s="312" t="s">
        <v>108</v>
      </c>
      <c r="H1007" s="312">
        <v>1827</v>
      </c>
      <c r="I1007" s="312" t="s">
        <v>107</v>
      </c>
      <c r="J1007" s="312">
        <v>1913</v>
      </c>
      <c r="K1007" s="312" t="s">
        <v>109</v>
      </c>
    </row>
    <row r="1008" spans="1:11">
      <c r="A1008" s="312" t="s">
        <v>2820</v>
      </c>
      <c r="B1008" s="312" t="s">
        <v>2821</v>
      </c>
      <c r="C1008" s="312" t="s">
        <v>105</v>
      </c>
      <c r="D1008" s="312" t="s">
        <v>114</v>
      </c>
      <c r="E1008" s="312" t="s">
        <v>107</v>
      </c>
      <c r="F1008" s="312">
        <v>1825</v>
      </c>
      <c r="G1008" s="312" t="s">
        <v>108</v>
      </c>
      <c r="H1008" s="312">
        <v>1827</v>
      </c>
      <c r="I1008" s="312" t="s">
        <v>107</v>
      </c>
      <c r="J1008" s="312">
        <v>1913</v>
      </c>
      <c r="K1008" s="312" t="s">
        <v>109</v>
      </c>
    </row>
    <row r="1009" spans="1:11">
      <c r="A1009" s="312" t="s">
        <v>2822</v>
      </c>
      <c r="B1009" s="312" t="s">
        <v>2823</v>
      </c>
      <c r="C1009" s="312" t="s">
        <v>105</v>
      </c>
      <c r="D1009" s="312" t="s">
        <v>114</v>
      </c>
      <c r="E1009" s="312" t="s">
        <v>107</v>
      </c>
      <c r="F1009" s="312">
        <v>1825</v>
      </c>
      <c r="G1009" s="312" t="s">
        <v>108</v>
      </c>
      <c r="H1009" s="312">
        <v>1827</v>
      </c>
      <c r="I1009" s="312" t="s">
        <v>107</v>
      </c>
      <c r="J1009" s="312">
        <v>1913</v>
      </c>
      <c r="K1009" s="312" t="s">
        <v>109</v>
      </c>
    </row>
    <row r="1010" spans="1:11">
      <c r="A1010" s="312" t="s">
        <v>2844</v>
      </c>
      <c r="B1010" s="312" t="s">
        <v>2845</v>
      </c>
      <c r="C1010" s="312" t="s">
        <v>105</v>
      </c>
      <c r="D1010" s="312" t="s">
        <v>114</v>
      </c>
      <c r="E1010" s="312" t="s">
        <v>107</v>
      </c>
      <c r="F1010" s="312">
        <v>1825</v>
      </c>
      <c r="G1010" s="312" t="s">
        <v>108</v>
      </c>
      <c r="H1010" s="312">
        <v>1827</v>
      </c>
      <c r="I1010" s="312" t="s">
        <v>107</v>
      </c>
      <c r="J1010" s="312">
        <v>1913</v>
      </c>
      <c r="K1010" s="312" t="s">
        <v>109</v>
      </c>
    </row>
    <row r="1011" spans="1:11">
      <c r="A1011" s="312" t="s">
        <v>2846</v>
      </c>
      <c r="B1011" s="312" t="s">
        <v>2847</v>
      </c>
      <c r="C1011" s="312" t="s">
        <v>105</v>
      </c>
      <c r="D1011" s="312" t="s">
        <v>114</v>
      </c>
      <c r="E1011" s="312" t="s">
        <v>107</v>
      </c>
      <c r="F1011" s="312">
        <v>1825</v>
      </c>
      <c r="G1011" s="312" t="s">
        <v>108</v>
      </c>
      <c r="H1011" s="312">
        <v>1827</v>
      </c>
      <c r="I1011" s="312" t="s">
        <v>107</v>
      </c>
      <c r="J1011" s="312">
        <v>1913</v>
      </c>
      <c r="K1011" s="312" t="s">
        <v>109</v>
      </c>
    </row>
    <row r="1012" spans="1:11">
      <c r="A1012" s="312" t="s">
        <v>3014</v>
      </c>
      <c r="B1012" s="312" t="s">
        <v>3015</v>
      </c>
      <c r="C1012" s="312" t="s">
        <v>105</v>
      </c>
      <c r="D1012" s="312" t="s">
        <v>114</v>
      </c>
      <c r="E1012" s="312" t="s">
        <v>107</v>
      </c>
      <c r="F1012" s="312">
        <v>1825</v>
      </c>
      <c r="G1012" s="312" t="s">
        <v>108</v>
      </c>
      <c r="H1012" s="312">
        <v>1827</v>
      </c>
      <c r="I1012" s="312" t="s">
        <v>107</v>
      </c>
      <c r="J1012" s="312">
        <v>1913</v>
      </c>
      <c r="K1012" s="312" t="s">
        <v>109</v>
      </c>
    </row>
    <row r="1013" spans="1:11">
      <c r="A1013" s="312" t="s">
        <v>3016</v>
      </c>
      <c r="B1013" s="312" t="s">
        <v>3017</v>
      </c>
      <c r="C1013" s="312" t="s">
        <v>105</v>
      </c>
      <c r="D1013" s="312" t="s">
        <v>114</v>
      </c>
      <c r="E1013" s="312" t="s">
        <v>107</v>
      </c>
      <c r="F1013" s="312">
        <v>1825</v>
      </c>
      <c r="G1013" s="312" t="s">
        <v>108</v>
      </c>
      <c r="H1013" s="312">
        <v>1827</v>
      </c>
      <c r="I1013" s="312" t="s">
        <v>107</v>
      </c>
      <c r="J1013" s="312">
        <v>1913</v>
      </c>
      <c r="K1013" s="312" t="s">
        <v>109</v>
      </c>
    </row>
    <row r="1014" spans="1:11">
      <c r="A1014" s="312" t="s">
        <v>3018</v>
      </c>
      <c r="B1014" s="312" t="s">
        <v>3019</v>
      </c>
      <c r="C1014" s="312" t="s">
        <v>105</v>
      </c>
      <c r="D1014" s="312" t="s">
        <v>114</v>
      </c>
      <c r="E1014" s="312" t="s">
        <v>107</v>
      </c>
      <c r="F1014" s="312">
        <v>1825</v>
      </c>
      <c r="G1014" s="312" t="s">
        <v>108</v>
      </c>
      <c r="H1014" s="312">
        <v>1827</v>
      </c>
      <c r="I1014" s="312" t="s">
        <v>107</v>
      </c>
      <c r="J1014" s="312">
        <v>1913</v>
      </c>
      <c r="K1014" s="312" t="s">
        <v>109</v>
      </c>
    </row>
    <row r="1015" spans="1:11">
      <c r="A1015" s="312" t="s">
        <v>3020</v>
      </c>
      <c r="B1015" s="312" t="s">
        <v>3021</v>
      </c>
      <c r="C1015" s="312" t="s">
        <v>105</v>
      </c>
      <c r="D1015" s="312" t="s">
        <v>114</v>
      </c>
      <c r="E1015" s="312" t="s">
        <v>107</v>
      </c>
      <c r="F1015" s="312">
        <v>1825</v>
      </c>
      <c r="G1015" s="312" t="s">
        <v>108</v>
      </c>
      <c r="H1015" s="312">
        <v>1827</v>
      </c>
      <c r="I1015" s="312" t="s">
        <v>107</v>
      </c>
      <c r="J1015" s="312">
        <v>1913</v>
      </c>
      <c r="K1015" s="312" t="s">
        <v>109</v>
      </c>
    </row>
    <row r="1016" spans="1:11">
      <c r="A1016" s="312" t="s">
        <v>3022</v>
      </c>
      <c r="B1016" s="312" t="s">
        <v>3023</v>
      </c>
      <c r="C1016" s="312" t="s">
        <v>105</v>
      </c>
      <c r="D1016" s="312" t="s">
        <v>114</v>
      </c>
      <c r="E1016" s="312" t="s">
        <v>107</v>
      </c>
      <c r="F1016" s="312">
        <v>1825</v>
      </c>
      <c r="G1016" s="312" t="s">
        <v>108</v>
      </c>
      <c r="H1016" s="312">
        <v>1827</v>
      </c>
      <c r="I1016" s="312" t="s">
        <v>107</v>
      </c>
      <c r="J1016" s="312">
        <v>1913</v>
      </c>
      <c r="K1016" s="312" t="s">
        <v>109</v>
      </c>
    </row>
    <row r="1017" spans="1:11">
      <c r="A1017" s="312" t="s">
        <v>3024</v>
      </c>
      <c r="B1017" s="312" t="s">
        <v>3025</v>
      </c>
      <c r="C1017" s="312" t="s">
        <v>105</v>
      </c>
      <c r="D1017" s="312" t="s">
        <v>114</v>
      </c>
      <c r="E1017" s="312" t="s">
        <v>107</v>
      </c>
      <c r="F1017" s="312">
        <v>1825</v>
      </c>
      <c r="G1017" s="312" t="s">
        <v>108</v>
      </c>
      <c r="H1017" s="312">
        <v>1827</v>
      </c>
      <c r="I1017" s="312" t="s">
        <v>107</v>
      </c>
      <c r="J1017" s="312">
        <v>1913</v>
      </c>
      <c r="K1017" s="312" t="s">
        <v>109</v>
      </c>
    </row>
    <row r="1018" spans="1:11">
      <c r="A1018" s="312" t="s">
        <v>3026</v>
      </c>
      <c r="B1018" s="312" t="s">
        <v>3027</v>
      </c>
      <c r="C1018" s="312" t="s">
        <v>105</v>
      </c>
      <c r="D1018" s="312" t="s">
        <v>114</v>
      </c>
      <c r="E1018" s="312" t="s">
        <v>107</v>
      </c>
      <c r="F1018" s="312">
        <v>1825</v>
      </c>
      <c r="G1018" s="312" t="s">
        <v>108</v>
      </c>
      <c r="H1018" s="312">
        <v>1827</v>
      </c>
      <c r="I1018" s="312" t="s">
        <v>107</v>
      </c>
      <c r="J1018" s="312">
        <v>1913</v>
      </c>
      <c r="K1018" s="312" t="s">
        <v>109</v>
      </c>
    </row>
    <row r="1019" spans="1:11">
      <c r="A1019" s="312" t="s">
        <v>3028</v>
      </c>
      <c r="B1019" s="312" t="s">
        <v>3029</v>
      </c>
      <c r="C1019" s="312" t="s">
        <v>105</v>
      </c>
      <c r="D1019" s="312" t="s">
        <v>114</v>
      </c>
      <c r="E1019" s="312" t="s">
        <v>107</v>
      </c>
      <c r="F1019" s="312">
        <v>1825</v>
      </c>
      <c r="G1019" s="312" t="s">
        <v>108</v>
      </c>
      <c r="H1019" s="312">
        <v>1827</v>
      </c>
      <c r="I1019" s="312" t="s">
        <v>107</v>
      </c>
      <c r="J1019" s="312">
        <v>1913</v>
      </c>
      <c r="K1019" s="312" t="s">
        <v>109</v>
      </c>
    </row>
    <row r="1020" spans="1:11">
      <c r="A1020" s="312" t="s">
        <v>3215</v>
      </c>
      <c r="B1020" s="312" t="s">
        <v>3216</v>
      </c>
      <c r="C1020" s="312" t="s">
        <v>105</v>
      </c>
      <c r="D1020" s="312" t="s">
        <v>114</v>
      </c>
      <c r="E1020" s="312" t="s">
        <v>107</v>
      </c>
      <c r="F1020" s="312">
        <v>1825</v>
      </c>
      <c r="G1020" s="312" t="s">
        <v>108</v>
      </c>
      <c r="H1020" s="312">
        <v>1827</v>
      </c>
      <c r="I1020" s="312" t="s">
        <v>107</v>
      </c>
      <c r="J1020" s="312">
        <v>1913</v>
      </c>
      <c r="K1020" s="312" t="s">
        <v>109</v>
      </c>
    </row>
    <row r="1021" spans="1:11">
      <c r="A1021" s="312" t="s">
        <v>3233</v>
      </c>
      <c r="B1021" s="312" t="s">
        <v>3234</v>
      </c>
      <c r="C1021" s="312" t="s">
        <v>105</v>
      </c>
      <c r="D1021" s="312" t="s">
        <v>114</v>
      </c>
      <c r="E1021" s="312" t="s">
        <v>107</v>
      </c>
      <c r="F1021" s="312">
        <v>1825</v>
      </c>
      <c r="G1021" s="312" t="s">
        <v>108</v>
      </c>
      <c r="H1021" s="312">
        <v>1827</v>
      </c>
      <c r="I1021" s="312" t="s">
        <v>107</v>
      </c>
      <c r="J1021" s="312">
        <v>1913</v>
      </c>
      <c r="K1021" s="312" t="s">
        <v>109</v>
      </c>
    </row>
    <row r="1022" spans="1:11">
      <c r="A1022" s="312" t="s">
        <v>3235</v>
      </c>
      <c r="B1022" s="312" t="s">
        <v>3236</v>
      </c>
      <c r="C1022" s="312" t="s">
        <v>105</v>
      </c>
      <c r="D1022" s="312" t="s">
        <v>114</v>
      </c>
      <c r="E1022" s="312" t="s">
        <v>107</v>
      </c>
      <c r="F1022" s="312">
        <v>1825</v>
      </c>
      <c r="G1022" s="312" t="s">
        <v>108</v>
      </c>
      <c r="H1022" s="312">
        <v>1827</v>
      </c>
      <c r="I1022" s="312" t="s">
        <v>107</v>
      </c>
      <c r="J1022" s="312">
        <v>1913</v>
      </c>
      <c r="K1022" s="312" t="s">
        <v>109</v>
      </c>
    </row>
    <row r="1023" spans="1:11">
      <c r="A1023" s="312" t="s">
        <v>3237</v>
      </c>
      <c r="B1023" s="312" t="s">
        <v>3238</v>
      </c>
      <c r="C1023" s="312" t="s">
        <v>105</v>
      </c>
      <c r="D1023" s="312" t="s">
        <v>114</v>
      </c>
      <c r="E1023" s="312" t="s">
        <v>107</v>
      </c>
      <c r="F1023" s="312">
        <v>1825</v>
      </c>
      <c r="G1023" s="312" t="s">
        <v>108</v>
      </c>
      <c r="H1023" s="312">
        <v>1827</v>
      </c>
      <c r="I1023" s="312" t="s">
        <v>107</v>
      </c>
      <c r="J1023" s="312">
        <v>1913</v>
      </c>
      <c r="K1023" s="312" t="s">
        <v>109</v>
      </c>
    </row>
    <row r="1024" spans="1:11">
      <c r="A1024" s="312" t="s">
        <v>3277</v>
      </c>
      <c r="B1024" s="312" t="s">
        <v>3278</v>
      </c>
      <c r="C1024" s="312" t="s">
        <v>105</v>
      </c>
      <c r="D1024" s="312" t="s">
        <v>114</v>
      </c>
      <c r="E1024" s="312" t="s">
        <v>107</v>
      </c>
      <c r="F1024" s="312">
        <v>1825</v>
      </c>
      <c r="G1024" s="312" t="s">
        <v>108</v>
      </c>
      <c r="H1024" s="312">
        <v>1827</v>
      </c>
      <c r="I1024" s="312" t="s">
        <v>107</v>
      </c>
      <c r="J1024" s="312">
        <v>1913</v>
      </c>
      <c r="K1024" s="312" t="s">
        <v>109</v>
      </c>
    </row>
    <row r="1025" spans="1:11">
      <c r="A1025" s="312" t="s">
        <v>3322</v>
      </c>
      <c r="B1025" s="312" t="s">
        <v>3323</v>
      </c>
      <c r="C1025" s="312" t="s">
        <v>105</v>
      </c>
      <c r="D1025" s="312" t="s">
        <v>114</v>
      </c>
      <c r="E1025" s="312" t="s">
        <v>107</v>
      </c>
      <c r="F1025" s="312">
        <v>1825</v>
      </c>
      <c r="G1025" s="312" t="s">
        <v>108</v>
      </c>
      <c r="H1025" s="312">
        <v>1827</v>
      </c>
      <c r="I1025" s="312" t="s">
        <v>107</v>
      </c>
      <c r="J1025" s="312">
        <v>1913</v>
      </c>
      <c r="K1025" s="312" t="s">
        <v>109</v>
      </c>
    </row>
    <row r="1026" spans="1:11">
      <c r="A1026" s="312" t="s">
        <v>3324</v>
      </c>
      <c r="B1026" s="312" t="s">
        <v>3325</v>
      </c>
      <c r="C1026" s="312" t="s">
        <v>105</v>
      </c>
      <c r="D1026" s="312" t="s">
        <v>114</v>
      </c>
      <c r="E1026" s="312" t="s">
        <v>107</v>
      </c>
      <c r="F1026" s="312">
        <v>1825</v>
      </c>
      <c r="G1026" s="312" t="s">
        <v>108</v>
      </c>
      <c r="H1026" s="312">
        <v>1827</v>
      </c>
      <c r="I1026" s="312" t="s">
        <v>107</v>
      </c>
      <c r="J1026" s="312">
        <v>1913</v>
      </c>
      <c r="K1026" s="312" t="s">
        <v>109</v>
      </c>
    </row>
    <row r="1027" spans="1:11">
      <c r="A1027" s="312" t="s">
        <v>3326</v>
      </c>
      <c r="B1027" s="312" t="s">
        <v>3327</v>
      </c>
      <c r="C1027" s="312" t="s">
        <v>105</v>
      </c>
      <c r="D1027" s="312" t="s">
        <v>114</v>
      </c>
      <c r="E1027" s="312" t="s">
        <v>107</v>
      </c>
      <c r="F1027" s="312">
        <v>1825</v>
      </c>
      <c r="G1027" s="312" t="s">
        <v>108</v>
      </c>
      <c r="H1027" s="312">
        <v>1827</v>
      </c>
      <c r="I1027" s="312" t="s">
        <v>107</v>
      </c>
      <c r="J1027" s="312">
        <v>1913</v>
      </c>
      <c r="K1027" s="312" t="s">
        <v>109</v>
      </c>
    </row>
    <row r="1028" spans="1:11">
      <c r="A1028" s="312" t="s">
        <v>3332</v>
      </c>
      <c r="B1028" s="312" t="s">
        <v>3333</v>
      </c>
      <c r="C1028" s="312" t="s">
        <v>105</v>
      </c>
      <c r="D1028" s="312" t="s">
        <v>114</v>
      </c>
      <c r="E1028" s="312" t="s">
        <v>107</v>
      </c>
      <c r="F1028" s="312">
        <v>1825</v>
      </c>
      <c r="G1028" s="312" t="s">
        <v>108</v>
      </c>
      <c r="H1028" s="312">
        <v>1827</v>
      </c>
      <c r="I1028" s="312" t="s">
        <v>107</v>
      </c>
      <c r="J1028" s="312">
        <v>1913</v>
      </c>
      <c r="K1028" s="312" t="s">
        <v>109</v>
      </c>
    </row>
    <row r="1029" spans="1:11">
      <c r="A1029" s="312" t="s">
        <v>3334</v>
      </c>
      <c r="B1029" s="312" t="s">
        <v>3335</v>
      </c>
      <c r="C1029" s="312" t="s">
        <v>105</v>
      </c>
      <c r="D1029" s="312" t="s">
        <v>114</v>
      </c>
      <c r="E1029" s="312" t="s">
        <v>107</v>
      </c>
      <c r="F1029" s="312">
        <v>1825</v>
      </c>
      <c r="G1029" s="312" t="s">
        <v>108</v>
      </c>
      <c r="H1029" s="312">
        <v>1827</v>
      </c>
      <c r="I1029" s="312" t="s">
        <v>107</v>
      </c>
      <c r="J1029" s="312">
        <v>1913</v>
      </c>
      <c r="K1029" s="312" t="s">
        <v>109</v>
      </c>
    </row>
    <row r="1030" spans="1:11">
      <c r="A1030" s="312" t="s">
        <v>3336</v>
      </c>
      <c r="B1030" s="1" t="s">
        <v>3337</v>
      </c>
      <c r="C1030" s="312" t="s">
        <v>105</v>
      </c>
      <c r="D1030" s="312" t="s">
        <v>114</v>
      </c>
      <c r="E1030" s="312" t="s">
        <v>107</v>
      </c>
      <c r="F1030" s="312">
        <v>1825</v>
      </c>
      <c r="G1030" s="312" t="s">
        <v>108</v>
      </c>
      <c r="H1030" s="312">
        <v>1827</v>
      </c>
      <c r="I1030" s="312" t="s">
        <v>107</v>
      </c>
      <c r="J1030" s="312">
        <v>1913</v>
      </c>
      <c r="K1030" s="312" t="s">
        <v>109</v>
      </c>
    </row>
    <row r="1031" spans="1:11">
      <c r="A1031" s="312" t="s">
        <v>3340</v>
      </c>
      <c r="B1031" s="312" t="s">
        <v>3341</v>
      </c>
      <c r="C1031" s="312" t="s">
        <v>105</v>
      </c>
      <c r="D1031" s="312" t="s">
        <v>114</v>
      </c>
      <c r="E1031" s="312" t="s">
        <v>107</v>
      </c>
      <c r="F1031" s="312">
        <v>1825</v>
      </c>
      <c r="G1031" s="312" t="s">
        <v>108</v>
      </c>
      <c r="H1031" s="312">
        <v>1827</v>
      </c>
      <c r="I1031" s="312" t="s">
        <v>107</v>
      </c>
      <c r="J1031" s="312">
        <v>1913</v>
      </c>
      <c r="K1031" s="312" t="s">
        <v>109</v>
      </c>
    </row>
    <row r="1032" spans="1:11">
      <c r="A1032" s="312" t="s">
        <v>3342</v>
      </c>
      <c r="B1032" s="312" t="s">
        <v>3343</v>
      </c>
      <c r="C1032" s="312" t="s">
        <v>105</v>
      </c>
      <c r="D1032" s="312" t="s">
        <v>114</v>
      </c>
      <c r="E1032" s="312" t="s">
        <v>107</v>
      </c>
      <c r="F1032" s="312">
        <v>1825</v>
      </c>
      <c r="G1032" s="312" t="s">
        <v>108</v>
      </c>
      <c r="H1032" s="312">
        <v>1827</v>
      </c>
      <c r="I1032" s="312" t="s">
        <v>107</v>
      </c>
      <c r="J1032" s="312">
        <v>1913</v>
      </c>
      <c r="K1032" s="312" t="s">
        <v>109</v>
      </c>
    </row>
    <row r="1033" spans="1:11">
      <c r="A1033" s="312" t="s">
        <v>3346</v>
      </c>
      <c r="B1033" s="312" t="s">
        <v>3347</v>
      </c>
      <c r="C1033" s="312" t="s">
        <v>105</v>
      </c>
      <c r="D1033" s="312" t="s">
        <v>114</v>
      </c>
      <c r="E1033" s="312" t="s">
        <v>107</v>
      </c>
      <c r="F1033" s="312">
        <v>1825</v>
      </c>
      <c r="G1033" s="312" t="s">
        <v>108</v>
      </c>
      <c r="H1033" s="312">
        <v>1827</v>
      </c>
      <c r="I1033" s="312" t="s">
        <v>107</v>
      </c>
      <c r="J1033" s="312">
        <v>1913</v>
      </c>
      <c r="K1033" s="312" t="s">
        <v>109</v>
      </c>
    </row>
    <row r="1034" spans="1:11">
      <c r="A1034" s="312" t="s">
        <v>3348</v>
      </c>
      <c r="B1034" s="312" t="s">
        <v>3349</v>
      </c>
      <c r="C1034" s="312" t="s">
        <v>105</v>
      </c>
      <c r="D1034" s="312" t="s">
        <v>114</v>
      </c>
      <c r="E1034" s="312" t="s">
        <v>107</v>
      </c>
      <c r="F1034" s="312">
        <v>1825</v>
      </c>
      <c r="G1034" s="312" t="s">
        <v>108</v>
      </c>
      <c r="H1034" s="312">
        <v>1827</v>
      </c>
      <c r="I1034" s="312" t="s">
        <v>107</v>
      </c>
      <c r="J1034" s="312">
        <v>1913</v>
      </c>
      <c r="K1034" s="312" t="s">
        <v>109</v>
      </c>
    </row>
    <row r="1035" spans="1:11">
      <c r="A1035" s="312" t="s">
        <v>3350</v>
      </c>
      <c r="B1035" s="312" t="s">
        <v>3351</v>
      </c>
      <c r="C1035" s="312" t="s">
        <v>105</v>
      </c>
      <c r="D1035" s="312" t="s">
        <v>114</v>
      </c>
      <c r="E1035" s="312" t="s">
        <v>107</v>
      </c>
      <c r="F1035" s="312">
        <v>1825</v>
      </c>
      <c r="G1035" s="312" t="s">
        <v>108</v>
      </c>
      <c r="H1035" s="312">
        <v>1827</v>
      </c>
      <c r="I1035" s="312" t="s">
        <v>107</v>
      </c>
      <c r="J1035" s="312">
        <v>1913</v>
      </c>
      <c r="K1035" s="312" t="s">
        <v>109</v>
      </c>
    </row>
    <row r="1036" spans="1:11">
      <c r="A1036" s="312" t="s">
        <v>3352</v>
      </c>
      <c r="B1036" s="312" t="s">
        <v>3353</v>
      </c>
      <c r="C1036" s="312" t="s">
        <v>105</v>
      </c>
      <c r="D1036" s="312" t="s">
        <v>114</v>
      </c>
      <c r="E1036" s="312" t="s">
        <v>107</v>
      </c>
      <c r="F1036" s="312">
        <v>1825</v>
      </c>
      <c r="G1036" s="312" t="s">
        <v>108</v>
      </c>
      <c r="H1036" s="312">
        <v>1827</v>
      </c>
      <c r="I1036" s="312" t="s">
        <v>107</v>
      </c>
      <c r="J1036" s="312">
        <v>1913</v>
      </c>
      <c r="K1036" s="312" t="s">
        <v>109</v>
      </c>
    </row>
    <row r="1037" spans="1:11">
      <c r="A1037" s="312" t="s">
        <v>3354</v>
      </c>
      <c r="B1037" s="312" t="s">
        <v>3355</v>
      </c>
      <c r="C1037" s="312" t="s">
        <v>105</v>
      </c>
      <c r="D1037" s="312" t="s">
        <v>114</v>
      </c>
      <c r="E1037" s="312" t="s">
        <v>107</v>
      </c>
      <c r="F1037" s="312">
        <v>1825</v>
      </c>
      <c r="G1037" s="312" t="s">
        <v>108</v>
      </c>
      <c r="H1037" s="312">
        <v>1827</v>
      </c>
      <c r="I1037" s="312" t="s">
        <v>107</v>
      </c>
      <c r="J1037" s="312">
        <v>1913</v>
      </c>
      <c r="K1037" s="312" t="s">
        <v>109</v>
      </c>
    </row>
    <row r="1038" spans="1:11">
      <c r="A1038" s="312" t="s">
        <v>3446</v>
      </c>
      <c r="B1038" s="312" t="s">
        <v>3447</v>
      </c>
      <c r="C1038" s="312" t="s">
        <v>105</v>
      </c>
      <c r="D1038" s="312" t="s">
        <v>114</v>
      </c>
      <c r="E1038" s="312" t="s">
        <v>107</v>
      </c>
      <c r="F1038" s="312">
        <v>1825</v>
      </c>
      <c r="G1038" s="312" t="s">
        <v>108</v>
      </c>
      <c r="H1038" s="312">
        <v>1827</v>
      </c>
      <c r="I1038" s="312" t="s">
        <v>107</v>
      </c>
      <c r="J1038" s="312">
        <v>1913</v>
      </c>
      <c r="K1038" s="312" t="s">
        <v>109</v>
      </c>
    </row>
    <row r="1039" spans="1:11">
      <c r="A1039" s="312" t="s">
        <v>3448</v>
      </c>
      <c r="B1039" s="312" t="s">
        <v>3449</v>
      </c>
      <c r="C1039" s="312" t="s">
        <v>105</v>
      </c>
      <c r="D1039" s="312" t="s">
        <v>114</v>
      </c>
      <c r="E1039" s="312" t="s">
        <v>107</v>
      </c>
      <c r="F1039" s="312">
        <v>1825</v>
      </c>
      <c r="G1039" s="312" t="s">
        <v>108</v>
      </c>
      <c r="H1039" s="312">
        <v>1827</v>
      </c>
      <c r="I1039" s="312" t="s">
        <v>107</v>
      </c>
      <c r="J1039" s="312">
        <v>1913</v>
      </c>
      <c r="K1039" s="312" t="s">
        <v>109</v>
      </c>
    </row>
    <row r="1040" spans="1:11">
      <c r="A1040" s="312" t="s">
        <v>3450</v>
      </c>
      <c r="B1040" s="312" t="s">
        <v>3451</v>
      </c>
      <c r="C1040" s="312" t="s">
        <v>105</v>
      </c>
      <c r="D1040" s="312" t="s">
        <v>114</v>
      </c>
      <c r="E1040" s="312" t="s">
        <v>107</v>
      </c>
      <c r="F1040" s="312">
        <v>1825</v>
      </c>
      <c r="G1040" s="312" t="s">
        <v>108</v>
      </c>
      <c r="H1040" s="312">
        <v>1827</v>
      </c>
      <c r="I1040" s="312" t="s">
        <v>107</v>
      </c>
      <c r="J1040" s="312">
        <v>1913</v>
      </c>
      <c r="K1040" s="312" t="s">
        <v>109</v>
      </c>
    </row>
    <row r="1041" spans="1:11">
      <c r="A1041" s="312" t="s">
        <v>3452</v>
      </c>
      <c r="B1041" s="312" t="s">
        <v>3453</v>
      </c>
      <c r="C1041" s="312" t="s">
        <v>105</v>
      </c>
      <c r="D1041" s="312" t="s">
        <v>114</v>
      </c>
      <c r="E1041" s="312" t="s">
        <v>107</v>
      </c>
      <c r="F1041" s="312">
        <v>1825</v>
      </c>
      <c r="G1041" s="312" t="s">
        <v>108</v>
      </c>
      <c r="H1041" s="312">
        <v>1827</v>
      </c>
      <c r="I1041" s="312" t="s">
        <v>107</v>
      </c>
      <c r="J1041" s="312">
        <v>1913</v>
      </c>
      <c r="K1041" s="312" t="s">
        <v>109</v>
      </c>
    </row>
    <row r="1042" spans="1:11">
      <c r="A1042" s="312" t="s">
        <v>3468</v>
      </c>
      <c r="B1042" s="312" t="s">
        <v>3469</v>
      </c>
      <c r="C1042" s="312" t="s">
        <v>105</v>
      </c>
      <c r="D1042" s="312" t="s">
        <v>114</v>
      </c>
      <c r="E1042" s="312" t="s">
        <v>107</v>
      </c>
      <c r="F1042" s="312">
        <v>1825</v>
      </c>
      <c r="G1042" s="312" t="s">
        <v>108</v>
      </c>
      <c r="H1042" s="312">
        <v>1827</v>
      </c>
      <c r="I1042" s="312" t="s">
        <v>107</v>
      </c>
      <c r="J1042" s="312">
        <v>1913</v>
      </c>
      <c r="K1042" s="312" t="s">
        <v>109</v>
      </c>
    </row>
    <row r="1043" spans="1:11">
      <c r="A1043" s="312" t="s">
        <v>3487</v>
      </c>
      <c r="B1043" s="312" t="s">
        <v>3488</v>
      </c>
      <c r="C1043" s="312" t="s">
        <v>105</v>
      </c>
      <c r="D1043" s="312" t="s">
        <v>114</v>
      </c>
      <c r="E1043" s="312" t="s">
        <v>107</v>
      </c>
      <c r="F1043" s="312">
        <v>1825</v>
      </c>
      <c r="G1043" s="312" t="s">
        <v>108</v>
      </c>
      <c r="H1043" s="312">
        <v>1827</v>
      </c>
      <c r="I1043" s="312" t="s">
        <v>107</v>
      </c>
      <c r="J1043" s="312">
        <v>1913</v>
      </c>
      <c r="K1043" s="312" t="s">
        <v>109</v>
      </c>
    </row>
    <row r="1044" spans="1:11">
      <c r="A1044" s="312" t="s">
        <v>3527</v>
      </c>
      <c r="B1044" s="312" t="s">
        <v>3528</v>
      </c>
      <c r="C1044" s="312" t="s">
        <v>105</v>
      </c>
      <c r="D1044" s="312" t="s">
        <v>114</v>
      </c>
      <c r="E1044" s="312" t="s">
        <v>107</v>
      </c>
      <c r="F1044" s="312">
        <v>1825</v>
      </c>
      <c r="G1044" s="312" t="s">
        <v>108</v>
      </c>
      <c r="H1044" s="312">
        <v>1827</v>
      </c>
      <c r="I1044" s="312" t="s">
        <v>107</v>
      </c>
      <c r="J1044" s="312">
        <v>1913</v>
      </c>
      <c r="K1044" s="312" t="s">
        <v>109</v>
      </c>
    </row>
    <row r="1045" spans="1:11">
      <c r="A1045" s="312" t="s">
        <v>3529</v>
      </c>
      <c r="B1045" s="1" t="s">
        <v>3530</v>
      </c>
      <c r="C1045" s="312" t="s">
        <v>105</v>
      </c>
      <c r="D1045" s="312" t="s">
        <v>114</v>
      </c>
      <c r="E1045" s="312" t="s">
        <v>107</v>
      </c>
      <c r="F1045" s="312">
        <v>1825</v>
      </c>
      <c r="G1045" s="312" t="s">
        <v>108</v>
      </c>
      <c r="H1045" s="312">
        <v>1827</v>
      </c>
      <c r="I1045" s="312" t="s">
        <v>107</v>
      </c>
      <c r="J1045" s="312">
        <v>1913</v>
      </c>
      <c r="K1045" s="312" t="s">
        <v>109</v>
      </c>
    </row>
    <row r="1046" spans="1:11">
      <c r="A1046" s="312" t="s">
        <v>3533</v>
      </c>
      <c r="B1046" s="312" t="s">
        <v>3534</v>
      </c>
      <c r="C1046" s="312" t="s">
        <v>105</v>
      </c>
      <c r="D1046" s="312" t="s">
        <v>114</v>
      </c>
      <c r="E1046" s="312" t="s">
        <v>107</v>
      </c>
      <c r="F1046" s="312">
        <v>1825</v>
      </c>
      <c r="G1046" s="312" t="s">
        <v>108</v>
      </c>
      <c r="H1046" s="312">
        <v>1827</v>
      </c>
      <c r="I1046" s="312" t="s">
        <v>107</v>
      </c>
      <c r="J1046" s="312">
        <v>1913</v>
      </c>
      <c r="K1046" s="312" t="s">
        <v>109</v>
      </c>
    </row>
    <row r="1047" spans="1:11">
      <c r="A1047" s="312" t="s">
        <v>3549</v>
      </c>
      <c r="B1047" s="312" t="s">
        <v>3550</v>
      </c>
      <c r="C1047" s="312" t="s">
        <v>105</v>
      </c>
      <c r="D1047" s="312" t="s">
        <v>114</v>
      </c>
      <c r="E1047" s="312" t="s">
        <v>107</v>
      </c>
      <c r="F1047" s="312">
        <v>1825</v>
      </c>
      <c r="G1047" s="312" t="s">
        <v>108</v>
      </c>
      <c r="H1047" s="312">
        <v>1827</v>
      </c>
      <c r="I1047" s="312" t="s">
        <v>107</v>
      </c>
      <c r="J1047" s="312">
        <v>1913</v>
      </c>
      <c r="K1047" s="312" t="s">
        <v>109</v>
      </c>
    </row>
    <row r="1048" spans="1:11">
      <c r="A1048" s="312" t="s">
        <v>3553</v>
      </c>
      <c r="B1048" s="312" t="s">
        <v>3554</v>
      </c>
      <c r="C1048" s="312" t="s">
        <v>105</v>
      </c>
      <c r="D1048" s="312" t="s">
        <v>114</v>
      </c>
      <c r="E1048" s="312" t="s">
        <v>107</v>
      </c>
      <c r="F1048" s="312">
        <v>1825</v>
      </c>
      <c r="G1048" s="312" t="s">
        <v>108</v>
      </c>
      <c r="H1048" s="312">
        <v>1827</v>
      </c>
      <c r="I1048" s="312" t="s">
        <v>107</v>
      </c>
      <c r="J1048" s="312">
        <v>1913</v>
      </c>
      <c r="K1048" s="312" t="s">
        <v>109</v>
      </c>
    </row>
    <row r="1049" spans="1:11">
      <c r="A1049" s="312" t="s">
        <v>3557</v>
      </c>
      <c r="B1049" s="312" t="s">
        <v>3558</v>
      </c>
      <c r="C1049" s="312" t="s">
        <v>105</v>
      </c>
      <c r="D1049" s="312" t="s">
        <v>114</v>
      </c>
      <c r="E1049" s="312" t="s">
        <v>107</v>
      </c>
      <c r="F1049" s="312">
        <v>1825</v>
      </c>
      <c r="G1049" s="312" t="s">
        <v>108</v>
      </c>
      <c r="H1049" s="312">
        <v>1827</v>
      </c>
      <c r="I1049" s="312" t="s">
        <v>107</v>
      </c>
      <c r="J1049" s="312">
        <v>1913</v>
      </c>
      <c r="K1049" s="312" t="s">
        <v>109</v>
      </c>
    </row>
    <row r="1050" spans="1:11">
      <c r="A1050" s="312" t="s">
        <v>3559</v>
      </c>
      <c r="B1050" s="312" t="s">
        <v>3560</v>
      </c>
      <c r="C1050" s="312" t="s">
        <v>105</v>
      </c>
      <c r="D1050" s="312" t="s">
        <v>114</v>
      </c>
      <c r="E1050" s="312" t="s">
        <v>107</v>
      </c>
      <c r="F1050" s="312">
        <v>1825</v>
      </c>
      <c r="G1050" s="312" t="s">
        <v>108</v>
      </c>
      <c r="H1050" s="312">
        <v>1827</v>
      </c>
      <c r="I1050" s="312" t="s">
        <v>107</v>
      </c>
      <c r="J1050" s="312">
        <v>1913</v>
      </c>
      <c r="K1050" s="312" t="s">
        <v>109</v>
      </c>
    </row>
    <row r="1051" spans="1:11">
      <c r="A1051" s="312" t="s">
        <v>3561</v>
      </c>
      <c r="B1051" s="312" t="s">
        <v>3562</v>
      </c>
      <c r="C1051" s="312" t="s">
        <v>105</v>
      </c>
      <c r="D1051" s="312" t="s">
        <v>114</v>
      </c>
      <c r="E1051" s="312" t="s">
        <v>107</v>
      </c>
      <c r="F1051" s="312">
        <v>1825</v>
      </c>
      <c r="G1051" s="312" t="s">
        <v>108</v>
      </c>
      <c r="H1051" s="312">
        <v>1827</v>
      </c>
      <c r="I1051" s="312" t="s">
        <v>107</v>
      </c>
      <c r="J1051" s="312">
        <v>1913</v>
      </c>
      <c r="K1051" s="312" t="s">
        <v>109</v>
      </c>
    </row>
    <row r="1052" spans="1:11">
      <c r="A1052" s="312" t="s">
        <v>3563</v>
      </c>
      <c r="B1052" s="312" t="s">
        <v>3564</v>
      </c>
      <c r="C1052" s="312" t="s">
        <v>105</v>
      </c>
      <c r="D1052" s="312" t="s">
        <v>114</v>
      </c>
      <c r="E1052" s="312" t="s">
        <v>107</v>
      </c>
      <c r="F1052" s="312">
        <v>1825</v>
      </c>
      <c r="G1052" s="312" t="s">
        <v>108</v>
      </c>
      <c r="H1052" s="312">
        <v>1827</v>
      </c>
      <c r="I1052" s="312" t="s">
        <v>107</v>
      </c>
      <c r="J1052" s="312">
        <v>1913</v>
      </c>
      <c r="K1052" s="312" t="s">
        <v>109</v>
      </c>
    </row>
    <row r="1053" spans="1:11">
      <c r="A1053" s="312" t="s">
        <v>3565</v>
      </c>
      <c r="B1053" s="312" t="s">
        <v>3566</v>
      </c>
      <c r="C1053" s="312" t="s">
        <v>105</v>
      </c>
      <c r="D1053" s="312" t="s">
        <v>114</v>
      </c>
      <c r="E1053" s="312" t="s">
        <v>107</v>
      </c>
      <c r="F1053" s="312">
        <v>1825</v>
      </c>
      <c r="G1053" s="312" t="s">
        <v>108</v>
      </c>
      <c r="H1053" s="312">
        <v>1827</v>
      </c>
      <c r="I1053" s="312" t="s">
        <v>107</v>
      </c>
      <c r="J1053" s="312">
        <v>1913</v>
      </c>
      <c r="K1053" s="312" t="s">
        <v>109</v>
      </c>
    </row>
    <row r="1054" spans="1:11">
      <c r="A1054" s="312" t="s">
        <v>3567</v>
      </c>
      <c r="B1054" s="312" t="s">
        <v>3568</v>
      </c>
      <c r="C1054" s="312" t="s">
        <v>105</v>
      </c>
      <c r="D1054" s="312" t="s">
        <v>114</v>
      </c>
      <c r="E1054" s="312" t="s">
        <v>107</v>
      </c>
      <c r="F1054" s="312">
        <v>1825</v>
      </c>
      <c r="G1054" s="312" t="s">
        <v>108</v>
      </c>
      <c r="H1054" s="312">
        <v>1827</v>
      </c>
      <c r="I1054" s="312" t="s">
        <v>107</v>
      </c>
      <c r="J1054" s="312">
        <v>1913</v>
      </c>
      <c r="K1054" s="312" t="s">
        <v>109</v>
      </c>
    </row>
    <row r="1055" spans="1:11">
      <c r="A1055" s="312" t="s">
        <v>3569</v>
      </c>
      <c r="B1055" s="312" t="s">
        <v>3570</v>
      </c>
      <c r="C1055" s="312" t="s">
        <v>105</v>
      </c>
      <c r="D1055" s="312" t="s">
        <v>114</v>
      </c>
      <c r="E1055" s="312" t="s">
        <v>107</v>
      </c>
      <c r="F1055" s="312">
        <v>1825</v>
      </c>
      <c r="G1055" s="312" t="s">
        <v>108</v>
      </c>
      <c r="H1055" s="312">
        <v>1827</v>
      </c>
      <c r="I1055" s="312" t="s">
        <v>107</v>
      </c>
      <c r="J1055" s="312">
        <v>1913</v>
      </c>
      <c r="K1055" s="312" t="s">
        <v>109</v>
      </c>
    </row>
    <row r="1056" spans="1:11">
      <c r="A1056" s="312" t="s">
        <v>3571</v>
      </c>
      <c r="B1056" s="312" t="s">
        <v>3572</v>
      </c>
      <c r="C1056" s="312" t="s">
        <v>105</v>
      </c>
      <c r="D1056" s="312" t="s">
        <v>114</v>
      </c>
      <c r="E1056" s="312" t="s">
        <v>107</v>
      </c>
      <c r="F1056" s="312">
        <v>1825</v>
      </c>
      <c r="G1056" s="312" t="s">
        <v>108</v>
      </c>
      <c r="H1056" s="312">
        <v>1827</v>
      </c>
      <c r="I1056" s="312" t="s">
        <v>107</v>
      </c>
      <c r="J1056" s="312">
        <v>1913</v>
      </c>
      <c r="K1056" s="312" t="s">
        <v>109</v>
      </c>
    </row>
    <row r="1057" spans="1:11">
      <c r="A1057" s="312" t="s">
        <v>3573</v>
      </c>
      <c r="B1057" s="312" t="s">
        <v>3574</v>
      </c>
      <c r="C1057" s="312" t="s">
        <v>105</v>
      </c>
      <c r="D1057" s="312" t="s">
        <v>114</v>
      </c>
      <c r="E1057" s="312" t="s">
        <v>107</v>
      </c>
      <c r="F1057" s="312">
        <v>1825</v>
      </c>
      <c r="G1057" s="312" t="s">
        <v>108</v>
      </c>
      <c r="H1057" s="312">
        <v>1827</v>
      </c>
      <c r="I1057" s="312" t="s">
        <v>107</v>
      </c>
      <c r="J1057" s="312">
        <v>1913</v>
      </c>
      <c r="K1057" s="312" t="s">
        <v>109</v>
      </c>
    </row>
    <row r="1058" spans="1:11">
      <c r="A1058" s="312" t="s">
        <v>3586</v>
      </c>
      <c r="B1058" s="312" t="s">
        <v>3587</v>
      </c>
      <c r="C1058" s="312" t="s">
        <v>105</v>
      </c>
      <c r="D1058" s="312" t="s">
        <v>114</v>
      </c>
      <c r="E1058" s="312" t="s">
        <v>107</v>
      </c>
      <c r="F1058" s="312">
        <v>1825</v>
      </c>
      <c r="G1058" s="312" t="s">
        <v>108</v>
      </c>
      <c r="H1058" s="312">
        <v>1827</v>
      </c>
      <c r="I1058" s="312" t="s">
        <v>107</v>
      </c>
      <c r="J1058" s="312">
        <v>1913</v>
      </c>
      <c r="K1058" s="312" t="s">
        <v>109</v>
      </c>
    </row>
    <row r="1059" spans="1:11">
      <c r="A1059" s="312" t="s">
        <v>3588</v>
      </c>
      <c r="B1059" s="312" t="s">
        <v>3589</v>
      </c>
      <c r="C1059" s="312" t="s">
        <v>105</v>
      </c>
      <c r="D1059" s="312" t="s">
        <v>114</v>
      </c>
      <c r="E1059" s="312" t="s">
        <v>107</v>
      </c>
      <c r="F1059" s="312">
        <v>1825</v>
      </c>
      <c r="G1059" s="312" t="s">
        <v>108</v>
      </c>
      <c r="H1059" s="312">
        <v>1827</v>
      </c>
      <c r="I1059" s="312" t="s">
        <v>107</v>
      </c>
      <c r="J1059" s="312">
        <v>1913</v>
      </c>
      <c r="K1059" s="312" t="s">
        <v>109</v>
      </c>
    </row>
    <row r="1060" spans="1:11">
      <c r="A1060" s="312" t="s">
        <v>3590</v>
      </c>
      <c r="B1060" s="312" t="s">
        <v>3591</v>
      </c>
      <c r="C1060" s="312" t="s">
        <v>105</v>
      </c>
      <c r="D1060" s="312" t="s">
        <v>114</v>
      </c>
      <c r="E1060" s="312" t="s">
        <v>107</v>
      </c>
      <c r="F1060" s="312">
        <v>1825</v>
      </c>
      <c r="G1060" s="312" t="s">
        <v>108</v>
      </c>
      <c r="H1060" s="312">
        <v>1827</v>
      </c>
      <c r="I1060" s="312" t="s">
        <v>107</v>
      </c>
      <c r="J1060" s="312">
        <v>1913</v>
      </c>
      <c r="K1060" s="312" t="s">
        <v>109</v>
      </c>
    </row>
    <row r="1061" spans="1:11">
      <c r="A1061" s="312" t="s">
        <v>3592</v>
      </c>
      <c r="B1061" s="312" t="s">
        <v>3593</v>
      </c>
      <c r="C1061" s="312" t="s">
        <v>105</v>
      </c>
      <c r="D1061" s="312" t="s">
        <v>114</v>
      </c>
      <c r="E1061" s="312" t="s">
        <v>107</v>
      </c>
      <c r="F1061" s="312">
        <v>1825</v>
      </c>
      <c r="G1061" s="312" t="s">
        <v>108</v>
      </c>
      <c r="H1061" s="312">
        <v>1827</v>
      </c>
      <c r="I1061" s="312" t="s">
        <v>107</v>
      </c>
      <c r="J1061" s="312">
        <v>1913</v>
      </c>
      <c r="K1061" s="312" t="s">
        <v>109</v>
      </c>
    </row>
    <row r="1062" spans="1:11">
      <c r="A1062" s="312" t="s">
        <v>3594</v>
      </c>
      <c r="B1062" s="312" t="s">
        <v>3595</v>
      </c>
      <c r="C1062" s="312" t="s">
        <v>105</v>
      </c>
      <c r="D1062" s="312" t="s">
        <v>114</v>
      </c>
      <c r="E1062" s="312" t="s">
        <v>107</v>
      </c>
      <c r="F1062" s="312">
        <v>1825</v>
      </c>
      <c r="G1062" s="312" t="s">
        <v>108</v>
      </c>
      <c r="H1062" s="312">
        <v>1827</v>
      </c>
      <c r="I1062" s="312" t="s">
        <v>107</v>
      </c>
      <c r="J1062" s="312">
        <v>1913</v>
      </c>
      <c r="K1062" s="312" t="s">
        <v>109</v>
      </c>
    </row>
    <row r="1063" spans="1:11">
      <c r="A1063" s="312" t="s">
        <v>3596</v>
      </c>
      <c r="B1063" s="312" t="s">
        <v>3597</v>
      </c>
      <c r="C1063" s="312" t="s">
        <v>105</v>
      </c>
      <c r="D1063" s="312" t="s">
        <v>114</v>
      </c>
      <c r="E1063" s="312" t="s">
        <v>107</v>
      </c>
      <c r="F1063" s="312">
        <v>1825</v>
      </c>
      <c r="G1063" s="312" t="s">
        <v>108</v>
      </c>
      <c r="H1063" s="312">
        <v>1827</v>
      </c>
      <c r="I1063" s="312" t="s">
        <v>107</v>
      </c>
      <c r="J1063" s="312">
        <v>1913</v>
      </c>
      <c r="K1063" s="312" t="s">
        <v>109</v>
      </c>
    </row>
    <row r="1064" spans="1:11">
      <c r="A1064" s="312" t="s">
        <v>3626</v>
      </c>
      <c r="B1064" s="312" t="s">
        <v>3627</v>
      </c>
      <c r="C1064" s="312" t="s">
        <v>105</v>
      </c>
      <c r="D1064" s="312" t="s">
        <v>114</v>
      </c>
      <c r="E1064" s="312" t="s">
        <v>107</v>
      </c>
      <c r="F1064" s="312">
        <v>1825</v>
      </c>
      <c r="G1064" s="312" t="s">
        <v>108</v>
      </c>
      <c r="H1064" s="312">
        <v>1827</v>
      </c>
      <c r="I1064" s="312" t="s">
        <v>107</v>
      </c>
      <c r="J1064" s="312">
        <v>1913</v>
      </c>
      <c r="K1064" s="312" t="s">
        <v>109</v>
      </c>
    </row>
    <row r="1065" spans="1:11">
      <c r="A1065" s="312" t="s">
        <v>3636</v>
      </c>
      <c r="B1065" s="312" t="s">
        <v>3637</v>
      </c>
      <c r="C1065" s="312" t="s">
        <v>105</v>
      </c>
      <c r="D1065" s="312" t="s">
        <v>114</v>
      </c>
      <c r="E1065" s="312" t="s">
        <v>107</v>
      </c>
      <c r="F1065" s="312">
        <v>1825</v>
      </c>
      <c r="G1065" s="312" t="s">
        <v>108</v>
      </c>
      <c r="H1065" s="312">
        <v>1827</v>
      </c>
      <c r="I1065" s="312" t="s">
        <v>107</v>
      </c>
      <c r="J1065" s="312">
        <v>1913</v>
      </c>
      <c r="K1065" s="312" t="s">
        <v>109</v>
      </c>
    </row>
    <row r="1066" spans="1:11">
      <c r="A1066" s="312" t="s">
        <v>3638</v>
      </c>
      <c r="B1066" s="312" t="s">
        <v>3639</v>
      </c>
      <c r="C1066" s="312" t="s">
        <v>105</v>
      </c>
      <c r="D1066" s="312" t="s">
        <v>114</v>
      </c>
      <c r="E1066" s="312" t="s">
        <v>107</v>
      </c>
      <c r="F1066" s="312">
        <v>1825</v>
      </c>
      <c r="G1066" s="312" t="s">
        <v>108</v>
      </c>
      <c r="H1066" s="312">
        <v>1827</v>
      </c>
      <c r="I1066" s="312" t="s">
        <v>107</v>
      </c>
      <c r="J1066" s="312">
        <v>1913</v>
      </c>
      <c r="K1066" s="312" t="s">
        <v>109</v>
      </c>
    </row>
    <row r="1067" spans="1:11">
      <c r="A1067" s="312" t="s">
        <v>3640</v>
      </c>
      <c r="B1067" s="312" t="s">
        <v>3641</v>
      </c>
      <c r="C1067" s="312" t="s">
        <v>105</v>
      </c>
      <c r="D1067" s="312" t="s">
        <v>114</v>
      </c>
      <c r="E1067" s="312" t="s">
        <v>107</v>
      </c>
      <c r="F1067" s="312">
        <v>1825</v>
      </c>
      <c r="G1067" s="312" t="s">
        <v>108</v>
      </c>
      <c r="H1067" s="312">
        <v>1827</v>
      </c>
      <c r="I1067" s="312" t="s">
        <v>107</v>
      </c>
      <c r="J1067" s="312">
        <v>1913</v>
      </c>
      <c r="K1067" s="312" t="s">
        <v>109</v>
      </c>
    </row>
    <row r="1068" spans="1:11">
      <c r="A1068" s="312" t="s">
        <v>3644</v>
      </c>
      <c r="B1068" s="312" t="s">
        <v>3645</v>
      </c>
      <c r="C1068" s="312" t="s">
        <v>105</v>
      </c>
      <c r="D1068" s="312" t="s">
        <v>114</v>
      </c>
      <c r="E1068" s="312" t="s">
        <v>107</v>
      </c>
      <c r="F1068" s="312">
        <v>1825</v>
      </c>
      <c r="G1068" s="312" t="s">
        <v>108</v>
      </c>
      <c r="H1068" s="312">
        <v>1827</v>
      </c>
      <c r="I1068" s="312" t="s">
        <v>107</v>
      </c>
      <c r="J1068" s="312">
        <v>1913</v>
      </c>
      <c r="K1068" s="312" t="s">
        <v>109</v>
      </c>
    </row>
    <row r="1069" spans="1:11">
      <c r="A1069" s="312" t="s">
        <v>3669</v>
      </c>
      <c r="B1069" s="312" t="s">
        <v>3670</v>
      </c>
      <c r="C1069" s="312" t="s">
        <v>105</v>
      </c>
      <c r="D1069" s="312" t="s">
        <v>114</v>
      </c>
      <c r="E1069" s="312" t="s">
        <v>107</v>
      </c>
      <c r="F1069" s="312">
        <v>1825</v>
      </c>
      <c r="G1069" s="312" t="s">
        <v>108</v>
      </c>
      <c r="H1069" s="312">
        <v>1827</v>
      </c>
      <c r="I1069" s="312" t="s">
        <v>107</v>
      </c>
      <c r="J1069" s="312">
        <v>1913</v>
      </c>
      <c r="K1069" s="312" t="s">
        <v>109</v>
      </c>
    </row>
    <row r="1070" spans="1:11">
      <c r="A1070" s="312" t="s">
        <v>3749</v>
      </c>
      <c r="B1070" s="312" t="s">
        <v>3750</v>
      </c>
      <c r="C1070" s="312" t="s">
        <v>105</v>
      </c>
      <c r="D1070" s="312" t="s">
        <v>114</v>
      </c>
      <c r="E1070" s="312" t="s">
        <v>107</v>
      </c>
      <c r="F1070" s="312">
        <v>1825</v>
      </c>
      <c r="G1070" s="312" t="s">
        <v>108</v>
      </c>
      <c r="H1070" s="312">
        <v>1827</v>
      </c>
      <c r="I1070" s="312" t="s">
        <v>107</v>
      </c>
      <c r="J1070" s="312">
        <v>1913</v>
      </c>
      <c r="K1070" s="312" t="s">
        <v>109</v>
      </c>
    </row>
    <row r="1071" spans="1:11">
      <c r="A1071" s="312" t="s">
        <v>3775</v>
      </c>
      <c r="B1071" s="312" t="s">
        <v>3776</v>
      </c>
      <c r="C1071" s="312" t="s">
        <v>105</v>
      </c>
      <c r="D1071" s="312" t="s">
        <v>114</v>
      </c>
      <c r="E1071" s="312" t="s">
        <v>107</v>
      </c>
      <c r="F1071" s="312">
        <v>1825</v>
      </c>
      <c r="G1071" s="312" t="s">
        <v>108</v>
      </c>
      <c r="H1071" s="312">
        <v>1827</v>
      </c>
      <c r="I1071" s="312" t="s">
        <v>107</v>
      </c>
      <c r="J1071" s="312">
        <v>1913</v>
      </c>
      <c r="K1071" s="312" t="s">
        <v>109</v>
      </c>
    </row>
    <row r="1072" spans="1:11">
      <c r="A1072" s="312" t="s">
        <v>3781</v>
      </c>
      <c r="B1072" s="312" t="s">
        <v>3782</v>
      </c>
      <c r="C1072" s="312" t="s">
        <v>105</v>
      </c>
      <c r="D1072" s="312" t="s">
        <v>114</v>
      </c>
      <c r="E1072" s="312" t="s">
        <v>107</v>
      </c>
      <c r="F1072" s="312">
        <v>1825</v>
      </c>
      <c r="G1072" s="312" t="s">
        <v>108</v>
      </c>
      <c r="H1072" s="312">
        <v>1827</v>
      </c>
      <c r="I1072" s="312" t="s">
        <v>107</v>
      </c>
      <c r="J1072" s="312">
        <v>1913</v>
      </c>
      <c r="K1072" s="312" t="s">
        <v>109</v>
      </c>
    </row>
    <row r="1073" spans="1:11">
      <c r="A1073" s="312" t="s">
        <v>3783</v>
      </c>
      <c r="B1073" s="312" t="s">
        <v>3784</v>
      </c>
      <c r="C1073" s="312" t="s">
        <v>105</v>
      </c>
      <c r="D1073" s="312" t="s">
        <v>114</v>
      </c>
      <c r="E1073" s="312" t="s">
        <v>107</v>
      </c>
      <c r="F1073" s="312">
        <v>1825</v>
      </c>
      <c r="G1073" s="312" t="s">
        <v>108</v>
      </c>
      <c r="H1073" s="312">
        <v>1827</v>
      </c>
      <c r="I1073" s="312" t="s">
        <v>107</v>
      </c>
      <c r="J1073" s="312">
        <v>1913</v>
      </c>
      <c r="K1073" s="312" t="s">
        <v>109</v>
      </c>
    </row>
    <row r="1074" spans="1:11">
      <c r="A1074" s="312" t="s">
        <v>3785</v>
      </c>
      <c r="B1074" s="312" t="s">
        <v>3786</v>
      </c>
      <c r="C1074" s="312" t="s">
        <v>105</v>
      </c>
      <c r="D1074" s="312" t="s">
        <v>114</v>
      </c>
      <c r="E1074" s="312" t="s">
        <v>107</v>
      </c>
      <c r="F1074" s="312">
        <v>1825</v>
      </c>
      <c r="G1074" s="312" t="s">
        <v>108</v>
      </c>
      <c r="H1074" s="312">
        <v>1827</v>
      </c>
      <c r="I1074" s="312" t="s">
        <v>107</v>
      </c>
      <c r="J1074" s="312">
        <v>1913</v>
      </c>
      <c r="K1074" s="312" t="s">
        <v>109</v>
      </c>
    </row>
    <row r="1075" spans="1:11">
      <c r="A1075" s="312" t="s">
        <v>3863</v>
      </c>
      <c r="B1075" s="312" t="s">
        <v>3864</v>
      </c>
      <c r="C1075" s="312" t="s">
        <v>105</v>
      </c>
      <c r="D1075" s="312" t="s">
        <v>114</v>
      </c>
      <c r="E1075" s="312" t="s">
        <v>107</v>
      </c>
      <c r="F1075" s="312">
        <v>1825</v>
      </c>
      <c r="G1075" s="312" t="s">
        <v>108</v>
      </c>
      <c r="H1075" s="312">
        <v>1827</v>
      </c>
      <c r="I1075" s="312" t="s">
        <v>107</v>
      </c>
      <c r="J1075" s="312">
        <v>1913</v>
      </c>
      <c r="K1075" s="312" t="s">
        <v>109</v>
      </c>
    </row>
    <row r="1076" spans="1:11">
      <c r="A1076" s="312" t="s">
        <v>3879</v>
      </c>
      <c r="B1076" s="312" t="s">
        <v>3880</v>
      </c>
      <c r="C1076" s="312" t="s">
        <v>105</v>
      </c>
      <c r="D1076" s="312" t="s">
        <v>114</v>
      </c>
      <c r="E1076" s="312" t="s">
        <v>107</v>
      </c>
      <c r="F1076" s="312">
        <v>1825</v>
      </c>
      <c r="G1076" s="312" t="s">
        <v>108</v>
      </c>
      <c r="H1076" s="312">
        <v>1827</v>
      </c>
      <c r="I1076" s="312" t="s">
        <v>107</v>
      </c>
      <c r="J1076" s="312">
        <v>1913</v>
      </c>
      <c r="K1076" s="312" t="s">
        <v>109</v>
      </c>
    </row>
    <row r="1077" spans="1:11">
      <c r="A1077" s="312" t="s">
        <v>3881</v>
      </c>
      <c r="B1077" s="312" t="s">
        <v>3882</v>
      </c>
      <c r="C1077" s="312" t="s">
        <v>105</v>
      </c>
      <c r="D1077" s="312" t="s">
        <v>114</v>
      </c>
      <c r="E1077" s="312" t="s">
        <v>107</v>
      </c>
      <c r="F1077" s="312">
        <v>1825</v>
      </c>
      <c r="G1077" s="312" t="s">
        <v>108</v>
      </c>
      <c r="H1077" s="312">
        <v>1827</v>
      </c>
      <c r="I1077" s="312" t="s">
        <v>107</v>
      </c>
      <c r="J1077" s="312">
        <v>1913</v>
      </c>
      <c r="K1077" s="312" t="s">
        <v>109</v>
      </c>
    </row>
    <row r="1078" spans="1:11">
      <c r="A1078" s="312" t="s">
        <v>3903</v>
      </c>
      <c r="B1078" s="312" t="s">
        <v>3904</v>
      </c>
      <c r="C1078" s="312" t="s">
        <v>105</v>
      </c>
      <c r="D1078" s="312" t="s">
        <v>114</v>
      </c>
      <c r="E1078" s="312" t="s">
        <v>107</v>
      </c>
      <c r="F1078" s="312">
        <v>1825</v>
      </c>
      <c r="G1078" s="312" t="s">
        <v>108</v>
      </c>
      <c r="H1078" s="312">
        <v>1827</v>
      </c>
      <c r="I1078" s="312" t="s">
        <v>107</v>
      </c>
      <c r="J1078" s="312">
        <v>1913</v>
      </c>
      <c r="K1078" s="312" t="s">
        <v>109</v>
      </c>
    </row>
    <row r="1079" spans="1:11">
      <c r="A1079" s="312" t="s">
        <v>3907</v>
      </c>
      <c r="B1079" s="312" t="s">
        <v>3908</v>
      </c>
      <c r="C1079" s="312" t="s">
        <v>105</v>
      </c>
      <c r="D1079" s="312" t="s">
        <v>114</v>
      </c>
      <c r="E1079" s="312" t="s">
        <v>107</v>
      </c>
      <c r="F1079" s="312">
        <v>1825</v>
      </c>
      <c r="G1079" s="312" t="s">
        <v>108</v>
      </c>
      <c r="H1079" s="312">
        <v>1827</v>
      </c>
      <c r="I1079" s="312" t="s">
        <v>107</v>
      </c>
      <c r="J1079" s="312">
        <v>1913</v>
      </c>
      <c r="K1079" s="312" t="s">
        <v>109</v>
      </c>
    </row>
    <row r="1080" spans="1:11">
      <c r="A1080" s="312" t="s">
        <v>3913</v>
      </c>
      <c r="B1080" s="312" t="s">
        <v>3914</v>
      </c>
      <c r="C1080" s="312" t="s">
        <v>105</v>
      </c>
      <c r="D1080" s="312" t="s">
        <v>114</v>
      </c>
      <c r="E1080" s="312" t="s">
        <v>107</v>
      </c>
      <c r="F1080" s="312">
        <v>1825</v>
      </c>
      <c r="G1080" s="312" t="s">
        <v>108</v>
      </c>
      <c r="H1080" s="312">
        <v>1827</v>
      </c>
      <c r="I1080" s="312" t="s">
        <v>107</v>
      </c>
      <c r="J1080" s="312">
        <v>1913</v>
      </c>
      <c r="K1080" s="312" t="s">
        <v>109</v>
      </c>
    </row>
    <row r="1081" spans="1:11">
      <c r="A1081" s="312" t="s">
        <v>3943</v>
      </c>
      <c r="B1081" s="312" t="s">
        <v>3944</v>
      </c>
      <c r="C1081" s="312" t="s">
        <v>105</v>
      </c>
      <c r="D1081" s="312" t="s">
        <v>114</v>
      </c>
      <c r="E1081" s="312" t="s">
        <v>107</v>
      </c>
      <c r="F1081" s="312">
        <v>1825</v>
      </c>
      <c r="G1081" s="312" t="s">
        <v>108</v>
      </c>
      <c r="H1081" s="312">
        <v>1827</v>
      </c>
      <c r="I1081" s="312" t="s">
        <v>107</v>
      </c>
      <c r="J1081" s="312">
        <v>1913</v>
      </c>
      <c r="K1081" s="312" t="s">
        <v>109</v>
      </c>
    </row>
    <row r="1082" spans="1:11">
      <c r="A1082" s="312" t="s">
        <v>3949</v>
      </c>
      <c r="B1082" s="312" t="s">
        <v>3950</v>
      </c>
      <c r="C1082" s="312" t="s">
        <v>105</v>
      </c>
      <c r="D1082" s="312" t="s">
        <v>114</v>
      </c>
      <c r="E1082" s="312" t="s">
        <v>107</v>
      </c>
      <c r="F1082" s="312">
        <v>1825</v>
      </c>
      <c r="G1082" s="312" t="s">
        <v>108</v>
      </c>
      <c r="H1082" s="312">
        <v>1827</v>
      </c>
      <c r="I1082" s="312" t="s">
        <v>107</v>
      </c>
      <c r="J1082" s="312">
        <v>1913</v>
      </c>
      <c r="K1082" s="312" t="s">
        <v>109</v>
      </c>
    </row>
    <row r="1083" spans="1:11">
      <c r="A1083" s="312" t="s">
        <v>3951</v>
      </c>
      <c r="B1083" s="312" t="s">
        <v>3952</v>
      </c>
      <c r="C1083" s="312" t="s">
        <v>105</v>
      </c>
      <c r="D1083" s="312" t="s">
        <v>114</v>
      </c>
      <c r="E1083" s="312" t="s">
        <v>107</v>
      </c>
      <c r="F1083" s="312">
        <v>1825</v>
      </c>
      <c r="G1083" s="312" t="s">
        <v>108</v>
      </c>
      <c r="H1083" s="312">
        <v>1827</v>
      </c>
      <c r="I1083" s="312" t="s">
        <v>107</v>
      </c>
      <c r="J1083" s="312">
        <v>1913</v>
      </c>
      <c r="K1083" s="312" t="s">
        <v>109</v>
      </c>
    </row>
    <row r="1084" spans="1:11">
      <c r="A1084" s="312" t="s">
        <v>3953</v>
      </c>
      <c r="B1084" s="312" t="s">
        <v>3954</v>
      </c>
      <c r="C1084" s="312" t="s">
        <v>105</v>
      </c>
      <c r="D1084" s="312" t="s">
        <v>114</v>
      </c>
      <c r="E1084" s="312" t="s">
        <v>107</v>
      </c>
      <c r="F1084" s="312">
        <v>1825</v>
      </c>
      <c r="G1084" s="312" t="s">
        <v>108</v>
      </c>
      <c r="H1084" s="312">
        <v>1827</v>
      </c>
      <c r="I1084" s="312" t="s">
        <v>107</v>
      </c>
      <c r="J1084" s="312">
        <v>1913</v>
      </c>
      <c r="K1084" s="312" t="s">
        <v>109</v>
      </c>
    </row>
    <row r="1085" spans="1:11">
      <c r="A1085" s="312" t="s">
        <v>3963</v>
      </c>
      <c r="B1085" s="312" t="s">
        <v>3964</v>
      </c>
      <c r="C1085" s="312" t="s">
        <v>105</v>
      </c>
      <c r="D1085" s="312" t="s">
        <v>114</v>
      </c>
      <c r="E1085" s="312" t="s">
        <v>107</v>
      </c>
      <c r="F1085" s="312">
        <v>1825</v>
      </c>
      <c r="G1085" s="312" t="s">
        <v>108</v>
      </c>
      <c r="H1085" s="312">
        <v>1827</v>
      </c>
      <c r="I1085" s="312" t="s">
        <v>107</v>
      </c>
      <c r="J1085" s="312">
        <v>1913</v>
      </c>
      <c r="K1085" s="312" t="s">
        <v>109</v>
      </c>
    </row>
    <row r="1086" spans="1:11">
      <c r="A1086" s="312" t="s">
        <v>3965</v>
      </c>
      <c r="B1086" s="312" t="s">
        <v>3966</v>
      </c>
      <c r="C1086" s="312" t="s">
        <v>105</v>
      </c>
      <c r="D1086" s="312" t="s">
        <v>114</v>
      </c>
      <c r="E1086" s="312" t="s">
        <v>107</v>
      </c>
      <c r="F1086" s="312">
        <v>1825</v>
      </c>
      <c r="G1086" s="312" t="s">
        <v>108</v>
      </c>
      <c r="H1086" s="312">
        <v>1827</v>
      </c>
      <c r="I1086" s="312" t="s">
        <v>107</v>
      </c>
      <c r="J1086" s="312">
        <v>1913</v>
      </c>
      <c r="K1086" s="312" t="s">
        <v>109</v>
      </c>
    </row>
    <row r="1087" spans="1:11">
      <c r="A1087" s="312" t="s">
        <v>3967</v>
      </c>
      <c r="B1087" s="312" t="s">
        <v>3968</v>
      </c>
      <c r="C1087" s="312" t="s">
        <v>105</v>
      </c>
      <c r="D1087" s="312" t="s">
        <v>114</v>
      </c>
      <c r="E1087" s="312" t="s">
        <v>107</v>
      </c>
      <c r="F1087" s="312">
        <v>1825</v>
      </c>
      <c r="G1087" s="312" t="s">
        <v>108</v>
      </c>
      <c r="H1087" s="312">
        <v>1827</v>
      </c>
      <c r="I1087" s="312" t="s">
        <v>107</v>
      </c>
      <c r="J1087" s="312">
        <v>1913</v>
      </c>
      <c r="K1087" s="312" t="s">
        <v>109</v>
      </c>
    </row>
    <row r="1088" spans="1:11">
      <c r="A1088" s="312" t="s">
        <v>3969</v>
      </c>
      <c r="B1088" s="312" t="s">
        <v>3970</v>
      </c>
      <c r="C1088" s="312" t="s">
        <v>105</v>
      </c>
      <c r="D1088" s="312" t="s">
        <v>114</v>
      </c>
      <c r="E1088" s="312" t="s">
        <v>107</v>
      </c>
      <c r="F1088" s="312">
        <v>1825</v>
      </c>
      <c r="G1088" s="312" t="s">
        <v>108</v>
      </c>
      <c r="H1088" s="312">
        <v>1827</v>
      </c>
      <c r="I1088" s="312" t="s">
        <v>107</v>
      </c>
      <c r="J1088" s="312">
        <v>1913</v>
      </c>
      <c r="K1088" s="312" t="s">
        <v>109</v>
      </c>
    </row>
    <row r="1089" spans="1:11">
      <c r="A1089" s="312" t="s">
        <v>3971</v>
      </c>
      <c r="B1089" s="312" t="s">
        <v>3972</v>
      </c>
      <c r="C1089" s="312" t="s">
        <v>105</v>
      </c>
      <c r="D1089" s="312" t="s">
        <v>114</v>
      </c>
      <c r="E1089" s="312" t="s">
        <v>107</v>
      </c>
      <c r="F1089" s="312">
        <v>1825</v>
      </c>
      <c r="G1089" s="312" t="s">
        <v>108</v>
      </c>
      <c r="H1089" s="312">
        <v>1827</v>
      </c>
      <c r="I1089" s="312" t="s">
        <v>107</v>
      </c>
      <c r="J1089" s="312">
        <v>1913</v>
      </c>
      <c r="K1089" s="312" t="s">
        <v>109</v>
      </c>
    </row>
    <row r="1090" spans="1:11">
      <c r="A1090" s="312" t="s">
        <v>3973</v>
      </c>
      <c r="B1090" s="312" t="s">
        <v>3974</v>
      </c>
      <c r="C1090" s="312" t="s">
        <v>105</v>
      </c>
      <c r="D1090" s="312" t="s">
        <v>114</v>
      </c>
      <c r="E1090" s="312" t="s">
        <v>107</v>
      </c>
      <c r="F1090" s="312">
        <v>1825</v>
      </c>
      <c r="G1090" s="312" t="s">
        <v>108</v>
      </c>
      <c r="H1090" s="312">
        <v>1827</v>
      </c>
      <c r="I1090" s="312" t="s">
        <v>107</v>
      </c>
      <c r="J1090" s="312">
        <v>1913</v>
      </c>
      <c r="K1090" s="312" t="s">
        <v>109</v>
      </c>
    </row>
    <row r="1091" spans="1:11">
      <c r="A1091" s="312" t="s">
        <v>4058</v>
      </c>
      <c r="B1091" s="312" t="s">
        <v>4059</v>
      </c>
      <c r="C1091" s="312" t="s">
        <v>105</v>
      </c>
      <c r="D1091" s="312" t="s">
        <v>114</v>
      </c>
      <c r="E1091" s="312" t="s">
        <v>107</v>
      </c>
      <c r="F1091" s="312">
        <v>1825</v>
      </c>
      <c r="G1091" s="312" t="s">
        <v>108</v>
      </c>
      <c r="H1091" s="312">
        <v>1827</v>
      </c>
      <c r="I1091" s="312" t="s">
        <v>107</v>
      </c>
      <c r="J1091" s="312">
        <v>1913</v>
      </c>
      <c r="K1091" s="312" t="s">
        <v>109</v>
      </c>
    </row>
    <row r="1092" spans="1:11">
      <c r="A1092" s="312" t="s">
        <v>4060</v>
      </c>
      <c r="B1092" s="312" t="s">
        <v>4061</v>
      </c>
      <c r="C1092" s="312" t="s">
        <v>105</v>
      </c>
      <c r="D1092" s="312" t="s">
        <v>114</v>
      </c>
      <c r="E1092" s="312" t="s">
        <v>107</v>
      </c>
      <c r="F1092" s="312">
        <v>1825</v>
      </c>
      <c r="G1092" s="312" t="s">
        <v>108</v>
      </c>
      <c r="H1092" s="312">
        <v>1827</v>
      </c>
      <c r="I1092" s="312" t="s">
        <v>107</v>
      </c>
      <c r="J1092" s="312">
        <v>1913</v>
      </c>
      <c r="K1092" s="312" t="s">
        <v>109</v>
      </c>
    </row>
    <row r="1093" spans="1:11">
      <c r="A1093" s="312" t="s">
        <v>4084</v>
      </c>
      <c r="B1093" s="312" t="s">
        <v>4085</v>
      </c>
      <c r="C1093" s="312" t="s">
        <v>105</v>
      </c>
      <c r="D1093" s="312" t="s">
        <v>114</v>
      </c>
      <c r="E1093" s="312" t="s">
        <v>107</v>
      </c>
      <c r="F1093" s="312">
        <v>1825</v>
      </c>
      <c r="G1093" s="312" t="s">
        <v>108</v>
      </c>
      <c r="H1093" s="312">
        <v>1827</v>
      </c>
      <c r="I1093" s="312" t="s">
        <v>107</v>
      </c>
      <c r="J1093" s="312">
        <v>1913</v>
      </c>
      <c r="K1093" s="312" t="s">
        <v>109</v>
      </c>
    </row>
    <row r="1094" spans="1:11">
      <c r="A1094" s="312" t="s">
        <v>4088</v>
      </c>
      <c r="B1094" s="312" t="s">
        <v>4089</v>
      </c>
      <c r="C1094" s="312" t="s">
        <v>105</v>
      </c>
      <c r="D1094" s="312" t="s">
        <v>114</v>
      </c>
      <c r="E1094" s="312" t="s">
        <v>107</v>
      </c>
      <c r="F1094" s="312">
        <v>1825</v>
      </c>
      <c r="G1094" s="312" t="s">
        <v>108</v>
      </c>
      <c r="H1094" s="312">
        <v>1827</v>
      </c>
      <c r="I1094" s="312" t="s">
        <v>107</v>
      </c>
      <c r="J1094" s="312">
        <v>1913</v>
      </c>
      <c r="K1094" s="312" t="s">
        <v>109</v>
      </c>
    </row>
    <row r="1095" spans="1:11">
      <c r="A1095" s="312" t="s">
        <v>4115</v>
      </c>
      <c r="B1095" s="312" t="s">
        <v>4116</v>
      </c>
      <c r="C1095" s="312" t="s">
        <v>105</v>
      </c>
      <c r="D1095" s="312" t="s">
        <v>114</v>
      </c>
      <c r="E1095" s="312" t="s">
        <v>107</v>
      </c>
      <c r="F1095" s="312">
        <v>1825</v>
      </c>
      <c r="G1095" s="312" t="s">
        <v>108</v>
      </c>
      <c r="H1095" s="312">
        <v>1827</v>
      </c>
      <c r="I1095" s="312" t="s">
        <v>107</v>
      </c>
      <c r="J1095" s="312">
        <v>1913</v>
      </c>
      <c r="K1095" s="312" t="s">
        <v>109</v>
      </c>
    </row>
    <row r="1096" spans="1:11">
      <c r="A1096" s="312" t="s">
        <v>4129</v>
      </c>
      <c r="B1096" s="312" t="s">
        <v>4130</v>
      </c>
      <c r="C1096" s="312" t="s">
        <v>105</v>
      </c>
      <c r="D1096" s="312" t="s">
        <v>114</v>
      </c>
      <c r="E1096" s="312" t="s">
        <v>107</v>
      </c>
      <c r="F1096" s="312">
        <v>1825</v>
      </c>
      <c r="G1096" s="312" t="s">
        <v>108</v>
      </c>
      <c r="H1096" s="312">
        <v>1827</v>
      </c>
      <c r="I1096" s="312" t="s">
        <v>107</v>
      </c>
      <c r="J1096" s="312">
        <v>1913</v>
      </c>
      <c r="K1096" s="312" t="s">
        <v>109</v>
      </c>
    </row>
    <row r="1097" spans="1:11">
      <c r="A1097" s="312" t="s">
        <v>4131</v>
      </c>
      <c r="B1097" s="312" t="s">
        <v>4132</v>
      </c>
      <c r="C1097" s="312" t="s">
        <v>105</v>
      </c>
      <c r="D1097" s="312" t="s">
        <v>114</v>
      </c>
      <c r="E1097" s="312" t="s">
        <v>107</v>
      </c>
      <c r="F1097" s="312">
        <v>1825</v>
      </c>
      <c r="G1097" s="312" t="s">
        <v>108</v>
      </c>
      <c r="H1097" s="312">
        <v>1827</v>
      </c>
      <c r="I1097" s="312" t="s">
        <v>107</v>
      </c>
      <c r="J1097" s="312">
        <v>1913</v>
      </c>
      <c r="K1097" s="312" t="s">
        <v>109</v>
      </c>
    </row>
    <row r="1098" spans="1:11">
      <c r="A1098" s="312" t="s">
        <v>4139</v>
      </c>
      <c r="B1098" s="312" t="s">
        <v>4140</v>
      </c>
      <c r="C1098" s="312" t="s">
        <v>105</v>
      </c>
      <c r="D1098" s="312" t="s">
        <v>114</v>
      </c>
      <c r="E1098" s="312" t="s">
        <v>107</v>
      </c>
      <c r="F1098" s="312">
        <v>1825</v>
      </c>
      <c r="G1098" s="312" t="s">
        <v>108</v>
      </c>
      <c r="H1098" s="312">
        <v>1827</v>
      </c>
      <c r="I1098" s="312" t="s">
        <v>107</v>
      </c>
      <c r="J1098" s="312">
        <v>1913</v>
      </c>
      <c r="K1098" s="312" t="s">
        <v>109</v>
      </c>
    </row>
    <row r="1099" spans="1:11">
      <c r="A1099" s="312" t="s">
        <v>4141</v>
      </c>
      <c r="B1099" s="312" t="s">
        <v>4142</v>
      </c>
      <c r="C1099" s="312" t="s">
        <v>105</v>
      </c>
      <c r="D1099" s="312" t="s">
        <v>114</v>
      </c>
      <c r="E1099" s="312" t="s">
        <v>107</v>
      </c>
      <c r="F1099" s="312">
        <v>1825</v>
      </c>
      <c r="G1099" s="312" t="s">
        <v>108</v>
      </c>
      <c r="H1099" s="312">
        <v>1827</v>
      </c>
      <c r="I1099" s="312" t="s">
        <v>107</v>
      </c>
      <c r="J1099" s="312">
        <v>1913</v>
      </c>
      <c r="K1099" s="312" t="s">
        <v>109</v>
      </c>
    </row>
    <row r="1100" spans="1:11">
      <c r="A1100" s="312" t="s">
        <v>4149</v>
      </c>
      <c r="B1100" s="312" t="s">
        <v>4150</v>
      </c>
      <c r="C1100" s="312" t="s">
        <v>105</v>
      </c>
      <c r="D1100" s="312" t="s">
        <v>114</v>
      </c>
      <c r="E1100" s="312" t="s">
        <v>107</v>
      </c>
      <c r="F1100" s="312">
        <v>1825</v>
      </c>
      <c r="G1100" s="312" t="s">
        <v>108</v>
      </c>
      <c r="H1100" s="312">
        <v>1827</v>
      </c>
      <c r="I1100" s="312" t="s">
        <v>107</v>
      </c>
      <c r="J1100" s="312">
        <v>1913</v>
      </c>
      <c r="K1100" s="312" t="s">
        <v>109</v>
      </c>
    </row>
    <row r="1101" spans="1:11">
      <c r="A1101" s="312" t="s">
        <v>4209</v>
      </c>
      <c r="B1101" s="312" t="s">
        <v>4210</v>
      </c>
      <c r="C1101" s="312" t="s">
        <v>105</v>
      </c>
      <c r="D1101" s="312" t="s">
        <v>114</v>
      </c>
      <c r="E1101" s="312" t="s">
        <v>107</v>
      </c>
      <c r="F1101" s="312">
        <v>1825</v>
      </c>
      <c r="G1101" s="312" t="s">
        <v>108</v>
      </c>
      <c r="H1101" s="312">
        <v>1827</v>
      </c>
      <c r="I1101" s="312" t="s">
        <v>107</v>
      </c>
      <c r="J1101" s="312">
        <v>1913</v>
      </c>
      <c r="K1101" s="312" t="s">
        <v>109</v>
      </c>
    </row>
    <row r="1102" spans="1:11">
      <c r="A1102" s="312" t="s">
        <v>4243</v>
      </c>
      <c r="B1102" s="312" t="s">
        <v>4244</v>
      </c>
      <c r="C1102" s="312" t="s">
        <v>105</v>
      </c>
      <c r="D1102" s="312" t="s">
        <v>114</v>
      </c>
      <c r="E1102" s="312" t="s">
        <v>107</v>
      </c>
      <c r="F1102" s="312">
        <v>1825</v>
      </c>
      <c r="G1102" s="312" t="s">
        <v>108</v>
      </c>
      <c r="H1102" s="312">
        <v>1827</v>
      </c>
      <c r="I1102" s="312" t="s">
        <v>107</v>
      </c>
      <c r="J1102" s="312">
        <v>1913</v>
      </c>
      <c r="K1102" s="312" t="s">
        <v>109</v>
      </c>
    </row>
    <row r="1103" spans="1:11">
      <c r="A1103" s="312" t="s">
        <v>4251</v>
      </c>
      <c r="B1103" s="312" t="s">
        <v>4252</v>
      </c>
      <c r="C1103" s="312" t="s">
        <v>105</v>
      </c>
      <c r="D1103" s="312" t="s">
        <v>114</v>
      </c>
      <c r="E1103" s="312" t="s">
        <v>107</v>
      </c>
      <c r="F1103" s="312">
        <v>1825</v>
      </c>
      <c r="G1103" s="312" t="s">
        <v>108</v>
      </c>
      <c r="H1103" s="312">
        <v>1827</v>
      </c>
      <c r="I1103" s="312" t="s">
        <v>107</v>
      </c>
      <c r="J1103" s="312">
        <v>1913</v>
      </c>
      <c r="K1103" s="312" t="s">
        <v>109</v>
      </c>
    </row>
    <row r="1104" spans="1:11">
      <c r="A1104" s="312" t="s">
        <v>4261</v>
      </c>
      <c r="B1104" s="312" t="s">
        <v>4262</v>
      </c>
      <c r="C1104" s="312" t="s">
        <v>105</v>
      </c>
      <c r="D1104" s="312" t="s">
        <v>114</v>
      </c>
      <c r="E1104" s="312" t="s">
        <v>107</v>
      </c>
      <c r="F1104" s="312">
        <v>1825</v>
      </c>
      <c r="G1104" s="312" t="s">
        <v>108</v>
      </c>
      <c r="H1104" s="312">
        <v>1827</v>
      </c>
      <c r="I1104" s="312" t="s">
        <v>107</v>
      </c>
      <c r="J1104" s="312">
        <v>1913</v>
      </c>
      <c r="K1104" s="312" t="s">
        <v>109</v>
      </c>
    </row>
    <row r="1105" spans="1:11">
      <c r="A1105" s="312" t="s">
        <v>4263</v>
      </c>
      <c r="B1105" s="312" t="s">
        <v>4264</v>
      </c>
      <c r="C1105" s="312" t="s">
        <v>105</v>
      </c>
      <c r="D1105" s="312" t="s">
        <v>114</v>
      </c>
      <c r="E1105" s="312" t="s">
        <v>107</v>
      </c>
      <c r="F1105" s="312">
        <v>1825</v>
      </c>
      <c r="G1105" s="312" t="s">
        <v>108</v>
      </c>
      <c r="H1105" s="312">
        <v>1827</v>
      </c>
      <c r="I1105" s="312" t="s">
        <v>107</v>
      </c>
      <c r="J1105" s="312">
        <v>1913</v>
      </c>
      <c r="K1105" s="312" t="s">
        <v>109</v>
      </c>
    </row>
    <row r="1106" spans="1:11">
      <c r="A1106" s="312" t="s">
        <v>4400</v>
      </c>
      <c r="B1106" s="312" t="s">
        <v>4401</v>
      </c>
      <c r="C1106" s="312" t="s">
        <v>105</v>
      </c>
      <c r="D1106" s="312" t="s">
        <v>114</v>
      </c>
      <c r="E1106" s="312" t="s">
        <v>107</v>
      </c>
      <c r="F1106" s="312">
        <v>1825</v>
      </c>
      <c r="G1106" s="312" t="s">
        <v>108</v>
      </c>
      <c r="H1106" s="312">
        <v>1827</v>
      </c>
      <c r="I1106" s="312" t="s">
        <v>107</v>
      </c>
      <c r="J1106" s="312">
        <v>1913</v>
      </c>
      <c r="K1106" s="312" t="s">
        <v>109</v>
      </c>
    </row>
    <row r="1107" spans="1:11">
      <c r="A1107" s="312" t="s">
        <v>4406</v>
      </c>
      <c r="B1107" s="312" t="s">
        <v>4407</v>
      </c>
      <c r="C1107" s="312" t="s">
        <v>105</v>
      </c>
      <c r="D1107" s="312" t="s">
        <v>114</v>
      </c>
      <c r="E1107" s="312" t="s">
        <v>107</v>
      </c>
      <c r="F1107" s="312">
        <v>1825</v>
      </c>
      <c r="G1107" s="312" t="s">
        <v>108</v>
      </c>
      <c r="H1107" s="312">
        <v>1827</v>
      </c>
      <c r="I1107" s="312" t="s">
        <v>107</v>
      </c>
      <c r="J1107" s="312">
        <v>1913</v>
      </c>
      <c r="K1107" s="312" t="s">
        <v>109</v>
      </c>
    </row>
    <row r="1108" spans="1:11">
      <c r="A1108" s="312" t="s">
        <v>4408</v>
      </c>
      <c r="B1108" s="312" t="s">
        <v>4409</v>
      </c>
      <c r="C1108" s="312" t="s">
        <v>105</v>
      </c>
      <c r="D1108" s="312" t="s">
        <v>114</v>
      </c>
      <c r="E1108" s="312" t="s">
        <v>107</v>
      </c>
      <c r="F1108" s="312">
        <v>1825</v>
      </c>
      <c r="G1108" s="312" t="s">
        <v>108</v>
      </c>
      <c r="H1108" s="312">
        <v>1827</v>
      </c>
      <c r="I1108" s="312" t="s">
        <v>107</v>
      </c>
      <c r="J1108" s="312">
        <v>1913</v>
      </c>
      <c r="K1108" s="312" t="s">
        <v>109</v>
      </c>
    </row>
    <row r="1109" spans="1:11">
      <c r="A1109" s="312" t="s">
        <v>4412</v>
      </c>
      <c r="B1109" s="312" t="s">
        <v>4413</v>
      </c>
      <c r="C1109" s="312" t="s">
        <v>105</v>
      </c>
      <c r="D1109" s="312" t="s">
        <v>114</v>
      </c>
      <c r="E1109" s="312" t="s">
        <v>107</v>
      </c>
      <c r="F1109" s="312">
        <v>1825</v>
      </c>
      <c r="G1109" s="312" t="s">
        <v>108</v>
      </c>
      <c r="H1109" s="312">
        <v>1827</v>
      </c>
      <c r="I1109" s="312" t="s">
        <v>107</v>
      </c>
      <c r="J1109" s="312">
        <v>1913</v>
      </c>
      <c r="K1109" s="312" t="s">
        <v>109</v>
      </c>
    </row>
    <row r="1110" spans="1:11">
      <c r="A1110" s="312" t="s">
        <v>4414</v>
      </c>
      <c r="B1110" s="312" t="s">
        <v>4415</v>
      </c>
      <c r="C1110" s="312" t="s">
        <v>105</v>
      </c>
      <c r="D1110" s="312" t="s">
        <v>114</v>
      </c>
      <c r="E1110" s="312" t="s">
        <v>107</v>
      </c>
      <c r="F1110" s="312">
        <v>1825</v>
      </c>
      <c r="G1110" s="312" t="s">
        <v>108</v>
      </c>
      <c r="H1110" s="312">
        <v>1827</v>
      </c>
      <c r="I1110" s="312" t="s">
        <v>107</v>
      </c>
      <c r="J1110" s="312">
        <v>1913</v>
      </c>
      <c r="K1110" s="312" t="s">
        <v>109</v>
      </c>
    </row>
    <row r="1111" spans="1:11">
      <c r="A1111" s="312" t="s">
        <v>4457</v>
      </c>
      <c r="B1111" s="312" t="s">
        <v>4458</v>
      </c>
      <c r="C1111" s="312" t="s">
        <v>105</v>
      </c>
      <c r="D1111" s="312" t="s">
        <v>114</v>
      </c>
      <c r="E1111" s="312" t="s">
        <v>107</v>
      </c>
      <c r="F1111" s="312">
        <v>1825</v>
      </c>
      <c r="G1111" s="312" t="s">
        <v>108</v>
      </c>
      <c r="H1111" s="312">
        <v>1827</v>
      </c>
      <c r="I1111" s="312" t="s">
        <v>107</v>
      </c>
      <c r="J1111" s="312">
        <v>1913</v>
      </c>
      <c r="K1111" s="312" t="s">
        <v>109</v>
      </c>
    </row>
    <row r="1112" spans="1:11">
      <c r="A1112" s="312" t="s">
        <v>4463</v>
      </c>
      <c r="B1112" s="312" t="s">
        <v>4464</v>
      </c>
      <c r="C1112" s="312" t="s">
        <v>105</v>
      </c>
      <c r="D1112" s="312" t="s">
        <v>114</v>
      </c>
      <c r="E1112" s="312" t="s">
        <v>107</v>
      </c>
      <c r="F1112" s="312">
        <v>1825</v>
      </c>
      <c r="G1112" s="312" t="s">
        <v>108</v>
      </c>
      <c r="H1112" s="312">
        <v>1827</v>
      </c>
      <c r="I1112" s="312" t="s">
        <v>107</v>
      </c>
      <c r="J1112" s="312">
        <v>1913</v>
      </c>
      <c r="K1112" s="312" t="s">
        <v>109</v>
      </c>
    </row>
    <row r="1113" spans="1:11">
      <c r="A1113" s="312" t="s">
        <v>4571</v>
      </c>
      <c r="B1113" s="312" t="s">
        <v>4572</v>
      </c>
      <c r="C1113" s="312" t="s">
        <v>105</v>
      </c>
      <c r="D1113" s="312" t="s">
        <v>114</v>
      </c>
      <c r="E1113" s="312" t="s">
        <v>107</v>
      </c>
      <c r="F1113" s="312">
        <v>1825</v>
      </c>
      <c r="G1113" s="312" t="s">
        <v>108</v>
      </c>
      <c r="H1113" s="312">
        <v>1827</v>
      </c>
      <c r="I1113" s="312" t="s">
        <v>107</v>
      </c>
      <c r="J1113" s="312">
        <v>1913</v>
      </c>
      <c r="K1113" s="312" t="s">
        <v>109</v>
      </c>
    </row>
    <row r="1114" spans="1:11">
      <c r="A1114" s="312" t="s">
        <v>4626</v>
      </c>
      <c r="B1114" s="312" t="s">
        <v>4627</v>
      </c>
      <c r="C1114" s="312" t="s">
        <v>105</v>
      </c>
      <c r="D1114" s="312" t="s">
        <v>114</v>
      </c>
      <c r="E1114" s="312" t="s">
        <v>107</v>
      </c>
      <c r="F1114" s="312">
        <v>1825</v>
      </c>
      <c r="G1114" s="312" t="s">
        <v>108</v>
      </c>
      <c r="H1114" s="312">
        <v>1827</v>
      </c>
      <c r="I1114" s="312" t="s">
        <v>107</v>
      </c>
      <c r="J1114" s="312">
        <v>1913</v>
      </c>
      <c r="K1114" s="312" t="s">
        <v>109</v>
      </c>
    </row>
    <row r="1115" spans="1:11">
      <c r="A1115" s="312" t="s">
        <v>4823</v>
      </c>
      <c r="B1115" s="312" t="s">
        <v>4824</v>
      </c>
      <c r="C1115" s="312" t="s">
        <v>105</v>
      </c>
      <c r="D1115" s="312" t="s">
        <v>114</v>
      </c>
      <c r="E1115" s="312" t="s">
        <v>107</v>
      </c>
      <c r="F1115" s="312">
        <v>1825</v>
      </c>
      <c r="G1115" s="312" t="s">
        <v>108</v>
      </c>
      <c r="H1115" s="312">
        <v>1827</v>
      </c>
      <c r="I1115" s="312" t="s">
        <v>107</v>
      </c>
      <c r="J1115" s="312">
        <v>1913</v>
      </c>
      <c r="K1115" s="312" t="s">
        <v>109</v>
      </c>
    </row>
    <row r="1116" spans="1:11">
      <c r="A1116" s="312" t="s">
        <v>4827</v>
      </c>
      <c r="B1116" s="312" t="s">
        <v>4828</v>
      </c>
      <c r="C1116" s="312" t="s">
        <v>105</v>
      </c>
      <c r="D1116" s="312" t="s">
        <v>114</v>
      </c>
      <c r="E1116" s="312" t="s">
        <v>107</v>
      </c>
      <c r="F1116" s="312">
        <v>1825</v>
      </c>
      <c r="G1116" s="312" t="s">
        <v>108</v>
      </c>
      <c r="H1116" s="312">
        <v>1827</v>
      </c>
      <c r="I1116" s="312" t="s">
        <v>107</v>
      </c>
      <c r="J1116" s="312">
        <v>1913</v>
      </c>
      <c r="K1116" s="312" t="s">
        <v>109</v>
      </c>
    </row>
    <row r="1117" spans="1:11">
      <c r="A1117" s="312" t="s">
        <v>4829</v>
      </c>
      <c r="B1117" s="312" t="s">
        <v>4830</v>
      </c>
      <c r="C1117" s="312" t="s">
        <v>105</v>
      </c>
      <c r="D1117" s="312" t="s">
        <v>114</v>
      </c>
      <c r="E1117" s="312" t="s">
        <v>107</v>
      </c>
      <c r="F1117" s="312">
        <v>1825</v>
      </c>
      <c r="G1117" s="312" t="s">
        <v>108</v>
      </c>
      <c r="H1117" s="312">
        <v>1827</v>
      </c>
      <c r="I1117" s="312" t="s">
        <v>107</v>
      </c>
      <c r="J1117" s="312">
        <v>1913</v>
      </c>
      <c r="K1117" s="312" t="s">
        <v>109</v>
      </c>
    </row>
    <row r="1118" spans="1:11">
      <c r="A1118" s="312" t="s">
        <v>4831</v>
      </c>
      <c r="B1118" s="312" t="s">
        <v>4832</v>
      </c>
      <c r="C1118" s="312" t="s">
        <v>105</v>
      </c>
      <c r="D1118" s="312" t="s">
        <v>114</v>
      </c>
      <c r="E1118" s="312" t="s">
        <v>107</v>
      </c>
      <c r="F1118" s="312">
        <v>1825</v>
      </c>
      <c r="G1118" s="312" t="s">
        <v>108</v>
      </c>
      <c r="H1118" s="312">
        <v>1827</v>
      </c>
      <c r="I1118" s="312" t="s">
        <v>107</v>
      </c>
      <c r="J1118" s="312">
        <v>1913</v>
      </c>
      <c r="K1118" s="312" t="s">
        <v>109</v>
      </c>
    </row>
    <row r="1119" spans="1:11">
      <c r="A1119" s="312" t="s">
        <v>4835</v>
      </c>
      <c r="B1119" s="312" t="s">
        <v>4836</v>
      </c>
      <c r="C1119" s="312" t="s">
        <v>105</v>
      </c>
      <c r="D1119" s="312" t="s">
        <v>114</v>
      </c>
      <c r="E1119" s="312" t="s">
        <v>107</v>
      </c>
      <c r="F1119" s="312">
        <v>1825</v>
      </c>
      <c r="G1119" s="312" t="s">
        <v>108</v>
      </c>
      <c r="H1119" s="312">
        <v>1827</v>
      </c>
      <c r="I1119" s="312" t="s">
        <v>107</v>
      </c>
      <c r="J1119" s="312">
        <v>1913</v>
      </c>
      <c r="K1119" s="312" t="s">
        <v>109</v>
      </c>
    </row>
    <row r="1120" spans="1:11">
      <c r="A1120" s="312" t="s">
        <v>4837</v>
      </c>
      <c r="B1120" s="312" t="s">
        <v>4838</v>
      </c>
      <c r="C1120" s="312" t="s">
        <v>105</v>
      </c>
      <c r="D1120" s="312" t="s">
        <v>114</v>
      </c>
      <c r="E1120" s="312" t="s">
        <v>107</v>
      </c>
      <c r="F1120" s="312">
        <v>1825</v>
      </c>
      <c r="G1120" s="312" t="s">
        <v>108</v>
      </c>
      <c r="H1120" s="312">
        <v>1827</v>
      </c>
      <c r="I1120" s="312" t="s">
        <v>107</v>
      </c>
      <c r="J1120" s="312">
        <v>1913</v>
      </c>
      <c r="K1120" s="312" t="s">
        <v>109</v>
      </c>
    </row>
    <row r="1121" spans="1:11">
      <c r="A1121" s="312" t="s">
        <v>4839</v>
      </c>
      <c r="B1121" s="312" t="s">
        <v>4840</v>
      </c>
      <c r="C1121" s="312" t="s">
        <v>105</v>
      </c>
      <c r="D1121" s="312" t="s">
        <v>114</v>
      </c>
      <c r="E1121" s="312" t="s">
        <v>107</v>
      </c>
      <c r="F1121" s="312">
        <v>1825</v>
      </c>
      <c r="G1121" s="312" t="s">
        <v>108</v>
      </c>
      <c r="H1121" s="312">
        <v>1827</v>
      </c>
      <c r="I1121" s="312" t="s">
        <v>107</v>
      </c>
      <c r="J1121" s="312">
        <v>1913</v>
      </c>
      <c r="K1121" s="312" t="s">
        <v>109</v>
      </c>
    </row>
    <row r="1122" spans="1:11">
      <c r="A1122" s="312" t="s">
        <v>4841</v>
      </c>
      <c r="B1122" s="312" t="s">
        <v>4842</v>
      </c>
      <c r="C1122" s="312" t="s">
        <v>105</v>
      </c>
      <c r="D1122" s="312" t="s">
        <v>114</v>
      </c>
      <c r="E1122" s="312" t="s">
        <v>107</v>
      </c>
      <c r="F1122" s="312">
        <v>1825</v>
      </c>
      <c r="G1122" s="312" t="s">
        <v>108</v>
      </c>
      <c r="H1122" s="312">
        <v>1827</v>
      </c>
      <c r="I1122" s="312" t="s">
        <v>107</v>
      </c>
      <c r="J1122" s="312">
        <v>1913</v>
      </c>
      <c r="K1122" s="312" t="s">
        <v>109</v>
      </c>
    </row>
    <row r="1123" spans="1:11">
      <c r="A1123" s="312" t="s">
        <v>4875</v>
      </c>
      <c r="B1123" s="312" t="s">
        <v>4876</v>
      </c>
      <c r="C1123" s="312" t="s">
        <v>105</v>
      </c>
      <c r="D1123" s="312" t="s">
        <v>114</v>
      </c>
      <c r="E1123" s="312" t="s">
        <v>107</v>
      </c>
      <c r="F1123" s="312">
        <v>1825</v>
      </c>
      <c r="G1123" s="312" t="s">
        <v>108</v>
      </c>
      <c r="H1123" s="312">
        <v>1827</v>
      </c>
      <c r="I1123" s="312" t="s">
        <v>107</v>
      </c>
      <c r="J1123" s="312">
        <v>1913</v>
      </c>
      <c r="K1123" s="312" t="s">
        <v>109</v>
      </c>
    </row>
    <row r="1124" spans="1:11">
      <c r="A1124" s="312" t="s">
        <v>4877</v>
      </c>
      <c r="B1124" s="312" t="s">
        <v>4878</v>
      </c>
      <c r="C1124" s="312" t="s">
        <v>105</v>
      </c>
      <c r="D1124" s="312" t="s">
        <v>114</v>
      </c>
      <c r="E1124" s="312" t="s">
        <v>107</v>
      </c>
      <c r="F1124" s="312">
        <v>1825</v>
      </c>
      <c r="G1124" s="312" t="s">
        <v>108</v>
      </c>
      <c r="H1124" s="312">
        <v>1827</v>
      </c>
      <c r="I1124" s="312" t="s">
        <v>107</v>
      </c>
      <c r="J1124" s="312">
        <v>1913</v>
      </c>
      <c r="K1124" s="312" t="s">
        <v>109</v>
      </c>
    </row>
    <row r="1125" spans="1:11">
      <c r="A1125" s="312" t="s">
        <v>4879</v>
      </c>
      <c r="B1125" s="312" t="s">
        <v>4880</v>
      </c>
      <c r="C1125" s="312" t="s">
        <v>105</v>
      </c>
      <c r="D1125" s="312" t="s">
        <v>114</v>
      </c>
      <c r="E1125" s="312" t="s">
        <v>107</v>
      </c>
      <c r="F1125" s="312">
        <v>1825</v>
      </c>
      <c r="G1125" s="312" t="s">
        <v>108</v>
      </c>
      <c r="H1125" s="312">
        <v>1827</v>
      </c>
      <c r="I1125" s="312" t="s">
        <v>107</v>
      </c>
      <c r="J1125" s="312">
        <v>1913</v>
      </c>
      <c r="K1125" s="312" t="s">
        <v>109</v>
      </c>
    </row>
    <row r="1126" spans="1:11">
      <c r="A1126" s="312" t="s">
        <v>4881</v>
      </c>
      <c r="B1126" s="312" t="s">
        <v>4882</v>
      </c>
      <c r="C1126" s="312" t="s">
        <v>105</v>
      </c>
      <c r="D1126" s="312" t="s">
        <v>114</v>
      </c>
      <c r="E1126" s="312" t="s">
        <v>107</v>
      </c>
      <c r="F1126" s="312">
        <v>1825</v>
      </c>
      <c r="G1126" s="312" t="s">
        <v>108</v>
      </c>
      <c r="H1126" s="312">
        <v>1827</v>
      </c>
      <c r="I1126" s="312" t="s">
        <v>107</v>
      </c>
      <c r="J1126" s="312">
        <v>1913</v>
      </c>
      <c r="K1126" s="312" t="s">
        <v>109</v>
      </c>
    </row>
    <row r="1127" spans="1:11">
      <c r="A1127" s="312" t="s">
        <v>4883</v>
      </c>
      <c r="B1127" s="312" t="s">
        <v>4884</v>
      </c>
      <c r="C1127" s="312" t="s">
        <v>105</v>
      </c>
      <c r="D1127" s="312" t="s">
        <v>114</v>
      </c>
      <c r="E1127" s="312" t="s">
        <v>107</v>
      </c>
      <c r="F1127" s="312">
        <v>1825</v>
      </c>
      <c r="G1127" s="312" t="s">
        <v>108</v>
      </c>
      <c r="H1127" s="312">
        <v>1827</v>
      </c>
      <c r="I1127" s="312" t="s">
        <v>107</v>
      </c>
      <c r="J1127" s="312">
        <v>1913</v>
      </c>
      <c r="K1127" s="312" t="s">
        <v>109</v>
      </c>
    </row>
    <row r="1128" spans="1:11">
      <c r="A1128" s="312" t="s">
        <v>4885</v>
      </c>
      <c r="B1128" s="312" t="s">
        <v>4886</v>
      </c>
      <c r="C1128" s="312" t="s">
        <v>105</v>
      </c>
      <c r="D1128" s="312" t="s">
        <v>114</v>
      </c>
      <c r="E1128" s="312" t="s">
        <v>107</v>
      </c>
      <c r="F1128" s="312">
        <v>1825</v>
      </c>
      <c r="G1128" s="312" t="s">
        <v>108</v>
      </c>
      <c r="H1128" s="312">
        <v>1827</v>
      </c>
      <c r="I1128" s="312" t="s">
        <v>107</v>
      </c>
      <c r="J1128" s="312">
        <v>1913</v>
      </c>
      <c r="K1128" s="312" t="s">
        <v>109</v>
      </c>
    </row>
    <row r="1129" spans="1:11">
      <c r="A1129" s="312" t="s">
        <v>4887</v>
      </c>
      <c r="B1129" s="312" t="s">
        <v>4888</v>
      </c>
      <c r="C1129" s="312" t="s">
        <v>105</v>
      </c>
      <c r="D1129" s="312" t="s">
        <v>114</v>
      </c>
      <c r="E1129" s="312" t="s">
        <v>107</v>
      </c>
      <c r="F1129" s="312">
        <v>1825</v>
      </c>
      <c r="G1129" s="312" t="s">
        <v>108</v>
      </c>
      <c r="H1129" s="312">
        <v>1827</v>
      </c>
      <c r="I1129" s="312" t="s">
        <v>107</v>
      </c>
      <c r="J1129" s="312">
        <v>1913</v>
      </c>
      <c r="K1129" s="312" t="s">
        <v>109</v>
      </c>
    </row>
    <row r="1130" spans="1:11">
      <c r="A1130" s="312" t="s">
        <v>4891</v>
      </c>
      <c r="B1130" s="312" t="s">
        <v>4892</v>
      </c>
      <c r="C1130" s="312" t="s">
        <v>105</v>
      </c>
      <c r="D1130" s="312" t="s">
        <v>114</v>
      </c>
      <c r="E1130" s="312" t="s">
        <v>107</v>
      </c>
      <c r="F1130" s="312">
        <v>1825</v>
      </c>
      <c r="G1130" s="312" t="s">
        <v>108</v>
      </c>
      <c r="H1130" s="312">
        <v>1827</v>
      </c>
      <c r="I1130" s="312" t="s">
        <v>107</v>
      </c>
      <c r="J1130" s="312">
        <v>1913</v>
      </c>
      <c r="K1130" s="312" t="s">
        <v>109</v>
      </c>
    </row>
    <row r="1131" spans="1:11">
      <c r="A1131" s="312" t="s">
        <v>4897</v>
      </c>
      <c r="B1131" s="312" t="s">
        <v>4898</v>
      </c>
      <c r="C1131" s="312" t="s">
        <v>105</v>
      </c>
      <c r="D1131" s="312" t="s">
        <v>114</v>
      </c>
      <c r="E1131" s="312" t="s">
        <v>107</v>
      </c>
      <c r="F1131" s="312">
        <v>1825</v>
      </c>
      <c r="G1131" s="312" t="s">
        <v>108</v>
      </c>
      <c r="H1131" s="312">
        <v>1827</v>
      </c>
      <c r="I1131" s="312" t="s">
        <v>107</v>
      </c>
      <c r="J1131" s="312">
        <v>1913</v>
      </c>
      <c r="K1131" s="312" t="s">
        <v>109</v>
      </c>
    </row>
    <row r="1132" spans="1:11">
      <c r="A1132" s="312" t="s">
        <v>4899</v>
      </c>
      <c r="B1132" s="312" t="s">
        <v>4900</v>
      </c>
      <c r="C1132" s="312" t="s">
        <v>105</v>
      </c>
      <c r="D1132" s="312" t="s">
        <v>114</v>
      </c>
      <c r="E1132" s="312" t="s">
        <v>107</v>
      </c>
      <c r="F1132" s="312">
        <v>1825</v>
      </c>
      <c r="G1132" s="312" t="s">
        <v>108</v>
      </c>
      <c r="H1132" s="312">
        <v>1827</v>
      </c>
      <c r="I1132" s="312" t="s">
        <v>107</v>
      </c>
      <c r="J1132" s="312">
        <v>1913</v>
      </c>
      <c r="K1132" s="312" t="s">
        <v>109</v>
      </c>
    </row>
    <row r="1133" spans="1:11">
      <c r="A1133" s="312" t="s">
        <v>4901</v>
      </c>
      <c r="B1133" s="312" t="s">
        <v>4902</v>
      </c>
      <c r="C1133" s="312" t="s">
        <v>105</v>
      </c>
      <c r="D1133" s="312" t="s">
        <v>114</v>
      </c>
      <c r="E1133" s="312" t="s">
        <v>107</v>
      </c>
      <c r="F1133" s="312">
        <v>1825</v>
      </c>
      <c r="G1133" s="312" t="s">
        <v>108</v>
      </c>
      <c r="H1133" s="312">
        <v>1827</v>
      </c>
      <c r="I1133" s="312" t="s">
        <v>107</v>
      </c>
      <c r="J1133" s="312">
        <v>1913</v>
      </c>
      <c r="K1133" s="312" t="s">
        <v>109</v>
      </c>
    </row>
    <row r="1134" spans="1:11">
      <c r="A1134" s="312" t="s">
        <v>4903</v>
      </c>
      <c r="B1134" s="312" t="s">
        <v>4904</v>
      </c>
      <c r="C1134" s="312" t="s">
        <v>105</v>
      </c>
      <c r="D1134" s="312" t="s">
        <v>114</v>
      </c>
      <c r="E1134" s="312" t="s">
        <v>107</v>
      </c>
      <c r="F1134" s="312">
        <v>1825</v>
      </c>
      <c r="G1134" s="312" t="s">
        <v>108</v>
      </c>
      <c r="H1134" s="312">
        <v>1827</v>
      </c>
      <c r="I1134" s="312" t="s">
        <v>107</v>
      </c>
      <c r="J1134" s="312">
        <v>1913</v>
      </c>
      <c r="K1134" s="312" t="s">
        <v>109</v>
      </c>
    </row>
    <row r="1135" spans="1:11">
      <c r="A1135" s="312" t="s">
        <v>4905</v>
      </c>
      <c r="B1135" s="312" t="s">
        <v>4906</v>
      </c>
      <c r="C1135" s="312" t="s">
        <v>105</v>
      </c>
      <c r="D1135" s="312" t="s">
        <v>114</v>
      </c>
      <c r="E1135" s="312" t="s">
        <v>107</v>
      </c>
      <c r="F1135" s="312">
        <v>1825</v>
      </c>
      <c r="G1135" s="312" t="s">
        <v>108</v>
      </c>
      <c r="H1135" s="312">
        <v>1827</v>
      </c>
      <c r="I1135" s="312" t="s">
        <v>107</v>
      </c>
      <c r="J1135" s="312">
        <v>1913</v>
      </c>
      <c r="K1135" s="312" t="s">
        <v>109</v>
      </c>
    </row>
    <row r="1136" spans="1:11">
      <c r="A1136" s="312" t="s">
        <v>4907</v>
      </c>
      <c r="B1136" s="312" t="s">
        <v>4908</v>
      </c>
      <c r="C1136" s="312" t="s">
        <v>105</v>
      </c>
      <c r="D1136" s="312" t="s">
        <v>114</v>
      </c>
      <c r="E1136" s="312" t="s">
        <v>107</v>
      </c>
      <c r="F1136" s="312">
        <v>1825</v>
      </c>
      <c r="G1136" s="312" t="s">
        <v>108</v>
      </c>
      <c r="H1136" s="312">
        <v>1827</v>
      </c>
      <c r="I1136" s="312" t="s">
        <v>107</v>
      </c>
      <c r="J1136" s="312">
        <v>1913</v>
      </c>
      <c r="K1136" s="312" t="s">
        <v>109</v>
      </c>
    </row>
    <row r="1137" spans="1:11">
      <c r="A1137" s="312" t="s">
        <v>4909</v>
      </c>
      <c r="B1137" s="312" t="s">
        <v>4910</v>
      </c>
      <c r="C1137" s="312" t="s">
        <v>105</v>
      </c>
      <c r="D1137" s="312" t="s">
        <v>114</v>
      </c>
      <c r="E1137" s="312" t="s">
        <v>107</v>
      </c>
      <c r="F1137" s="312">
        <v>1825</v>
      </c>
      <c r="G1137" s="312" t="s">
        <v>108</v>
      </c>
      <c r="H1137" s="312">
        <v>1827</v>
      </c>
      <c r="I1137" s="312" t="s">
        <v>107</v>
      </c>
      <c r="J1137" s="312">
        <v>1913</v>
      </c>
      <c r="K1137" s="312" t="s">
        <v>109</v>
      </c>
    </row>
    <row r="1138" spans="1:11">
      <c r="A1138" s="312" t="s">
        <v>4911</v>
      </c>
      <c r="B1138" s="312" t="s">
        <v>4912</v>
      </c>
      <c r="C1138" s="312" t="s">
        <v>105</v>
      </c>
      <c r="D1138" s="312" t="s">
        <v>114</v>
      </c>
      <c r="E1138" s="312" t="s">
        <v>107</v>
      </c>
      <c r="F1138" s="312">
        <v>1825</v>
      </c>
      <c r="G1138" s="312" t="s">
        <v>108</v>
      </c>
      <c r="H1138" s="312">
        <v>1827</v>
      </c>
      <c r="I1138" s="312" t="s">
        <v>107</v>
      </c>
      <c r="J1138" s="312">
        <v>1913</v>
      </c>
      <c r="K1138" s="312" t="s">
        <v>109</v>
      </c>
    </row>
    <row r="1139" spans="1:11">
      <c r="A1139" s="312" t="s">
        <v>4913</v>
      </c>
      <c r="B1139" s="312" t="s">
        <v>4914</v>
      </c>
      <c r="C1139" s="312" t="s">
        <v>105</v>
      </c>
      <c r="D1139" s="312" t="s">
        <v>114</v>
      </c>
      <c r="E1139" s="312" t="s">
        <v>107</v>
      </c>
      <c r="F1139" s="312">
        <v>1825</v>
      </c>
      <c r="G1139" s="312" t="s">
        <v>108</v>
      </c>
      <c r="H1139" s="312">
        <v>1827</v>
      </c>
      <c r="I1139" s="312" t="s">
        <v>107</v>
      </c>
      <c r="J1139" s="312">
        <v>1913</v>
      </c>
      <c r="K1139" s="312" t="s">
        <v>109</v>
      </c>
    </row>
    <row r="1140" spans="1:11">
      <c r="A1140" s="312" t="s">
        <v>4915</v>
      </c>
      <c r="B1140" s="312" t="s">
        <v>4916</v>
      </c>
      <c r="C1140" s="312" t="s">
        <v>105</v>
      </c>
      <c r="D1140" s="312" t="s">
        <v>114</v>
      </c>
      <c r="E1140" s="312" t="s">
        <v>107</v>
      </c>
      <c r="F1140" s="312">
        <v>1825</v>
      </c>
      <c r="G1140" s="312" t="s">
        <v>108</v>
      </c>
      <c r="H1140" s="312">
        <v>1827</v>
      </c>
      <c r="I1140" s="312" t="s">
        <v>107</v>
      </c>
      <c r="J1140" s="312">
        <v>1913</v>
      </c>
      <c r="K1140" s="312" t="s">
        <v>109</v>
      </c>
    </row>
    <row r="1141" spans="1:11">
      <c r="A1141" s="312" t="s">
        <v>4917</v>
      </c>
      <c r="B1141" s="312" t="s">
        <v>4918</v>
      </c>
      <c r="C1141" s="312" t="s">
        <v>105</v>
      </c>
      <c r="D1141" s="312" t="s">
        <v>114</v>
      </c>
      <c r="E1141" s="312" t="s">
        <v>107</v>
      </c>
      <c r="F1141" s="312">
        <v>1825</v>
      </c>
      <c r="G1141" s="312" t="s">
        <v>108</v>
      </c>
      <c r="H1141" s="312">
        <v>1827</v>
      </c>
      <c r="I1141" s="312" t="s">
        <v>107</v>
      </c>
      <c r="J1141" s="312">
        <v>1913</v>
      </c>
      <c r="K1141" s="312" t="s">
        <v>109</v>
      </c>
    </row>
    <row r="1142" spans="1:11">
      <c r="A1142" s="312" t="s">
        <v>4919</v>
      </c>
      <c r="B1142" s="312" t="s">
        <v>4920</v>
      </c>
      <c r="C1142" s="312" t="s">
        <v>105</v>
      </c>
      <c r="D1142" s="312" t="s">
        <v>114</v>
      </c>
      <c r="E1142" s="312" t="s">
        <v>107</v>
      </c>
      <c r="F1142" s="312">
        <v>1825</v>
      </c>
      <c r="G1142" s="312" t="s">
        <v>108</v>
      </c>
      <c r="H1142" s="312">
        <v>1827</v>
      </c>
      <c r="I1142" s="312" t="s">
        <v>107</v>
      </c>
      <c r="J1142" s="312">
        <v>1913</v>
      </c>
      <c r="K1142" s="312" t="s">
        <v>109</v>
      </c>
    </row>
    <row r="1143" spans="1:11">
      <c r="A1143" s="312" t="s">
        <v>4921</v>
      </c>
      <c r="B1143" s="312" t="s">
        <v>4922</v>
      </c>
      <c r="C1143" s="312" t="s">
        <v>105</v>
      </c>
      <c r="D1143" s="312" t="s">
        <v>114</v>
      </c>
      <c r="E1143" s="312" t="s">
        <v>107</v>
      </c>
      <c r="F1143" s="312">
        <v>1825</v>
      </c>
      <c r="G1143" s="312" t="s">
        <v>108</v>
      </c>
      <c r="H1143" s="312">
        <v>1827</v>
      </c>
      <c r="I1143" s="312" t="s">
        <v>107</v>
      </c>
      <c r="J1143" s="312">
        <v>1913</v>
      </c>
      <c r="K1143" s="312" t="s">
        <v>109</v>
      </c>
    </row>
    <row r="1144" spans="1:11">
      <c r="A1144" s="312" t="s">
        <v>4925</v>
      </c>
      <c r="B1144" s="312" t="s">
        <v>4926</v>
      </c>
      <c r="C1144" s="312" t="s">
        <v>105</v>
      </c>
      <c r="D1144" s="312" t="s">
        <v>114</v>
      </c>
      <c r="E1144" s="312" t="s">
        <v>107</v>
      </c>
      <c r="F1144" s="312">
        <v>1825</v>
      </c>
      <c r="G1144" s="312" t="s">
        <v>108</v>
      </c>
      <c r="H1144" s="312">
        <v>1827</v>
      </c>
      <c r="I1144" s="312" t="s">
        <v>107</v>
      </c>
      <c r="J1144" s="312">
        <v>1913</v>
      </c>
      <c r="K1144" s="312" t="s">
        <v>109</v>
      </c>
    </row>
    <row r="1145" spans="1:11">
      <c r="A1145" s="312" t="s">
        <v>4927</v>
      </c>
      <c r="B1145" s="312" t="s">
        <v>4928</v>
      </c>
      <c r="C1145" s="312" t="s">
        <v>105</v>
      </c>
      <c r="D1145" s="312" t="s">
        <v>114</v>
      </c>
      <c r="E1145" s="312" t="s">
        <v>107</v>
      </c>
      <c r="F1145" s="312">
        <v>1825</v>
      </c>
      <c r="G1145" s="312" t="s">
        <v>108</v>
      </c>
      <c r="H1145" s="312">
        <v>1827</v>
      </c>
      <c r="I1145" s="312" t="s">
        <v>107</v>
      </c>
      <c r="J1145" s="312">
        <v>1913</v>
      </c>
      <c r="K1145" s="312" t="s">
        <v>109</v>
      </c>
    </row>
    <row r="1146" spans="1:11">
      <c r="A1146" s="312" t="s">
        <v>4933</v>
      </c>
      <c r="B1146" s="312" t="s">
        <v>4934</v>
      </c>
      <c r="C1146" s="312" t="s">
        <v>105</v>
      </c>
      <c r="D1146" s="312" t="s">
        <v>114</v>
      </c>
      <c r="E1146" s="312" t="s">
        <v>107</v>
      </c>
      <c r="F1146" s="312">
        <v>1825</v>
      </c>
      <c r="G1146" s="312" t="s">
        <v>108</v>
      </c>
      <c r="H1146" s="312">
        <v>1827</v>
      </c>
      <c r="I1146" s="312" t="s">
        <v>107</v>
      </c>
      <c r="J1146" s="312">
        <v>1913</v>
      </c>
      <c r="K1146" s="312" t="s">
        <v>109</v>
      </c>
    </row>
    <row r="1147" spans="1:11">
      <c r="A1147" s="312" t="s">
        <v>4935</v>
      </c>
      <c r="B1147" s="312" t="s">
        <v>4936</v>
      </c>
      <c r="C1147" s="312" t="s">
        <v>105</v>
      </c>
      <c r="D1147" s="312" t="s">
        <v>114</v>
      </c>
      <c r="E1147" s="312" t="s">
        <v>107</v>
      </c>
      <c r="F1147" s="312">
        <v>1825</v>
      </c>
      <c r="G1147" s="312" t="s">
        <v>108</v>
      </c>
      <c r="H1147" s="312">
        <v>1827</v>
      </c>
      <c r="I1147" s="312" t="s">
        <v>107</v>
      </c>
      <c r="J1147" s="312">
        <v>1913</v>
      </c>
      <c r="K1147" s="312" t="s">
        <v>109</v>
      </c>
    </row>
    <row r="1148" spans="1:11">
      <c r="A1148" s="312" t="s">
        <v>4943</v>
      </c>
      <c r="B1148" s="312" t="s">
        <v>4944</v>
      </c>
      <c r="C1148" s="312" t="s">
        <v>105</v>
      </c>
      <c r="D1148" s="312" t="s">
        <v>114</v>
      </c>
      <c r="E1148" s="312" t="s">
        <v>107</v>
      </c>
      <c r="F1148" s="312">
        <v>1825</v>
      </c>
      <c r="G1148" s="312" t="s">
        <v>108</v>
      </c>
      <c r="H1148" s="312">
        <v>1827</v>
      </c>
      <c r="I1148" s="312" t="s">
        <v>107</v>
      </c>
      <c r="J1148" s="312">
        <v>1913</v>
      </c>
      <c r="K1148" s="312" t="s">
        <v>109</v>
      </c>
    </row>
    <row r="1149" spans="1:11">
      <c r="A1149" s="312" t="s">
        <v>4945</v>
      </c>
      <c r="B1149" s="312" t="s">
        <v>4946</v>
      </c>
      <c r="C1149" s="312" t="s">
        <v>105</v>
      </c>
      <c r="D1149" s="312" t="s">
        <v>114</v>
      </c>
      <c r="E1149" s="312" t="s">
        <v>107</v>
      </c>
      <c r="F1149" s="312">
        <v>1825</v>
      </c>
      <c r="G1149" s="312" t="s">
        <v>108</v>
      </c>
      <c r="H1149" s="312">
        <v>1827</v>
      </c>
      <c r="I1149" s="312" t="s">
        <v>107</v>
      </c>
      <c r="J1149" s="312">
        <v>1913</v>
      </c>
      <c r="K1149" s="312" t="s">
        <v>109</v>
      </c>
    </row>
    <row r="1150" spans="1:11">
      <c r="A1150" s="312" t="s">
        <v>4947</v>
      </c>
      <c r="B1150" s="312" t="s">
        <v>4948</v>
      </c>
      <c r="C1150" s="312" t="s">
        <v>105</v>
      </c>
      <c r="D1150" s="312" t="s">
        <v>114</v>
      </c>
      <c r="E1150" s="312" t="s">
        <v>107</v>
      </c>
      <c r="F1150" s="312">
        <v>1825</v>
      </c>
      <c r="G1150" s="312" t="s">
        <v>108</v>
      </c>
      <c r="H1150" s="312">
        <v>1827</v>
      </c>
      <c r="I1150" s="312" t="s">
        <v>107</v>
      </c>
      <c r="J1150" s="312">
        <v>1913</v>
      </c>
      <c r="K1150" s="312" t="s">
        <v>109</v>
      </c>
    </row>
    <row r="1151" spans="1:11">
      <c r="A1151" s="312" t="s">
        <v>4949</v>
      </c>
      <c r="B1151" s="312" t="s">
        <v>4950</v>
      </c>
      <c r="C1151" s="312" t="s">
        <v>105</v>
      </c>
      <c r="D1151" s="312" t="s">
        <v>114</v>
      </c>
      <c r="E1151" s="312" t="s">
        <v>107</v>
      </c>
      <c r="F1151" s="312">
        <v>1825</v>
      </c>
      <c r="G1151" s="312" t="s">
        <v>108</v>
      </c>
      <c r="H1151" s="312">
        <v>1827</v>
      </c>
      <c r="I1151" s="312" t="s">
        <v>107</v>
      </c>
      <c r="J1151" s="312">
        <v>1913</v>
      </c>
      <c r="K1151" s="312" t="s">
        <v>109</v>
      </c>
    </row>
    <row r="1152" spans="1:11">
      <c r="A1152" s="312" t="s">
        <v>4951</v>
      </c>
      <c r="B1152" s="312" t="s">
        <v>4952</v>
      </c>
      <c r="C1152" s="312" t="s">
        <v>105</v>
      </c>
      <c r="D1152" s="312" t="s">
        <v>114</v>
      </c>
      <c r="E1152" s="312" t="s">
        <v>107</v>
      </c>
      <c r="F1152" s="312">
        <v>1825</v>
      </c>
      <c r="G1152" s="312" t="s">
        <v>108</v>
      </c>
      <c r="H1152" s="312">
        <v>1827</v>
      </c>
      <c r="I1152" s="312" t="s">
        <v>107</v>
      </c>
      <c r="J1152" s="312">
        <v>1913</v>
      </c>
      <c r="K1152" s="312" t="s">
        <v>109</v>
      </c>
    </row>
    <row r="1153" spans="1:11">
      <c r="A1153" s="312" t="s">
        <v>4953</v>
      </c>
      <c r="B1153" s="312" t="s">
        <v>4954</v>
      </c>
      <c r="C1153" s="312" t="s">
        <v>105</v>
      </c>
      <c r="D1153" s="312" t="s">
        <v>114</v>
      </c>
      <c r="E1153" s="312" t="s">
        <v>107</v>
      </c>
      <c r="F1153" s="312">
        <v>1825</v>
      </c>
      <c r="G1153" s="312" t="s">
        <v>108</v>
      </c>
      <c r="H1153" s="312">
        <v>1827</v>
      </c>
      <c r="I1153" s="312" t="s">
        <v>107</v>
      </c>
      <c r="J1153" s="312">
        <v>1913</v>
      </c>
      <c r="K1153" s="312" t="s">
        <v>109</v>
      </c>
    </row>
    <row r="1154" spans="1:11">
      <c r="A1154" s="312" t="s">
        <v>4955</v>
      </c>
      <c r="B1154" s="312" t="s">
        <v>4956</v>
      </c>
      <c r="C1154" s="312" t="s">
        <v>105</v>
      </c>
      <c r="D1154" s="312" t="s">
        <v>114</v>
      </c>
      <c r="E1154" s="312" t="s">
        <v>107</v>
      </c>
      <c r="F1154" s="312">
        <v>1825</v>
      </c>
      <c r="G1154" s="312" t="s">
        <v>108</v>
      </c>
      <c r="H1154" s="312">
        <v>1827</v>
      </c>
      <c r="I1154" s="312" t="s">
        <v>107</v>
      </c>
      <c r="J1154" s="312">
        <v>1913</v>
      </c>
      <c r="K1154" s="312" t="s">
        <v>109</v>
      </c>
    </row>
    <row r="1155" spans="1:11">
      <c r="A1155" s="312" t="s">
        <v>4957</v>
      </c>
      <c r="B1155" s="312" t="s">
        <v>4958</v>
      </c>
      <c r="C1155" s="312" t="s">
        <v>105</v>
      </c>
      <c r="D1155" s="312" t="s">
        <v>114</v>
      </c>
      <c r="E1155" s="312" t="s">
        <v>107</v>
      </c>
      <c r="F1155" s="312">
        <v>1825</v>
      </c>
      <c r="G1155" s="312" t="s">
        <v>108</v>
      </c>
      <c r="H1155" s="312">
        <v>1827</v>
      </c>
      <c r="I1155" s="312" t="s">
        <v>107</v>
      </c>
      <c r="J1155" s="312">
        <v>1913</v>
      </c>
      <c r="K1155" s="312" t="s">
        <v>109</v>
      </c>
    </row>
    <row r="1156" spans="1:11">
      <c r="A1156" s="312" t="s">
        <v>4959</v>
      </c>
      <c r="B1156" s="312" t="s">
        <v>4960</v>
      </c>
      <c r="C1156" s="312" t="s">
        <v>105</v>
      </c>
      <c r="D1156" s="312" t="s">
        <v>114</v>
      </c>
      <c r="E1156" s="312" t="s">
        <v>107</v>
      </c>
      <c r="F1156" s="312">
        <v>1825</v>
      </c>
      <c r="G1156" s="312" t="s">
        <v>108</v>
      </c>
      <c r="H1156" s="312">
        <v>1827</v>
      </c>
      <c r="I1156" s="312" t="s">
        <v>107</v>
      </c>
      <c r="J1156" s="312">
        <v>1913</v>
      </c>
      <c r="K1156" s="312" t="s">
        <v>109</v>
      </c>
    </row>
    <row r="1157" spans="1:11">
      <c r="A1157" s="312" t="s">
        <v>4961</v>
      </c>
      <c r="B1157" s="312" t="s">
        <v>4962</v>
      </c>
      <c r="C1157" s="312" t="s">
        <v>105</v>
      </c>
      <c r="D1157" s="312" t="s">
        <v>114</v>
      </c>
      <c r="E1157" s="312" t="s">
        <v>107</v>
      </c>
      <c r="F1157" s="312">
        <v>1825</v>
      </c>
      <c r="G1157" s="312" t="s">
        <v>108</v>
      </c>
      <c r="H1157" s="312">
        <v>1827</v>
      </c>
      <c r="I1157" s="312" t="s">
        <v>107</v>
      </c>
      <c r="J1157" s="312">
        <v>1913</v>
      </c>
      <c r="K1157" s="312" t="s">
        <v>109</v>
      </c>
    </row>
    <row r="1158" spans="1:11">
      <c r="A1158" s="312" t="s">
        <v>4963</v>
      </c>
      <c r="B1158" s="312" t="s">
        <v>4964</v>
      </c>
      <c r="C1158" s="312" t="s">
        <v>105</v>
      </c>
      <c r="D1158" s="312" t="s">
        <v>114</v>
      </c>
      <c r="E1158" s="312" t="s">
        <v>107</v>
      </c>
      <c r="F1158" s="312">
        <v>1825</v>
      </c>
      <c r="G1158" s="312" t="s">
        <v>108</v>
      </c>
      <c r="H1158" s="312">
        <v>1827</v>
      </c>
      <c r="I1158" s="312" t="s">
        <v>107</v>
      </c>
      <c r="J1158" s="312">
        <v>1913</v>
      </c>
      <c r="K1158" s="312" t="s">
        <v>109</v>
      </c>
    </row>
    <row r="1159" spans="1:11">
      <c r="A1159" s="312" t="s">
        <v>4965</v>
      </c>
      <c r="B1159" s="312" t="s">
        <v>4966</v>
      </c>
      <c r="C1159" s="312" t="s">
        <v>105</v>
      </c>
      <c r="D1159" s="312" t="s">
        <v>114</v>
      </c>
      <c r="E1159" s="312" t="s">
        <v>107</v>
      </c>
      <c r="F1159" s="312">
        <v>1825</v>
      </c>
      <c r="G1159" s="312" t="s">
        <v>108</v>
      </c>
      <c r="H1159" s="312">
        <v>1827</v>
      </c>
      <c r="I1159" s="312" t="s">
        <v>107</v>
      </c>
      <c r="J1159" s="312">
        <v>1913</v>
      </c>
      <c r="K1159" s="312" t="s">
        <v>109</v>
      </c>
    </row>
    <row r="1160" spans="1:11">
      <c r="A1160" s="312" t="s">
        <v>4967</v>
      </c>
      <c r="B1160" s="312" t="s">
        <v>4968</v>
      </c>
      <c r="C1160" s="312" t="s">
        <v>105</v>
      </c>
      <c r="D1160" s="312" t="s">
        <v>114</v>
      </c>
      <c r="E1160" s="312" t="s">
        <v>107</v>
      </c>
      <c r="F1160" s="312">
        <v>1825</v>
      </c>
      <c r="G1160" s="312" t="s">
        <v>108</v>
      </c>
      <c r="H1160" s="312">
        <v>1827</v>
      </c>
      <c r="I1160" s="312" t="s">
        <v>107</v>
      </c>
      <c r="J1160" s="312">
        <v>1913</v>
      </c>
      <c r="K1160" s="312" t="s">
        <v>109</v>
      </c>
    </row>
    <row r="1161" spans="1:11">
      <c r="A1161" s="312" t="s">
        <v>4969</v>
      </c>
      <c r="B1161" s="312" t="s">
        <v>4970</v>
      </c>
      <c r="C1161" s="312" t="s">
        <v>105</v>
      </c>
      <c r="D1161" s="312" t="s">
        <v>114</v>
      </c>
      <c r="E1161" s="312" t="s">
        <v>107</v>
      </c>
      <c r="F1161" s="312">
        <v>1825</v>
      </c>
      <c r="G1161" s="312" t="s">
        <v>108</v>
      </c>
      <c r="H1161" s="312">
        <v>1827</v>
      </c>
      <c r="I1161" s="312" t="s">
        <v>107</v>
      </c>
      <c r="J1161" s="312">
        <v>1913</v>
      </c>
      <c r="K1161" s="312" t="s">
        <v>109</v>
      </c>
    </row>
    <row r="1162" spans="1:11">
      <c r="A1162" s="312" t="s">
        <v>5071</v>
      </c>
      <c r="B1162" s="312" t="s">
        <v>5072</v>
      </c>
      <c r="C1162" s="312" t="s">
        <v>105</v>
      </c>
      <c r="D1162" s="312" t="s">
        <v>114</v>
      </c>
      <c r="E1162" s="312" t="s">
        <v>107</v>
      </c>
      <c r="F1162" s="312">
        <v>1825</v>
      </c>
      <c r="G1162" s="312" t="s">
        <v>108</v>
      </c>
      <c r="H1162" s="312">
        <v>1827</v>
      </c>
      <c r="I1162" s="312" t="s">
        <v>107</v>
      </c>
      <c r="J1162" s="312">
        <v>1913</v>
      </c>
      <c r="K1162" s="312" t="s">
        <v>109</v>
      </c>
    </row>
    <row r="1163" spans="1:11">
      <c r="A1163" s="312" t="s">
        <v>5145</v>
      </c>
      <c r="B1163" s="312" t="s">
        <v>5146</v>
      </c>
      <c r="C1163" s="312" t="s">
        <v>105</v>
      </c>
      <c r="D1163" s="312" t="s">
        <v>114</v>
      </c>
      <c r="E1163" s="312" t="s">
        <v>107</v>
      </c>
      <c r="F1163" s="312">
        <v>1825</v>
      </c>
      <c r="G1163" s="312" t="s">
        <v>108</v>
      </c>
      <c r="H1163" s="312">
        <v>1827</v>
      </c>
      <c r="I1163" s="312" t="s">
        <v>107</v>
      </c>
      <c r="J1163" s="312">
        <v>1913</v>
      </c>
      <c r="K1163" s="312" t="s">
        <v>109</v>
      </c>
    </row>
    <row r="1164" spans="1:11">
      <c r="A1164" s="312" t="s">
        <v>5153</v>
      </c>
      <c r="B1164" s="312" t="s">
        <v>5154</v>
      </c>
      <c r="C1164" s="312" t="s">
        <v>105</v>
      </c>
      <c r="D1164" s="312" t="s">
        <v>114</v>
      </c>
      <c r="E1164" s="312" t="s">
        <v>107</v>
      </c>
      <c r="F1164" s="312">
        <v>1825</v>
      </c>
      <c r="G1164" s="312" t="s">
        <v>108</v>
      </c>
      <c r="H1164" s="312">
        <v>1827</v>
      </c>
      <c r="I1164" s="312" t="s">
        <v>107</v>
      </c>
      <c r="J1164" s="312">
        <v>1913</v>
      </c>
      <c r="K1164" s="312" t="s">
        <v>109</v>
      </c>
    </row>
    <row r="1165" spans="1:11">
      <c r="A1165" s="312" t="s">
        <v>5157</v>
      </c>
      <c r="B1165" s="312" t="s">
        <v>5158</v>
      </c>
      <c r="C1165" s="312" t="s">
        <v>105</v>
      </c>
      <c r="D1165" s="312" t="s">
        <v>114</v>
      </c>
      <c r="E1165" s="312" t="s">
        <v>107</v>
      </c>
      <c r="F1165" s="312">
        <v>1825</v>
      </c>
      <c r="G1165" s="312" t="s">
        <v>108</v>
      </c>
      <c r="H1165" s="312">
        <v>1827</v>
      </c>
      <c r="I1165" s="312" t="s">
        <v>107</v>
      </c>
      <c r="J1165" s="312">
        <v>1913</v>
      </c>
      <c r="K1165" s="312" t="s">
        <v>109</v>
      </c>
    </row>
    <row r="1166" spans="1:11">
      <c r="A1166" s="312" t="s">
        <v>5180</v>
      </c>
      <c r="B1166" s="312" t="s">
        <v>5181</v>
      </c>
      <c r="C1166" s="312" t="s">
        <v>105</v>
      </c>
      <c r="D1166" s="312" t="s">
        <v>114</v>
      </c>
      <c r="E1166" s="312" t="s">
        <v>107</v>
      </c>
      <c r="F1166" s="312">
        <v>1825</v>
      </c>
      <c r="G1166" s="312" t="s">
        <v>108</v>
      </c>
      <c r="H1166" s="312">
        <v>1827</v>
      </c>
      <c r="I1166" s="312" t="s">
        <v>107</v>
      </c>
      <c r="J1166" s="312">
        <v>1913</v>
      </c>
      <c r="K1166" s="312" t="s">
        <v>109</v>
      </c>
    </row>
    <row r="1167" spans="1:11">
      <c r="A1167" s="312" t="s">
        <v>5188</v>
      </c>
      <c r="B1167" s="312" t="s">
        <v>5189</v>
      </c>
      <c r="C1167" s="312" t="s">
        <v>105</v>
      </c>
      <c r="D1167" s="312" t="s">
        <v>114</v>
      </c>
      <c r="E1167" s="312" t="s">
        <v>107</v>
      </c>
      <c r="F1167" s="312">
        <v>1825</v>
      </c>
      <c r="G1167" s="312" t="s">
        <v>108</v>
      </c>
      <c r="H1167" s="312">
        <v>1827</v>
      </c>
      <c r="I1167" s="312" t="s">
        <v>107</v>
      </c>
      <c r="J1167" s="312">
        <v>1913</v>
      </c>
      <c r="K1167" s="312" t="s">
        <v>109</v>
      </c>
    </row>
    <row r="1168" spans="1:11">
      <c r="A1168" s="312" t="s">
        <v>5194</v>
      </c>
      <c r="B1168" s="312" t="s">
        <v>5195</v>
      </c>
      <c r="C1168" s="312" t="s">
        <v>105</v>
      </c>
      <c r="D1168" s="312" t="s">
        <v>114</v>
      </c>
      <c r="E1168" s="312" t="s">
        <v>107</v>
      </c>
      <c r="F1168" s="312">
        <v>1825</v>
      </c>
      <c r="G1168" s="312" t="s">
        <v>108</v>
      </c>
      <c r="H1168" s="312">
        <v>1827</v>
      </c>
      <c r="I1168" s="312" t="s">
        <v>107</v>
      </c>
      <c r="J1168" s="312">
        <v>1913</v>
      </c>
      <c r="K1168" s="312" t="s">
        <v>109</v>
      </c>
    </row>
    <row r="1169" spans="1:11">
      <c r="A1169" s="312" t="s">
        <v>5196</v>
      </c>
      <c r="B1169" s="312" t="s">
        <v>5197</v>
      </c>
      <c r="C1169" s="312" t="s">
        <v>105</v>
      </c>
      <c r="D1169" s="312" t="s">
        <v>114</v>
      </c>
      <c r="E1169" s="312" t="s">
        <v>107</v>
      </c>
      <c r="F1169" s="312">
        <v>1825</v>
      </c>
      <c r="G1169" s="312" t="s">
        <v>108</v>
      </c>
      <c r="H1169" s="312">
        <v>1827</v>
      </c>
      <c r="I1169" s="312" t="s">
        <v>107</v>
      </c>
      <c r="J1169" s="312">
        <v>1913</v>
      </c>
      <c r="K1169" s="312" t="s">
        <v>109</v>
      </c>
    </row>
    <row r="1170" spans="1:11">
      <c r="A1170" s="312" t="s">
        <v>5198</v>
      </c>
      <c r="B1170" s="312" t="s">
        <v>5199</v>
      </c>
      <c r="C1170" s="312" t="s">
        <v>105</v>
      </c>
      <c r="D1170" s="312" t="s">
        <v>114</v>
      </c>
      <c r="E1170" s="312" t="s">
        <v>107</v>
      </c>
      <c r="F1170" s="312">
        <v>1825</v>
      </c>
      <c r="G1170" s="312" t="s">
        <v>108</v>
      </c>
      <c r="H1170" s="312">
        <v>1827</v>
      </c>
      <c r="I1170" s="312" t="s">
        <v>107</v>
      </c>
      <c r="J1170" s="312">
        <v>1913</v>
      </c>
      <c r="K1170" s="312" t="s">
        <v>109</v>
      </c>
    </row>
    <row r="1171" spans="1:11">
      <c r="A1171" s="312" t="s">
        <v>5200</v>
      </c>
      <c r="B1171" s="312" t="s">
        <v>5201</v>
      </c>
      <c r="C1171" s="312" t="s">
        <v>105</v>
      </c>
      <c r="D1171" s="312" t="s">
        <v>114</v>
      </c>
      <c r="E1171" s="312" t="s">
        <v>107</v>
      </c>
      <c r="F1171" s="312">
        <v>1825</v>
      </c>
      <c r="G1171" s="312" t="s">
        <v>108</v>
      </c>
      <c r="H1171" s="312">
        <v>1827</v>
      </c>
      <c r="I1171" s="312" t="s">
        <v>107</v>
      </c>
      <c r="J1171" s="312">
        <v>1913</v>
      </c>
      <c r="K1171" s="312" t="s">
        <v>109</v>
      </c>
    </row>
    <row r="1172" spans="1:11">
      <c r="A1172" s="312" t="s">
        <v>5202</v>
      </c>
      <c r="B1172" s="312" t="s">
        <v>5203</v>
      </c>
      <c r="C1172" s="312" t="s">
        <v>105</v>
      </c>
      <c r="D1172" s="312" t="s">
        <v>114</v>
      </c>
      <c r="E1172" s="312" t="s">
        <v>107</v>
      </c>
      <c r="F1172" s="312">
        <v>1825</v>
      </c>
      <c r="G1172" s="312" t="s">
        <v>108</v>
      </c>
      <c r="H1172" s="312">
        <v>1827</v>
      </c>
      <c r="I1172" s="312" t="s">
        <v>107</v>
      </c>
      <c r="J1172" s="312">
        <v>1913</v>
      </c>
      <c r="K1172" s="312" t="s">
        <v>109</v>
      </c>
    </row>
    <row r="1173" spans="1:11">
      <c r="A1173" s="312" t="s">
        <v>5206</v>
      </c>
      <c r="B1173" s="312" t="s">
        <v>5207</v>
      </c>
      <c r="C1173" s="312" t="s">
        <v>105</v>
      </c>
      <c r="D1173" s="312" t="s">
        <v>114</v>
      </c>
      <c r="E1173" s="312" t="s">
        <v>107</v>
      </c>
      <c r="F1173" s="312">
        <v>1825</v>
      </c>
      <c r="G1173" s="312" t="s">
        <v>108</v>
      </c>
      <c r="H1173" s="312">
        <v>1827</v>
      </c>
      <c r="I1173" s="312" t="s">
        <v>107</v>
      </c>
      <c r="J1173" s="312">
        <v>1913</v>
      </c>
      <c r="K1173" s="312" t="s">
        <v>109</v>
      </c>
    </row>
    <row r="1174" spans="1:11">
      <c r="A1174" s="312" t="s">
        <v>5242</v>
      </c>
      <c r="B1174" s="312" t="s">
        <v>5243</v>
      </c>
      <c r="C1174" s="312" t="s">
        <v>105</v>
      </c>
      <c r="D1174" s="312" t="s">
        <v>114</v>
      </c>
      <c r="E1174" s="312" t="s">
        <v>107</v>
      </c>
      <c r="F1174" s="312">
        <v>1825</v>
      </c>
      <c r="G1174" s="312" t="s">
        <v>108</v>
      </c>
      <c r="H1174" s="312">
        <v>1827</v>
      </c>
      <c r="I1174" s="312" t="s">
        <v>107</v>
      </c>
      <c r="J1174" s="312">
        <v>1913</v>
      </c>
      <c r="K1174" s="312" t="s">
        <v>109</v>
      </c>
    </row>
    <row r="1175" spans="1:11">
      <c r="A1175" s="312" t="s">
        <v>5268</v>
      </c>
      <c r="B1175" s="312" t="s">
        <v>5269</v>
      </c>
      <c r="C1175" s="312" t="s">
        <v>105</v>
      </c>
      <c r="D1175" s="312" t="s">
        <v>114</v>
      </c>
      <c r="E1175" s="312" t="s">
        <v>107</v>
      </c>
      <c r="F1175" s="312">
        <v>1825</v>
      </c>
      <c r="G1175" s="312" t="s">
        <v>108</v>
      </c>
      <c r="H1175" s="312">
        <v>1827</v>
      </c>
      <c r="I1175" s="312" t="s">
        <v>107</v>
      </c>
      <c r="J1175" s="312">
        <v>1913</v>
      </c>
      <c r="K1175" s="312" t="s">
        <v>109</v>
      </c>
    </row>
    <row r="1176" spans="1:11">
      <c r="A1176" s="312" t="s">
        <v>5278</v>
      </c>
      <c r="B1176" s="312" t="s">
        <v>5279</v>
      </c>
      <c r="C1176" s="312" t="s">
        <v>105</v>
      </c>
      <c r="D1176" s="312" t="s">
        <v>114</v>
      </c>
      <c r="E1176" s="312" t="s">
        <v>107</v>
      </c>
      <c r="F1176" s="312">
        <v>1825</v>
      </c>
      <c r="G1176" s="312" t="s">
        <v>108</v>
      </c>
      <c r="H1176" s="312">
        <v>1827</v>
      </c>
      <c r="I1176" s="312" t="s">
        <v>107</v>
      </c>
      <c r="J1176" s="312">
        <v>1913</v>
      </c>
      <c r="K1176" s="312" t="s">
        <v>109</v>
      </c>
    </row>
    <row r="1177" spans="1:11">
      <c r="A1177" s="312" t="s">
        <v>5280</v>
      </c>
      <c r="B1177" s="312" t="s">
        <v>5281</v>
      </c>
      <c r="C1177" s="312" t="s">
        <v>105</v>
      </c>
      <c r="D1177" s="312" t="s">
        <v>114</v>
      </c>
      <c r="E1177" s="312" t="s">
        <v>107</v>
      </c>
      <c r="F1177" s="312">
        <v>1825</v>
      </c>
      <c r="G1177" s="312" t="s">
        <v>108</v>
      </c>
      <c r="H1177" s="312">
        <v>1827</v>
      </c>
      <c r="I1177" s="312" t="s">
        <v>107</v>
      </c>
      <c r="J1177" s="312">
        <v>1913</v>
      </c>
      <c r="K1177" s="312" t="s">
        <v>109</v>
      </c>
    </row>
    <row r="1178" spans="1:11">
      <c r="A1178" s="312" t="s">
        <v>5282</v>
      </c>
      <c r="B1178" s="312" t="s">
        <v>5283</v>
      </c>
      <c r="C1178" s="312" t="s">
        <v>105</v>
      </c>
      <c r="D1178" s="312" t="s">
        <v>114</v>
      </c>
      <c r="E1178" s="312" t="s">
        <v>107</v>
      </c>
      <c r="F1178" s="312">
        <v>1825</v>
      </c>
      <c r="G1178" s="312" t="s">
        <v>108</v>
      </c>
      <c r="H1178" s="312">
        <v>1827</v>
      </c>
      <c r="I1178" s="312" t="s">
        <v>107</v>
      </c>
      <c r="J1178" s="312">
        <v>1913</v>
      </c>
      <c r="K1178" s="312" t="s">
        <v>109</v>
      </c>
    </row>
    <row r="1179" spans="1:11">
      <c r="A1179" s="312" t="s">
        <v>5284</v>
      </c>
      <c r="B1179" s="312" t="s">
        <v>5285</v>
      </c>
      <c r="C1179" s="312" t="s">
        <v>105</v>
      </c>
      <c r="D1179" s="312" t="s">
        <v>114</v>
      </c>
      <c r="E1179" s="312" t="s">
        <v>107</v>
      </c>
      <c r="F1179" s="312">
        <v>1825</v>
      </c>
      <c r="G1179" s="312" t="s">
        <v>108</v>
      </c>
      <c r="H1179" s="312">
        <v>1827</v>
      </c>
      <c r="I1179" s="312" t="s">
        <v>107</v>
      </c>
      <c r="J1179" s="312">
        <v>1913</v>
      </c>
      <c r="K1179" s="312" t="s">
        <v>109</v>
      </c>
    </row>
    <row r="1180" spans="1:11">
      <c r="A1180" s="312" t="s">
        <v>5290</v>
      </c>
      <c r="B1180" s="312" t="s">
        <v>5291</v>
      </c>
      <c r="C1180" s="312" t="s">
        <v>105</v>
      </c>
      <c r="D1180" s="312" t="s">
        <v>114</v>
      </c>
      <c r="E1180" s="312" t="s">
        <v>107</v>
      </c>
      <c r="F1180" s="312">
        <v>1825</v>
      </c>
      <c r="G1180" s="312" t="s">
        <v>108</v>
      </c>
      <c r="H1180" s="312">
        <v>1827</v>
      </c>
      <c r="I1180" s="312" t="s">
        <v>107</v>
      </c>
      <c r="J1180" s="312">
        <v>1913</v>
      </c>
      <c r="K1180" s="312" t="s">
        <v>109</v>
      </c>
    </row>
    <row r="1181" spans="1:11">
      <c r="A1181" s="312" t="s">
        <v>5322</v>
      </c>
      <c r="B1181" s="312" t="s">
        <v>5323</v>
      </c>
      <c r="C1181" s="312" t="s">
        <v>105</v>
      </c>
      <c r="D1181" s="312" t="s">
        <v>114</v>
      </c>
      <c r="E1181" s="312" t="s">
        <v>107</v>
      </c>
      <c r="F1181" s="312">
        <v>1825</v>
      </c>
      <c r="G1181" s="312" t="s">
        <v>108</v>
      </c>
      <c r="H1181" s="312">
        <v>1827</v>
      </c>
      <c r="I1181" s="312" t="s">
        <v>107</v>
      </c>
      <c r="J1181" s="312">
        <v>1913</v>
      </c>
      <c r="K1181" s="312" t="s">
        <v>109</v>
      </c>
    </row>
    <row r="1182" spans="1:11">
      <c r="A1182" s="312" t="s">
        <v>5359</v>
      </c>
      <c r="B1182" s="312" t="s">
        <v>5360</v>
      </c>
      <c r="C1182" s="312" t="s">
        <v>105</v>
      </c>
      <c r="D1182" s="312" t="s">
        <v>114</v>
      </c>
      <c r="E1182" s="312" t="s">
        <v>107</v>
      </c>
      <c r="F1182" s="312">
        <v>1825</v>
      </c>
      <c r="G1182" s="312" t="s">
        <v>108</v>
      </c>
      <c r="H1182" s="312">
        <v>1827</v>
      </c>
      <c r="I1182" s="312" t="s">
        <v>107</v>
      </c>
      <c r="J1182" s="312">
        <v>1913</v>
      </c>
      <c r="K1182" s="312" t="s">
        <v>109</v>
      </c>
    </row>
    <row r="1183" spans="1:11">
      <c r="A1183" s="312" t="s">
        <v>5377</v>
      </c>
      <c r="B1183" s="312" t="s">
        <v>5378</v>
      </c>
      <c r="C1183" s="312" t="s">
        <v>105</v>
      </c>
      <c r="D1183" s="312" t="s">
        <v>114</v>
      </c>
      <c r="E1183" s="312" t="s">
        <v>107</v>
      </c>
      <c r="F1183" s="312">
        <v>1825</v>
      </c>
      <c r="G1183" s="312" t="s">
        <v>108</v>
      </c>
      <c r="H1183" s="312">
        <v>1827</v>
      </c>
      <c r="I1183" s="312" t="s">
        <v>107</v>
      </c>
      <c r="J1183" s="312">
        <v>1913</v>
      </c>
      <c r="K1183" s="312" t="s">
        <v>109</v>
      </c>
    </row>
    <row r="1184" spans="1:11">
      <c r="A1184" s="312" t="s">
        <v>5391</v>
      </c>
      <c r="B1184" s="312" t="s">
        <v>5392</v>
      </c>
      <c r="C1184" s="312" t="s">
        <v>105</v>
      </c>
      <c r="D1184" s="312" t="s">
        <v>114</v>
      </c>
      <c r="E1184" s="312" t="s">
        <v>107</v>
      </c>
      <c r="F1184" s="312">
        <v>1825</v>
      </c>
      <c r="G1184" s="312" t="s">
        <v>108</v>
      </c>
      <c r="H1184" s="312">
        <v>1827</v>
      </c>
      <c r="I1184" s="312" t="s">
        <v>107</v>
      </c>
      <c r="J1184" s="312">
        <v>1913</v>
      </c>
      <c r="K1184" s="312" t="s">
        <v>109</v>
      </c>
    </row>
    <row r="1185" spans="1:11">
      <c r="A1185" s="312" t="s">
        <v>5763</v>
      </c>
      <c r="B1185" s="312" t="s">
        <v>5764</v>
      </c>
      <c r="C1185" s="312" t="s">
        <v>105</v>
      </c>
      <c r="D1185" s="312" t="s">
        <v>114</v>
      </c>
      <c r="E1185" s="312" t="s">
        <v>107</v>
      </c>
      <c r="F1185" s="312">
        <v>1825</v>
      </c>
      <c r="G1185" s="312" t="s">
        <v>108</v>
      </c>
      <c r="H1185" s="312">
        <v>1827</v>
      </c>
      <c r="I1185" s="312" t="s">
        <v>107</v>
      </c>
      <c r="J1185" s="312">
        <v>1913</v>
      </c>
      <c r="K1185" s="312" t="s">
        <v>109</v>
      </c>
    </row>
    <row r="1186" spans="1:11">
      <c r="A1186" s="312" t="s">
        <v>5765</v>
      </c>
      <c r="B1186" s="312" t="s">
        <v>5766</v>
      </c>
      <c r="C1186" s="312" t="s">
        <v>105</v>
      </c>
      <c r="D1186" s="312" t="s">
        <v>114</v>
      </c>
      <c r="E1186" s="312" t="s">
        <v>107</v>
      </c>
      <c r="F1186" s="312">
        <v>1825</v>
      </c>
      <c r="G1186" s="312" t="s">
        <v>108</v>
      </c>
      <c r="H1186" s="312">
        <v>1827</v>
      </c>
      <c r="I1186" s="312" t="s">
        <v>107</v>
      </c>
      <c r="J1186" s="312">
        <v>1913</v>
      </c>
      <c r="K1186" s="312" t="s">
        <v>109</v>
      </c>
    </row>
    <row r="1187" spans="1:11">
      <c r="A1187" s="312" t="s">
        <v>5767</v>
      </c>
      <c r="B1187" s="312" t="s">
        <v>5768</v>
      </c>
      <c r="C1187" s="312" t="s">
        <v>105</v>
      </c>
      <c r="D1187" s="312" t="s">
        <v>114</v>
      </c>
      <c r="E1187" s="312" t="s">
        <v>107</v>
      </c>
      <c r="F1187" s="312">
        <v>1825</v>
      </c>
      <c r="G1187" s="312" t="s">
        <v>108</v>
      </c>
      <c r="H1187" s="312">
        <v>1827</v>
      </c>
      <c r="I1187" s="312" t="s">
        <v>107</v>
      </c>
      <c r="J1187" s="312">
        <v>1913</v>
      </c>
      <c r="K1187" s="312" t="s">
        <v>109</v>
      </c>
    </row>
    <row r="1188" spans="1:11">
      <c r="A1188" s="312" t="s">
        <v>5769</v>
      </c>
      <c r="B1188" s="312" t="s">
        <v>5770</v>
      </c>
      <c r="C1188" s="312" t="s">
        <v>105</v>
      </c>
      <c r="D1188" s="312" t="s">
        <v>114</v>
      </c>
      <c r="E1188" s="312" t="s">
        <v>107</v>
      </c>
      <c r="F1188" s="312">
        <v>1825</v>
      </c>
      <c r="G1188" s="312" t="s">
        <v>108</v>
      </c>
      <c r="H1188" s="312">
        <v>1827</v>
      </c>
      <c r="I1188" s="312" t="s">
        <v>107</v>
      </c>
      <c r="J1188" s="312">
        <v>1913</v>
      </c>
      <c r="K1188" s="312" t="s">
        <v>109</v>
      </c>
    </row>
    <row r="1189" spans="1:11">
      <c r="A1189" s="312" t="s">
        <v>5771</v>
      </c>
      <c r="B1189" s="312" t="s">
        <v>5772</v>
      </c>
      <c r="C1189" s="312" t="s">
        <v>105</v>
      </c>
      <c r="D1189" s="312" t="s">
        <v>114</v>
      </c>
      <c r="E1189" s="312" t="s">
        <v>107</v>
      </c>
      <c r="F1189" s="312">
        <v>1825</v>
      </c>
      <c r="G1189" s="312" t="s">
        <v>108</v>
      </c>
      <c r="H1189" s="312">
        <v>1827</v>
      </c>
      <c r="I1189" s="312" t="s">
        <v>107</v>
      </c>
      <c r="J1189" s="312">
        <v>1913</v>
      </c>
      <c r="K1189" s="312" t="s">
        <v>109</v>
      </c>
    </row>
    <row r="1190" spans="1:11">
      <c r="A1190" s="312" t="s">
        <v>5773</v>
      </c>
      <c r="B1190" s="312" t="s">
        <v>5774</v>
      </c>
      <c r="C1190" s="312" t="s">
        <v>105</v>
      </c>
      <c r="D1190" s="312" t="s">
        <v>114</v>
      </c>
      <c r="E1190" s="312" t="s">
        <v>107</v>
      </c>
      <c r="F1190" s="312">
        <v>1825</v>
      </c>
      <c r="G1190" s="312" t="s">
        <v>108</v>
      </c>
      <c r="H1190" s="312">
        <v>1827</v>
      </c>
      <c r="I1190" s="312" t="s">
        <v>107</v>
      </c>
      <c r="J1190" s="312">
        <v>1913</v>
      </c>
      <c r="K1190" s="312" t="s">
        <v>109</v>
      </c>
    </row>
    <row r="1191" spans="1:11">
      <c r="A1191" s="312" t="s">
        <v>5775</v>
      </c>
      <c r="B1191" s="312" t="s">
        <v>5776</v>
      </c>
      <c r="C1191" s="312" t="s">
        <v>105</v>
      </c>
      <c r="D1191" s="312" t="s">
        <v>114</v>
      </c>
      <c r="E1191" s="312" t="s">
        <v>107</v>
      </c>
      <c r="F1191" s="312">
        <v>1825</v>
      </c>
      <c r="G1191" s="312" t="s">
        <v>108</v>
      </c>
      <c r="H1191" s="312">
        <v>1827</v>
      </c>
      <c r="I1191" s="312" t="s">
        <v>107</v>
      </c>
      <c r="J1191" s="312">
        <v>1913</v>
      </c>
      <c r="K1191" s="312" t="s">
        <v>109</v>
      </c>
    </row>
    <row r="1192" spans="1:11">
      <c r="A1192" s="312" t="s">
        <v>5779</v>
      </c>
      <c r="B1192" s="312" t="s">
        <v>5780</v>
      </c>
      <c r="C1192" s="312" t="s">
        <v>105</v>
      </c>
      <c r="D1192" s="312" t="s">
        <v>114</v>
      </c>
      <c r="E1192" s="312" t="s">
        <v>107</v>
      </c>
      <c r="F1192" s="312">
        <v>1825</v>
      </c>
      <c r="G1192" s="312" t="s">
        <v>108</v>
      </c>
      <c r="H1192" s="312">
        <v>1827</v>
      </c>
      <c r="I1192" s="312" t="s">
        <v>107</v>
      </c>
      <c r="J1192" s="312">
        <v>1913</v>
      </c>
      <c r="K1192" s="312" t="s">
        <v>109</v>
      </c>
    </row>
    <row r="1193" spans="1:11">
      <c r="A1193" s="312" t="s">
        <v>5781</v>
      </c>
      <c r="B1193" s="312" t="s">
        <v>5782</v>
      </c>
      <c r="C1193" s="312" t="s">
        <v>105</v>
      </c>
      <c r="D1193" s="312" t="s">
        <v>114</v>
      </c>
      <c r="E1193" s="312" t="s">
        <v>107</v>
      </c>
      <c r="F1193" s="312">
        <v>1825</v>
      </c>
      <c r="G1193" s="312" t="s">
        <v>108</v>
      </c>
      <c r="H1193" s="312">
        <v>1827</v>
      </c>
      <c r="I1193" s="312" t="s">
        <v>107</v>
      </c>
      <c r="J1193" s="312">
        <v>1913</v>
      </c>
      <c r="K1193" s="312" t="s">
        <v>109</v>
      </c>
    </row>
    <row r="1194" spans="1:11">
      <c r="A1194" s="312" t="s">
        <v>5783</v>
      </c>
      <c r="B1194" s="312" t="s">
        <v>5784</v>
      </c>
      <c r="C1194" s="312" t="s">
        <v>105</v>
      </c>
      <c r="D1194" s="312" t="s">
        <v>114</v>
      </c>
      <c r="E1194" s="312" t="s">
        <v>107</v>
      </c>
      <c r="F1194" s="312">
        <v>1825</v>
      </c>
      <c r="G1194" s="312" t="s">
        <v>108</v>
      </c>
      <c r="H1194" s="312">
        <v>1827</v>
      </c>
      <c r="I1194" s="312" t="s">
        <v>107</v>
      </c>
      <c r="J1194" s="312">
        <v>1913</v>
      </c>
      <c r="K1194" s="312" t="s">
        <v>109</v>
      </c>
    </row>
    <row r="1195" spans="1:11">
      <c r="A1195" s="312" t="s">
        <v>5785</v>
      </c>
      <c r="B1195" s="312" t="s">
        <v>5786</v>
      </c>
      <c r="C1195" s="312" t="s">
        <v>105</v>
      </c>
      <c r="D1195" s="312" t="s">
        <v>114</v>
      </c>
      <c r="E1195" s="312" t="s">
        <v>107</v>
      </c>
      <c r="F1195" s="312">
        <v>1825</v>
      </c>
      <c r="G1195" s="312" t="s">
        <v>108</v>
      </c>
      <c r="H1195" s="312">
        <v>1827</v>
      </c>
      <c r="I1195" s="312" t="s">
        <v>107</v>
      </c>
      <c r="J1195" s="312">
        <v>1913</v>
      </c>
      <c r="K1195" s="312" t="s">
        <v>109</v>
      </c>
    </row>
    <row r="1196" spans="1:11">
      <c r="A1196" s="312" t="s">
        <v>5787</v>
      </c>
      <c r="B1196" s="312" t="s">
        <v>5788</v>
      </c>
      <c r="C1196" s="312" t="s">
        <v>105</v>
      </c>
      <c r="D1196" s="312" t="s">
        <v>114</v>
      </c>
      <c r="E1196" s="312" t="s">
        <v>107</v>
      </c>
      <c r="F1196" s="312">
        <v>1825</v>
      </c>
      <c r="G1196" s="312" t="s">
        <v>108</v>
      </c>
      <c r="H1196" s="312">
        <v>1827</v>
      </c>
      <c r="I1196" s="312" t="s">
        <v>107</v>
      </c>
      <c r="J1196" s="312">
        <v>1913</v>
      </c>
      <c r="K1196" s="312" t="s">
        <v>109</v>
      </c>
    </row>
    <row r="1197" spans="1:11">
      <c r="A1197" s="312" t="s">
        <v>5789</v>
      </c>
      <c r="B1197" s="312" t="s">
        <v>5790</v>
      </c>
      <c r="C1197" s="312" t="s">
        <v>105</v>
      </c>
      <c r="D1197" s="312" t="s">
        <v>114</v>
      </c>
      <c r="E1197" s="312" t="s">
        <v>107</v>
      </c>
      <c r="F1197" s="312">
        <v>1825</v>
      </c>
      <c r="G1197" s="312" t="s">
        <v>108</v>
      </c>
      <c r="H1197" s="312">
        <v>1827</v>
      </c>
      <c r="I1197" s="312" t="s">
        <v>107</v>
      </c>
      <c r="J1197" s="312">
        <v>1913</v>
      </c>
      <c r="K1197" s="312" t="s">
        <v>109</v>
      </c>
    </row>
    <row r="1198" spans="1:11">
      <c r="A1198" s="312" t="s">
        <v>5793</v>
      </c>
      <c r="B1198" s="312" t="s">
        <v>5794</v>
      </c>
      <c r="C1198" s="312" t="s">
        <v>105</v>
      </c>
      <c r="D1198" s="312" t="s">
        <v>114</v>
      </c>
      <c r="E1198" s="312" t="s">
        <v>107</v>
      </c>
      <c r="F1198" s="312">
        <v>1825</v>
      </c>
      <c r="G1198" s="312" t="s">
        <v>108</v>
      </c>
      <c r="H1198" s="312">
        <v>1827</v>
      </c>
      <c r="I1198" s="312" t="s">
        <v>107</v>
      </c>
      <c r="J1198" s="312">
        <v>1913</v>
      </c>
      <c r="K1198" s="312" t="s">
        <v>109</v>
      </c>
    </row>
    <row r="1199" spans="1:11">
      <c r="A1199" s="312" t="s">
        <v>5795</v>
      </c>
      <c r="B1199" s="312" t="s">
        <v>5796</v>
      </c>
      <c r="C1199" s="312" t="s">
        <v>105</v>
      </c>
      <c r="D1199" s="312" t="s">
        <v>114</v>
      </c>
      <c r="E1199" s="312" t="s">
        <v>107</v>
      </c>
      <c r="F1199" s="312">
        <v>1825</v>
      </c>
      <c r="G1199" s="312" t="s">
        <v>108</v>
      </c>
      <c r="H1199" s="312">
        <v>1827</v>
      </c>
      <c r="I1199" s="312" t="s">
        <v>107</v>
      </c>
      <c r="J1199" s="312">
        <v>1913</v>
      </c>
      <c r="K1199" s="312" t="s">
        <v>109</v>
      </c>
    </row>
    <row r="1200" spans="1:11">
      <c r="A1200" s="312" t="s">
        <v>5824</v>
      </c>
      <c r="B1200" s="312" t="s">
        <v>5825</v>
      </c>
      <c r="C1200" s="312" t="s">
        <v>105</v>
      </c>
      <c r="D1200" s="312" t="s">
        <v>114</v>
      </c>
      <c r="E1200" s="312" t="s">
        <v>107</v>
      </c>
      <c r="F1200" s="312">
        <v>1825</v>
      </c>
      <c r="G1200" s="312" t="s">
        <v>108</v>
      </c>
      <c r="H1200" s="312">
        <v>1827</v>
      </c>
      <c r="I1200" s="312" t="s">
        <v>107</v>
      </c>
      <c r="J1200" s="312">
        <v>1913</v>
      </c>
      <c r="K1200" s="312" t="s">
        <v>109</v>
      </c>
    </row>
    <row r="1201" spans="1:11">
      <c r="A1201" s="312" t="s">
        <v>5830</v>
      </c>
      <c r="B1201" s="312" t="s">
        <v>5831</v>
      </c>
      <c r="C1201" s="312" t="s">
        <v>105</v>
      </c>
      <c r="D1201" s="312" t="s">
        <v>114</v>
      </c>
      <c r="E1201" s="312" t="s">
        <v>107</v>
      </c>
      <c r="F1201" s="312">
        <v>1825</v>
      </c>
      <c r="G1201" s="312" t="s">
        <v>108</v>
      </c>
      <c r="H1201" s="312">
        <v>1827</v>
      </c>
      <c r="I1201" s="312" t="s">
        <v>107</v>
      </c>
      <c r="J1201" s="312">
        <v>1913</v>
      </c>
      <c r="K1201" s="312" t="s">
        <v>109</v>
      </c>
    </row>
    <row r="1202" spans="1:11">
      <c r="A1202" s="312" t="s">
        <v>5832</v>
      </c>
      <c r="B1202" s="312" t="s">
        <v>5833</v>
      </c>
      <c r="C1202" s="312" t="s">
        <v>105</v>
      </c>
      <c r="D1202" s="312" t="s">
        <v>114</v>
      </c>
      <c r="E1202" s="312" t="s">
        <v>167</v>
      </c>
      <c r="F1202" s="312">
        <v>1705</v>
      </c>
      <c r="G1202" s="312" t="s">
        <v>168</v>
      </c>
      <c r="H1202" s="312">
        <v>1707</v>
      </c>
      <c r="I1202" s="312" t="s">
        <v>167</v>
      </c>
      <c r="J1202" s="312">
        <v>1899</v>
      </c>
      <c r="K1202" s="312" t="s">
        <v>169</v>
      </c>
    </row>
    <row r="1203" spans="1:11">
      <c r="A1203" s="312" t="s">
        <v>5834</v>
      </c>
      <c r="B1203" s="312" t="s">
        <v>5835</v>
      </c>
      <c r="C1203" s="312" t="s">
        <v>105</v>
      </c>
      <c r="D1203" s="312" t="s">
        <v>114</v>
      </c>
      <c r="E1203" s="312" t="s">
        <v>107</v>
      </c>
      <c r="F1203" s="312">
        <v>1825</v>
      </c>
      <c r="G1203" s="312" t="s">
        <v>108</v>
      </c>
      <c r="H1203" s="312">
        <v>1827</v>
      </c>
      <c r="I1203" s="312" t="s">
        <v>107</v>
      </c>
      <c r="J1203" s="312">
        <v>1913</v>
      </c>
      <c r="K1203" s="312" t="s">
        <v>109</v>
      </c>
    </row>
    <row r="1204" spans="1:11">
      <c r="A1204" s="312" t="s">
        <v>5836</v>
      </c>
      <c r="B1204" s="312" t="s">
        <v>5837</v>
      </c>
      <c r="C1204" s="312" t="s">
        <v>105</v>
      </c>
      <c r="D1204" s="312" t="s">
        <v>114</v>
      </c>
      <c r="E1204" s="312" t="s">
        <v>167</v>
      </c>
      <c r="F1204" s="312">
        <v>1705</v>
      </c>
      <c r="G1204" s="312" t="s">
        <v>168</v>
      </c>
      <c r="H1204" s="312">
        <v>1707</v>
      </c>
      <c r="I1204" s="312" t="s">
        <v>167</v>
      </c>
      <c r="J1204" s="312">
        <v>1899</v>
      </c>
      <c r="K1204" s="312" t="s">
        <v>169</v>
      </c>
    </row>
    <row r="1205" spans="1:11">
      <c r="A1205" s="312" t="s">
        <v>5838</v>
      </c>
      <c r="B1205" s="312" t="s">
        <v>5839</v>
      </c>
      <c r="C1205" s="312" t="s">
        <v>105</v>
      </c>
      <c r="D1205" s="312" t="s">
        <v>114</v>
      </c>
      <c r="E1205" s="312" t="s">
        <v>107</v>
      </c>
      <c r="F1205" s="312">
        <v>1825</v>
      </c>
      <c r="G1205" s="312" t="s">
        <v>108</v>
      </c>
      <c r="H1205" s="312">
        <v>1827</v>
      </c>
      <c r="I1205" s="312" t="s">
        <v>107</v>
      </c>
      <c r="J1205" s="312">
        <v>1913</v>
      </c>
      <c r="K1205" s="312" t="s">
        <v>109</v>
      </c>
    </row>
    <row r="1206" spans="1:11">
      <c r="A1206" s="312" t="s">
        <v>5840</v>
      </c>
      <c r="B1206" s="312" t="s">
        <v>5841</v>
      </c>
      <c r="C1206" s="312" t="s">
        <v>105</v>
      </c>
      <c r="D1206" s="312" t="s">
        <v>114</v>
      </c>
      <c r="E1206" s="312" t="s">
        <v>167</v>
      </c>
      <c r="F1206" s="312">
        <v>1705</v>
      </c>
      <c r="G1206" s="312" t="s">
        <v>168</v>
      </c>
      <c r="H1206" s="312">
        <v>1707</v>
      </c>
      <c r="I1206" s="312" t="s">
        <v>167</v>
      </c>
      <c r="J1206" s="312">
        <v>1899</v>
      </c>
      <c r="K1206" s="312" t="s">
        <v>169</v>
      </c>
    </row>
    <row r="1207" spans="1:11">
      <c r="A1207" s="312" t="s">
        <v>5842</v>
      </c>
      <c r="B1207" s="312" t="s">
        <v>5843</v>
      </c>
      <c r="C1207" s="312" t="s">
        <v>105</v>
      </c>
      <c r="D1207" s="312" t="s">
        <v>114</v>
      </c>
      <c r="E1207" s="312" t="s">
        <v>107</v>
      </c>
      <c r="F1207" s="312">
        <v>1825</v>
      </c>
      <c r="G1207" s="312" t="s">
        <v>108</v>
      </c>
      <c r="H1207" s="312">
        <v>1827</v>
      </c>
      <c r="I1207" s="312" t="s">
        <v>107</v>
      </c>
      <c r="J1207" s="312">
        <v>1913</v>
      </c>
      <c r="K1207" s="312" t="s">
        <v>109</v>
      </c>
    </row>
    <row r="1208" spans="1:11">
      <c r="A1208" s="312" t="s">
        <v>5844</v>
      </c>
      <c r="B1208" s="312" t="s">
        <v>5845</v>
      </c>
      <c r="C1208" s="312" t="s">
        <v>105</v>
      </c>
      <c r="D1208" s="312" t="s">
        <v>114</v>
      </c>
      <c r="E1208" s="312" t="s">
        <v>167</v>
      </c>
      <c r="F1208" s="312">
        <v>1705</v>
      </c>
      <c r="G1208" s="312" t="s">
        <v>168</v>
      </c>
      <c r="H1208" s="312">
        <v>1707</v>
      </c>
      <c r="I1208" s="312" t="s">
        <v>167</v>
      </c>
      <c r="J1208" s="312">
        <v>1899</v>
      </c>
      <c r="K1208" s="312" t="s">
        <v>169</v>
      </c>
    </row>
    <row r="1209" spans="1:11">
      <c r="A1209" s="312" t="s">
        <v>5846</v>
      </c>
      <c r="B1209" s="312" t="s">
        <v>5847</v>
      </c>
      <c r="C1209" s="312" t="s">
        <v>105</v>
      </c>
      <c r="D1209" s="312" t="s">
        <v>114</v>
      </c>
      <c r="E1209" s="312" t="s">
        <v>107</v>
      </c>
      <c r="F1209" s="312">
        <v>1825</v>
      </c>
      <c r="G1209" s="312" t="s">
        <v>108</v>
      </c>
      <c r="H1209" s="312">
        <v>1827</v>
      </c>
      <c r="I1209" s="312" t="s">
        <v>107</v>
      </c>
      <c r="J1209" s="312">
        <v>1913</v>
      </c>
      <c r="K1209" s="312" t="s">
        <v>109</v>
      </c>
    </row>
    <row r="1210" spans="1:11">
      <c r="A1210" s="312" t="s">
        <v>5848</v>
      </c>
      <c r="B1210" s="312" t="s">
        <v>5849</v>
      </c>
      <c r="C1210" s="312" t="s">
        <v>105</v>
      </c>
      <c r="D1210" s="312" t="s">
        <v>114</v>
      </c>
      <c r="E1210" s="312" t="s">
        <v>167</v>
      </c>
      <c r="F1210" s="312">
        <v>1705</v>
      </c>
      <c r="G1210" s="312" t="s">
        <v>168</v>
      </c>
      <c r="H1210" s="312">
        <v>1707</v>
      </c>
      <c r="I1210" s="312" t="s">
        <v>167</v>
      </c>
      <c r="J1210" s="312">
        <v>1899</v>
      </c>
      <c r="K1210" s="312" t="s">
        <v>169</v>
      </c>
    </row>
    <row r="1211" spans="1:11">
      <c r="A1211" s="312" t="s">
        <v>5915</v>
      </c>
      <c r="B1211" s="312" t="s">
        <v>5916</v>
      </c>
      <c r="C1211" s="312" t="s">
        <v>105</v>
      </c>
      <c r="D1211" s="312" t="s">
        <v>114</v>
      </c>
      <c r="E1211" s="312" t="s">
        <v>107</v>
      </c>
      <c r="F1211" s="312">
        <v>1825</v>
      </c>
      <c r="G1211" s="312" t="s">
        <v>108</v>
      </c>
      <c r="H1211" s="312">
        <v>1827</v>
      </c>
      <c r="I1211" s="312" t="s">
        <v>107</v>
      </c>
      <c r="J1211" s="312">
        <v>1913</v>
      </c>
      <c r="K1211" s="312" t="s">
        <v>109</v>
      </c>
    </row>
    <row r="1212" spans="1:11">
      <c r="A1212" s="312" t="s">
        <v>5917</v>
      </c>
      <c r="B1212" s="312" t="s">
        <v>5918</v>
      </c>
      <c r="C1212" s="312" t="s">
        <v>105</v>
      </c>
      <c r="D1212" s="312" t="s">
        <v>114</v>
      </c>
      <c r="E1212" s="312" t="s">
        <v>107</v>
      </c>
      <c r="F1212" s="312">
        <v>1825</v>
      </c>
      <c r="G1212" s="312" t="s">
        <v>108</v>
      </c>
      <c r="H1212" s="312">
        <v>1827</v>
      </c>
      <c r="I1212" s="312" t="s">
        <v>107</v>
      </c>
      <c r="J1212" s="312">
        <v>1913</v>
      </c>
      <c r="K1212" s="312" t="s">
        <v>109</v>
      </c>
    </row>
    <row r="1213" spans="1:11">
      <c r="A1213" s="312" t="s">
        <v>5931</v>
      </c>
      <c r="B1213" s="312" t="s">
        <v>5932</v>
      </c>
      <c r="C1213" s="312" t="s">
        <v>105</v>
      </c>
      <c r="D1213" s="312" t="s">
        <v>114</v>
      </c>
      <c r="E1213" s="312" t="s">
        <v>107</v>
      </c>
      <c r="F1213" s="312">
        <v>1825</v>
      </c>
      <c r="G1213" s="312" t="s">
        <v>108</v>
      </c>
      <c r="H1213" s="312">
        <v>1827</v>
      </c>
      <c r="I1213" s="312" t="s">
        <v>107</v>
      </c>
      <c r="J1213" s="312">
        <v>1913</v>
      </c>
      <c r="K1213" s="312" t="s">
        <v>109</v>
      </c>
    </row>
    <row r="1214" spans="1:11">
      <c r="A1214" s="312" t="s">
        <v>5935</v>
      </c>
      <c r="B1214" s="312" t="s">
        <v>5936</v>
      </c>
      <c r="C1214" s="312" t="s">
        <v>105</v>
      </c>
      <c r="D1214" s="312" t="s">
        <v>114</v>
      </c>
      <c r="E1214" s="312" t="s">
        <v>107</v>
      </c>
      <c r="F1214" s="312">
        <v>1825</v>
      </c>
      <c r="G1214" s="312" t="s">
        <v>108</v>
      </c>
      <c r="H1214" s="312">
        <v>1827</v>
      </c>
      <c r="I1214" s="312" t="s">
        <v>107</v>
      </c>
      <c r="J1214" s="312">
        <v>1913</v>
      </c>
      <c r="K1214" s="312" t="s">
        <v>109</v>
      </c>
    </row>
    <row r="1215" spans="1:11">
      <c r="A1215" s="312" t="s">
        <v>6193</v>
      </c>
      <c r="B1215" s="312" t="s">
        <v>6194</v>
      </c>
      <c r="C1215" s="312" t="s">
        <v>105</v>
      </c>
      <c r="D1215" s="312" t="s">
        <v>114</v>
      </c>
      <c r="E1215" s="312" t="s">
        <v>107</v>
      </c>
      <c r="F1215" s="312">
        <v>1825</v>
      </c>
      <c r="G1215" s="312" t="s">
        <v>108</v>
      </c>
      <c r="H1215" s="312">
        <v>1827</v>
      </c>
      <c r="I1215" s="312" t="s">
        <v>107</v>
      </c>
      <c r="J1215" s="312">
        <v>1913</v>
      </c>
      <c r="K1215" s="312" t="s">
        <v>109</v>
      </c>
    </row>
    <row r="1216" spans="1:11">
      <c r="A1216" s="312" t="s">
        <v>6195</v>
      </c>
      <c r="B1216" s="312" t="s">
        <v>6196</v>
      </c>
      <c r="C1216" s="312" t="s">
        <v>105</v>
      </c>
      <c r="D1216" s="312" t="s">
        <v>114</v>
      </c>
      <c r="E1216" s="312" t="s">
        <v>107</v>
      </c>
      <c r="F1216" s="312">
        <v>1825</v>
      </c>
      <c r="G1216" s="312" t="s">
        <v>108</v>
      </c>
      <c r="H1216" s="312">
        <v>1827</v>
      </c>
      <c r="I1216" s="312" t="s">
        <v>107</v>
      </c>
      <c r="J1216" s="312">
        <v>1913</v>
      </c>
      <c r="K1216" s="312" t="s">
        <v>109</v>
      </c>
    </row>
    <row r="1217" spans="1:11">
      <c r="A1217" s="312" t="s">
        <v>6225</v>
      </c>
      <c r="B1217" s="312" t="s">
        <v>6226</v>
      </c>
      <c r="C1217" s="312" t="s">
        <v>105</v>
      </c>
      <c r="D1217" s="312" t="s">
        <v>114</v>
      </c>
      <c r="E1217" s="312" t="s">
        <v>107</v>
      </c>
      <c r="F1217" s="312">
        <v>1825</v>
      </c>
      <c r="G1217" s="312" t="s">
        <v>108</v>
      </c>
      <c r="H1217" s="312">
        <v>1827</v>
      </c>
      <c r="I1217" s="312" t="s">
        <v>107</v>
      </c>
      <c r="J1217" s="312">
        <v>1913</v>
      </c>
      <c r="K1217" s="312" t="s">
        <v>109</v>
      </c>
    </row>
    <row r="1218" spans="1:11">
      <c r="A1218" s="312" t="s">
        <v>6227</v>
      </c>
      <c r="B1218" s="312" t="s">
        <v>6228</v>
      </c>
      <c r="C1218" s="312" t="s">
        <v>105</v>
      </c>
      <c r="D1218" s="312" t="s">
        <v>114</v>
      </c>
      <c r="E1218" s="312" t="s">
        <v>107</v>
      </c>
      <c r="F1218" s="312">
        <v>1825</v>
      </c>
      <c r="G1218" s="312" t="s">
        <v>108</v>
      </c>
      <c r="H1218" s="312">
        <v>1827</v>
      </c>
      <c r="I1218" s="312" t="s">
        <v>107</v>
      </c>
      <c r="J1218" s="312">
        <v>1913</v>
      </c>
      <c r="K1218" s="312" t="s">
        <v>109</v>
      </c>
    </row>
    <row r="1219" spans="1:11">
      <c r="A1219" s="312" t="s">
        <v>6235</v>
      </c>
      <c r="B1219" s="312" t="s">
        <v>6236</v>
      </c>
      <c r="C1219" s="312" t="s">
        <v>105</v>
      </c>
      <c r="D1219" s="312" t="s">
        <v>114</v>
      </c>
      <c r="E1219" s="312" t="s">
        <v>107</v>
      </c>
      <c r="F1219" s="312">
        <v>1825</v>
      </c>
      <c r="G1219" s="312" t="s">
        <v>108</v>
      </c>
      <c r="H1219" s="312">
        <v>1827</v>
      </c>
      <c r="I1219" s="312" t="s">
        <v>107</v>
      </c>
      <c r="J1219" s="312">
        <v>1913</v>
      </c>
      <c r="K1219" s="312" t="s">
        <v>109</v>
      </c>
    </row>
    <row r="1220" spans="1:11">
      <c r="A1220" s="312" t="s">
        <v>402</v>
      </c>
      <c r="B1220" s="312" t="s">
        <v>403</v>
      </c>
      <c r="C1220" s="312" t="s">
        <v>105</v>
      </c>
      <c r="D1220" s="312" t="s">
        <v>404</v>
      </c>
      <c r="E1220" s="312" t="s">
        <v>107</v>
      </c>
      <c r="F1220" s="312">
        <v>1825</v>
      </c>
      <c r="G1220" s="312" t="s">
        <v>108</v>
      </c>
      <c r="H1220" s="312">
        <v>1827</v>
      </c>
      <c r="I1220" s="312" t="s">
        <v>107</v>
      </c>
      <c r="J1220" s="312">
        <v>1913</v>
      </c>
      <c r="K1220" s="312" t="s">
        <v>109</v>
      </c>
    </row>
    <row r="1221" spans="1:11">
      <c r="A1221" s="312" t="s">
        <v>405</v>
      </c>
      <c r="B1221" s="312" t="s">
        <v>406</v>
      </c>
      <c r="C1221" s="312" t="s">
        <v>105</v>
      </c>
      <c r="D1221" s="312" t="s">
        <v>404</v>
      </c>
      <c r="E1221" s="312" t="s">
        <v>107</v>
      </c>
      <c r="F1221" s="312">
        <v>1825</v>
      </c>
      <c r="G1221" s="312" t="s">
        <v>108</v>
      </c>
      <c r="H1221" s="312">
        <v>1827</v>
      </c>
      <c r="I1221" s="312" t="s">
        <v>107</v>
      </c>
      <c r="J1221" s="312">
        <v>1913</v>
      </c>
      <c r="K1221" s="312" t="s">
        <v>109</v>
      </c>
    </row>
    <row r="1222" spans="1:11">
      <c r="A1222" s="312" t="s">
        <v>407</v>
      </c>
      <c r="B1222" s="312" t="s">
        <v>408</v>
      </c>
      <c r="C1222" s="312" t="s">
        <v>105</v>
      </c>
      <c r="D1222" s="312" t="s">
        <v>404</v>
      </c>
      <c r="E1222" s="312" t="s">
        <v>107</v>
      </c>
      <c r="F1222" s="312">
        <v>1825</v>
      </c>
      <c r="G1222" s="312" t="s">
        <v>108</v>
      </c>
      <c r="H1222" s="312">
        <v>1827</v>
      </c>
      <c r="I1222" s="312" t="s">
        <v>107</v>
      </c>
      <c r="J1222" s="312">
        <v>1913</v>
      </c>
      <c r="K1222" s="312" t="s">
        <v>109</v>
      </c>
    </row>
    <row r="1223" spans="1:11">
      <c r="A1223" s="312" t="s">
        <v>409</v>
      </c>
      <c r="B1223" s="312" t="s">
        <v>410</v>
      </c>
      <c r="C1223" s="312" t="s">
        <v>105</v>
      </c>
      <c r="D1223" s="312" t="s">
        <v>404</v>
      </c>
      <c r="E1223" s="312" t="s">
        <v>107</v>
      </c>
      <c r="F1223" s="312">
        <v>1825</v>
      </c>
      <c r="G1223" s="312" t="s">
        <v>108</v>
      </c>
      <c r="H1223" s="312">
        <v>1827</v>
      </c>
      <c r="I1223" s="312" t="s">
        <v>107</v>
      </c>
      <c r="J1223" s="312">
        <v>1913</v>
      </c>
      <c r="K1223" s="312" t="s">
        <v>109</v>
      </c>
    </row>
    <row r="1224" spans="1:11">
      <c r="A1224" s="312" t="s">
        <v>411</v>
      </c>
      <c r="B1224" s="312" t="s">
        <v>412</v>
      </c>
      <c r="C1224" s="312" t="s">
        <v>105</v>
      </c>
      <c r="D1224" s="312" t="s">
        <v>404</v>
      </c>
      <c r="E1224" s="312" t="s">
        <v>107</v>
      </c>
      <c r="F1224" s="312">
        <v>1825</v>
      </c>
      <c r="G1224" s="312" t="s">
        <v>108</v>
      </c>
      <c r="H1224" s="312">
        <v>1827</v>
      </c>
      <c r="I1224" s="312" t="s">
        <v>107</v>
      </c>
      <c r="J1224" s="312">
        <v>1913</v>
      </c>
      <c r="K1224" s="312" t="s">
        <v>109</v>
      </c>
    </row>
    <row r="1225" spans="1:11">
      <c r="A1225" s="312" t="s">
        <v>413</v>
      </c>
      <c r="B1225" s="312" t="s">
        <v>414</v>
      </c>
      <c r="C1225" s="312" t="s">
        <v>105</v>
      </c>
      <c r="D1225" s="312" t="s">
        <v>404</v>
      </c>
      <c r="E1225" s="312" t="s">
        <v>107</v>
      </c>
      <c r="F1225" s="312">
        <v>1825</v>
      </c>
      <c r="G1225" s="312" t="s">
        <v>108</v>
      </c>
      <c r="H1225" s="312">
        <v>1827</v>
      </c>
      <c r="I1225" s="312" t="s">
        <v>107</v>
      </c>
      <c r="J1225" s="312">
        <v>1913</v>
      </c>
      <c r="K1225" s="312" t="s">
        <v>109</v>
      </c>
    </row>
    <row r="1226" spans="1:11">
      <c r="A1226" s="312" t="s">
        <v>419</v>
      </c>
      <c r="B1226" s="312" t="s">
        <v>420</v>
      </c>
      <c r="C1226" s="312" t="s">
        <v>105</v>
      </c>
      <c r="D1226" s="312" t="s">
        <v>404</v>
      </c>
      <c r="E1226" s="312" t="s">
        <v>107</v>
      </c>
      <c r="F1226" s="312">
        <v>1825</v>
      </c>
      <c r="G1226" s="312" t="s">
        <v>108</v>
      </c>
      <c r="H1226" s="312">
        <v>1827</v>
      </c>
      <c r="I1226" s="312" t="s">
        <v>107</v>
      </c>
      <c r="J1226" s="312">
        <v>1913</v>
      </c>
      <c r="K1226" s="312" t="s">
        <v>109</v>
      </c>
    </row>
    <row r="1227" spans="1:11">
      <c r="A1227" s="312" t="s">
        <v>923</v>
      </c>
      <c r="B1227" s="312" t="s">
        <v>924</v>
      </c>
      <c r="C1227" s="312" t="s">
        <v>105</v>
      </c>
      <c r="D1227" s="312" t="s">
        <v>404</v>
      </c>
      <c r="E1227" s="312" t="s">
        <v>107</v>
      </c>
      <c r="F1227" s="312">
        <v>1825</v>
      </c>
      <c r="G1227" s="312" t="s">
        <v>108</v>
      </c>
      <c r="H1227" s="312">
        <v>1827</v>
      </c>
      <c r="I1227" s="312" t="s">
        <v>107</v>
      </c>
      <c r="J1227" s="312">
        <v>1913</v>
      </c>
      <c r="K1227" s="312" t="s">
        <v>109</v>
      </c>
    </row>
    <row r="1228" spans="1:11">
      <c r="A1228" s="312" t="s">
        <v>933</v>
      </c>
      <c r="B1228" s="312" t="s">
        <v>934</v>
      </c>
      <c r="C1228" s="312" t="s">
        <v>105</v>
      </c>
      <c r="D1228" s="312" t="s">
        <v>404</v>
      </c>
      <c r="E1228" s="312" t="s">
        <v>107</v>
      </c>
      <c r="F1228" s="312">
        <v>1825</v>
      </c>
      <c r="G1228" s="312" t="s">
        <v>108</v>
      </c>
      <c r="H1228" s="312">
        <v>1827</v>
      </c>
      <c r="I1228" s="312" t="s">
        <v>107</v>
      </c>
      <c r="J1228" s="312">
        <v>1913</v>
      </c>
      <c r="K1228" s="312" t="s">
        <v>109</v>
      </c>
    </row>
    <row r="1229" spans="1:11">
      <c r="A1229" s="312" t="s">
        <v>958</v>
      </c>
      <c r="B1229" s="312" t="s">
        <v>959</v>
      </c>
      <c r="C1229" s="312" t="s">
        <v>105</v>
      </c>
      <c r="D1229" s="312" t="s">
        <v>404</v>
      </c>
      <c r="E1229" s="312" t="s">
        <v>107</v>
      </c>
      <c r="F1229" s="312">
        <v>1825</v>
      </c>
      <c r="G1229" s="312" t="s">
        <v>108</v>
      </c>
      <c r="H1229" s="312">
        <v>1827</v>
      </c>
      <c r="I1229" s="312" t="s">
        <v>107</v>
      </c>
      <c r="J1229" s="312">
        <v>1913</v>
      </c>
      <c r="K1229" s="312" t="s">
        <v>109</v>
      </c>
    </row>
    <row r="1230" spans="1:11">
      <c r="A1230" s="312" t="s">
        <v>1534</v>
      </c>
      <c r="B1230" s="312" t="s">
        <v>1535</v>
      </c>
      <c r="C1230" s="312" t="s">
        <v>105</v>
      </c>
      <c r="D1230" s="312" t="s">
        <v>404</v>
      </c>
      <c r="E1230" s="312" t="s">
        <v>107</v>
      </c>
      <c r="F1230" s="312">
        <v>1825</v>
      </c>
      <c r="G1230" s="312" t="s">
        <v>108</v>
      </c>
      <c r="H1230" s="312">
        <v>1827</v>
      </c>
      <c r="I1230" s="312" t="s">
        <v>107</v>
      </c>
      <c r="J1230" s="312">
        <v>1913</v>
      </c>
      <c r="K1230" s="312" t="s">
        <v>109</v>
      </c>
    </row>
    <row r="1231" spans="1:11">
      <c r="A1231" s="312" t="s">
        <v>2084</v>
      </c>
      <c r="B1231" s="312" t="s">
        <v>2085</v>
      </c>
      <c r="C1231" s="312" t="s">
        <v>105</v>
      </c>
      <c r="D1231" s="312" t="s">
        <v>404</v>
      </c>
      <c r="E1231" s="312" t="s">
        <v>107</v>
      </c>
      <c r="F1231" s="312">
        <v>1825</v>
      </c>
      <c r="G1231" s="312" t="s">
        <v>108</v>
      </c>
      <c r="H1231" s="312">
        <v>1827</v>
      </c>
      <c r="I1231" s="312" t="s">
        <v>107</v>
      </c>
      <c r="J1231" s="312">
        <v>1913</v>
      </c>
      <c r="K1231" s="312" t="s">
        <v>109</v>
      </c>
    </row>
    <row r="1232" spans="1:11">
      <c r="A1232" s="312" t="s">
        <v>3444</v>
      </c>
      <c r="B1232" s="312" t="s">
        <v>3445</v>
      </c>
      <c r="C1232" s="312" t="s">
        <v>105</v>
      </c>
      <c r="D1232" s="312" t="s">
        <v>404</v>
      </c>
      <c r="E1232" s="312" t="s">
        <v>107</v>
      </c>
      <c r="F1232" s="312">
        <v>1825</v>
      </c>
      <c r="G1232" s="312" t="s">
        <v>108</v>
      </c>
      <c r="H1232" s="312">
        <v>1827</v>
      </c>
      <c r="I1232" s="312" t="s">
        <v>107</v>
      </c>
      <c r="J1232" s="312">
        <v>1913</v>
      </c>
      <c r="K1232" s="312" t="s">
        <v>109</v>
      </c>
    </row>
    <row r="1233" spans="1:11">
      <c r="A1233" s="312" t="s">
        <v>3547</v>
      </c>
      <c r="B1233" s="312" t="s">
        <v>3548</v>
      </c>
      <c r="C1233" s="312" t="s">
        <v>105</v>
      </c>
      <c r="D1233" s="312" t="s">
        <v>404</v>
      </c>
      <c r="E1233" s="312" t="s">
        <v>107</v>
      </c>
      <c r="F1233" s="312">
        <v>1825</v>
      </c>
      <c r="G1233" s="312" t="s">
        <v>108</v>
      </c>
      <c r="H1233" s="312">
        <v>1827</v>
      </c>
      <c r="I1233" s="312" t="s">
        <v>107</v>
      </c>
      <c r="J1233" s="312">
        <v>1913</v>
      </c>
      <c r="K1233" s="312" t="s">
        <v>109</v>
      </c>
    </row>
    <row r="1234" spans="1:11">
      <c r="A1234" s="312" t="s">
        <v>3582</v>
      </c>
      <c r="B1234" s="312" t="s">
        <v>3583</v>
      </c>
      <c r="C1234" s="312" t="s">
        <v>105</v>
      </c>
      <c r="D1234" s="312" t="s">
        <v>404</v>
      </c>
      <c r="E1234" s="312" t="s">
        <v>107</v>
      </c>
      <c r="F1234" s="312">
        <v>1825</v>
      </c>
      <c r="G1234" s="312" t="s">
        <v>108</v>
      </c>
      <c r="H1234" s="312">
        <v>1827</v>
      </c>
      <c r="I1234" s="312" t="s">
        <v>107</v>
      </c>
      <c r="J1234" s="312">
        <v>1913</v>
      </c>
      <c r="K1234" s="312" t="s">
        <v>109</v>
      </c>
    </row>
    <row r="1235" spans="1:11">
      <c r="A1235" s="312" t="s">
        <v>3584</v>
      </c>
      <c r="B1235" s="1" t="s">
        <v>3585</v>
      </c>
      <c r="C1235" s="312" t="s">
        <v>105</v>
      </c>
      <c r="D1235" s="312" t="s">
        <v>404</v>
      </c>
      <c r="E1235" s="312" t="s">
        <v>107</v>
      </c>
      <c r="F1235" s="312">
        <v>1825</v>
      </c>
      <c r="G1235" s="312" t="s">
        <v>108</v>
      </c>
      <c r="H1235" s="312">
        <v>1827</v>
      </c>
      <c r="I1235" s="312" t="s">
        <v>107</v>
      </c>
      <c r="J1235" s="312">
        <v>1913</v>
      </c>
      <c r="K1235" s="312" t="s">
        <v>109</v>
      </c>
    </row>
    <row r="1236" spans="1:11">
      <c r="A1236" s="312" t="s">
        <v>3961</v>
      </c>
      <c r="B1236" s="312" t="s">
        <v>3962</v>
      </c>
      <c r="C1236" s="312" t="s">
        <v>105</v>
      </c>
      <c r="D1236" s="312" t="s">
        <v>404</v>
      </c>
      <c r="E1236" s="312" t="s">
        <v>107</v>
      </c>
      <c r="F1236" s="312">
        <v>1825</v>
      </c>
      <c r="G1236" s="312" t="s">
        <v>108</v>
      </c>
      <c r="H1236" s="312">
        <v>1827</v>
      </c>
      <c r="I1236" s="312" t="s">
        <v>107</v>
      </c>
      <c r="J1236" s="312">
        <v>1913</v>
      </c>
      <c r="K1236" s="312" t="s">
        <v>109</v>
      </c>
    </row>
    <row r="1237" spans="1:11">
      <c r="A1237" s="312" t="s">
        <v>4245</v>
      </c>
      <c r="B1237" s="312" t="s">
        <v>4246</v>
      </c>
      <c r="C1237" s="312" t="s">
        <v>105</v>
      </c>
      <c r="D1237" s="312" t="s">
        <v>404</v>
      </c>
      <c r="E1237" s="312" t="s">
        <v>107</v>
      </c>
      <c r="F1237" s="312">
        <v>1825</v>
      </c>
      <c r="G1237" s="312" t="s">
        <v>108</v>
      </c>
      <c r="H1237" s="312">
        <v>1827</v>
      </c>
      <c r="I1237" s="312" t="s">
        <v>107</v>
      </c>
      <c r="J1237" s="312">
        <v>1913</v>
      </c>
      <c r="K1237" s="312" t="s">
        <v>109</v>
      </c>
    </row>
    <row r="1238" spans="1:11">
      <c r="A1238" s="312" t="s">
        <v>4249</v>
      </c>
      <c r="B1238" s="312" t="s">
        <v>4250</v>
      </c>
      <c r="C1238" s="312" t="s">
        <v>105</v>
      </c>
      <c r="D1238" s="312" t="s">
        <v>404</v>
      </c>
      <c r="E1238" s="312" t="s">
        <v>107</v>
      </c>
      <c r="F1238" s="312">
        <v>1825</v>
      </c>
      <c r="G1238" s="312" t="s">
        <v>108</v>
      </c>
      <c r="H1238" s="312">
        <v>1827</v>
      </c>
      <c r="I1238" s="312" t="s">
        <v>107</v>
      </c>
      <c r="J1238" s="312">
        <v>1913</v>
      </c>
      <c r="K1238" s="312" t="s">
        <v>109</v>
      </c>
    </row>
    <row r="1239" spans="1:11">
      <c r="A1239" s="312" t="s">
        <v>4253</v>
      </c>
      <c r="B1239" s="312" t="s">
        <v>4254</v>
      </c>
      <c r="C1239" s="312" t="s">
        <v>105</v>
      </c>
      <c r="D1239" s="312" t="s">
        <v>404</v>
      </c>
      <c r="E1239" s="312" t="s">
        <v>107</v>
      </c>
      <c r="F1239" s="312">
        <v>1825</v>
      </c>
      <c r="G1239" s="312" t="s">
        <v>108</v>
      </c>
      <c r="H1239" s="312">
        <v>1827</v>
      </c>
      <c r="I1239" s="312" t="s">
        <v>107</v>
      </c>
      <c r="J1239" s="312">
        <v>1913</v>
      </c>
      <c r="K1239" s="312" t="s">
        <v>109</v>
      </c>
    </row>
    <row r="1240" spans="1:11">
      <c r="A1240" s="312" t="s">
        <v>4255</v>
      </c>
      <c r="B1240" s="312" t="s">
        <v>4256</v>
      </c>
      <c r="C1240" s="312" t="s">
        <v>105</v>
      </c>
      <c r="D1240" s="312" t="s">
        <v>404</v>
      </c>
      <c r="E1240" s="312" t="s">
        <v>107</v>
      </c>
      <c r="F1240" s="312">
        <v>1825</v>
      </c>
      <c r="G1240" s="312" t="s">
        <v>108</v>
      </c>
      <c r="H1240" s="312">
        <v>1827</v>
      </c>
      <c r="I1240" s="312" t="s">
        <v>107</v>
      </c>
      <c r="J1240" s="312">
        <v>1913</v>
      </c>
      <c r="K1240" s="312" t="s">
        <v>109</v>
      </c>
    </row>
    <row r="1241" spans="1:11">
      <c r="A1241" s="312" t="s">
        <v>4257</v>
      </c>
      <c r="B1241" s="312" t="s">
        <v>4258</v>
      </c>
      <c r="C1241" s="312" t="s">
        <v>105</v>
      </c>
      <c r="D1241" s="312" t="s">
        <v>404</v>
      </c>
      <c r="E1241" s="312" t="s">
        <v>107</v>
      </c>
      <c r="F1241" s="312">
        <v>1825</v>
      </c>
      <c r="G1241" s="312" t="s">
        <v>108</v>
      </c>
      <c r="H1241" s="312">
        <v>1827</v>
      </c>
      <c r="I1241" s="312" t="s">
        <v>107</v>
      </c>
      <c r="J1241" s="312">
        <v>1913</v>
      </c>
      <c r="K1241" s="312" t="s">
        <v>109</v>
      </c>
    </row>
    <row r="1242" spans="1:11">
      <c r="A1242" s="312" t="s">
        <v>4259</v>
      </c>
      <c r="B1242" s="312" t="s">
        <v>4260</v>
      </c>
      <c r="C1242" s="312" t="s">
        <v>105</v>
      </c>
      <c r="D1242" s="312" t="s">
        <v>404</v>
      </c>
      <c r="E1242" s="312" t="s">
        <v>107</v>
      </c>
      <c r="F1242" s="312">
        <v>1825</v>
      </c>
      <c r="G1242" s="312" t="s">
        <v>108</v>
      </c>
      <c r="H1242" s="312">
        <v>1827</v>
      </c>
      <c r="I1242" s="312" t="s">
        <v>107</v>
      </c>
      <c r="J1242" s="312">
        <v>1913</v>
      </c>
      <c r="K1242" s="312" t="s">
        <v>109</v>
      </c>
    </row>
    <row r="1243" spans="1:11">
      <c r="A1243" s="312" t="s">
        <v>4265</v>
      </c>
      <c r="B1243" s="312" t="s">
        <v>4266</v>
      </c>
      <c r="C1243" s="312" t="s">
        <v>105</v>
      </c>
      <c r="D1243" s="312" t="s">
        <v>404</v>
      </c>
      <c r="E1243" s="312" t="s">
        <v>107</v>
      </c>
      <c r="F1243" s="312">
        <v>1825</v>
      </c>
      <c r="G1243" s="312" t="s">
        <v>108</v>
      </c>
      <c r="H1243" s="312">
        <v>1827</v>
      </c>
      <c r="I1243" s="312" t="s">
        <v>107</v>
      </c>
      <c r="J1243" s="312">
        <v>1913</v>
      </c>
      <c r="K1243" s="312" t="s">
        <v>109</v>
      </c>
    </row>
    <row r="1244" spans="1:11">
      <c r="A1244" s="312" t="s">
        <v>4853</v>
      </c>
      <c r="B1244" s="312" t="s">
        <v>4854</v>
      </c>
      <c r="C1244" s="312" t="s">
        <v>105</v>
      </c>
      <c r="D1244" s="312" t="s">
        <v>404</v>
      </c>
      <c r="E1244" s="312" t="s">
        <v>107</v>
      </c>
      <c r="F1244" s="312">
        <v>1825</v>
      </c>
      <c r="G1244" s="312" t="s">
        <v>108</v>
      </c>
      <c r="H1244" s="312">
        <v>1827</v>
      </c>
      <c r="I1244" s="312" t="s">
        <v>107</v>
      </c>
      <c r="J1244" s="312">
        <v>1913</v>
      </c>
      <c r="K1244" s="312" t="s">
        <v>109</v>
      </c>
    </row>
    <row r="1245" spans="1:11">
      <c r="A1245" s="312" t="s">
        <v>4929</v>
      </c>
      <c r="B1245" s="312" t="s">
        <v>4930</v>
      </c>
      <c r="C1245" s="312" t="s">
        <v>105</v>
      </c>
      <c r="D1245" s="312" t="s">
        <v>404</v>
      </c>
      <c r="E1245" s="312" t="s">
        <v>107</v>
      </c>
      <c r="F1245" s="312">
        <v>1825</v>
      </c>
      <c r="G1245" s="312" t="s">
        <v>108</v>
      </c>
      <c r="H1245" s="312">
        <v>1827</v>
      </c>
      <c r="I1245" s="312" t="s">
        <v>107</v>
      </c>
      <c r="J1245" s="312">
        <v>1913</v>
      </c>
      <c r="K1245" s="312" t="s">
        <v>109</v>
      </c>
    </row>
    <row r="1246" spans="1:11">
      <c r="A1246" s="312" t="s">
        <v>4931</v>
      </c>
      <c r="B1246" s="312" t="s">
        <v>4932</v>
      </c>
      <c r="C1246" s="312" t="s">
        <v>105</v>
      </c>
      <c r="D1246" s="312" t="s">
        <v>404</v>
      </c>
      <c r="E1246" s="312" t="s">
        <v>107</v>
      </c>
      <c r="F1246" s="312">
        <v>1825</v>
      </c>
      <c r="G1246" s="312" t="s">
        <v>108</v>
      </c>
      <c r="H1246" s="312">
        <v>1827</v>
      </c>
      <c r="I1246" s="312" t="s">
        <v>107</v>
      </c>
      <c r="J1246" s="312">
        <v>1913</v>
      </c>
      <c r="K1246" s="312" t="s">
        <v>109</v>
      </c>
    </row>
    <row r="1247" spans="1:11">
      <c r="A1247" s="312" t="s">
        <v>5069</v>
      </c>
      <c r="B1247" s="312" t="s">
        <v>5070</v>
      </c>
      <c r="C1247" s="312" t="s">
        <v>105</v>
      </c>
      <c r="D1247" s="312" t="s">
        <v>404</v>
      </c>
      <c r="E1247" s="312" t="s">
        <v>107</v>
      </c>
      <c r="F1247" s="312">
        <v>1825</v>
      </c>
      <c r="G1247" s="312" t="s">
        <v>108</v>
      </c>
      <c r="H1247" s="312">
        <v>1827</v>
      </c>
      <c r="I1247" s="312" t="s">
        <v>107</v>
      </c>
      <c r="J1247" s="312">
        <v>1913</v>
      </c>
      <c r="K1247" s="312" t="s">
        <v>109</v>
      </c>
    </row>
    <row r="1248" spans="1:11">
      <c r="A1248" s="312" t="s">
        <v>5791</v>
      </c>
      <c r="B1248" s="312" t="s">
        <v>5792</v>
      </c>
      <c r="C1248" s="312" t="s">
        <v>105</v>
      </c>
      <c r="D1248" s="312" t="s">
        <v>404</v>
      </c>
      <c r="E1248" s="312" t="s">
        <v>107</v>
      </c>
      <c r="F1248" s="312">
        <v>1825</v>
      </c>
      <c r="G1248" s="312" t="s">
        <v>108</v>
      </c>
      <c r="H1248" s="312">
        <v>1827</v>
      </c>
      <c r="I1248" s="312" t="s">
        <v>107</v>
      </c>
      <c r="J1248" s="312">
        <v>1913</v>
      </c>
      <c r="K1248" s="312" t="s">
        <v>109</v>
      </c>
    </row>
    <row r="1249" spans="1:11">
      <c r="A1249" s="312" t="s">
        <v>5852</v>
      </c>
      <c r="B1249" s="312" t="s">
        <v>5853</v>
      </c>
      <c r="C1249" s="312" t="s">
        <v>105</v>
      </c>
      <c r="D1249" s="312" t="s">
        <v>404</v>
      </c>
      <c r="E1249" s="312" t="s">
        <v>107</v>
      </c>
      <c r="F1249" s="312">
        <v>1825</v>
      </c>
      <c r="G1249" s="312" t="s">
        <v>108</v>
      </c>
      <c r="H1249" s="312">
        <v>1827</v>
      </c>
      <c r="I1249" s="312" t="s">
        <v>107</v>
      </c>
      <c r="J1249" s="312">
        <v>1913</v>
      </c>
      <c r="K1249" s="312" t="s">
        <v>109</v>
      </c>
    </row>
    <row r="1250" spans="1:11">
      <c r="A1250" s="312" t="s">
        <v>5854</v>
      </c>
      <c r="B1250" s="312" t="s">
        <v>5855</v>
      </c>
      <c r="C1250" s="312" t="s">
        <v>105</v>
      </c>
      <c r="D1250" s="312" t="s">
        <v>404</v>
      </c>
      <c r="E1250" s="312" t="s">
        <v>107</v>
      </c>
      <c r="F1250" s="312">
        <v>1825</v>
      </c>
      <c r="G1250" s="312" t="s">
        <v>108</v>
      </c>
      <c r="H1250" s="312">
        <v>1827</v>
      </c>
      <c r="I1250" s="312" t="s">
        <v>107</v>
      </c>
      <c r="J1250" s="312">
        <v>1913</v>
      </c>
      <c r="K1250" s="312" t="s">
        <v>109</v>
      </c>
    </row>
    <row r="1251" spans="1:11">
      <c r="A1251" s="312" t="s">
        <v>182</v>
      </c>
      <c r="B1251" s="312" t="s">
        <v>183</v>
      </c>
      <c r="C1251" s="312" t="s">
        <v>105</v>
      </c>
      <c r="D1251" s="312" t="s">
        <v>184</v>
      </c>
      <c r="E1251" s="312" t="s">
        <v>107</v>
      </c>
      <c r="F1251" s="312">
        <v>1825</v>
      </c>
      <c r="G1251" s="312" t="s">
        <v>108</v>
      </c>
      <c r="H1251" s="312">
        <v>1827</v>
      </c>
      <c r="I1251" s="312" t="s">
        <v>107</v>
      </c>
      <c r="J1251" s="312">
        <v>1913</v>
      </c>
      <c r="K1251" s="312" t="s">
        <v>109</v>
      </c>
    </row>
    <row r="1252" spans="1:11">
      <c r="A1252" s="312" t="s">
        <v>210</v>
      </c>
      <c r="B1252" s="312" t="s">
        <v>211</v>
      </c>
      <c r="C1252" s="312" t="s">
        <v>105</v>
      </c>
      <c r="D1252" s="312" t="s">
        <v>184</v>
      </c>
      <c r="E1252" s="312" t="s">
        <v>107</v>
      </c>
      <c r="F1252" s="312">
        <v>1825</v>
      </c>
      <c r="G1252" s="312" t="s">
        <v>108</v>
      </c>
      <c r="H1252" s="312">
        <v>1827</v>
      </c>
      <c r="I1252" s="312" t="s">
        <v>107</v>
      </c>
      <c r="J1252" s="312">
        <v>1913</v>
      </c>
      <c r="K1252" s="312" t="s">
        <v>109</v>
      </c>
    </row>
    <row r="1253" spans="1:11">
      <c r="A1253" s="312" t="s">
        <v>443</v>
      </c>
      <c r="B1253" s="312" t="s">
        <v>444</v>
      </c>
      <c r="C1253" s="312" t="s">
        <v>105</v>
      </c>
      <c r="D1253" s="312" t="s">
        <v>184</v>
      </c>
      <c r="E1253" s="312" t="s">
        <v>107</v>
      </c>
      <c r="F1253" s="312">
        <v>1825</v>
      </c>
      <c r="G1253" s="312" t="s">
        <v>108</v>
      </c>
      <c r="H1253" s="312">
        <v>1827</v>
      </c>
      <c r="I1253" s="312" t="s">
        <v>107</v>
      </c>
      <c r="J1253" s="312">
        <v>1913</v>
      </c>
      <c r="K1253" s="312" t="s">
        <v>109</v>
      </c>
    </row>
    <row r="1254" spans="1:11">
      <c r="A1254" s="312" t="s">
        <v>705</v>
      </c>
      <c r="B1254" s="312" t="s">
        <v>706</v>
      </c>
      <c r="C1254" s="312" t="s">
        <v>105</v>
      </c>
      <c r="D1254" s="312" t="s">
        <v>184</v>
      </c>
      <c r="E1254" s="312" t="s">
        <v>107</v>
      </c>
      <c r="F1254" s="312">
        <v>1825</v>
      </c>
      <c r="G1254" s="312" t="s">
        <v>108</v>
      </c>
      <c r="H1254" s="312">
        <v>1827</v>
      </c>
      <c r="I1254" s="312" t="s">
        <v>107</v>
      </c>
      <c r="J1254" s="312">
        <v>1913</v>
      </c>
      <c r="K1254" s="312" t="s">
        <v>109</v>
      </c>
    </row>
    <row r="1255" spans="1:11">
      <c r="A1255" s="312" t="s">
        <v>854</v>
      </c>
      <c r="B1255" s="312" t="s">
        <v>855</v>
      </c>
      <c r="C1255" s="312" t="s">
        <v>105</v>
      </c>
      <c r="D1255" s="312" t="s">
        <v>184</v>
      </c>
      <c r="E1255" s="312" t="s">
        <v>107</v>
      </c>
      <c r="F1255" s="312">
        <v>1825</v>
      </c>
      <c r="G1255" s="312" t="s">
        <v>108</v>
      </c>
      <c r="H1255" s="312">
        <v>1827</v>
      </c>
      <c r="I1255" s="312" t="s">
        <v>107</v>
      </c>
      <c r="J1255" s="312">
        <v>1913</v>
      </c>
      <c r="K1255" s="312" t="s">
        <v>109</v>
      </c>
    </row>
    <row r="1256" spans="1:11">
      <c r="A1256" s="312" t="s">
        <v>1043</v>
      </c>
      <c r="B1256" s="312" t="s">
        <v>1044</v>
      </c>
      <c r="C1256" s="312" t="s">
        <v>105</v>
      </c>
      <c r="D1256" s="312" t="s">
        <v>184</v>
      </c>
      <c r="E1256" s="312" t="s">
        <v>107</v>
      </c>
      <c r="F1256" s="312">
        <v>1825</v>
      </c>
      <c r="G1256" s="312" t="s">
        <v>108</v>
      </c>
      <c r="H1256" s="312">
        <v>1827</v>
      </c>
      <c r="I1256" s="312" t="s">
        <v>107</v>
      </c>
      <c r="J1256" s="312">
        <v>1913</v>
      </c>
      <c r="K1256" s="312" t="s">
        <v>109</v>
      </c>
    </row>
    <row r="1257" spans="1:11">
      <c r="A1257" s="312" t="s">
        <v>1546</v>
      </c>
      <c r="B1257" s="312" t="s">
        <v>1547</v>
      </c>
      <c r="C1257" s="312" t="s">
        <v>105</v>
      </c>
      <c r="D1257" s="312" t="s">
        <v>184</v>
      </c>
      <c r="E1257" s="312" t="s">
        <v>107</v>
      </c>
      <c r="F1257" s="312">
        <v>1825</v>
      </c>
      <c r="G1257" s="312" t="s">
        <v>108</v>
      </c>
      <c r="H1257" s="312">
        <v>1827</v>
      </c>
      <c r="I1257" s="312" t="s">
        <v>107</v>
      </c>
      <c r="J1257" s="312">
        <v>1913</v>
      </c>
      <c r="K1257" s="312" t="s">
        <v>109</v>
      </c>
    </row>
    <row r="1258" spans="1:11">
      <c r="A1258" s="312" t="s">
        <v>1813</v>
      </c>
      <c r="B1258" s="312" t="s">
        <v>1814</v>
      </c>
      <c r="C1258" s="312" t="s">
        <v>105</v>
      </c>
      <c r="D1258" s="312" t="s">
        <v>184</v>
      </c>
      <c r="E1258" s="312" t="s">
        <v>107</v>
      </c>
      <c r="F1258" s="312">
        <v>1825</v>
      </c>
      <c r="G1258" s="312" t="s">
        <v>108</v>
      </c>
      <c r="H1258" s="312">
        <v>1827</v>
      </c>
      <c r="I1258" s="312" t="s">
        <v>107</v>
      </c>
      <c r="J1258" s="312">
        <v>1913</v>
      </c>
      <c r="K1258" s="312" t="s">
        <v>109</v>
      </c>
    </row>
    <row r="1259" spans="1:11">
      <c r="A1259" s="312" t="s">
        <v>1815</v>
      </c>
      <c r="B1259" s="312" t="s">
        <v>1816</v>
      </c>
      <c r="C1259" s="312" t="s">
        <v>105</v>
      </c>
      <c r="D1259" s="312" t="s">
        <v>184</v>
      </c>
      <c r="E1259" s="312" t="s">
        <v>107</v>
      </c>
      <c r="F1259" s="312">
        <v>1825</v>
      </c>
      <c r="G1259" s="312" t="s">
        <v>108</v>
      </c>
      <c r="H1259" s="312">
        <v>1827</v>
      </c>
      <c r="I1259" s="312" t="s">
        <v>107</v>
      </c>
      <c r="J1259" s="312">
        <v>1913</v>
      </c>
      <c r="K1259" s="312" t="s">
        <v>109</v>
      </c>
    </row>
    <row r="1260" spans="1:11">
      <c r="A1260" s="312" t="s">
        <v>1873</v>
      </c>
      <c r="B1260" s="312" t="s">
        <v>1874</v>
      </c>
      <c r="C1260" s="312" t="s">
        <v>105</v>
      </c>
      <c r="D1260" s="312" t="s">
        <v>184</v>
      </c>
      <c r="E1260" s="312" t="s">
        <v>107</v>
      </c>
      <c r="F1260" s="312">
        <v>1825</v>
      </c>
      <c r="G1260" s="312" t="s">
        <v>108</v>
      </c>
      <c r="H1260" s="312">
        <v>1827</v>
      </c>
      <c r="I1260" s="312" t="s">
        <v>107</v>
      </c>
      <c r="J1260" s="312">
        <v>1913</v>
      </c>
      <c r="K1260" s="312" t="s">
        <v>109</v>
      </c>
    </row>
    <row r="1261" spans="1:11">
      <c r="A1261" s="312" t="s">
        <v>2816</v>
      </c>
      <c r="B1261" s="312" t="s">
        <v>2817</v>
      </c>
      <c r="C1261" s="312" t="s">
        <v>105</v>
      </c>
      <c r="D1261" s="312" t="s">
        <v>184</v>
      </c>
      <c r="E1261" s="312" t="s">
        <v>107</v>
      </c>
      <c r="F1261" s="312">
        <v>1825</v>
      </c>
      <c r="G1261" s="312" t="s">
        <v>108</v>
      </c>
      <c r="H1261" s="312">
        <v>1827</v>
      </c>
      <c r="I1261" s="312" t="s">
        <v>107</v>
      </c>
      <c r="J1261" s="312">
        <v>1913</v>
      </c>
      <c r="K1261" s="312" t="s">
        <v>109</v>
      </c>
    </row>
    <row r="1262" spans="1:11">
      <c r="A1262" s="312" t="s">
        <v>2914</v>
      </c>
      <c r="B1262" s="312" t="s">
        <v>2915</v>
      </c>
      <c r="C1262" s="312" t="s">
        <v>105</v>
      </c>
      <c r="D1262" s="312" t="s">
        <v>184</v>
      </c>
      <c r="E1262" s="312" t="s">
        <v>107</v>
      </c>
      <c r="F1262" s="312">
        <v>1825</v>
      </c>
      <c r="G1262" s="312" t="s">
        <v>108</v>
      </c>
      <c r="H1262" s="312">
        <v>1827</v>
      </c>
      <c r="I1262" s="312" t="s">
        <v>107</v>
      </c>
      <c r="J1262" s="312">
        <v>1913</v>
      </c>
      <c r="K1262" s="312" t="s">
        <v>109</v>
      </c>
    </row>
    <row r="1263" spans="1:11">
      <c r="A1263" s="312" t="s">
        <v>3217</v>
      </c>
      <c r="B1263" s="312" t="s">
        <v>3218</v>
      </c>
      <c r="C1263" s="312" t="s">
        <v>105</v>
      </c>
      <c r="D1263" s="312" t="s">
        <v>184</v>
      </c>
      <c r="E1263" s="312" t="s">
        <v>107</v>
      </c>
      <c r="F1263" s="312">
        <v>1825</v>
      </c>
      <c r="G1263" s="312" t="s">
        <v>108</v>
      </c>
      <c r="H1263" s="312">
        <v>1827</v>
      </c>
      <c r="I1263" s="312" t="s">
        <v>107</v>
      </c>
      <c r="J1263" s="312">
        <v>1913</v>
      </c>
      <c r="K1263" s="312" t="s">
        <v>109</v>
      </c>
    </row>
    <row r="1264" spans="1:11">
      <c r="A1264" s="312" t="s">
        <v>3279</v>
      </c>
      <c r="B1264" s="312" t="s">
        <v>3280</v>
      </c>
      <c r="C1264" s="312" t="s">
        <v>105</v>
      </c>
      <c r="D1264" s="312" t="s">
        <v>184</v>
      </c>
      <c r="E1264" s="312" t="s">
        <v>107</v>
      </c>
      <c r="F1264" s="312">
        <v>1825</v>
      </c>
      <c r="G1264" s="312" t="s">
        <v>108</v>
      </c>
      <c r="H1264" s="312">
        <v>1827</v>
      </c>
      <c r="I1264" s="312" t="s">
        <v>107</v>
      </c>
      <c r="J1264" s="312">
        <v>1913</v>
      </c>
      <c r="K1264" s="312" t="s">
        <v>109</v>
      </c>
    </row>
    <row r="1265" spans="1:11">
      <c r="A1265" s="312" t="s">
        <v>3344</v>
      </c>
      <c r="B1265" s="312" t="s">
        <v>3345</v>
      </c>
      <c r="C1265" s="312" t="s">
        <v>105</v>
      </c>
      <c r="D1265" s="312" t="s">
        <v>184</v>
      </c>
      <c r="E1265" s="312" t="s">
        <v>107</v>
      </c>
      <c r="F1265" s="312">
        <v>1825</v>
      </c>
      <c r="G1265" s="312" t="s">
        <v>108</v>
      </c>
      <c r="H1265" s="312">
        <v>1827</v>
      </c>
      <c r="I1265" s="312" t="s">
        <v>107</v>
      </c>
      <c r="J1265" s="312">
        <v>1913</v>
      </c>
      <c r="K1265" s="312" t="s">
        <v>109</v>
      </c>
    </row>
    <row r="1266" spans="1:11">
      <c r="A1266" s="312" t="s">
        <v>3358</v>
      </c>
      <c r="B1266" s="312" t="s">
        <v>3359</v>
      </c>
      <c r="C1266" s="312" t="s">
        <v>105</v>
      </c>
      <c r="D1266" s="312" t="s">
        <v>184</v>
      </c>
      <c r="E1266" s="312" t="s">
        <v>107</v>
      </c>
      <c r="F1266" s="312">
        <v>1825</v>
      </c>
      <c r="G1266" s="312" t="s">
        <v>108</v>
      </c>
      <c r="H1266" s="312">
        <v>1827</v>
      </c>
      <c r="I1266" s="312" t="s">
        <v>107</v>
      </c>
      <c r="J1266" s="312">
        <v>1913</v>
      </c>
      <c r="K1266" s="312" t="s">
        <v>109</v>
      </c>
    </row>
    <row r="1267" spans="1:11">
      <c r="A1267" s="312" t="s">
        <v>3618</v>
      </c>
      <c r="B1267" s="312" t="s">
        <v>3619</v>
      </c>
      <c r="C1267" s="312" t="s">
        <v>105</v>
      </c>
      <c r="D1267" s="312" t="s">
        <v>184</v>
      </c>
      <c r="E1267" s="312" t="s">
        <v>107</v>
      </c>
      <c r="F1267" s="312">
        <v>1825</v>
      </c>
      <c r="G1267" s="312" t="s">
        <v>108</v>
      </c>
      <c r="H1267" s="312">
        <v>1827</v>
      </c>
      <c r="I1267" s="312" t="s">
        <v>107</v>
      </c>
      <c r="J1267" s="312">
        <v>1913</v>
      </c>
      <c r="K1267" s="312" t="s">
        <v>109</v>
      </c>
    </row>
    <row r="1268" spans="1:11">
      <c r="A1268" s="312" t="s">
        <v>3620</v>
      </c>
      <c r="B1268" s="312" t="s">
        <v>3621</v>
      </c>
      <c r="C1268" s="312" t="s">
        <v>105</v>
      </c>
      <c r="D1268" s="312" t="s">
        <v>184</v>
      </c>
      <c r="E1268" s="312" t="s">
        <v>107</v>
      </c>
      <c r="F1268" s="312">
        <v>1825</v>
      </c>
      <c r="G1268" s="312" t="s">
        <v>108</v>
      </c>
      <c r="H1268" s="312">
        <v>1827</v>
      </c>
      <c r="I1268" s="312" t="s">
        <v>107</v>
      </c>
      <c r="J1268" s="312">
        <v>1913</v>
      </c>
      <c r="K1268" s="312" t="s">
        <v>109</v>
      </c>
    </row>
    <row r="1269" spans="1:11">
      <c r="A1269" s="312" t="s">
        <v>3622</v>
      </c>
      <c r="B1269" s="312" t="s">
        <v>3623</v>
      </c>
      <c r="C1269" s="312" t="s">
        <v>105</v>
      </c>
      <c r="D1269" s="312" t="s">
        <v>184</v>
      </c>
      <c r="E1269" s="312" t="s">
        <v>107</v>
      </c>
      <c r="F1269" s="312">
        <v>1825</v>
      </c>
      <c r="G1269" s="312" t="s">
        <v>108</v>
      </c>
      <c r="H1269" s="312">
        <v>1827</v>
      </c>
      <c r="I1269" s="312" t="s">
        <v>107</v>
      </c>
      <c r="J1269" s="312">
        <v>1913</v>
      </c>
      <c r="K1269" s="312" t="s">
        <v>109</v>
      </c>
    </row>
    <row r="1270" spans="1:11">
      <c r="A1270" s="312" t="s">
        <v>3624</v>
      </c>
      <c r="B1270" s="312" t="s">
        <v>3625</v>
      </c>
      <c r="C1270" s="312" t="s">
        <v>105</v>
      </c>
      <c r="D1270" s="312" t="s">
        <v>184</v>
      </c>
      <c r="E1270" s="312" t="s">
        <v>107</v>
      </c>
      <c r="F1270" s="312">
        <v>1825</v>
      </c>
      <c r="G1270" s="312" t="s">
        <v>108</v>
      </c>
      <c r="H1270" s="312">
        <v>1827</v>
      </c>
      <c r="I1270" s="312" t="s">
        <v>107</v>
      </c>
      <c r="J1270" s="312">
        <v>1913</v>
      </c>
      <c r="K1270" s="312" t="s">
        <v>109</v>
      </c>
    </row>
    <row r="1271" spans="1:11">
      <c r="A1271" s="312" t="s">
        <v>3777</v>
      </c>
      <c r="B1271" s="312" t="s">
        <v>3778</v>
      </c>
      <c r="C1271" s="312" t="s">
        <v>105</v>
      </c>
      <c r="D1271" s="312" t="s">
        <v>184</v>
      </c>
      <c r="E1271" s="312" t="s">
        <v>107</v>
      </c>
      <c r="F1271" s="312">
        <v>1825</v>
      </c>
      <c r="G1271" s="312" t="s">
        <v>108</v>
      </c>
      <c r="H1271" s="312">
        <v>1827</v>
      </c>
      <c r="I1271" s="312" t="s">
        <v>107</v>
      </c>
      <c r="J1271" s="312">
        <v>1913</v>
      </c>
      <c r="K1271" s="312" t="s">
        <v>109</v>
      </c>
    </row>
    <row r="1272" spans="1:11">
      <c r="A1272" s="312" t="s">
        <v>3945</v>
      </c>
      <c r="B1272" s="312" t="s">
        <v>3946</v>
      </c>
      <c r="C1272" s="312" t="s">
        <v>105</v>
      </c>
      <c r="D1272" s="312" t="s">
        <v>184</v>
      </c>
      <c r="E1272" s="312" t="s">
        <v>107</v>
      </c>
      <c r="F1272" s="312">
        <v>1825</v>
      </c>
      <c r="G1272" s="312" t="s">
        <v>108</v>
      </c>
      <c r="H1272" s="312">
        <v>1827</v>
      </c>
      <c r="I1272" s="312" t="s">
        <v>107</v>
      </c>
      <c r="J1272" s="312">
        <v>1913</v>
      </c>
      <c r="K1272" s="312" t="s">
        <v>109</v>
      </c>
    </row>
    <row r="1273" spans="1:11">
      <c r="A1273" s="312" t="s">
        <v>4143</v>
      </c>
      <c r="B1273" s="312" t="s">
        <v>4144</v>
      </c>
      <c r="C1273" s="312" t="s">
        <v>105</v>
      </c>
      <c r="D1273" s="312" t="s">
        <v>184</v>
      </c>
      <c r="E1273" s="312" t="s">
        <v>107</v>
      </c>
      <c r="F1273" s="312">
        <v>1825</v>
      </c>
      <c r="G1273" s="312" t="s">
        <v>108</v>
      </c>
      <c r="H1273" s="312">
        <v>1827</v>
      </c>
      <c r="I1273" s="312" t="s">
        <v>107</v>
      </c>
      <c r="J1273" s="312">
        <v>1913</v>
      </c>
      <c r="K1273" s="312" t="s">
        <v>109</v>
      </c>
    </row>
    <row r="1274" spans="1:11">
      <c r="A1274" s="312" t="s">
        <v>4145</v>
      </c>
      <c r="B1274" s="312" t="s">
        <v>4146</v>
      </c>
      <c r="C1274" s="312" t="s">
        <v>105</v>
      </c>
      <c r="D1274" s="312" t="s">
        <v>184</v>
      </c>
      <c r="E1274" s="312" t="s">
        <v>107</v>
      </c>
      <c r="F1274" s="312">
        <v>1825</v>
      </c>
      <c r="G1274" s="312" t="s">
        <v>108</v>
      </c>
      <c r="H1274" s="312">
        <v>1827</v>
      </c>
      <c r="I1274" s="312" t="s">
        <v>107</v>
      </c>
      <c r="J1274" s="312">
        <v>1913</v>
      </c>
      <c r="K1274" s="312" t="s">
        <v>109</v>
      </c>
    </row>
    <row r="1275" spans="1:11">
      <c r="A1275" s="312" t="s">
        <v>4151</v>
      </c>
      <c r="B1275" s="312" t="s">
        <v>4152</v>
      </c>
      <c r="C1275" s="312" t="s">
        <v>105</v>
      </c>
      <c r="D1275" s="312" t="s">
        <v>184</v>
      </c>
      <c r="E1275" s="312" t="s">
        <v>107</v>
      </c>
      <c r="F1275" s="312">
        <v>1825</v>
      </c>
      <c r="G1275" s="312" t="s">
        <v>108</v>
      </c>
      <c r="H1275" s="312">
        <v>1827</v>
      </c>
      <c r="I1275" s="312" t="s">
        <v>107</v>
      </c>
      <c r="J1275" s="312">
        <v>1913</v>
      </c>
      <c r="K1275" s="312" t="s">
        <v>109</v>
      </c>
    </row>
    <row r="1276" spans="1:11">
      <c r="A1276" s="312" t="s">
        <v>4159</v>
      </c>
      <c r="B1276" s="312" t="s">
        <v>4160</v>
      </c>
      <c r="C1276" s="312" t="s">
        <v>105</v>
      </c>
      <c r="D1276" s="312" t="s">
        <v>184</v>
      </c>
      <c r="E1276" s="312" t="s">
        <v>107</v>
      </c>
      <c r="F1276" s="312">
        <v>1825</v>
      </c>
      <c r="G1276" s="312" t="s">
        <v>108</v>
      </c>
      <c r="H1276" s="312">
        <v>1827</v>
      </c>
      <c r="I1276" s="312" t="s">
        <v>107</v>
      </c>
      <c r="J1276" s="312">
        <v>1913</v>
      </c>
      <c r="K1276" s="312" t="s">
        <v>109</v>
      </c>
    </row>
    <row r="1277" spans="1:11">
      <c r="A1277" s="312" t="s">
        <v>4163</v>
      </c>
      <c r="B1277" s="312" t="s">
        <v>4164</v>
      </c>
      <c r="C1277" s="312" t="s">
        <v>105</v>
      </c>
      <c r="D1277" s="312" t="s">
        <v>184</v>
      </c>
      <c r="E1277" s="312" t="s">
        <v>107</v>
      </c>
      <c r="F1277" s="312">
        <v>1825</v>
      </c>
      <c r="G1277" s="312" t="s">
        <v>108</v>
      </c>
      <c r="H1277" s="312">
        <v>1827</v>
      </c>
      <c r="I1277" s="312" t="s">
        <v>107</v>
      </c>
      <c r="J1277" s="312">
        <v>1913</v>
      </c>
      <c r="K1277" s="312" t="s">
        <v>109</v>
      </c>
    </row>
    <row r="1278" spans="1:11">
      <c r="A1278" s="312" t="s">
        <v>4167</v>
      </c>
      <c r="B1278" s="312" t="s">
        <v>4168</v>
      </c>
      <c r="C1278" s="312" t="s">
        <v>105</v>
      </c>
      <c r="D1278" s="312" t="s">
        <v>184</v>
      </c>
      <c r="E1278" s="312" t="s">
        <v>107</v>
      </c>
      <c r="F1278" s="312">
        <v>1825</v>
      </c>
      <c r="G1278" s="312" t="s">
        <v>108</v>
      </c>
      <c r="H1278" s="312">
        <v>1827</v>
      </c>
      <c r="I1278" s="312" t="s">
        <v>107</v>
      </c>
      <c r="J1278" s="312">
        <v>1913</v>
      </c>
      <c r="K1278" s="312" t="s">
        <v>109</v>
      </c>
    </row>
    <row r="1279" spans="1:11">
      <c r="A1279" s="312" t="s">
        <v>4171</v>
      </c>
      <c r="B1279" s="312" t="s">
        <v>4172</v>
      </c>
      <c r="C1279" s="312" t="s">
        <v>105</v>
      </c>
      <c r="D1279" s="312" t="s">
        <v>184</v>
      </c>
      <c r="E1279" s="312" t="s">
        <v>107</v>
      </c>
      <c r="F1279" s="312">
        <v>1825</v>
      </c>
      <c r="G1279" s="312" t="s">
        <v>108</v>
      </c>
      <c r="H1279" s="312">
        <v>1827</v>
      </c>
      <c r="I1279" s="312" t="s">
        <v>107</v>
      </c>
      <c r="J1279" s="312">
        <v>1913</v>
      </c>
      <c r="K1279" s="312" t="s">
        <v>109</v>
      </c>
    </row>
    <row r="1280" spans="1:11">
      <c r="A1280" s="312" t="s">
        <v>4173</v>
      </c>
      <c r="B1280" s="312" t="s">
        <v>4174</v>
      </c>
      <c r="C1280" s="312" t="s">
        <v>105</v>
      </c>
      <c r="D1280" s="312" t="s">
        <v>184</v>
      </c>
      <c r="E1280" s="312" t="s">
        <v>107</v>
      </c>
      <c r="F1280" s="312">
        <v>1825</v>
      </c>
      <c r="G1280" s="312" t="s">
        <v>108</v>
      </c>
      <c r="H1280" s="312">
        <v>1827</v>
      </c>
      <c r="I1280" s="312" t="s">
        <v>107</v>
      </c>
      <c r="J1280" s="312">
        <v>1913</v>
      </c>
      <c r="K1280" s="312" t="s">
        <v>109</v>
      </c>
    </row>
    <row r="1281" spans="1:11">
      <c r="A1281" s="312" t="s">
        <v>4175</v>
      </c>
      <c r="B1281" s="312" t="s">
        <v>4176</v>
      </c>
      <c r="C1281" s="312" t="s">
        <v>105</v>
      </c>
      <c r="D1281" s="312" t="s">
        <v>184</v>
      </c>
      <c r="E1281" s="312" t="s">
        <v>107</v>
      </c>
      <c r="F1281" s="312">
        <v>1825</v>
      </c>
      <c r="G1281" s="312" t="s">
        <v>108</v>
      </c>
      <c r="H1281" s="312">
        <v>1827</v>
      </c>
      <c r="I1281" s="312" t="s">
        <v>107</v>
      </c>
      <c r="J1281" s="312">
        <v>1913</v>
      </c>
      <c r="K1281" s="312" t="s">
        <v>109</v>
      </c>
    </row>
    <row r="1282" spans="1:11">
      <c r="A1282" s="312" t="s">
        <v>4179</v>
      </c>
      <c r="B1282" s="312" t="s">
        <v>4180</v>
      </c>
      <c r="C1282" s="312" t="s">
        <v>105</v>
      </c>
      <c r="D1282" s="312" t="s">
        <v>184</v>
      </c>
      <c r="E1282" s="312" t="s">
        <v>107</v>
      </c>
      <c r="F1282" s="312">
        <v>1825</v>
      </c>
      <c r="G1282" s="312" t="s">
        <v>108</v>
      </c>
      <c r="H1282" s="312">
        <v>1827</v>
      </c>
      <c r="I1282" s="312" t="s">
        <v>107</v>
      </c>
      <c r="J1282" s="312">
        <v>1913</v>
      </c>
      <c r="K1282" s="312" t="s">
        <v>109</v>
      </c>
    </row>
    <row r="1283" spans="1:11">
      <c r="A1283" s="312" t="s">
        <v>4183</v>
      </c>
      <c r="B1283" s="312" t="s">
        <v>4184</v>
      </c>
      <c r="C1283" s="312" t="s">
        <v>105</v>
      </c>
      <c r="D1283" s="312" t="s">
        <v>184</v>
      </c>
      <c r="E1283" s="312" t="s">
        <v>107</v>
      </c>
      <c r="F1283" s="312">
        <v>1825</v>
      </c>
      <c r="G1283" s="312" t="s">
        <v>108</v>
      </c>
      <c r="H1283" s="312">
        <v>1827</v>
      </c>
      <c r="I1283" s="312" t="s">
        <v>107</v>
      </c>
      <c r="J1283" s="312">
        <v>1913</v>
      </c>
      <c r="K1283" s="312" t="s">
        <v>109</v>
      </c>
    </row>
    <row r="1284" spans="1:11">
      <c r="A1284" s="312" t="s">
        <v>4185</v>
      </c>
      <c r="B1284" s="312" t="s">
        <v>4186</v>
      </c>
      <c r="C1284" s="312" t="s">
        <v>105</v>
      </c>
      <c r="D1284" s="312" t="s">
        <v>184</v>
      </c>
      <c r="E1284" s="312" t="s">
        <v>107</v>
      </c>
      <c r="F1284" s="312">
        <v>1825</v>
      </c>
      <c r="G1284" s="312" t="s">
        <v>108</v>
      </c>
      <c r="H1284" s="312">
        <v>1827</v>
      </c>
      <c r="I1284" s="312" t="s">
        <v>107</v>
      </c>
      <c r="J1284" s="312">
        <v>1913</v>
      </c>
      <c r="K1284" s="312" t="s">
        <v>109</v>
      </c>
    </row>
    <row r="1285" spans="1:11">
      <c r="A1285" s="312" t="s">
        <v>4187</v>
      </c>
      <c r="B1285" s="312" t="s">
        <v>4188</v>
      </c>
      <c r="C1285" s="312" t="s">
        <v>105</v>
      </c>
      <c r="D1285" s="312" t="s">
        <v>184</v>
      </c>
      <c r="E1285" s="312" t="s">
        <v>107</v>
      </c>
      <c r="F1285" s="312">
        <v>1825</v>
      </c>
      <c r="G1285" s="312" t="s">
        <v>108</v>
      </c>
      <c r="H1285" s="312">
        <v>1827</v>
      </c>
      <c r="I1285" s="312" t="s">
        <v>107</v>
      </c>
      <c r="J1285" s="312">
        <v>1913</v>
      </c>
      <c r="K1285" s="312" t="s">
        <v>109</v>
      </c>
    </row>
    <row r="1286" spans="1:11">
      <c r="A1286" s="312" t="s">
        <v>4199</v>
      </c>
      <c r="B1286" s="312" t="s">
        <v>4200</v>
      </c>
      <c r="C1286" s="312" t="s">
        <v>105</v>
      </c>
      <c r="D1286" s="312" t="s">
        <v>184</v>
      </c>
      <c r="E1286" s="312" t="s">
        <v>107</v>
      </c>
      <c r="F1286" s="312">
        <v>1825</v>
      </c>
      <c r="G1286" s="312" t="s">
        <v>108</v>
      </c>
      <c r="H1286" s="312">
        <v>1827</v>
      </c>
      <c r="I1286" s="312" t="s">
        <v>107</v>
      </c>
      <c r="J1286" s="312">
        <v>1913</v>
      </c>
      <c r="K1286" s="312" t="s">
        <v>109</v>
      </c>
    </row>
    <row r="1287" spans="1:11">
      <c r="A1287" s="312" t="s">
        <v>4201</v>
      </c>
      <c r="B1287" s="312" t="s">
        <v>4202</v>
      </c>
      <c r="C1287" s="312" t="s">
        <v>105</v>
      </c>
      <c r="D1287" s="312" t="s">
        <v>184</v>
      </c>
      <c r="E1287" s="312" t="s">
        <v>107</v>
      </c>
      <c r="F1287" s="312">
        <v>1825</v>
      </c>
      <c r="G1287" s="312" t="s">
        <v>108</v>
      </c>
      <c r="H1287" s="312">
        <v>1827</v>
      </c>
      <c r="I1287" s="312" t="s">
        <v>107</v>
      </c>
      <c r="J1287" s="312">
        <v>1913</v>
      </c>
      <c r="K1287" s="312" t="s">
        <v>109</v>
      </c>
    </row>
    <row r="1288" spans="1:11">
      <c r="A1288" s="312" t="s">
        <v>4203</v>
      </c>
      <c r="B1288" s="312" t="s">
        <v>4204</v>
      </c>
      <c r="C1288" s="312" t="s">
        <v>105</v>
      </c>
      <c r="D1288" s="312" t="s">
        <v>184</v>
      </c>
      <c r="E1288" s="312" t="s">
        <v>107</v>
      </c>
      <c r="F1288" s="312">
        <v>1825</v>
      </c>
      <c r="G1288" s="312" t="s">
        <v>108</v>
      </c>
      <c r="H1288" s="312">
        <v>1827</v>
      </c>
      <c r="I1288" s="312" t="s">
        <v>107</v>
      </c>
      <c r="J1288" s="312">
        <v>1913</v>
      </c>
      <c r="K1288" s="312" t="s">
        <v>109</v>
      </c>
    </row>
    <row r="1289" spans="1:11">
      <c r="A1289" s="312" t="s">
        <v>4205</v>
      </c>
      <c r="B1289" s="312" t="s">
        <v>4206</v>
      </c>
      <c r="C1289" s="312" t="s">
        <v>105</v>
      </c>
      <c r="D1289" s="312" t="s">
        <v>184</v>
      </c>
      <c r="E1289" s="312" t="s">
        <v>107</v>
      </c>
      <c r="F1289" s="312">
        <v>1825</v>
      </c>
      <c r="G1289" s="312" t="s">
        <v>108</v>
      </c>
      <c r="H1289" s="312">
        <v>1827</v>
      </c>
      <c r="I1289" s="312" t="s">
        <v>107</v>
      </c>
      <c r="J1289" s="312">
        <v>1913</v>
      </c>
      <c r="K1289" s="312" t="s">
        <v>109</v>
      </c>
    </row>
    <row r="1290" spans="1:11">
      <c r="A1290" s="312" t="s">
        <v>4207</v>
      </c>
      <c r="B1290" s="312" t="s">
        <v>4208</v>
      </c>
      <c r="C1290" s="312" t="s">
        <v>105</v>
      </c>
      <c r="D1290" s="312" t="s">
        <v>184</v>
      </c>
      <c r="E1290" s="312" t="s">
        <v>107</v>
      </c>
      <c r="F1290" s="312">
        <v>1825</v>
      </c>
      <c r="G1290" s="312" t="s">
        <v>108</v>
      </c>
      <c r="H1290" s="312">
        <v>1827</v>
      </c>
      <c r="I1290" s="312" t="s">
        <v>107</v>
      </c>
      <c r="J1290" s="312">
        <v>1913</v>
      </c>
      <c r="K1290" s="312" t="s">
        <v>109</v>
      </c>
    </row>
    <row r="1291" spans="1:11">
      <c r="A1291" s="312" t="s">
        <v>4213</v>
      </c>
      <c r="B1291" s="312" t="s">
        <v>4214</v>
      </c>
      <c r="C1291" s="312" t="s">
        <v>105</v>
      </c>
      <c r="D1291" s="312" t="s">
        <v>184</v>
      </c>
      <c r="E1291" s="312" t="s">
        <v>107</v>
      </c>
      <c r="F1291" s="312">
        <v>1825</v>
      </c>
      <c r="G1291" s="312" t="s">
        <v>108</v>
      </c>
      <c r="H1291" s="312">
        <v>1827</v>
      </c>
      <c r="I1291" s="312" t="s">
        <v>107</v>
      </c>
      <c r="J1291" s="312">
        <v>1913</v>
      </c>
      <c r="K1291" s="312" t="s">
        <v>109</v>
      </c>
    </row>
    <row r="1292" spans="1:11">
      <c r="A1292" s="312" t="s">
        <v>4215</v>
      </c>
      <c r="B1292" s="312" t="s">
        <v>4216</v>
      </c>
      <c r="C1292" s="312" t="s">
        <v>105</v>
      </c>
      <c r="D1292" s="312" t="s">
        <v>184</v>
      </c>
      <c r="E1292" s="312" t="s">
        <v>107</v>
      </c>
      <c r="F1292" s="312">
        <v>1825</v>
      </c>
      <c r="G1292" s="312" t="s">
        <v>108</v>
      </c>
      <c r="H1292" s="312">
        <v>1827</v>
      </c>
      <c r="I1292" s="312" t="s">
        <v>107</v>
      </c>
      <c r="J1292" s="312">
        <v>1913</v>
      </c>
      <c r="K1292" s="312" t="s">
        <v>109</v>
      </c>
    </row>
    <row r="1293" spans="1:11">
      <c r="A1293" s="312" t="s">
        <v>4217</v>
      </c>
      <c r="B1293" s="312" t="s">
        <v>4218</v>
      </c>
      <c r="C1293" s="312" t="s">
        <v>105</v>
      </c>
      <c r="D1293" s="312" t="s">
        <v>184</v>
      </c>
      <c r="E1293" s="312" t="s">
        <v>107</v>
      </c>
      <c r="F1293" s="312">
        <v>1825</v>
      </c>
      <c r="G1293" s="312" t="s">
        <v>108</v>
      </c>
      <c r="H1293" s="312">
        <v>1827</v>
      </c>
      <c r="I1293" s="312" t="s">
        <v>107</v>
      </c>
      <c r="J1293" s="312">
        <v>1913</v>
      </c>
      <c r="K1293" s="312" t="s">
        <v>109</v>
      </c>
    </row>
    <row r="1294" spans="1:11">
      <c r="A1294" s="312" t="s">
        <v>4219</v>
      </c>
      <c r="B1294" s="312" t="s">
        <v>4220</v>
      </c>
      <c r="C1294" s="312" t="s">
        <v>105</v>
      </c>
      <c r="D1294" s="312" t="s">
        <v>184</v>
      </c>
      <c r="E1294" s="312" t="s">
        <v>107</v>
      </c>
      <c r="F1294" s="312">
        <v>1825</v>
      </c>
      <c r="G1294" s="312" t="s">
        <v>108</v>
      </c>
      <c r="H1294" s="312">
        <v>1827</v>
      </c>
      <c r="I1294" s="312" t="s">
        <v>107</v>
      </c>
      <c r="J1294" s="312">
        <v>1913</v>
      </c>
      <c r="K1294" s="312" t="s">
        <v>109</v>
      </c>
    </row>
    <row r="1295" spans="1:11">
      <c r="A1295" s="312" t="s">
        <v>4221</v>
      </c>
      <c r="B1295" s="312" t="s">
        <v>4222</v>
      </c>
      <c r="C1295" s="312" t="s">
        <v>105</v>
      </c>
      <c r="D1295" s="312" t="s">
        <v>184</v>
      </c>
      <c r="E1295" s="312" t="s">
        <v>107</v>
      </c>
      <c r="F1295" s="312">
        <v>1825</v>
      </c>
      <c r="G1295" s="312" t="s">
        <v>108</v>
      </c>
      <c r="H1295" s="312">
        <v>1827</v>
      </c>
      <c r="I1295" s="312" t="s">
        <v>107</v>
      </c>
      <c r="J1295" s="312">
        <v>1913</v>
      </c>
      <c r="K1295" s="312" t="s">
        <v>109</v>
      </c>
    </row>
    <row r="1296" spans="1:11">
      <c r="A1296" s="312" t="s">
        <v>4223</v>
      </c>
      <c r="B1296" s="312" t="s">
        <v>4224</v>
      </c>
      <c r="C1296" s="312" t="s">
        <v>105</v>
      </c>
      <c r="D1296" s="312" t="s">
        <v>184</v>
      </c>
      <c r="E1296" s="312" t="s">
        <v>107</v>
      </c>
      <c r="F1296" s="312">
        <v>1825</v>
      </c>
      <c r="G1296" s="312" t="s">
        <v>108</v>
      </c>
      <c r="H1296" s="312">
        <v>1827</v>
      </c>
      <c r="I1296" s="312" t="s">
        <v>107</v>
      </c>
      <c r="J1296" s="312">
        <v>1913</v>
      </c>
      <c r="K1296" s="312" t="s">
        <v>109</v>
      </c>
    </row>
    <row r="1297" spans="1:11">
      <c r="A1297" s="312" t="s">
        <v>4225</v>
      </c>
      <c r="B1297" s="312" t="s">
        <v>4226</v>
      </c>
      <c r="C1297" s="312" t="s">
        <v>105</v>
      </c>
      <c r="D1297" s="312" t="s">
        <v>184</v>
      </c>
      <c r="E1297" s="312" t="s">
        <v>107</v>
      </c>
      <c r="F1297" s="312">
        <v>1825</v>
      </c>
      <c r="G1297" s="312" t="s">
        <v>108</v>
      </c>
      <c r="H1297" s="312">
        <v>1827</v>
      </c>
      <c r="I1297" s="312" t="s">
        <v>107</v>
      </c>
      <c r="J1297" s="312">
        <v>1913</v>
      </c>
      <c r="K1297" s="312" t="s">
        <v>109</v>
      </c>
    </row>
    <row r="1298" spans="1:11">
      <c r="A1298" s="312" t="s">
        <v>4227</v>
      </c>
      <c r="B1298" s="312" t="s">
        <v>4228</v>
      </c>
      <c r="C1298" s="312" t="s">
        <v>105</v>
      </c>
      <c r="D1298" s="312" t="s">
        <v>184</v>
      </c>
      <c r="E1298" s="312" t="s">
        <v>107</v>
      </c>
      <c r="F1298" s="312">
        <v>1825</v>
      </c>
      <c r="G1298" s="312" t="s">
        <v>108</v>
      </c>
      <c r="H1298" s="312">
        <v>1827</v>
      </c>
      <c r="I1298" s="312" t="s">
        <v>107</v>
      </c>
      <c r="J1298" s="312">
        <v>1913</v>
      </c>
      <c r="K1298" s="312" t="s">
        <v>109</v>
      </c>
    </row>
    <row r="1299" spans="1:11">
      <c r="A1299" s="312" t="s">
        <v>4231</v>
      </c>
      <c r="B1299" s="312" t="s">
        <v>4232</v>
      </c>
      <c r="C1299" s="312" t="s">
        <v>105</v>
      </c>
      <c r="D1299" s="312" t="s">
        <v>184</v>
      </c>
      <c r="E1299" s="312" t="s">
        <v>107</v>
      </c>
      <c r="F1299" s="312">
        <v>1825</v>
      </c>
      <c r="G1299" s="312" t="s">
        <v>108</v>
      </c>
      <c r="H1299" s="312">
        <v>1827</v>
      </c>
      <c r="I1299" s="312" t="s">
        <v>107</v>
      </c>
      <c r="J1299" s="312">
        <v>1913</v>
      </c>
      <c r="K1299" s="312" t="s">
        <v>109</v>
      </c>
    </row>
    <row r="1300" spans="1:11">
      <c r="A1300" s="312" t="s">
        <v>4447</v>
      </c>
      <c r="B1300" s="312" t="s">
        <v>4448</v>
      </c>
      <c r="C1300" s="312" t="s">
        <v>105</v>
      </c>
      <c r="D1300" s="312" t="s">
        <v>184</v>
      </c>
      <c r="E1300" s="312" t="s">
        <v>107</v>
      </c>
      <c r="F1300" s="312">
        <v>1825</v>
      </c>
      <c r="G1300" s="312" t="s">
        <v>108</v>
      </c>
      <c r="H1300" s="312">
        <v>1827</v>
      </c>
      <c r="I1300" s="312" t="s">
        <v>107</v>
      </c>
      <c r="J1300" s="312">
        <v>1913</v>
      </c>
      <c r="K1300" s="312" t="s">
        <v>109</v>
      </c>
    </row>
    <row r="1301" spans="1:11">
      <c r="A1301" s="312" t="s">
        <v>4845</v>
      </c>
      <c r="B1301" s="312" t="s">
        <v>4846</v>
      </c>
      <c r="C1301" s="312" t="s">
        <v>105</v>
      </c>
      <c r="D1301" s="312" t="s">
        <v>184</v>
      </c>
      <c r="E1301" s="312" t="s">
        <v>107</v>
      </c>
      <c r="F1301" s="312">
        <v>1825</v>
      </c>
      <c r="G1301" s="312" t="s">
        <v>108</v>
      </c>
      <c r="H1301" s="312">
        <v>1827</v>
      </c>
      <c r="I1301" s="312" t="s">
        <v>107</v>
      </c>
      <c r="J1301" s="312">
        <v>1913</v>
      </c>
      <c r="K1301" s="312" t="s">
        <v>109</v>
      </c>
    </row>
    <row r="1302" spans="1:11">
      <c r="A1302" s="312" t="s">
        <v>5155</v>
      </c>
      <c r="B1302" s="312" t="s">
        <v>5156</v>
      </c>
      <c r="C1302" s="312" t="s">
        <v>105</v>
      </c>
      <c r="D1302" s="312" t="s">
        <v>184</v>
      </c>
      <c r="E1302" s="312" t="s">
        <v>107</v>
      </c>
      <c r="F1302" s="312">
        <v>1825</v>
      </c>
      <c r="G1302" s="312" t="s">
        <v>108</v>
      </c>
      <c r="H1302" s="312">
        <v>1827</v>
      </c>
      <c r="I1302" s="312" t="s">
        <v>107</v>
      </c>
      <c r="J1302" s="312">
        <v>1913</v>
      </c>
      <c r="K1302" s="312" t="s">
        <v>109</v>
      </c>
    </row>
    <row r="1303" spans="1:11">
      <c r="A1303" s="312" t="s">
        <v>5244</v>
      </c>
      <c r="B1303" s="312" t="s">
        <v>5245</v>
      </c>
      <c r="C1303" s="312" t="s">
        <v>105</v>
      </c>
      <c r="D1303" s="312" t="s">
        <v>184</v>
      </c>
      <c r="E1303" s="312" t="s">
        <v>107</v>
      </c>
      <c r="F1303" s="312">
        <v>1825</v>
      </c>
      <c r="G1303" s="312" t="s">
        <v>108</v>
      </c>
      <c r="H1303" s="312">
        <v>1827</v>
      </c>
      <c r="I1303" s="312" t="s">
        <v>107</v>
      </c>
      <c r="J1303" s="312">
        <v>1913</v>
      </c>
      <c r="K1303" s="312" t="s">
        <v>109</v>
      </c>
    </row>
    <row r="1304" spans="1:11">
      <c r="A1304" s="312" t="s">
        <v>5286</v>
      </c>
      <c r="B1304" s="312" t="s">
        <v>5287</v>
      </c>
      <c r="C1304" s="312" t="s">
        <v>105</v>
      </c>
      <c r="D1304" s="312" t="s">
        <v>184</v>
      </c>
      <c r="E1304" s="312" t="s">
        <v>107</v>
      </c>
      <c r="F1304" s="312">
        <v>1825</v>
      </c>
      <c r="G1304" s="312" t="s">
        <v>108</v>
      </c>
      <c r="H1304" s="312">
        <v>1827</v>
      </c>
      <c r="I1304" s="312" t="s">
        <v>107</v>
      </c>
      <c r="J1304" s="312">
        <v>1913</v>
      </c>
      <c r="K1304" s="312" t="s">
        <v>109</v>
      </c>
    </row>
    <row r="1305" spans="1:11">
      <c r="A1305" s="312" t="s">
        <v>5288</v>
      </c>
      <c r="B1305" s="312" t="s">
        <v>5289</v>
      </c>
      <c r="C1305" s="312" t="s">
        <v>105</v>
      </c>
      <c r="D1305" s="312" t="s">
        <v>184</v>
      </c>
      <c r="E1305" s="312" t="s">
        <v>107</v>
      </c>
      <c r="F1305" s="312">
        <v>1825</v>
      </c>
      <c r="G1305" s="312" t="s">
        <v>108</v>
      </c>
      <c r="H1305" s="312">
        <v>1827</v>
      </c>
      <c r="I1305" s="312" t="s">
        <v>107</v>
      </c>
      <c r="J1305" s="312">
        <v>1913</v>
      </c>
      <c r="K1305" s="312" t="s">
        <v>109</v>
      </c>
    </row>
    <row r="1306" spans="1:11">
      <c r="A1306" s="312" t="s">
        <v>5389</v>
      </c>
      <c r="B1306" s="312" t="s">
        <v>5390</v>
      </c>
      <c r="C1306" s="312" t="s">
        <v>105</v>
      </c>
      <c r="D1306" s="312" t="s">
        <v>184</v>
      </c>
      <c r="E1306" s="312" t="s">
        <v>107</v>
      </c>
      <c r="F1306" s="312">
        <v>1825</v>
      </c>
      <c r="G1306" s="312" t="s">
        <v>108</v>
      </c>
      <c r="H1306" s="312">
        <v>1827</v>
      </c>
      <c r="I1306" s="312" t="s">
        <v>107</v>
      </c>
      <c r="J1306" s="312">
        <v>1913</v>
      </c>
      <c r="K1306" s="312" t="s">
        <v>109</v>
      </c>
    </row>
    <row r="1307" spans="1:11">
      <c r="A1307" s="312" t="s">
        <v>5860</v>
      </c>
      <c r="B1307" s="312" t="s">
        <v>5861</v>
      </c>
      <c r="C1307" s="312" t="s">
        <v>105</v>
      </c>
      <c r="D1307" s="312" t="s">
        <v>184</v>
      </c>
      <c r="E1307" s="312" t="s">
        <v>107</v>
      </c>
      <c r="F1307" s="312">
        <v>1825</v>
      </c>
      <c r="G1307" s="312" t="s">
        <v>108</v>
      </c>
      <c r="H1307" s="312">
        <v>1827</v>
      </c>
      <c r="I1307" s="312" t="s">
        <v>107</v>
      </c>
      <c r="J1307" s="312">
        <v>1913</v>
      </c>
      <c r="K1307" s="312" t="s">
        <v>109</v>
      </c>
    </row>
    <row r="1308" spans="1:11">
      <c r="A1308" s="312" t="s">
        <v>5929</v>
      </c>
      <c r="B1308" s="312" t="s">
        <v>5930</v>
      </c>
      <c r="C1308" s="312" t="s">
        <v>105</v>
      </c>
      <c r="D1308" s="312" t="s">
        <v>184</v>
      </c>
      <c r="E1308" s="312" t="s">
        <v>107</v>
      </c>
      <c r="F1308" s="312">
        <v>1825</v>
      </c>
      <c r="G1308" s="312" t="s">
        <v>108</v>
      </c>
      <c r="H1308" s="312">
        <v>1827</v>
      </c>
      <c r="I1308" s="312" t="s">
        <v>107</v>
      </c>
      <c r="J1308" s="312">
        <v>1913</v>
      </c>
      <c r="K1308" s="312" t="s">
        <v>109</v>
      </c>
    </row>
    <row r="1309" spans="1:11">
      <c r="A1309" s="312" t="s">
        <v>5933</v>
      </c>
      <c r="B1309" s="312" t="s">
        <v>5934</v>
      </c>
      <c r="C1309" s="312" t="s">
        <v>105</v>
      </c>
      <c r="D1309" s="312" t="s">
        <v>184</v>
      </c>
      <c r="E1309" s="312" t="s">
        <v>107</v>
      </c>
      <c r="F1309" s="312">
        <v>1825</v>
      </c>
      <c r="G1309" s="312" t="s">
        <v>108</v>
      </c>
      <c r="H1309" s="312">
        <v>1827</v>
      </c>
      <c r="I1309" s="312" t="s">
        <v>107</v>
      </c>
      <c r="J1309" s="312">
        <v>1913</v>
      </c>
      <c r="K1309" s="312" t="s">
        <v>109</v>
      </c>
    </row>
    <row r="1310" spans="1:11">
      <c r="A1310" s="312" t="s">
        <v>103</v>
      </c>
      <c r="B1310" s="312" t="s">
        <v>104</v>
      </c>
      <c r="C1310" s="312" t="s">
        <v>105</v>
      </c>
      <c r="D1310" s="312" t="s">
        <v>106</v>
      </c>
      <c r="E1310" s="312" t="s">
        <v>107</v>
      </c>
      <c r="F1310" s="312">
        <v>1825</v>
      </c>
      <c r="G1310" s="312" t="s">
        <v>108</v>
      </c>
      <c r="H1310" s="312">
        <v>1827</v>
      </c>
      <c r="I1310" s="312" t="s">
        <v>107</v>
      </c>
      <c r="J1310" s="312">
        <v>1913</v>
      </c>
      <c r="K1310" s="312" t="s">
        <v>109</v>
      </c>
    </row>
    <row r="1311" spans="1:11">
      <c r="A1311" s="312" t="s">
        <v>110</v>
      </c>
      <c r="B1311" s="312" t="s">
        <v>111</v>
      </c>
      <c r="C1311" s="312" t="s">
        <v>105</v>
      </c>
      <c r="D1311" s="312" t="s">
        <v>106</v>
      </c>
      <c r="E1311" s="312" t="s">
        <v>107</v>
      </c>
      <c r="F1311" s="312">
        <v>1825</v>
      </c>
      <c r="G1311" s="312" t="s">
        <v>108</v>
      </c>
      <c r="H1311" s="312">
        <v>1827</v>
      </c>
      <c r="I1311" s="312" t="s">
        <v>107</v>
      </c>
      <c r="J1311" s="312">
        <v>1913</v>
      </c>
      <c r="K1311" s="312" t="s">
        <v>109</v>
      </c>
    </row>
    <row r="1312" spans="1:11">
      <c r="A1312" s="312" t="s">
        <v>172</v>
      </c>
      <c r="B1312" s="312" t="s">
        <v>173</v>
      </c>
      <c r="C1312" s="312" t="s">
        <v>105</v>
      </c>
      <c r="D1312" s="312" t="s">
        <v>106</v>
      </c>
      <c r="E1312" s="312" t="s">
        <v>107</v>
      </c>
      <c r="F1312" s="312">
        <v>1825</v>
      </c>
      <c r="G1312" s="312" t="s">
        <v>108</v>
      </c>
      <c r="H1312" s="312">
        <v>1827</v>
      </c>
      <c r="I1312" s="312" t="s">
        <v>107</v>
      </c>
      <c r="J1312" s="312">
        <v>1913</v>
      </c>
      <c r="K1312" s="312" t="s">
        <v>109</v>
      </c>
    </row>
    <row r="1313" spans="1:11">
      <c r="A1313" s="312" t="s">
        <v>193</v>
      </c>
      <c r="B1313" s="312" t="s">
        <v>194</v>
      </c>
      <c r="C1313" s="312" t="s">
        <v>105</v>
      </c>
      <c r="D1313" s="312" t="s">
        <v>106</v>
      </c>
      <c r="E1313" s="312" t="s">
        <v>107</v>
      </c>
      <c r="F1313" s="312">
        <v>1825</v>
      </c>
      <c r="G1313" s="312" t="s">
        <v>108</v>
      </c>
      <c r="H1313" s="312">
        <v>1827</v>
      </c>
      <c r="I1313" s="312" t="s">
        <v>107</v>
      </c>
      <c r="J1313" s="312">
        <v>1913</v>
      </c>
      <c r="K1313" s="312" t="s">
        <v>109</v>
      </c>
    </row>
    <row r="1314" spans="1:11">
      <c r="A1314" s="312" t="s">
        <v>513</v>
      </c>
      <c r="B1314" s="312" t="s">
        <v>514</v>
      </c>
      <c r="C1314" s="312" t="s">
        <v>105</v>
      </c>
      <c r="D1314" s="312" t="s">
        <v>106</v>
      </c>
      <c r="E1314" s="312" t="s">
        <v>107</v>
      </c>
      <c r="F1314" s="312">
        <v>1825</v>
      </c>
      <c r="G1314" s="312" t="s">
        <v>108</v>
      </c>
      <c r="H1314" s="312">
        <v>1827</v>
      </c>
      <c r="I1314" s="312" t="s">
        <v>107</v>
      </c>
      <c r="J1314" s="312">
        <v>1913</v>
      </c>
      <c r="K1314" s="312" t="s">
        <v>109</v>
      </c>
    </row>
    <row r="1315" spans="1:11">
      <c r="A1315" s="312" t="s">
        <v>659</v>
      </c>
      <c r="B1315" s="312" t="s">
        <v>660</v>
      </c>
      <c r="C1315" s="312" t="s">
        <v>105</v>
      </c>
      <c r="D1315" s="312" t="s">
        <v>106</v>
      </c>
      <c r="E1315" s="312" t="s">
        <v>107</v>
      </c>
      <c r="F1315" s="312">
        <v>1825</v>
      </c>
      <c r="G1315" s="312" t="s">
        <v>108</v>
      </c>
      <c r="H1315" s="312">
        <v>1827</v>
      </c>
      <c r="I1315" s="312" t="s">
        <v>107</v>
      </c>
      <c r="J1315" s="312">
        <v>1913</v>
      </c>
      <c r="K1315" s="312" t="s">
        <v>109</v>
      </c>
    </row>
    <row r="1316" spans="1:11">
      <c r="A1316" s="312" t="s">
        <v>661</v>
      </c>
      <c r="B1316" s="312" t="s">
        <v>662</v>
      </c>
      <c r="C1316" s="312" t="s">
        <v>105</v>
      </c>
      <c r="D1316" s="312" t="s">
        <v>106</v>
      </c>
      <c r="E1316" s="312" t="s">
        <v>107</v>
      </c>
      <c r="F1316" s="312">
        <v>1825</v>
      </c>
      <c r="G1316" s="312" t="s">
        <v>108</v>
      </c>
      <c r="H1316" s="312">
        <v>1827</v>
      </c>
      <c r="I1316" s="312" t="s">
        <v>107</v>
      </c>
      <c r="J1316" s="312">
        <v>1913</v>
      </c>
      <c r="K1316" s="312" t="s">
        <v>109</v>
      </c>
    </row>
    <row r="1317" spans="1:11">
      <c r="A1317" s="312" t="s">
        <v>665</v>
      </c>
      <c r="B1317" s="312" t="s">
        <v>666</v>
      </c>
      <c r="C1317" s="312" t="s">
        <v>105</v>
      </c>
      <c r="D1317" s="312" t="s">
        <v>106</v>
      </c>
      <c r="E1317" s="312" t="s">
        <v>107</v>
      </c>
      <c r="F1317" s="312">
        <v>1825</v>
      </c>
      <c r="G1317" s="312" t="s">
        <v>108</v>
      </c>
      <c r="H1317" s="312">
        <v>1827</v>
      </c>
      <c r="I1317" s="312" t="s">
        <v>107</v>
      </c>
      <c r="J1317" s="312">
        <v>1913</v>
      </c>
      <c r="K1317" s="312" t="s">
        <v>109</v>
      </c>
    </row>
    <row r="1318" spans="1:11">
      <c r="A1318" s="312" t="s">
        <v>703</v>
      </c>
      <c r="B1318" s="312" t="s">
        <v>704</v>
      </c>
      <c r="C1318" s="312" t="s">
        <v>105</v>
      </c>
      <c r="D1318" s="312" t="s">
        <v>106</v>
      </c>
      <c r="E1318" s="312" t="s">
        <v>107</v>
      </c>
      <c r="F1318" s="312">
        <v>1825</v>
      </c>
      <c r="G1318" s="312" t="s">
        <v>108</v>
      </c>
      <c r="H1318" s="312">
        <v>1827</v>
      </c>
      <c r="I1318" s="312" t="s">
        <v>107</v>
      </c>
      <c r="J1318" s="312">
        <v>1913</v>
      </c>
      <c r="K1318" s="312" t="s">
        <v>109</v>
      </c>
    </row>
    <row r="1319" spans="1:11">
      <c r="A1319" s="312" t="s">
        <v>954</v>
      </c>
      <c r="B1319" s="312" t="s">
        <v>955</v>
      </c>
      <c r="C1319" s="312" t="s">
        <v>105</v>
      </c>
      <c r="D1319" s="312" t="s">
        <v>106</v>
      </c>
      <c r="E1319" s="312" t="s">
        <v>107</v>
      </c>
      <c r="F1319" s="312">
        <v>1825</v>
      </c>
      <c r="G1319" s="312" t="s">
        <v>108</v>
      </c>
      <c r="H1319" s="312">
        <v>1827</v>
      </c>
      <c r="I1319" s="312" t="s">
        <v>107</v>
      </c>
      <c r="J1319" s="312">
        <v>1913</v>
      </c>
      <c r="K1319" s="312" t="s">
        <v>109</v>
      </c>
    </row>
    <row r="1320" spans="1:11">
      <c r="A1320" s="312" t="s">
        <v>1193</v>
      </c>
      <c r="B1320" s="312" t="s">
        <v>1194</v>
      </c>
      <c r="C1320" s="312" t="s">
        <v>105</v>
      </c>
      <c r="D1320" s="312" t="s">
        <v>106</v>
      </c>
      <c r="E1320" s="312" t="s">
        <v>107</v>
      </c>
      <c r="F1320" s="312">
        <v>1825</v>
      </c>
      <c r="G1320" s="312" t="s">
        <v>108</v>
      </c>
      <c r="H1320" s="312">
        <v>1827</v>
      </c>
      <c r="I1320" s="312" t="s">
        <v>107</v>
      </c>
      <c r="J1320" s="312">
        <v>1913</v>
      </c>
      <c r="K1320" s="312" t="s">
        <v>109</v>
      </c>
    </row>
    <row r="1321" spans="1:11">
      <c r="A1321" s="312" t="s">
        <v>1195</v>
      </c>
      <c r="B1321" s="312" t="s">
        <v>1196</v>
      </c>
      <c r="C1321" s="312" t="s">
        <v>105</v>
      </c>
      <c r="D1321" s="312" t="s">
        <v>106</v>
      </c>
      <c r="E1321" s="312" t="s">
        <v>107</v>
      </c>
      <c r="F1321" s="312">
        <v>1825</v>
      </c>
      <c r="G1321" s="312" t="s">
        <v>108</v>
      </c>
      <c r="H1321" s="312">
        <v>1827</v>
      </c>
      <c r="I1321" s="312" t="s">
        <v>107</v>
      </c>
      <c r="J1321" s="312">
        <v>1913</v>
      </c>
      <c r="K1321" s="312" t="s">
        <v>109</v>
      </c>
    </row>
    <row r="1322" spans="1:11">
      <c r="A1322" s="312" t="s">
        <v>1485</v>
      </c>
      <c r="B1322" s="312" t="s">
        <v>1486</v>
      </c>
      <c r="C1322" s="312" t="s">
        <v>105</v>
      </c>
      <c r="D1322" s="312" t="s">
        <v>106</v>
      </c>
      <c r="E1322" s="312" t="s">
        <v>107</v>
      </c>
      <c r="F1322" s="312">
        <v>1825</v>
      </c>
      <c r="G1322" s="312" t="s">
        <v>108</v>
      </c>
      <c r="H1322" s="312">
        <v>1827</v>
      </c>
      <c r="I1322" s="312" t="s">
        <v>107</v>
      </c>
      <c r="J1322" s="312">
        <v>1913</v>
      </c>
      <c r="K1322" s="312" t="s">
        <v>109</v>
      </c>
    </row>
    <row r="1323" spans="1:11">
      <c r="A1323" s="312" t="s">
        <v>1536</v>
      </c>
      <c r="B1323" s="312" t="s">
        <v>1537</v>
      </c>
      <c r="C1323" s="312" t="s">
        <v>105</v>
      </c>
      <c r="D1323" s="312" t="s">
        <v>106</v>
      </c>
      <c r="E1323" s="312" t="s">
        <v>107</v>
      </c>
      <c r="F1323" s="312">
        <v>1825</v>
      </c>
      <c r="G1323" s="312" t="s">
        <v>108</v>
      </c>
      <c r="H1323" s="312">
        <v>1827</v>
      </c>
      <c r="I1323" s="312" t="s">
        <v>107</v>
      </c>
      <c r="J1323" s="312">
        <v>1913</v>
      </c>
      <c r="K1323" s="312" t="s">
        <v>109</v>
      </c>
    </row>
    <row r="1324" spans="1:11">
      <c r="A1324" s="312" t="s">
        <v>1538</v>
      </c>
      <c r="B1324" s="312" t="s">
        <v>1539</v>
      </c>
      <c r="C1324" s="312" t="s">
        <v>105</v>
      </c>
      <c r="D1324" s="312" t="s">
        <v>106</v>
      </c>
      <c r="E1324" s="312" t="s">
        <v>107</v>
      </c>
      <c r="F1324" s="312">
        <v>1825</v>
      </c>
      <c r="G1324" s="312" t="s">
        <v>108</v>
      </c>
      <c r="H1324" s="312">
        <v>1827</v>
      </c>
      <c r="I1324" s="312" t="s">
        <v>107</v>
      </c>
      <c r="J1324" s="312">
        <v>1913</v>
      </c>
      <c r="K1324" s="312" t="s">
        <v>109</v>
      </c>
    </row>
    <row r="1325" spans="1:11">
      <c r="A1325" s="312" t="s">
        <v>1574</v>
      </c>
      <c r="B1325" s="312" t="s">
        <v>1575</v>
      </c>
      <c r="C1325" s="312" t="s">
        <v>105</v>
      </c>
      <c r="D1325" s="312" t="s">
        <v>106</v>
      </c>
      <c r="E1325" s="312" t="s">
        <v>107</v>
      </c>
      <c r="F1325" s="312">
        <v>1825</v>
      </c>
      <c r="G1325" s="312" t="s">
        <v>108</v>
      </c>
      <c r="H1325" s="312">
        <v>1827</v>
      </c>
      <c r="I1325" s="312" t="s">
        <v>107</v>
      </c>
      <c r="J1325" s="312">
        <v>1913</v>
      </c>
      <c r="K1325" s="312" t="s">
        <v>109</v>
      </c>
    </row>
    <row r="1326" spans="1:11">
      <c r="A1326" s="312" t="s">
        <v>1602</v>
      </c>
      <c r="B1326" s="312" t="s">
        <v>1603</v>
      </c>
      <c r="C1326" s="312" t="s">
        <v>105</v>
      </c>
      <c r="D1326" s="312" t="s">
        <v>106</v>
      </c>
      <c r="E1326" s="312" t="s">
        <v>107</v>
      </c>
      <c r="F1326" s="312">
        <v>1825</v>
      </c>
      <c r="G1326" s="312" t="s">
        <v>108</v>
      </c>
      <c r="H1326" s="312">
        <v>1827</v>
      </c>
      <c r="I1326" s="312" t="s">
        <v>107</v>
      </c>
      <c r="J1326" s="312">
        <v>1913</v>
      </c>
      <c r="K1326" s="312" t="s">
        <v>109</v>
      </c>
    </row>
    <row r="1327" spans="1:11">
      <c r="A1327" s="312" t="s">
        <v>1614</v>
      </c>
      <c r="B1327" s="312" t="s">
        <v>1615</v>
      </c>
      <c r="C1327" s="312" t="s">
        <v>105</v>
      </c>
      <c r="D1327" s="312" t="s">
        <v>106</v>
      </c>
      <c r="E1327" s="312" t="s">
        <v>107</v>
      </c>
      <c r="F1327" s="312">
        <v>1825</v>
      </c>
      <c r="G1327" s="312" t="s">
        <v>108</v>
      </c>
      <c r="H1327" s="312">
        <v>1827</v>
      </c>
      <c r="I1327" s="312" t="s">
        <v>107</v>
      </c>
      <c r="J1327" s="312">
        <v>1913</v>
      </c>
      <c r="K1327" s="312" t="s">
        <v>109</v>
      </c>
    </row>
    <row r="1328" spans="1:11">
      <c r="A1328" s="312" t="s">
        <v>1636</v>
      </c>
      <c r="B1328" s="312" t="s">
        <v>1637</v>
      </c>
      <c r="C1328" s="312" t="s">
        <v>105</v>
      </c>
      <c r="D1328" s="312" t="s">
        <v>106</v>
      </c>
      <c r="E1328" s="312" t="s">
        <v>107</v>
      </c>
      <c r="F1328" s="312">
        <v>1825</v>
      </c>
      <c r="G1328" s="312" t="s">
        <v>108</v>
      </c>
      <c r="H1328" s="312">
        <v>1827</v>
      </c>
      <c r="I1328" s="312" t="s">
        <v>107</v>
      </c>
      <c r="J1328" s="312">
        <v>1913</v>
      </c>
      <c r="K1328" s="312" t="s">
        <v>109</v>
      </c>
    </row>
    <row r="1329" spans="1:11">
      <c r="A1329" s="312" t="s">
        <v>2108</v>
      </c>
      <c r="B1329" s="312" t="s">
        <v>2109</v>
      </c>
      <c r="C1329" s="312" t="s">
        <v>105</v>
      </c>
      <c r="D1329" s="312" t="s">
        <v>106</v>
      </c>
      <c r="E1329" s="312" t="s">
        <v>107</v>
      </c>
      <c r="F1329" s="312">
        <v>1825</v>
      </c>
      <c r="G1329" s="312" t="s">
        <v>108</v>
      </c>
      <c r="H1329" s="312">
        <v>1827</v>
      </c>
      <c r="I1329" s="312" t="s">
        <v>107</v>
      </c>
      <c r="J1329" s="312">
        <v>1913</v>
      </c>
      <c r="K1329" s="312" t="s">
        <v>109</v>
      </c>
    </row>
    <row r="1330" spans="1:11">
      <c r="A1330" s="312" t="s">
        <v>2122</v>
      </c>
      <c r="B1330" s="312" t="s">
        <v>2123</v>
      </c>
      <c r="C1330" s="312" t="s">
        <v>105</v>
      </c>
      <c r="D1330" s="312" t="s">
        <v>106</v>
      </c>
      <c r="E1330" s="312" t="s">
        <v>107</v>
      </c>
      <c r="F1330" s="312">
        <v>1825</v>
      </c>
      <c r="G1330" s="312" t="s">
        <v>108</v>
      </c>
      <c r="H1330" s="312">
        <v>1827</v>
      </c>
      <c r="I1330" s="312" t="s">
        <v>107</v>
      </c>
      <c r="J1330" s="312">
        <v>1913</v>
      </c>
      <c r="K1330" s="312" t="s">
        <v>109</v>
      </c>
    </row>
    <row r="1331" spans="1:11">
      <c r="A1331" s="312" t="s">
        <v>2304</v>
      </c>
      <c r="B1331" s="312" t="s">
        <v>2305</v>
      </c>
      <c r="C1331" s="312" t="s">
        <v>105</v>
      </c>
      <c r="D1331" s="312" t="s">
        <v>106</v>
      </c>
      <c r="E1331" s="312" t="s">
        <v>107</v>
      </c>
      <c r="F1331" s="312">
        <v>1825</v>
      </c>
      <c r="G1331" s="312" t="s">
        <v>108</v>
      </c>
      <c r="H1331" s="312">
        <v>1827</v>
      </c>
      <c r="I1331" s="312" t="s">
        <v>107</v>
      </c>
      <c r="J1331" s="312">
        <v>1913</v>
      </c>
      <c r="K1331" s="312" t="s">
        <v>109</v>
      </c>
    </row>
    <row r="1332" spans="1:11">
      <c r="A1332" s="312" t="s">
        <v>2824</v>
      </c>
      <c r="B1332" s="312" t="s">
        <v>2825</v>
      </c>
      <c r="C1332" s="312" t="s">
        <v>105</v>
      </c>
      <c r="D1332" s="312" t="s">
        <v>106</v>
      </c>
      <c r="E1332" s="312" t="s">
        <v>107</v>
      </c>
      <c r="F1332" s="312">
        <v>1825</v>
      </c>
      <c r="G1332" s="312" t="s">
        <v>108</v>
      </c>
      <c r="H1332" s="312">
        <v>1827</v>
      </c>
      <c r="I1332" s="312" t="s">
        <v>107</v>
      </c>
      <c r="J1332" s="312">
        <v>1913</v>
      </c>
      <c r="K1332" s="312" t="s">
        <v>109</v>
      </c>
    </row>
    <row r="1333" spans="1:11">
      <c r="A1333" s="312" t="s">
        <v>3221</v>
      </c>
      <c r="B1333" s="312" t="s">
        <v>3222</v>
      </c>
      <c r="C1333" s="312" t="s">
        <v>105</v>
      </c>
      <c r="D1333" s="312" t="s">
        <v>106</v>
      </c>
      <c r="E1333" s="312" t="s">
        <v>107</v>
      </c>
      <c r="F1333" s="312">
        <v>1825</v>
      </c>
      <c r="G1333" s="312" t="s">
        <v>108</v>
      </c>
      <c r="H1333" s="312">
        <v>1827</v>
      </c>
      <c r="I1333" s="312" t="s">
        <v>107</v>
      </c>
      <c r="J1333" s="312">
        <v>1913</v>
      </c>
      <c r="K1333" s="312" t="s">
        <v>109</v>
      </c>
    </row>
    <row r="1334" spans="1:11">
      <c r="A1334" s="312" t="s">
        <v>3273</v>
      </c>
      <c r="B1334" s="312" t="s">
        <v>3274</v>
      </c>
      <c r="C1334" s="312" t="s">
        <v>105</v>
      </c>
      <c r="D1334" s="312" t="s">
        <v>106</v>
      </c>
      <c r="E1334" s="312" t="s">
        <v>107</v>
      </c>
      <c r="F1334" s="312">
        <v>1825</v>
      </c>
      <c r="G1334" s="312" t="s">
        <v>108</v>
      </c>
      <c r="H1334" s="312">
        <v>1827</v>
      </c>
      <c r="I1334" s="312" t="s">
        <v>107</v>
      </c>
      <c r="J1334" s="312">
        <v>1913</v>
      </c>
      <c r="K1334" s="312" t="s">
        <v>109</v>
      </c>
    </row>
    <row r="1335" spans="1:11">
      <c r="A1335" s="312" t="s">
        <v>3310</v>
      </c>
      <c r="B1335" s="312" t="s">
        <v>3311</v>
      </c>
      <c r="C1335" s="312" t="s">
        <v>105</v>
      </c>
      <c r="D1335" s="312" t="s">
        <v>106</v>
      </c>
      <c r="E1335" s="312" t="s">
        <v>107</v>
      </c>
      <c r="F1335" s="312">
        <v>1825</v>
      </c>
      <c r="G1335" s="312" t="s">
        <v>108</v>
      </c>
      <c r="H1335" s="312">
        <v>1827</v>
      </c>
      <c r="I1335" s="312" t="s">
        <v>107</v>
      </c>
      <c r="J1335" s="312">
        <v>1913</v>
      </c>
      <c r="K1335" s="312" t="s">
        <v>109</v>
      </c>
    </row>
    <row r="1336" spans="1:11">
      <c r="A1336" s="312" t="s">
        <v>3320</v>
      </c>
      <c r="B1336" s="312" t="s">
        <v>3321</v>
      </c>
      <c r="C1336" s="312" t="s">
        <v>105</v>
      </c>
      <c r="D1336" s="312" t="s">
        <v>106</v>
      </c>
      <c r="E1336" s="312" t="s">
        <v>107</v>
      </c>
      <c r="F1336" s="312">
        <v>1825</v>
      </c>
      <c r="G1336" s="312" t="s">
        <v>108</v>
      </c>
      <c r="H1336" s="312">
        <v>1827</v>
      </c>
      <c r="I1336" s="312" t="s">
        <v>107</v>
      </c>
      <c r="J1336" s="312">
        <v>1913</v>
      </c>
      <c r="K1336" s="312" t="s">
        <v>109</v>
      </c>
    </row>
    <row r="1337" spans="1:11">
      <c r="A1337" s="312" t="s">
        <v>3360</v>
      </c>
      <c r="B1337" s="312" t="s">
        <v>3361</v>
      </c>
      <c r="C1337" s="312" t="s">
        <v>105</v>
      </c>
      <c r="D1337" s="312" t="s">
        <v>106</v>
      </c>
      <c r="E1337" s="312" t="s">
        <v>107</v>
      </c>
      <c r="F1337" s="312">
        <v>1825</v>
      </c>
      <c r="G1337" s="312" t="s">
        <v>108</v>
      </c>
      <c r="H1337" s="312">
        <v>1827</v>
      </c>
      <c r="I1337" s="312" t="s">
        <v>107</v>
      </c>
      <c r="J1337" s="312">
        <v>1913</v>
      </c>
      <c r="K1337" s="312" t="s">
        <v>109</v>
      </c>
    </row>
    <row r="1338" spans="1:11">
      <c r="A1338" s="312" t="s">
        <v>3493</v>
      </c>
      <c r="B1338" s="312" t="s">
        <v>3494</v>
      </c>
      <c r="C1338" s="312" t="s">
        <v>105</v>
      </c>
      <c r="D1338" s="312" t="s">
        <v>106</v>
      </c>
      <c r="E1338" s="312" t="s">
        <v>107</v>
      </c>
      <c r="F1338" s="312">
        <v>1825</v>
      </c>
      <c r="G1338" s="312" t="s">
        <v>108</v>
      </c>
      <c r="H1338" s="312">
        <v>1827</v>
      </c>
      <c r="I1338" s="312" t="s">
        <v>107</v>
      </c>
      <c r="J1338" s="312">
        <v>1913</v>
      </c>
      <c r="K1338" s="312" t="s">
        <v>109</v>
      </c>
    </row>
    <row r="1339" spans="1:11">
      <c r="A1339" s="312" t="s">
        <v>3551</v>
      </c>
      <c r="B1339" s="312" t="s">
        <v>3552</v>
      </c>
      <c r="C1339" s="312" t="s">
        <v>105</v>
      </c>
      <c r="D1339" s="312" t="s">
        <v>106</v>
      </c>
      <c r="E1339" s="312" t="s">
        <v>107</v>
      </c>
      <c r="F1339" s="312">
        <v>1825</v>
      </c>
      <c r="G1339" s="312" t="s">
        <v>108</v>
      </c>
      <c r="H1339" s="312">
        <v>1827</v>
      </c>
      <c r="I1339" s="312" t="s">
        <v>107</v>
      </c>
      <c r="J1339" s="312">
        <v>1913</v>
      </c>
      <c r="K1339" s="312" t="s">
        <v>109</v>
      </c>
    </row>
    <row r="1340" spans="1:11">
      <c r="A1340" s="312" t="s">
        <v>3555</v>
      </c>
      <c r="B1340" s="312" t="s">
        <v>3556</v>
      </c>
      <c r="C1340" s="312" t="s">
        <v>105</v>
      </c>
      <c r="D1340" s="312" t="s">
        <v>106</v>
      </c>
      <c r="E1340" s="312" t="s">
        <v>107</v>
      </c>
      <c r="F1340" s="312">
        <v>1825</v>
      </c>
      <c r="G1340" s="312" t="s">
        <v>108</v>
      </c>
      <c r="H1340" s="312">
        <v>1827</v>
      </c>
      <c r="I1340" s="312" t="s">
        <v>107</v>
      </c>
      <c r="J1340" s="312">
        <v>1913</v>
      </c>
      <c r="K1340" s="312" t="s">
        <v>109</v>
      </c>
    </row>
    <row r="1341" spans="1:11">
      <c r="A1341" s="312" t="s">
        <v>3755</v>
      </c>
      <c r="B1341" s="312" t="s">
        <v>3756</v>
      </c>
      <c r="C1341" s="312" t="s">
        <v>105</v>
      </c>
      <c r="D1341" s="312" t="s">
        <v>106</v>
      </c>
      <c r="E1341" s="312" t="s">
        <v>107</v>
      </c>
      <c r="F1341" s="312">
        <v>1825</v>
      </c>
      <c r="G1341" s="312" t="s">
        <v>108</v>
      </c>
      <c r="H1341" s="312">
        <v>1827</v>
      </c>
      <c r="I1341" s="312" t="s">
        <v>107</v>
      </c>
      <c r="J1341" s="312">
        <v>1913</v>
      </c>
      <c r="K1341" s="312" t="s">
        <v>109</v>
      </c>
    </row>
    <row r="1342" spans="1:11">
      <c r="A1342" s="312" t="s">
        <v>3771</v>
      </c>
      <c r="B1342" s="312" t="s">
        <v>3772</v>
      </c>
      <c r="C1342" s="312" t="s">
        <v>105</v>
      </c>
      <c r="D1342" s="312" t="s">
        <v>106</v>
      </c>
      <c r="E1342" s="312" t="s">
        <v>107</v>
      </c>
      <c r="F1342" s="312">
        <v>1825</v>
      </c>
      <c r="G1342" s="312" t="s">
        <v>108</v>
      </c>
      <c r="H1342" s="312">
        <v>1827</v>
      </c>
      <c r="I1342" s="312" t="s">
        <v>107</v>
      </c>
      <c r="J1342" s="312">
        <v>1913</v>
      </c>
      <c r="K1342" s="312" t="s">
        <v>109</v>
      </c>
    </row>
    <row r="1343" spans="1:11">
      <c r="A1343" s="312" t="s">
        <v>3901</v>
      </c>
      <c r="B1343" s="312" t="s">
        <v>3902</v>
      </c>
      <c r="C1343" s="312" t="s">
        <v>105</v>
      </c>
      <c r="D1343" s="312" t="s">
        <v>106</v>
      </c>
      <c r="E1343" s="312" t="s">
        <v>107</v>
      </c>
      <c r="F1343" s="312">
        <v>1825</v>
      </c>
      <c r="G1343" s="312" t="s">
        <v>108</v>
      </c>
      <c r="H1343" s="312">
        <v>1827</v>
      </c>
      <c r="I1343" s="312" t="s">
        <v>107</v>
      </c>
      <c r="J1343" s="312">
        <v>1913</v>
      </c>
      <c r="K1343" s="312" t="s">
        <v>109</v>
      </c>
    </row>
    <row r="1344" spans="1:11">
      <c r="A1344" s="312" t="s">
        <v>3947</v>
      </c>
      <c r="B1344" s="312" t="s">
        <v>3948</v>
      </c>
      <c r="C1344" s="312" t="s">
        <v>105</v>
      </c>
      <c r="D1344" s="312" t="s">
        <v>106</v>
      </c>
      <c r="E1344" s="312" t="s">
        <v>107</v>
      </c>
      <c r="F1344" s="312">
        <v>1825</v>
      </c>
      <c r="G1344" s="312" t="s">
        <v>108</v>
      </c>
      <c r="H1344" s="312">
        <v>1827</v>
      </c>
      <c r="I1344" s="312" t="s">
        <v>107</v>
      </c>
      <c r="J1344" s="312">
        <v>1913</v>
      </c>
      <c r="K1344" s="312" t="s">
        <v>109</v>
      </c>
    </row>
    <row r="1345" spans="1:11">
      <c r="A1345" s="312" t="s">
        <v>3955</v>
      </c>
      <c r="B1345" s="312" t="s">
        <v>3956</v>
      </c>
      <c r="C1345" s="312" t="s">
        <v>105</v>
      </c>
      <c r="D1345" s="312" t="s">
        <v>106</v>
      </c>
      <c r="E1345" s="312" t="s">
        <v>107</v>
      </c>
      <c r="F1345" s="312">
        <v>1825</v>
      </c>
      <c r="G1345" s="312" t="s">
        <v>108</v>
      </c>
      <c r="H1345" s="312">
        <v>1827</v>
      </c>
      <c r="I1345" s="312" t="s">
        <v>107</v>
      </c>
      <c r="J1345" s="312">
        <v>1913</v>
      </c>
      <c r="K1345" s="312" t="s">
        <v>109</v>
      </c>
    </row>
    <row r="1346" spans="1:11">
      <c r="A1346" s="312" t="s">
        <v>4062</v>
      </c>
      <c r="B1346" s="312" t="s">
        <v>4063</v>
      </c>
      <c r="C1346" s="312" t="s">
        <v>105</v>
      </c>
      <c r="D1346" s="312" t="s">
        <v>106</v>
      </c>
      <c r="E1346" s="312" t="s">
        <v>107</v>
      </c>
      <c r="F1346" s="312">
        <v>1825</v>
      </c>
      <c r="G1346" s="312" t="s">
        <v>108</v>
      </c>
      <c r="H1346" s="312">
        <v>1827</v>
      </c>
      <c r="I1346" s="312" t="s">
        <v>107</v>
      </c>
      <c r="J1346" s="312">
        <v>1913</v>
      </c>
      <c r="K1346" s="312" t="s">
        <v>109</v>
      </c>
    </row>
    <row r="1347" spans="1:11">
      <c r="A1347" s="312" t="s">
        <v>4418</v>
      </c>
      <c r="B1347" s="312" t="s">
        <v>4419</v>
      </c>
      <c r="C1347" s="312" t="s">
        <v>105</v>
      </c>
      <c r="D1347" s="312" t="s">
        <v>106</v>
      </c>
      <c r="E1347" s="312" t="s">
        <v>107</v>
      </c>
      <c r="F1347" s="312">
        <v>1825</v>
      </c>
      <c r="G1347" s="312" t="s">
        <v>108</v>
      </c>
      <c r="H1347" s="312">
        <v>1827</v>
      </c>
      <c r="I1347" s="312" t="s">
        <v>107</v>
      </c>
      <c r="J1347" s="312">
        <v>1913</v>
      </c>
      <c r="K1347" s="312" t="s">
        <v>109</v>
      </c>
    </row>
    <row r="1348" spans="1:11">
      <c r="A1348" s="312" t="s">
        <v>4459</v>
      </c>
      <c r="B1348" s="312" t="s">
        <v>4460</v>
      </c>
      <c r="C1348" s="312" t="s">
        <v>105</v>
      </c>
      <c r="D1348" s="312" t="s">
        <v>106</v>
      </c>
      <c r="E1348" s="312" t="s">
        <v>107</v>
      </c>
      <c r="F1348" s="312">
        <v>1825</v>
      </c>
      <c r="G1348" s="312" t="s">
        <v>108</v>
      </c>
      <c r="H1348" s="312">
        <v>1827</v>
      </c>
      <c r="I1348" s="312" t="s">
        <v>107</v>
      </c>
      <c r="J1348" s="312">
        <v>1913</v>
      </c>
      <c r="K1348" s="312" t="s">
        <v>109</v>
      </c>
    </row>
    <row r="1349" spans="1:11">
      <c r="A1349" s="312" t="s">
        <v>4461</v>
      </c>
      <c r="B1349" s="312" t="s">
        <v>4462</v>
      </c>
      <c r="C1349" s="312" t="s">
        <v>105</v>
      </c>
      <c r="D1349" s="312" t="s">
        <v>106</v>
      </c>
      <c r="E1349" s="312" t="s">
        <v>107</v>
      </c>
      <c r="F1349" s="312">
        <v>1825</v>
      </c>
      <c r="G1349" s="312" t="s">
        <v>108</v>
      </c>
      <c r="H1349" s="312">
        <v>1827</v>
      </c>
      <c r="I1349" s="312" t="s">
        <v>107</v>
      </c>
      <c r="J1349" s="312">
        <v>1913</v>
      </c>
      <c r="K1349" s="312" t="s">
        <v>109</v>
      </c>
    </row>
    <row r="1350" spans="1:11">
      <c r="A1350" s="312" t="s">
        <v>4465</v>
      </c>
      <c r="B1350" s="312" t="s">
        <v>4466</v>
      </c>
      <c r="C1350" s="312" t="s">
        <v>105</v>
      </c>
      <c r="D1350" s="312" t="s">
        <v>106</v>
      </c>
      <c r="E1350" s="312" t="s">
        <v>107</v>
      </c>
      <c r="F1350" s="312">
        <v>1825</v>
      </c>
      <c r="G1350" s="312" t="s">
        <v>108</v>
      </c>
      <c r="H1350" s="312">
        <v>1827</v>
      </c>
      <c r="I1350" s="312" t="s">
        <v>107</v>
      </c>
      <c r="J1350" s="312">
        <v>1913</v>
      </c>
      <c r="K1350" s="312" t="s">
        <v>109</v>
      </c>
    </row>
    <row r="1351" spans="1:11">
      <c r="A1351" s="312" t="s">
        <v>5761</v>
      </c>
      <c r="B1351" s="312" t="s">
        <v>5762</v>
      </c>
      <c r="C1351" s="312" t="s">
        <v>105</v>
      </c>
      <c r="D1351" s="312" t="s">
        <v>106</v>
      </c>
      <c r="E1351" s="312" t="s">
        <v>107</v>
      </c>
      <c r="F1351" s="312">
        <v>1825</v>
      </c>
      <c r="G1351" s="312" t="s">
        <v>108</v>
      </c>
      <c r="H1351" s="312">
        <v>1827</v>
      </c>
      <c r="I1351" s="312" t="s">
        <v>107</v>
      </c>
      <c r="J1351" s="312">
        <v>1913</v>
      </c>
      <c r="K1351" s="312" t="s">
        <v>109</v>
      </c>
    </row>
    <row r="1352" spans="1:11">
      <c r="A1352" s="312" t="s">
        <v>6165</v>
      </c>
      <c r="B1352" s="312" t="s">
        <v>6166</v>
      </c>
      <c r="C1352" s="312" t="s">
        <v>105</v>
      </c>
      <c r="D1352" s="312" t="s">
        <v>106</v>
      </c>
      <c r="E1352" s="312" t="s">
        <v>107</v>
      </c>
      <c r="F1352" s="312">
        <v>1825</v>
      </c>
      <c r="G1352" s="312" t="s">
        <v>108</v>
      </c>
      <c r="H1352" s="312">
        <v>1827</v>
      </c>
      <c r="I1352" s="312" t="s">
        <v>107</v>
      </c>
      <c r="J1352" s="312">
        <v>1913</v>
      </c>
      <c r="K1352" s="312" t="s">
        <v>109</v>
      </c>
    </row>
    <row r="1353" spans="1:11">
      <c r="A1353" s="312" t="s">
        <v>6167</v>
      </c>
      <c r="B1353" s="312" t="s">
        <v>6168</v>
      </c>
      <c r="C1353" s="312" t="s">
        <v>105</v>
      </c>
      <c r="D1353" s="312" t="s">
        <v>106</v>
      </c>
      <c r="E1353" s="312" t="s">
        <v>107</v>
      </c>
      <c r="F1353" s="312">
        <v>1825</v>
      </c>
      <c r="G1353" s="312" t="s">
        <v>108</v>
      </c>
      <c r="H1353" s="312">
        <v>1827</v>
      </c>
      <c r="I1353" s="312" t="s">
        <v>107</v>
      </c>
      <c r="J1353" s="312">
        <v>1913</v>
      </c>
      <c r="K1353" s="312" t="s">
        <v>109</v>
      </c>
    </row>
    <row r="1354" spans="1:11">
      <c r="A1354" s="312" t="s">
        <v>6169</v>
      </c>
      <c r="B1354" s="1" t="s">
        <v>6170</v>
      </c>
      <c r="C1354" s="312" t="s">
        <v>105</v>
      </c>
      <c r="D1354" s="312" t="s">
        <v>106</v>
      </c>
      <c r="E1354" s="312" t="s">
        <v>107</v>
      </c>
      <c r="F1354" s="312">
        <v>1825</v>
      </c>
      <c r="G1354" s="312" t="s">
        <v>108</v>
      </c>
      <c r="H1354" s="312">
        <v>1827</v>
      </c>
      <c r="I1354" s="312" t="s">
        <v>107</v>
      </c>
      <c r="J1354" s="312">
        <v>1913</v>
      </c>
      <c r="K1354" s="312" t="s">
        <v>109</v>
      </c>
    </row>
    <row r="1355" spans="1:11">
      <c r="A1355" s="312" t="s">
        <v>6171</v>
      </c>
      <c r="B1355" s="312" t="s">
        <v>6172</v>
      </c>
      <c r="C1355" s="312" t="s">
        <v>105</v>
      </c>
      <c r="D1355" s="312" t="s">
        <v>106</v>
      </c>
      <c r="E1355" s="312" t="s">
        <v>107</v>
      </c>
      <c r="F1355" s="312">
        <v>1825</v>
      </c>
      <c r="G1355" s="312" t="s">
        <v>108</v>
      </c>
      <c r="H1355" s="312">
        <v>1827</v>
      </c>
      <c r="I1355" s="312" t="s">
        <v>107</v>
      </c>
      <c r="J1355" s="312">
        <v>1913</v>
      </c>
      <c r="K1355" s="312" t="s">
        <v>109</v>
      </c>
    </row>
    <row r="1356" spans="1:11">
      <c r="A1356" s="312" t="s">
        <v>6173</v>
      </c>
      <c r="B1356" s="312" t="s">
        <v>6174</v>
      </c>
      <c r="C1356" s="312" t="s">
        <v>105</v>
      </c>
      <c r="D1356" s="312" t="s">
        <v>106</v>
      </c>
      <c r="E1356" s="312" t="s">
        <v>107</v>
      </c>
      <c r="F1356" s="312">
        <v>1825</v>
      </c>
      <c r="G1356" s="312" t="s">
        <v>108</v>
      </c>
      <c r="H1356" s="312">
        <v>1827</v>
      </c>
      <c r="I1356" s="312" t="s">
        <v>107</v>
      </c>
      <c r="J1356" s="312">
        <v>1913</v>
      </c>
      <c r="K1356" s="312" t="s">
        <v>109</v>
      </c>
    </row>
    <row r="1357" spans="1:11">
      <c r="A1357" s="312" t="s">
        <v>6175</v>
      </c>
      <c r="B1357" s="312" t="s">
        <v>6176</v>
      </c>
      <c r="C1357" s="312" t="s">
        <v>105</v>
      </c>
      <c r="D1357" s="312" t="s">
        <v>106</v>
      </c>
      <c r="E1357" s="312" t="s">
        <v>107</v>
      </c>
      <c r="F1357" s="312">
        <v>1825</v>
      </c>
      <c r="G1357" s="312" t="s">
        <v>108</v>
      </c>
      <c r="H1357" s="312">
        <v>1827</v>
      </c>
      <c r="I1357" s="312" t="s">
        <v>107</v>
      </c>
      <c r="J1357" s="312">
        <v>1913</v>
      </c>
      <c r="K1357" s="312" t="s">
        <v>109</v>
      </c>
    </row>
    <row r="1358" spans="1:11">
      <c r="A1358" s="312" t="s">
        <v>6177</v>
      </c>
      <c r="B1358" s="312" t="s">
        <v>6178</v>
      </c>
      <c r="C1358" s="312" t="s">
        <v>105</v>
      </c>
      <c r="D1358" s="312" t="s">
        <v>106</v>
      </c>
      <c r="E1358" s="312" t="s">
        <v>107</v>
      </c>
      <c r="F1358" s="312">
        <v>1825</v>
      </c>
      <c r="G1358" s="312" t="s">
        <v>108</v>
      </c>
      <c r="H1358" s="312">
        <v>1827</v>
      </c>
      <c r="I1358" s="312" t="s">
        <v>107</v>
      </c>
      <c r="J1358" s="312">
        <v>1913</v>
      </c>
      <c r="K1358" s="312" t="s">
        <v>109</v>
      </c>
    </row>
    <row r="1359" spans="1:11">
      <c r="A1359" s="312" t="s">
        <v>6179</v>
      </c>
      <c r="B1359" s="312" t="s">
        <v>6180</v>
      </c>
      <c r="C1359" s="312" t="s">
        <v>105</v>
      </c>
      <c r="D1359" s="312" t="s">
        <v>106</v>
      </c>
      <c r="E1359" s="312" t="s">
        <v>107</v>
      </c>
      <c r="F1359" s="312">
        <v>1825</v>
      </c>
      <c r="G1359" s="312" t="s">
        <v>108</v>
      </c>
      <c r="H1359" s="312">
        <v>1827</v>
      </c>
      <c r="I1359" s="312" t="s">
        <v>107</v>
      </c>
      <c r="J1359" s="312">
        <v>1913</v>
      </c>
      <c r="K1359" s="312" t="s">
        <v>109</v>
      </c>
    </row>
    <row r="1360" spans="1:11">
      <c r="A1360" s="312" t="s">
        <v>6181</v>
      </c>
      <c r="B1360" s="312" t="s">
        <v>6182</v>
      </c>
      <c r="C1360" s="312" t="s">
        <v>105</v>
      </c>
      <c r="D1360" s="312" t="s">
        <v>106</v>
      </c>
      <c r="E1360" s="312" t="s">
        <v>107</v>
      </c>
      <c r="F1360" s="312">
        <v>1825</v>
      </c>
      <c r="G1360" s="312" t="s">
        <v>108</v>
      </c>
      <c r="H1360" s="312">
        <v>1827</v>
      </c>
      <c r="I1360" s="312" t="s">
        <v>107</v>
      </c>
      <c r="J1360" s="312">
        <v>1913</v>
      </c>
      <c r="K1360" s="312" t="s">
        <v>109</v>
      </c>
    </row>
    <row r="1361" spans="1:11">
      <c r="A1361" s="312" t="s">
        <v>199</v>
      </c>
      <c r="B1361" s="312" t="s">
        <v>200</v>
      </c>
      <c r="C1361" s="312" t="s">
        <v>105</v>
      </c>
      <c r="D1361" s="9" t="s">
        <v>201</v>
      </c>
      <c r="E1361" s="312" t="s">
        <v>107</v>
      </c>
      <c r="F1361" s="312">
        <v>1825</v>
      </c>
      <c r="G1361" s="312" t="s">
        <v>108</v>
      </c>
      <c r="H1361" s="312">
        <v>1827</v>
      </c>
      <c r="I1361" s="312" t="s">
        <v>107</v>
      </c>
      <c r="J1361" s="312">
        <v>1913</v>
      </c>
      <c r="K1361" s="312" t="s">
        <v>109</v>
      </c>
    </row>
    <row r="1362" spans="1:11">
      <c r="A1362" s="312" t="s">
        <v>202</v>
      </c>
      <c r="B1362" s="312" t="s">
        <v>203</v>
      </c>
      <c r="C1362" s="312" t="s">
        <v>105</v>
      </c>
      <c r="D1362" s="9" t="s">
        <v>201</v>
      </c>
      <c r="E1362" s="312" t="s">
        <v>107</v>
      </c>
      <c r="F1362" s="312">
        <v>1825</v>
      </c>
      <c r="G1362" s="312" t="s">
        <v>108</v>
      </c>
      <c r="H1362" s="312">
        <v>1827</v>
      </c>
      <c r="I1362" s="312" t="s">
        <v>107</v>
      </c>
      <c r="J1362" s="312">
        <v>1913</v>
      </c>
      <c r="K1362" s="312" t="s">
        <v>109</v>
      </c>
    </row>
    <row r="1363" spans="1:11">
      <c r="A1363" s="312" t="s">
        <v>204</v>
      </c>
      <c r="B1363" s="312" t="s">
        <v>205</v>
      </c>
      <c r="C1363" s="312" t="s">
        <v>105</v>
      </c>
      <c r="D1363" s="9" t="s">
        <v>201</v>
      </c>
      <c r="E1363" s="312" t="s">
        <v>107</v>
      </c>
      <c r="F1363" s="312">
        <v>1825</v>
      </c>
      <c r="G1363" s="312" t="s">
        <v>108</v>
      </c>
      <c r="H1363" s="312">
        <v>1827</v>
      </c>
      <c r="I1363" s="312" t="s">
        <v>107</v>
      </c>
      <c r="J1363" s="312">
        <v>1913</v>
      </c>
      <c r="K1363" s="312" t="s">
        <v>109</v>
      </c>
    </row>
    <row r="1364" spans="1:11">
      <c r="A1364" s="312" t="s">
        <v>206</v>
      </c>
      <c r="B1364" s="312" t="s">
        <v>207</v>
      </c>
      <c r="C1364" s="312" t="s">
        <v>105</v>
      </c>
      <c r="D1364" s="9" t="s">
        <v>201</v>
      </c>
      <c r="E1364" s="312" t="s">
        <v>107</v>
      </c>
      <c r="F1364" s="312">
        <v>1825</v>
      </c>
      <c r="G1364" s="312" t="s">
        <v>108</v>
      </c>
      <c r="H1364" s="312">
        <v>1827</v>
      </c>
      <c r="I1364" s="312" t="s">
        <v>107</v>
      </c>
      <c r="J1364" s="312">
        <v>1913</v>
      </c>
      <c r="K1364" s="312" t="s">
        <v>109</v>
      </c>
    </row>
    <row r="1365" spans="1:11">
      <c r="A1365" s="312" t="s">
        <v>286</v>
      </c>
      <c r="B1365" s="312" t="s">
        <v>287</v>
      </c>
      <c r="C1365" s="312" t="s">
        <v>105</v>
      </c>
      <c r="D1365" s="9" t="s">
        <v>201</v>
      </c>
      <c r="E1365" s="312" t="s">
        <v>107</v>
      </c>
      <c r="F1365" s="312">
        <v>1825</v>
      </c>
      <c r="G1365" s="312" t="s">
        <v>108</v>
      </c>
      <c r="H1365" s="312">
        <v>1827</v>
      </c>
      <c r="I1365" s="312" t="s">
        <v>107</v>
      </c>
      <c r="J1365" s="312">
        <v>1913</v>
      </c>
      <c r="K1365" s="312" t="s">
        <v>109</v>
      </c>
    </row>
    <row r="1366" spans="1:11">
      <c r="A1366" s="312" t="s">
        <v>288</v>
      </c>
      <c r="B1366" s="312" t="s">
        <v>289</v>
      </c>
      <c r="C1366" s="312" t="s">
        <v>105</v>
      </c>
      <c r="D1366" s="9" t="s">
        <v>201</v>
      </c>
      <c r="E1366" s="312" t="s">
        <v>107</v>
      </c>
      <c r="F1366" s="312">
        <v>1825</v>
      </c>
      <c r="G1366" s="312" t="s">
        <v>108</v>
      </c>
      <c r="H1366" s="312">
        <v>1827</v>
      </c>
      <c r="I1366" s="312" t="s">
        <v>107</v>
      </c>
      <c r="J1366" s="312">
        <v>1913</v>
      </c>
      <c r="K1366" s="312" t="s">
        <v>109</v>
      </c>
    </row>
    <row r="1367" spans="1:11">
      <c r="A1367" s="312" t="s">
        <v>290</v>
      </c>
      <c r="B1367" s="312" t="s">
        <v>291</v>
      </c>
      <c r="C1367" s="312" t="s">
        <v>105</v>
      </c>
      <c r="D1367" s="9" t="s">
        <v>201</v>
      </c>
      <c r="E1367" s="312" t="s">
        <v>107</v>
      </c>
      <c r="F1367" s="312">
        <v>1825</v>
      </c>
      <c r="G1367" s="312" t="s">
        <v>108</v>
      </c>
      <c r="H1367" s="312">
        <v>1827</v>
      </c>
      <c r="I1367" s="312" t="s">
        <v>107</v>
      </c>
      <c r="J1367" s="312">
        <v>1913</v>
      </c>
      <c r="K1367" s="312" t="s">
        <v>109</v>
      </c>
    </row>
    <row r="1368" spans="1:11">
      <c r="A1368" s="9" t="s">
        <v>1263</v>
      </c>
      <c r="B1368" s="312" t="s">
        <v>1264</v>
      </c>
      <c r="C1368" s="312" t="s">
        <v>105</v>
      </c>
      <c r="D1368" s="9" t="s">
        <v>201</v>
      </c>
      <c r="E1368" s="312" t="s">
        <v>107</v>
      </c>
      <c r="F1368" s="312">
        <v>1825</v>
      </c>
      <c r="G1368" s="312" t="s">
        <v>108</v>
      </c>
      <c r="H1368" s="312">
        <v>1827</v>
      </c>
      <c r="I1368" s="312" t="s">
        <v>107</v>
      </c>
      <c r="J1368" s="312">
        <v>1913</v>
      </c>
      <c r="K1368" s="312" t="s">
        <v>109</v>
      </c>
    </row>
    <row r="1369" spans="1:11">
      <c r="A1369" s="7" t="s">
        <v>1782</v>
      </c>
      <c r="B1369" s="312" t="s">
        <v>1783</v>
      </c>
      <c r="C1369" s="312" t="s">
        <v>105</v>
      </c>
      <c r="D1369" s="9" t="s">
        <v>201</v>
      </c>
      <c r="E1369" s="312" t="s">
        <v>107</v>
      </c>
      <c r="F1369" s="312">
        <v>1825</v>
      </c>
      <c r="G1369" s="312" t="s">
        <v>108</v>
      </c>
      <c r="H1369" s="312">
        <v>1827</v>
      </c>
      <c r="I1369" s="312" t="s">
        <v>107</v>
      </c>
      <c r="J1369" s="312">
        <v>1913</v>
      </c>
      <c r="K1369" s="312" t="s">
        <v>109</v>
      </c>
    </row>
    <row r="1370" spans="1:11">
      <c r="A1370" s="312" t="s">
        <v>4381</v>
      </c>
      <c r="B1370" s="312" t="s">
        <v>4382</v>
      </c>
      <c r="C1370" s="312" t="s">
        <v>105</v>
      </c>
      <c r="D1370" s="9" t="s">
        <v>201</v>
      </c>
      <c r="E1370" s="312" t="s">
        <v>107</v>
      </c>
      <c r="F1370" s="312">
        <v>1825</v>
      </c>
      <c r="G1370" s="312" t="s">
        <v>108</v>
      </c>
      <c r="H1370" s="312">
        <v>1827</v>
      </c>
      <c r="I1370" s="312" t="s">
        <v>107</v>
      </c>
      <c r="J1370" s="312">
        <v>1913</v>
      </c>
      <c r="K1370" s="312" t="s">
        <v>109</v>
      </c>
    </row>
    <row r="1371" spans="1:11">
      <c r="A1371" s="312" t="s">
        <v>4383</v>
      </c>
      <c r="B1371" s="312" t="s">
        <v>4384</v>
      </c>
      <c r="C1371" s="312" t="s">
        <v>105</v>
      </c>
      <c r="D1371" s="9" t="s">
        <v>201</v>
      </c>
      <c r="E1371" s="312" t="s">
        <v>107</v>
      </c>
      <c r="F1371" s="312">
        <v>1825</v>
      </c>
      <c r="G1371" s="312" t="s">
        <v>108</v>
      </c>
      <c r="H1371" s="312">
        <v>1827</v>
      </c>
      <c r="I1371" s="312" t="s">
        <v>107</v>
      </c>
      <c r="J1371" s="312">
        <v>1913</v>
      </c>
      <c r="K1371" s="312" t="s">
        <v>109</v>
      </c>
    </row>
    <row r="1372" spans="1:11">
      <c r="A1372" s="312" t="s">
        <v>5005</v>
      </c>
      <c r="B1372" s="312" t="s">
        <v>5006</v>
      </c>
      <c r="C1372" s="312" t="s">
        <v>105</v>
      </c>
      <c r="D1372" s="9" t="s">
        <v>201</v>
      </c>
      <c r="E1372" s="312" t="s">
        <v>107</v>
      </c>
      <c r="F1372" s="312">
        <v>1825</v>
      </c>
      <c r="G1372" s="312" t="s">
        <v>108</v>
      </c>
      <c r="H1372" s="312">
        <v>1827</v>
      </c>
      <c r="I1372" s="312" t="s">
        <v>107</v>
      </c>
      <c r="J1372" s="312">
        <v>1913</v>
      </c>
      <c r="K1372" s="312" t="s">
        <v>109</v>
      </c>
    </row>
    <row r="1373" spans="1:11">
      <c r="A1373" s="312" t="s">
        <v>5007</v>
      </c>
      <c r="B1373" s="312" t="s">
        <v>5008</v>
      </c>
      <c r="C1373" s="312" t="s">
        <v>105</v>
      </c>
      <c r="D1373" s="9" t="s">
        <v>201</v>
      </c>
      <c r="E1373" s="312" t="s">
        <v>107</v>
      </c>
      <c r="F1373" s="312">
        <v>1825</v>
      </c>
      <c r="G1373" s="312" t="s">
        <v>108</v>
      </c>
      <c r="H1373" s="312">
        <v>1827</v>
      </c>
      <c r="I1373" s="312" t="s">
        <v>107</v>
      </c>
      <c r="J1373" s="312">
        <v>1913</v>
      </c>
      <c r="K1373" s="312" t="s">
        <v>109</v>
      </c>
    </row>
    <row r="1374" spans="1:11">
      <c r="A1374" s="312" t="s">
        <v>5404</v>
      </c>
      <c r="B1374" s="312" t="s">
        <v>5405</v>
      </c>
      <c r="C1374" s="312" t="s">
        <v>105</v>
      </c>
      <c r="D1374" s="9" t="s">
        <v>201</v>
      </c>
      <c r="E1374" s="312" t="s">
        <v>107</v>
      </c>
      <c r="F1374" s="312">
        <v>1825</v>
      </c>
      <c r="G1374" s="312" t="s">
        <v>108</v>
      </c>
      <c r="H1374" s="312">
        <v>1827</v>
      </c>
      <c r="I1374" s="312" t="s">
        <v>107</v>
      </c>
      <c r="J1374" s="312">
        <v>1913</v>
      </c>
      <c r="K1374" s="312" t="s">
        <v>109</v>
      </c>
    </row>
    <row r="1375" spans="1:11">
      <c r="A1375" s="312" t="s">
        <v>5406</v>
      </c>
      <c r="B1375" s="312" t="s">
        <v>5407</v>
      </c>
      <c r="C1375" s="312" t="s">
        <v>105</v>
      </c>
      <c r="D1375" s="9" t="s">
        <v>201</v>
      </c>
      <c r="E1375" s="312" t="s">
        <v>107</v>
      </c>
      <c r="F1375" s="312">
        <v>1825</v>
      </c>
      <c r="G1375" s="312" t="s">
        <v>108</v>
      </c>
      <c r="H1375" s="312">
        <v>1827</v>
      </c>
      <c r="I1375" s="312" t="s">
        <v>107</v>
      </c>
      <c r="J1375" s="312">
        <v>1913</v>
      </c>
      <c r="K1375" s="312" t="s">
        <v>109</v>
      </c>
    </row>
    <row r="1376" spans="1:11">
      <c r="A1376" s="312" t="s">
        <v>292</v>
      </c>
      <c r="B1376" s="312" t="s">
        <v>293</v>
      </c>
      <c r="C1376" s="312" t="s">
        <v>105</v>
      </c>
      <c r="D1376" s="312" t="s">
        <v>294</v>
      </c>
      <c r="E1376" s="312" t="s">
        <v>107</v>
      </c>
      <c r="F1376" s="312">
        <v>1825</v>
      </c>
      <c r="G1376" s="312" t="s">
        <v>108</v>
      </c>
      <c r="H1376" s="312">
        <v>1827</v>
      </c>
      <c r="I1376" s="312" t="s">
        <v>107</v>
      </c>
      <c r="J1376" s="312">
        <v>1913</v>
      </c>
      <c r="K1376" s="312" t="s">
        <v>109</v>
      </c>
    </row>
    <row r="1377" spans="1:11">
      <c r="A1377" s="312" t="s">
        <v>295</v>
      </c>
      <c r="B1377" s="312" t="s">
        <v>296</v>
      </c>
      <c r="C1377" s="312" t="s">
        <v>105</v>
      </c>
      <c r="D1377" s="312" t="s">
        <v>294</v>
      </c>
      <c r="E1377" s="312" t="s">
        <v>107</v>
      </c>
      <c r="F1377" s="312">
        <v>1825</v>
      </c>
      <c r="G1377" s="312" t="s">
        <v>108</v>
      </c>
      <c r="H1377" s="312">
        <v>1827</v>
      </c>
      <c r="I1377" s="312" t="s">
        <v>107</v>
      </c>
      <c r="J1377" s="312">
        <v>1913</v>
      </c>
      <c r="K1377" s="312" t="s">
        <v>109</v>
      </c>
    </row>
    <row r="1378" spans="1:11">
      <c r="A1378" s="312" t="s">
        <v>297</v>
      </c>
      <c r="B1378" s="312" t="s">
        <v>298</v>
      </c>
      <c r="C1378" s="312" t="s">
        <v>105</v>
      </c>
      <c r="D1378" s="312" t="s">
        <v>294</v>
      </c>
      <c r="E1378" s="312" t="s">
        <v>107</v>
      </c>
      <c r="F1378" s="312">
        <v>1825</v>
      </c>
      <c r="G1378" s="312" t="s">
        <v>108</v>
      </c>
      <c r="H1378" s="312">
        <v>1827</v>
      </c>
      <c r="I1378" s="312" t="s">
        <v>107</v>
      </c>
      <c r="J1378" s="312">
        <v>1913</v>
      </c>
      <c r="K1378" s="312" t="s">
        <v>109</v>
      </c>
    </row>
    <row r="1379" spans="1:11">
      <c r="A1379" s="312" t="s">
        <v>398</v>
      </c>
      <c r="B1379" s="312" t="s">
        <v>399</v>
      </c>
      <c r="C1379" s="312" t="s">
        <v>105</v>
      </c>
      <c r="D1379" s="312" t="s">
        <v>294</v>
      </c>
      <c r="E1379" s="312" t="s">
        <v>107</v>
      </c>
      <c r="F1379" s="312">
        <v>1825</v>
      </c>
      <c r="G1379" s="312" t="s">
        <v>108</v>
      </c>
      <c r="H1379" s="312">
        <v>1827</v>
      </c>
      <c r="I1379" s="312" t="s">
        <v>107</v>
      </c>
      <c r="J1379" s="312">
        <v>1913</v>
      </c>
      <c r="K1379" s="312" t="s">
        <v>109</v>
      </c>
    </row>
    <row r="1380" spans="1:11">
      <c r="A1380" s="312" t="s">
        <v>1244</v>
      </c>
      <c r="B1380" s="312" t="s">
        <v>1245</v>
      </c>
      <c r="C1380" s="312" t="s">
        <v>105</v>
      </c>
      <c r="D1380" s="312" t="s">
        <v>294</v>
      </c>
      <c r="E1380" s="312" t="s">
        <v>107</v>
      </c>
      <c r="F1380" s="312">
        <v>1825</v>
      </c>
      <c r="G1380" s="312" t="s">
        <v>108</v>
      </c>
      <c r="H1380" s="312">
        <v>1827</v>
      </c>
      <c r="I1380" s="312" t="s">
        <v>107</v>
      </c>
      <c r="J1380" s="312">
        <v>1913</v>
      </c>
      <c r="K1380" s="312" t="s">
        <v>109</v>
      </c>
    </row>
    <row r="1381" spans="1:11">
      <c r="A1381" s="312" t="s">
        <v>1281</v>
      </c>
      <c r="B1381" s="312" t="s">
        <v>1282</v>
      </c>
      <c r="C1381" s="312" t="s">
        <v>105</v>
      </c>
      <c r="D1381" s="312" t="s">
        <v>294</v>
      </c>
      <c r="E1381" s="312" t="s">
        <v>107</v>
      </c>
      <c r="F1381" s="312">
        <v>1825</v>
      </c>
      <c r="G1381" s="312" t="s">
        <v>108</v>
      </c>
      <c r="H1381" s="312">
        <v>1827</v>
      </c>
      <c r="I1381" s="312" t="s">
        <v>107</v>
      </c>
      <c r="J1381" s="312">
        <v>1913</v>
      </c>
      <c r="K1381" s="312" t="s">
        <v>109</v>
      </c>
    </row>
    <row r="1382" spans="1:11">
      <c r="A1382" s="312" t="s">
        <v>1823</v>
      </c>
      <c r="B1382" s="312" t="s">
        <v>1824</v>
      </c>
      <c r="C1382" s="312" t="s">
        <v>105</v>
      </c>
      <c r="D1382" s="312" t="s">
        <v>294</v>
      </c>
      <c r="E1382" s="312" t="s">
        <v>107</v>
      </c>
      <c r="F1382" s="312">
        <v>1825</v>
      </c>
      <c r="G1382" s="312" t="s">
        <v>108</v>
      </c>
      <c r="H1382" s="312">
        <v>1827</v>
      </c>
      <c r="I1382" s="312" t="s">
        <v>107</v>
      </c>
      <c r="J1382" s="312">
        <v>1913</v>
      </c>
      <c r="K1382" s="312" t="s">
        <v>109</v>
      </c>
    </row>
    <row r="1383" spans="1:11">
      <c r="A1383" s="312" t="s">
        <v>1839</v>
      </c>
      <c r="B1383" s="312" t="s">
        <v>1840</v>
      </c>
      <c r="C1383" s="312" t="s">
        <v>105</v>
      </c>
      <c r="D1383" s="312" t="s">
        <v>294</v>
      </c>
      <c r="E1383" s="312" t="s">
        <v>107</v>
      </c>
      <c r="F1383" s="312">
        <v>1825</v>
      </c>
      <c r="G1383" s="312" t="s">
        <v>108</v>
      </c>
      <c r="H1383" s="312">
        <v>1827</v>
      </c>
      <c r="I1383" s="312" t="s">
        <v>107</v>
      </c>
      <c r="J1383" s="312">
        <v>1913</v>
      </c>
      <c r="K1383" s="312" t="s">
        <v>109</v>
      </c>
    </row>
    <row r="1384" spans="1:11">
      <c r="A1384" s="312" t="s">
        <v>1841</v>
      </c>
      <c r="B1384" s="312" t="s">
        <v>1842</v>
      </c>
      <c r="C1384" s="312" t="s">
        <v>105</v>
      </c>
      <c r="D1384" s="312" t="s">
        <v>294</v>
      </c>
      <c r="E1384" s="312" t="s">
        <v>107</v>
      </c>
      <c r="F1384" s="312">
        <v>1825</v>
      </c>
      <c r="G1384" s="312" t="s">
        <v>108</v>
      </c>
      <c r="H1384" s="312">
        <v>1827</v>
      </c>
      <c r="I1384" s="312" t="s">
        <v>107</v>
      </c>
      <c r="J1384" s="312">
        <v>1913</v>
      </c>
      <c r="K1384" s="312" t="s">
        <v>109</v>
      </c>
    </row>
    <row r="1385" spans="1:11">
      <c r="A1385" s="312" t="s">
        <v>1843</v>
      </c>
      <c r="B1385" s="312" t="s">
        <v>1844</v>
      </c>
      <c r="C1385" s="312" t="s">
        <v>105</v>
      </c>
      <c r="D1385" s="312" t="s">
        <v>294</v>
      </c>
      <c r="E1385" s="312" t="s">
        <v>107</v>
      </c>
      <c r="F1385" s="312">
        <v>1825</v>
      </c>
      <c r="G1385" s="312" t="s">
        <v>108</v>
      </c>
      <c r="H1385" s="312">
        <v>1827</v>
      </c>
      <c r="I1385" s="312" t="s">
        <v>107</v>
      </c>
      <c r="J1385" s="312">
        <v>1913</v>
      </c>
      <c r="K1385" s="312" t="s">
        <v>109</v>
      </c>
    </row>
    <row r="1386" spans="1:11">
      <c r="A1386" s="312" t="s">
        <v>1845</v>
      </c>
      <c r="B1386" s="312" t="s">
        <v>1846</v>
      </c>
      <c r="C1386" s="312" t="s">
        <v>105</v>
      </c>
      <c r="D1386" s="312" t="s">
        <v>294</v>
      </c>
      <c r="E1386" s="312" t="s">
        <v>107</v>
      </c>
      <c r="F1386" s="312">
        <v>1825</v>
      </c>
      <c r="G1386" s="312" t="s">
        <v>108</v>
      </c>
      <c r="H1386" s="312">
        <v>1827</v>
      </c>
      <c r="I1386" s="312" t="s">
        <v>107</v>
      </c>
      <c r="J1386" s="312">
        <v>1913</v>
      </c>
      <c r="K1386" s="312" t="s">
        <v>109</v>
      </c>
    </row>
    <row r="1387" spans="1:11">
      <c r="A1387" s="312" t="s">
        <v>1933</v>
      </c>
      <c r="B1387" s="312" t="s">
        <v>1934</v>
      </c>
      <c r="C1387" s="312" t="s">
        <v>105</v>
      </c>
      <c r="D1387" s="312" t="s">
        <v>294</v>
      </c>
      <c r="E1387" s="312" t="s">
        <v>107</v>
      </c>
      <c r="F1387" s="312">
        <v>1825</v>
      </c>
      <c r="G1387" s="312" t="s">
        <v>108</v>
      </c>
      <c r="H1387" s="312">
        <v>1827</v>
      </c>
      <c r="I1387" s="312" t="s">
        <v>107</v>
      </c>
      <c r="J1387" s="312">
        <v>1913</v>
      </c>
      <c r="K1387" s="312" t="s">
        <v>109</v>
      </c>
    </row>
    <row r="1388" spans="1:11">
      <c r="A1388" s="312" t="s">
        <v>2096</v>
      </c>
      <c r="B1388" s="312" t="s">
        <v>2097</v>
      </c>
      <c r="C1388" s="312" t="s">
        <v>105</v>
      </c>
      <c r="D1388" s="312" t="s">
        <v>294</v>
      </c>
      <c r="E1388" s="312" t="s">
        <v>107</v>
      </c>
      <c r="F1388" s="312">
        <v>1825</v>
      </c>
      <c r="G1388" s="312" t="s">
        <v>108</v>
      </c>
      <c r="H1388" s="312">
        <v>1827</v>
      </c>
      <c r="I1388" s="312" t="s">
        <v>107</v>
      </c>
      <c r="J1388" s="312">
        <v>1913</v>
      </c>
      <c r="K1388" s="312" t="s">
        <v>109</v>
      </c>
    </row>
    <row r="1389" spans="1:11">
      <c r="A1389" s="312" t="s">
        <v>2916</v>
      </c>
      <c r="B1389" s="312" t="s">
        <v>2917</v>
      </c>
      <c r="C1389" s="312" t="s">
        <v>105</v>
      </c>
      <c r="D1389" s="312" t="s">
        <v>294</v>
      </c>
      <c r="E1389" s="312" t="s">
        <v>107</v>
      </c>
      <c r="F1389" s="312">
        <v>1825</v>
      </c>
      <c r="G1389" s="312" t="s">
        <v>108</v>
      </c>
      <c r="H1389" s="312">
        <v>1827</v>
      </c>
      <c r="I1389" s="312" t="s">
        <v>107</v>
      </c>
      <c r="J1389" s="312">
        <v>1913</v>
      </c>
      <c r="K1389" s="312" t="s">
        <v>109</v>
      </c>
    </row>
    <row r="1390" spans="1:11">
      <c r="A1390" s="312" t="s">
        <v>3578</v>
      </c>
      <c r="B1390" s="312" t="s">
        <v>3579</v>
      </c>
      <c r="C1390" s="312" t="s">
        <v>105</v>
      </c>
      <c r="D1390" s="312" t="s">
        <v>294</v>
      </c>
      <c r="E1390" s="312" t="s">
        <v>107</v>
      </c>
      <c r="F1390" s="312">
        <v>1825</v>
      </c>
      <c r="G1390" s="312" t="s">
        <v>108</v>
      </c>
      <c r="H1390" s="312">
        <v>1827</v>
      </c>
      <c r="I1390" s="312" t="s">
        <v>107</v>
      </c>
      <c r="J1390" s="312">
        <v>1913</v>
      </c>
      <c r="K1390" s="312" t="s">
        <v>109</v>
      </c>
    </row>
    <row r="1391" spans="1:11">
      <c r="A1391" s="312" t="s">
        <v>4147</v>
      </c>
      <c r="B1391" s="1" t="s">
        <v>4148</v>
      </c>
      <c r="C1391" s="312" t="s">
        <v>105</v>
      </c>
      <c r="D1391" s="312" t="s">
        <v>294</v>
      </c>
      <c r="E1391" s="312" t="s">
        <v>107</v>
      </c>
      <c r="F1391" s="312">
        <v>1825</v>
      </c>
      <c r="G1391" s="312" t="s">
        <v>108</v>
      </c>
      <c r="H1391" s="312">
        <v>1827</v>
      </c>
      <c r="I1391" s="312" t="s">
        <v>107</v>
      </c>
      <c r="J1391" s="312">
        <v>1913</v>
      </c>
      <c r="K1391" s="312" t="s">
        <v>109</v>
      </c>
    </row>
    <row r="1392" spans="1:11">
      <c r="A1392" s="312" t="s">
        <v>4923</v>
      </c>
      <c r="B1392" s="312" t="s">
        <v>4924</v>
      </c>
      <c r="C1392" s="312" t="s">
        <v>105</v>
      </c>
      <c r="D1392" s="312" t="s">
        <v>294</v>
      </c>
      <c r="E1392" s="312" t="s">
        <v>107</v>
      </c>
      <c r="F1392" s="312">
        <v>1825</v>
      </c>
      <c r="G1392" s="312" t="s">
        <v>108</v>
      </c>
      <c r="H1392" s="312">
        <v>1827</v>
      </c>
      <c r="I1392" s="312" t="s">
        <v>107</v>
      </c>
      <c r="J1392" s="312">
        <v>1913</v>
      </c>
      <c r="K1392" s="312" t="s">
        <v>109</v>
      </c>
    </row>
    <row r="1393" spans="1:11">
      <c r="A1393" s="312" t="s">
        <v>4937</v>
      </c>
      <c r="B1393" s="312" t="s">
        <v>4938</v>
      </c>
      <c r="C1393" s="312" t="s">
        <v>105</v>
      </c>
      <c r="D1393" s="312" t="s">
        <v>294</v>
      </c>
      <c r="E1393" s="312" t="s">
        <v>107</v>
      </c>
      <c r="F1393" s="312">
        <v>1825</v>
      </c>
      <c r="G1393" s="312" t="s">
        <v>108</v>
      </c>
      <c r="H1393" s="312">
        <v>1827</v>
      </c>
      <c r="I1393" s="312" t="s">
        <v>107</v>
      </c>
      <c r="J1393" s="312">
        <v>1913</v>
      </c>
      <c r="K1393" s="312" t="s">
        <v>109</v>
      </c>
    </row>
    <row r="1394" spans="1:11">
      <c r="A1394" s="312" t="s">
        <v>4939</v>
      </c>
      <c r="B1394" s="312" t="s">
        <v>4940</v>
      </c>
      <c r="C1394" s="312" t="s">
        <v>105</v>
      </c>
      <c r="D1394" s="312" t="s">
        <v>294</v>
      </c>
      <c r="E1394" s="312" t="s">
        <v>107</v>
      </c>
      <c r="F1394" s="312">
        <v>1825</v>
      </c>
      <c r="G1394" s="312" t="s">
        <v>108</v>
      </c>
      <c r="H1394" s="312">
        <v>1827</v>
      </c>
      <c r="I1394" s="312" t="s">
        <v>107</v>
      </c>
      <c r="J1394" s="312">
        <v>1913</v>
      </c>
      <c r="K1394" s="312" t="s">
        <v>109</v>
      </c>
    </row>
    <row r="1395" spans="1:11">
      <c r="A1395" s="312" t="s">
        <v>4941</v>
      </c>
      <c r="B1395" s="312" t="s">
        <v>4942</v>
      </c>
      <c r="C1395" s="312" t="s">
        <v>105</v>
      </c>
      <c r="D1395" s="312" t="s">
        <v>294</v>
      </c>
      <c r="E1395" s="312" t="s">
        <v>107</v>
      </c>
      <c r="F1395" s="312">
        <v>1825</v>
      </c>
      <c r="G1395" s="312" t="s">
        <v>108</v>
      </c>
      <c r="H1395" s="312">
        <v>1827</v>
      </c>
      <c r="I1395" s="312" t="s">
        <v>107</v>
      </c>
      <c r="J1395" s="312">
        <v>1913</v>
      </c>
      <c r="K1395" s="312" t="s">
        <v>109</v>
      </c>
    </row>
    <row r="1396" spans="1:11">
      <c r="A1396" s="312" t="s">
        <v>4971</v>
      </c>
      <c r="B1396" s="312" t="s">
        <v>4972</v>
      </c>
      <c r="C1396" s="312" t="s">
        <v>105</v>
      </c>
      <c r="D1396" s="312" t="s">
        <v>294</v>
      </c>
      <c r="E1396" s="312" t="s">
        <v>107</v>
      </c>
      <c r="F1396" s="312">
        <v>1825</v>
      </c>
      <c r="G1396" s="312" t="s">
        <v>108</v>
      </c>
      <c r="H1396" s="312">
        <v>1827</v>
      </c>
      <c r="I1396" s="312" t="s">
        <v>107</v>
      </c>
      <c r="J1396" s="312">
        <v>1913</v>
      </c>
      <c r="K1396" s="312" t="s">
        <v>109</v>
      </c>
    </row>
    <row r="1397" spans="1:11">
      <c r="A1397" s="312" t="s">
        <v>5248</v>
      </c>
      <c r="B1397" s="312" t="s">
        <v>5249</v>
      </c>
      <c r="C1397" s="312" t="s">
        <v>105</v>
      </c>
      <c r="D1397" s="312" t="s">
        <v>294</v>
      </c>
      <c r="E1397" s="312" t="s">
        <v>107</v>
      </c>
      <c r="F1397" s="312">
        <v>1825</v>
      </c>
      <c r="G1397" s="312" t="s">
        <v>108</v>
      </c>
      <c r="H1397" s="312">
        <v>1827</v>
      </c>
      <c r="I1397" s="312" t="s">
        <v>107</v>
      </c>
      <c r="J1397" s="312">
        <v>1913</v>
      </c>
      <c r="K1397" s="312" t="s">
        <v>109</v>
      </c>
    </row>
    <row r="1398" spans="1:11">
      <c r="A1398" s="312" t="s">
        <v>6211</v>
      </c>
      <c r="B1398" s="312" t="s">
        <v>6212</v>
      </c>
      <c r="C1398" s="312" t="s">
        <v>105</v>
      </c>
      <c r="D1398" s="312" t="s">
        <v>294</v>
      </c>
      <c r="E1398" s="312" t="s">
        <v>107</v>
      </c>
      <c r="F1398" s="312">
        <v>1825</v>
      </c>
      <c r="G1398" s="312" t="s">
        <v>108</v>
      </c>
      <c r="H1398" s="312">
        <v>1827</v>
      </c>
      <c r="I1398" s="312" t="s">
        <v>107</v>
      </c>
      <c r="J1398" s="312">
        <v>1913</v>
      </c>
      <c r="K1398" s="312" t="s">
        <v>109</v>
      </c>
    </row>
    <row r="1399" spans="1:11">
      <c r="A1399" s="312" t="s">
        <v>6213</v>
      </c>
      <c r="B1399" s="312" t="s">
        <v>6214</v>
      </c>
      <c r="C1399" s="312" t="s">
        <v>105</v>
      </c>
      <c r="D1399" s="312" t="s">
        <v>294</v>
      </c>
      <c r="E1399" s="312" t="s">
        <v>107</v>
      </c>
      <c r="F1399" s="312">
        <v>1825</v>
      </c>
      <c r="G1399" s="312" t="s">
        <v>108</v>
      </c>
      <c r="H1399" s="312">
        <v>1827</v>
      </c>
      <c r="I1399" s="312" t="s">
        <v>107</v>
      </c>
      <c r="J1399" s="312">
        <v>1913</v>
      </c>
      <c r="K1399" s="312" t="s">
        <v>109</v>
      </c>
    </row>
    <row r="1400" spans="1:11">
      <c r="A1400" s="312" t="s">
        <v>214</v>
      </c>
      <c r="B1400" s="312" t="s">
        <v>215</v>
      </c>
      <c r="C1400" s="312" t="s">
        <v>105</v>
      </c>
      <c r="D1400" s="312" t="s">
        <v>216</v>
      </c>
      <c r="E1400" s="312" t="s">
        <v>107</v>
      </c>
      <c r="F1400" s="312">
        <v>1825</v>
      </c>
      <c r="G1400" s="312" t="s">
        <v>108</v>
      </c>
      <c r="H1400" s="312">
        <v>1827</v>
      </c>
      <c r="I1400" s="312" t="s">
        <v>107</v>
      </c>
      <c r="J1400" s="312">
        <v>1913</v>
      </c>
      <c r="K1400" s="312" t="s">
        <v>109</v>
      </c>
    </row>
    <row r="1401" spans="1:11">
      <c r="A1401" s="312" t="s">
        <v>222</v>
      </c>
      <c r="B1401" s="312" t="s">
        <v>223</v>
      </c>
      <c r="C1401" s="312" t="s">
        <v>105</v>
      </c>
      <c r="D1401" s="312" t="s">
        <v>216</v>
      </c>
      <c r="E1401" s="312" t="s">
        <v>107</v>
      </c>
      <c r="F1401" s="312">
        <v>1825</v>
      </c>
      <c r="G1401" s="312" t="s">
        <v>108</v>
      </c>
      <c r="H1401" s="312">
        <v>1827</v>
      </c>
      <c r="I1401" s="312" t="s">
        <v>107</v>
      </c>
      <c r="J1401" s="312">
        <v>1913</v>
      </c>
      <c r="K1401" s="312" t="s">
        <v>109</v>
      </c>
    </row>
    <row r="1402" spans="1:11">
      <c r="A1402" s="312" t="s">
        <v>794</v>
      </c>
      <c r="B1402" s="312" t="s">
        <v>795</v>
      </c>
      <c r="C1402" s="312" t="s">
        <v>105</v>
      </c>
      <c r="D1402" s="312" t="s">
        <v>216</v>
      </c>
      <c r="E1402" s="312" t="s">
        <v>107</v>
      </c>
      <c r="F1402" s="312">
        <v>1825</v>
      </c>
      <c r="G1402" s="312" t="s">
        <v>108</v>
      </c>
      <c r="H1402" s="312">
        <v>1827</v>
      </c>
      <c r="I1402" s="312" t="s">
        <v>107</v>
      </c>
      <c r="J1402" s="312">
        <v>1913</v>
      </c>
      <c r="K1402" s="312" t="s">
        <v>109</v>
      </c>
    </row>
    <row r="1403" spans="1:11">
      <c r="A1403" s="312" t="s">
        <v>1913</v>
      </c>
      <c r="B1403" s="312" t="s">
        <v>1914</v>
      </c>
      <c r="C1403" s="312" t="s">
        <v>105</v>
      </c>
      <c r="D1403" s="312" t="s">
        <v>216</v>
      </c>
      <c r="E1403" s="312" t="s">
        <v>107</v>
      </c>
      <c r="F1403" s="312">
        <v>1825</v>
      </c>
      <c r="G1403" s="312" t="s">
        <v>108</v>
      </c>
      <c r="H1403" s="312">
        <v>1827</v>
      </c>
      <c r="I1403" s="312" t="s">
        <v>107</v>
      </c>
      <c r="J1403" s="312">
        <v>1913</v>
      </c>
      <c r="K1403" s="312" t="s">
        <v>109</v>
      </c>
    </row>
    <row r="1404" spans="1:11">
      <c r="A1404" s="312" t="s">
        <v>2086</v>
      </c>
      <c r="B1404" s="312" t="s">
        <v>2087</v>
      </c>
      <c r="C1404" s="312" t="s">
        <v>105</v>
      </c>
      <c r="D1404" s="312" t="s">
        <v>216</v>
      </c>
      <c r="E1404" s="312" t="s">
        <v>107</v>
      </c>
      <c r="F1404" s="312">
        <v>1825</v>
      </c>
      <c r="G1404" s="312" t="s">
        <v>108</v>
      </c>
      <c r="H1404" s="312">
        <v>1827</v>
      </c>
      <c r="I1404" s="312" t="s">
        <v>107</v>
      </c>
      <c r="J1404" s="312">
        <v>1913</v>
      </c>
      <c r="K1404" s="312" t="s">
        <v>109</v>
      </c>
    </row>
    <row r="1405" spans="1:11">
      <c r="A1405" s="312" t="s">
        <v>2550</v>
      </c>
      <c r="B1405" s="312" t="s">
        <v>2551</v>
      </c>
      <c r="C1405" s="312" t="s">
        <v>105</v>
      </c>
      <c r="D1405" s="312" t="s">
        <v>216</v>
      </c>
      <c r="E1405" s="312" t="s">
        <v>107</v>
      </c>
      <c r="F1405" s="312">
        <v>1825</v>
      </c>
      <c r="G1405" s="312" t="s">
        <v>108</v>
      </c>
      <c r="H1405" s="312">
        <v>1827</v>
      </c>
      <c r="I1405" s="312" t="s">
        <v>107</v>
      </c>
      <c r="J1405" s="312">
        <v>1913</v>
      </c>
      <c r="K1405" s="312" t="s">
        <v>109</v>
      </c>
    </row>
    <row r="1406" spans="1:11">
      <c r="A1406" s="312" t="s">
        <v>2595</v>
      </c>
      <c r="B1406" s="312" t="s">
        <v>2596</v>
      </c>
      <c r="C1406" s="312" t="s">
        <v>105</v>
      </c>
      <c r="D1406" s="312" t="s">
        <v>216</v>
      </c>
      <c r="E1406" s="312" t="s">
        <v>684</v>
      </c>
      <c r="F1406" s="312">
        <v>1750</v>
      </c>
      <c r="G1406" s="312" t="s">
        <v>685</v>
      </c>
      <c r="H1406" s="312">
        <v>1754</v>
      </c>
      <c r="I1406" s="312" t="s">
        <v>684</v>
      </c>
      <c r="J1406" s="312">
        <v>1920</v>
      </c>
      <c r="K1406" s="312" t="s">
        <v>686</v>
      </c>
    </row>
    <row r="1407" spans="1:11">
      <c r="A1407" s="312" t="s">
        <v>2701</v>
      </c>
      <c r="B1407" s="312" t="s">
        <v>2702</v>
      </c>
      <c r="C1407" s="312" t="s">
        <v>105</v>
      </c>
      <c r="D1407" s="312" t="s">
        <v>216</v>
      </c>
      <c r="E1407" s="312" t="s">
        <v>107</v>
      </c>
      <c r="F1407" s="312">
        <v>1825</v>
      </c>
      <c r="G1407" s="312" t="s">
        <v>108</v>
      </c>
      <c r="H1407" s="312">
        <v>1827</v>
      </c>
      <c r="I1407" s="312" t="s">
        <v>107</v>
      </c>
      <c r="J1407" s="312">
        <v>1913</v>
      </c>
      <c r="K1407" s="312" t="s">
        <v>109</v>
      </c>
    </row>
    <row r="1408" spans="1:11">
      <c r="A1408" s="312" t="s">
        <v>3281</v>
      </c>
      <c r="B1408" s="312" t="s">
        <v>3282</v>
      </c>
      <c r="C1408" s="312" t="s">
        <v>105</v>
      </c>
      <c r="D1408" s="312" t="s">
        <v>216</v>
      </c>
      <c r="E1408" s="312" t="s">
        <v>107</v>
      </c>
      <c r="F1408" s="312">
        <v>1825</v>
      </c>
      <c r="G1408" s="312" t="s">
        <v>108</v>
      </c>
      <c r="H1408" s="312">
        <v>1827</v>
      </c>
      <c r="I1408" s="312" t="s">
        <v>107</v>
      </c>
      <c r="J1408" s="312">
        <v>1913</v>
      </c>
      <c r="K1408" s="312" t="s">
        <v>109</v>
      </c>
    </row>
    <row r="1409" spans="1:11">
      <c r="A1409" s="312" t="s">
        <v>3314</v>
      </c>
      <c r="B1409" s="312" t="s">
        <v>3315</v>
      </c>
      <c r="C1409" s="312" t="s">
        <v>105</v>
      </c>
      <c r="D1409" s="312" t="s">
        <v>216</v>
      </c>
      <c r="E1409" s="312" t="s">
        <v>107</v>
      </c>
      <c r="F1409" s="312">
        <v>1825</v>
      </c>
      <c r="G1409" s="312" t="s">
        <v>108</v>
      </c>
      <c r="H1409" s="312">
        <v>1827</v>
      </c>
      <c r="I1409" s="312" t="s">
        <v>107</v>
      </c>
      <c r="J1409" s="312">
        <v>1913</v>
      </c>
      <c r="K1409" s="312" t="s">
        <v>109</v>
      </c>
    </row>
    <row r="1410" spans="1:11">
      <c r="A1410" s="312" t="s">
        <v>3316</v>
      </c>
      <c r="B1410" s="312" t="s">
        <v>3317</v>
      </c>
      <c r="C1410" s="312" t="s">
        <v>105</v>
      </c>
      <c r="D1410" s="312" t="s">
        <v>216</v>
      </c>
      <c r="E1410" s="312" t="s">
        <v>107</v>
      </c>
      <c r="F1410" s="312">
        <v>1825</v>
      </c>
      <c r="G1410" s="312" t="s">
        <v>108</v>
      </c>
      <c r="H1410" s="312">
        <v>1827</v>
      </c>
      <c r="I1410" s="312" t="s">
        <v>107</v>
      </c>
      <c r="J1410" s="312">
        <v>1913</v>
      </c>
      <c r="K1410" s="312" t="s">
        <v>109</v>
      </c>
    </row>
    <row r="1411" spans="1:11">
      <c r="A1411" s="312" t="s">
        <v>3318</v>
      </c>
      <c r="B1411" s="312" t="s">
        <v>3319</v>
      </c>
      <c r="C1411" s="312" t="s">
        <v>105</v>
      </c>
      <c r="D1411" s="312" t="s">
        <v>216</v>
      </c>
      <c r="E1411" s="312" t="s">
        <v>107</v>
      </c>
      <c r="F1411" s="312">
        <v>1825</v>
      </c>
      <c r="G1411" s="312" t="s">
        <v>108</v>
      </c>
      <c r="H1411" s="312">
        <v>1827</v>
      </c>
      <c r="I1411" s="312" t="s">
        <v>107</v>
      </c>
      <c r="J1411" s="312">
        <v>1913</v>
      </c>
      <c r="K1411" s="312" t="s">
        <v>109</v>
      </c>
    </row>
    <row r="1412" spans="1:11">
      <c r="A1412" s="312" t="s">
        <v>3491</v>
      </c>
      <c r="B1412" s="312" t="s">
        <v>3492</v>
      </c>
      <c r="C1412" s="312" t="s">
        <v>105</v>
      </c>
      <c r="D1412" s="312" t="s">
        <v>216</v>
      </c>
      <c r="E1412" s="312" t="s">
        <v>107</v>
      </c>
      <c r="F1412" s="312">
        <v>1825</v>
      </c>
      <c r="G1412" s="312" t="s">
        <v>108</v>
      </c>
      <c r="H1412" s="312">
        <v>1827</v>
      </c>
      <c r="I1412" s="312" t="s">
        <v>107</v>
      </c>
      <c r="J1412" s="312">
        <v>1913</v>
      </c>
      <c r="K1412" s="312" t="s">
        <v>109</v>
      </c>
    </row>
    <row r="1413" spans="1:11">
      <c r="A1413" s="312" t="s">
        <v>3545</v>
      </c>
      <c r="B1413" s="312" t="s">
        <v>3546</v>
      </c>
      <c r="C1413" s="312" t="s">
        <v>105</v>
      </c>
      <c r="D1413" s="312" t="s">
        <v>216</v>
      </c>
      <c r="E1413" s="312" t="s">
        <v>107</v>
      </c>
      <c r="F1413" s="312">
        <v>1825</v>
      </c>
      <c r="G1413" s="312" t="s">
        <v>108</v>
      </c>
      <c r="H1413" s="312">
        <v>1827</v>
      </c>
      <c r="I1413" s="312" t="s">
        <v>107</v>
      </c>
      <c r="J1413" s="312">
        <v>1913</v>
      </c>
      <c r="K1413" s="312" t="s">
        <v>109</v>
      </c>
    </row>
    <row r="1414" spans="1:11">
      <c r="A1414" s="312" t="s">
        <v>3642</v>
      </c>
      <c r="B1414" s="312" t="s">
        <v>3643</v>
      </c>
      <c r="C1414" s="312" t="s">
        <v>105</v>
      </c>
      <c r="D1414" s="312" t="s">
        <v>216</v>
      </c>
      <c r="E1414" s="312" t="s">
        <v>107</v>
      </c>
      <c r="F1414" s="312">
        <v>1825</v>
      </c>
      <c r="G1414" s="312" t="s">
        <v>108</v>
      </c>
      <c r="H1414" s="312">
        <v>1827</v>
      </c>
      <c r="I1414" s="312" t="s">
        <v>107</v>
      </c>
      <c r="J1414" s="312">
        <v>1913</v>
      </c>
      <c r="K1414" s="312" t="s">
        <v>109</v>
      </c>
    </row>
    <row r="1415" spans="1:11">
      <c r="A1415" s="312" t="s">
        <v>4211</v>
      </c>
      <c r="B1415" s="312" t="s">
        <v>4212</v>
      </c>
      <c r="C1415" s="312" t="s">
        <v>105</v>
      </c>
      <c r="D1415" s="312" t="s">
        <v>216</v>
      </c>
      <c r="E1415" s="312" t="s">
        <v>107</v>
      </c>
      <c r="F1415" s="312">
        <v>1825</v>
      </c>
      <c r="G1415" s="312" t="s">
        <v>108</v>
      </c>
      <c r="H1415" s="312">
        <v>1827</v>
      </c>
      <c r="I1415" s="312" t="s">
        <v>107</v>
      </c>
      <c r="J1415" s="312">
        <v>1913</v>
      </c>
      <c r="K1415" s="312" t="s">
        <v>109</v>
      </c>
    </row>
    <row r="1416" spans="1:11">
      <c r="A1416" s="312" t="s">
        <v>4598</v>
      </c>
      <c r="B1416" s="312" t="s">
        <v>4599</v>
      </c>
      <c r="C1416" s="312" t="s">
        <v>105</v>
      </c>
      <c r="D1416" s="312" t="s">
        <v>216</v>
      </c>
      <c r="E1416" s="312" t="s">
        <v>107</v>
      </c>
      <c r="F1416" s="312">
        <v>1825</v>
      </c>
      <c r="G1416" s="312" t="s">
        <v>108</v>
      </c>
      <c r="H1416" s="312">
        <v>1827</v>
      </c>
      <c r="I1416" s="312" t="s">
        <v>107</v>
      </c>
      <c r="J1416" s="312">
        <v>1913</v>
      </c>
      <c r="K1416" s="312" t="s">
        <v>109</v>
      </c>
    </row>
    <row r="1417" spans="1:11">
      <c r="A1417" s="312" t="s">
        <v>4747</v>
      </c>
      <c r="B1417" s="312" t="s">
        <v>4748</v>
      </c>
      <c r="C1417" s="312" t="s">
        <v>105</v>
      </c>
      <c r="D1417" s="312" t="s">
        <v>216</v>
      </c>
      <c r="E1417" s="312" t="s">
        <v>107</v>
      </c>
      <c r="F1417" s="312">
        <v>1825</v>
      </c>
      <c r="G1417" s="312" t="s">
        <v>108</v>
      </c>
      <c r="H1417" s="312">
        <v>1827</v>
      </c>
      <c r="I1417" s="312" t="s">
        <v>107</v>
      </c>
      <c r="J1417" s="312">
        <v>1913</v>
      </c>
      <c r="K1417" s="312" t="s">
        <v>109</v>
      </c>
    </row>
    <row r="1418" spans="1:11">
      <c r="A1418" s="312" t="s">
        <v>4973</v>
      </c>
      <c r="B1418" s="312" t="s">
        <v>4974</v>
      </c>
      <c r="C1418" s="312" t="s">
        <v>105</v>
      </c>
      <c r="D1418" s="312" t="s">
        <v>216</v>
      </c>
      <c r="E1418" s="312" t="s">
        <v>107</v>
      </c>
      <c r="F1418" s="312">
        <v>1825</v>
      </c>
      <c r="G1418" s="312" t="s">
        <v>108</v>
      </c>
      <c r="H1418" s="312">
        <v>1827</v>
      </c>
      <c r="I1418" s="312" t="s">
        <v>107</v>
      </c>
      <c r="J1418" s="312">
        <v>1913</v>
      </c>
      <c r="K1418" s="312" t="s">
        <v>109</v>
      </c>
    </row>
    <row r="1419" spans="1:11">
      <c r="A1419" s="312" t="s">
        <v>4993</v>
      </c>
      <c r="B1419" s="312" t="s">
        <v>4994</v>
      </c>
      <c r="C1419" s="312" t="s">
        <v>105</v>
      </c>
      <c r="D1419" s="312" t="s">
        <v>216</v>
      </c>
      <c r="E1419" s="312" t="s">
        <v>107</v>
      </c>
      <c r="F1419" s="312">
        <v>1825</v>
      </c>
      <c r="G1419" s="312" t="s">
        <v>108</v>
      </c>
      <c r="H1419" s="312">
        <v>1827</v>
      </c>
      <c r="I1419" s="312" t="s">
        <v>107</v>
      </c>
      <c r="J1419" s="312">
        <v>1913</v>
      </c>
      <c r="K1419" s="312" t="s">
        <v>109</v>
      </c>
    </row>
    <row r="1420" spans="1:11">
      <c r="A1420" s="312" t="s">
        <v>4995</v>
      </c>
      <c r="B1420" s="312" t="s">
        <v>4996</v>
      </c>
      <c r="C1420" s="312" t="s">
        <v>105</v>
      </c>
      <c r="D1420" s="312" t="s">
        <v>216</v>
      </c>
      <c r="E1420" s="312" t="s">
        <v>107</v>
      </c>
      <c r="F1420" s="312">
        <v>1825</v>
      </c>
      <c r="G1420" s="312" t="s">
        <v>108</v>
      </c>
      <c r="H1420" s="312">
        <v>1827</v>
      </c>
      <c r="I1420" s="312" t="s">
        <v>107</v>
      </c>
      <c r="J1420" s="312">
        <v>1913</v>
      </c>
      <c r="K1420" s="312" t="s">
        <v>109</v>
      </c>
    </row>
    <row r="1421" spans="1:11">
      <c r="A1421" s="312" t="s">
        <v>4997</v>
      </c>
      <c r="B1421" s="312" t="s">
        <v>4998</v>
      </c>
      <c r="C1421" s="312" t="s">
        <v>105</v>
      </c>
      <c r="D1421" s="312" t="s">
        <v>216</v>
      </c>
      <c r="E1421" s="312" t="s">
        <v>107</v>
      </c>
      <c r="F1421" s="312">
        <v>1825</v>
      </c>
      <c r="G1421" s="312" t="s">
        <v>108</v>
      </c>
      <c r="H1421" s="312">
        <v>1827</v>
      </c>
      <c r="I1421" s="312" t="s">
        <v>107</v>
      </c>
      <c r="J1421" s="312">
        <v>1913</v>
      </c>
      <c r="K1421" s="312" t="s">
        <v>109</v>
      </c>
    </row>
    <row r="1422" spans="1:11">
      <c r="A1422" s="312" t="s">
        <v>4999</v>
      </c>
      <c r="B1422" s="312" t="s">
        <v>5000</v>
      </c>
      <c r="C1422" s="312" t="s">
        <v>105</v>
      </c>
      <c r="D1422" s="312" t="s">
        <v>216</v>
      </c>
      <c r="E1422" s="312" t="s">
        <v>107</v>
      </c>
      <c r="F1422" s="312">
        <v>1825</v>
      </c>
      <c r="G1422" s="312" t="s">
        <v>108</v>
      </c>
      <c r="H1422" s="312">
        <v>1827</v>
      </c>
      <c r="I1422" s="312" t="s">
        <v>107</v>
      </c>
      <c r="J1422" s="312">
        <v>1913</v>
      </c>
      <c r="K1422" s="312" t="s">
        <v>109</v>
      </c>
    </row>
    <row r="1423" spans="1:11">
      <c r="A1423" s="312" t="s">
        <v>5043</v>
      </c>
      <c r="B1423" s="312" t="s">
        <v>5044</v>
      </c>
      <c r="C1423" s="312" t="s">
        <v>105</v>
      </c>
      <c r="D1423" s="312" t="s">
        <v>216</v>
      </c>
      <c r="E1423" s="312" t="s">
        <v>107</v>
      </c>
      <c r="F1423" s="312">
        <v>1825</v>
      </c>
      <c r="G1423" s="312" t="s">
        <v>108</v>
      </c>
      <c r="H1423" s="312">
        <v>1827</v>
      </c>
      <c r="I1423" s="312" t="s">
        <v>107</v>
      </c>
      <c r="J1423" s="312">
        <v>1913</v>
      </c>
      <c r="K1423" s="312" t="s">
        <v>109</v>
      </c>
    </row>
    <row r="1424" spans="1:11">
      <c r="A1424" s="312" t="s">
        <v>1999</v>
      </c>
      <c r="B1424" s="312" t="s">
        <v>2000</v>
      </c>
      <c r="C1424" s="312" t="s">
        <v>105</v>
      </c>
      <c r="D1424" s="312" t="s">
        <v>2001</v>
      </c>
      <c r="E1424" s="312" t="s">
        <v>107</v>
      </c>
      <c r="F1424" s="312">
        <v>1825</v>
      </c>
      <c r="G1424" s="312" t="s">
        <v>108</v>
      </c>
      <c r="H1424" s="312">
        <v>1827</v>
      </c>
      <c r="I1424" s="312" t="s">
        <v>107</v>
      </c>
      <c r="J1424" s="312">
        <v>1913</v>
      </c>
      <c r="K1424" s="312" t="s">
        <v>109</v>
      </c>
    </row>
    <row r="1425" spans="1:11">
      <c r="A1425" s="312" t="s">
        <v>2004</v>
      </c>
      <c r="B1425" s="312" t="s">
        <v>2005</v>
      </c>
      <c r="C1425" s="312" t="s">
        <v>105</v>
      </c>
      <c r="D1425" s="312" t="s">
        <v>2001</v>
      </c>
      <c r="E1425" s="312" t="s">
        <v>107</v>
      </c>
      <c r="F1425" s="312">
        <v>1825</v>
      </c>
      <c r="G1425" s="312" t="s">
        <v>108</v>
      </c>
      <c r="H1425" s="312">
        <v>1827</v>
      </c>
      <c r="I1425" s="312" t="s">
        <v>107</v>
      </c>
      <c r="J1425" s="312">
        <v>1913</v>
      </c>
      <c r="K1425" s="312" t="s">
        <v>109</v>
      </c>
    </row>
    <row r="1426" spans="1:11">
      <c r="A1426" s="312" t="s">
        <v>4847</v>
      </c>
      <c r="B1426" s="312" t="s">
        <v>4848</v>
      </c>
      <c r="C1426" s="312" t="s">
        <v>105</v>
      </c>
      <c r="D1426" s="312" t="s">
        <v>2001</v>
      </c>
      <c r="E1426" s="312" t="s">
        <v>107</v>
      </c>
      <c r="F1426" s="312">
        <v>1825</v>
      </c>
      <c r="G1426" s="312" t="s">
        <v>108</v>
      </c>
      <c r="H1426" s="312">
        <v>1827</v>
      </c>
      <c r="I1426" s="312" t="s">
        <v>107</v>
      </c>
      <c r="J1426" s="312">
        <v>1913</v>
      </c>
      <c r="K1426" s="312" t="s">
        <v>109</v>
      </c>
    </row>
    <row r="1427" spans="1:11">
      <c r="A1427" s="312" t="s">
        <v>495</v>
      </c>
      <c r="B1427" s="1" t="s">
        <v>496</v>
      </c>
      <c r="C1427" s="312" t="s">
        <v>105</v>
      </c>
      <c r="D1427" s="312" t="s">
        <v>497</v>
      </c>
      <c r="E1427" s="312" t="s">
        <v>107</v>
      </c>
      <c r="F1427" s="312">
        <v>1825</v>
      </c>
      <c r="G1427" s="312" t="s">
        <v>108</v>
      </c>
      <c r="H1427" s="312">
        <v>1827</v>
      </c>
      <c r="I1427" s="312" t="s">
        <v>107</v>
      </c>
      <c r="J1427" s="312">
        <v>1913</v>
      </c>
      <c r="K1427" s="312" t="s">
        <v>109</v>
      </c>
    </row>
    <row r="1428" spans="1:11">
      <c r="A1428" s="312" t="s">
        <v>5803</v>
      </c>
      <c r="B1428" s="312" t="s">
        <v>5804</v>
      </c>
      <c r="C1428" s="312" t="s">
        <v>105</v>
      </c>
      <c r="D1428" s="312" t="s">
        <v>5805</v>
      </c>
      <c r="E1428" s="312" t="s">
        <v>107</v>
      </c>
      <c r="F1428" s="312">
        <v>1825</v>
      </c>
      <c r="G1428" s="312" t="s">
        <v>108</v>
      </c>
      <c r="H1428" s="312">
        <v>1827</v>
      </c>
      <c r="I1428" s="312" t="s">
        <v>107</v>
      </c>
      <c r="J1428" s="312">
        <v>1913</v>
      </c>
      <c r="K1428" s="312" t="s">
        <v>109</v>
      </c>
    </row>
    <row r="1429" spans="1:11">
      <c r="A1429" s="312" t="s">
        <v>744</v>
      </c>
      <c r="B1429" s="312" t="s">
        <v>745</v>
      </c>
      <c r="C1429" s="312" t="s">
        <v>105</v>
      </c>
      <c r="D1429" s="312" t="s">
        <v>746</v>
      </c>
      <c r="E1429" s="312" t="s">
        <v>107</v>
      </c>
      <c r="F1429" s="312">
        <v>1825</v>
      </c>
      <c r="G1429" s="312" t="s">
        <v>108</v>
      </c>
      <c r="H1429" s="312">
        <v>1827</v>
      </c>
      <c r="I1429" s="312" t="s">
        <v>107</v>
      </c>
      <c r="J1429" s="312">
        <v>1913</v>
      </c>
      <c r="K1429" s="312" t="s">
        <v>109</v>
      </c>
    </row>
    <row r="1430" spans="1:11">
      <c r="A1430" s="312" t="s">
        <v>935</v>
      </c>
      <c r="B1430" s="312" t="s">
        <v>936</v>
      </c>
      <c r="C1430" s="312" t="s">
        <v>105</v>
      </c>
      <c r="D1430" s="312" t="s">
        <v>746</v>
      </c>
      <c r="E1430" s="312" t="s">
        <v>107</v>
      </c>
      <c r="F1430" s="312">
        <v>1825</v>
      </c>
      <c r="G1430" s="312" t="s">
        <v>108</v>
      </c>
      <c r="H1430" s="312">
        <v>1827</v>
      </c>
      <c r="I1430" s="312" t="s">
        <v>107</v>
      </c>
      <c r="J1430" s="312">
        <v>1913</v>
      </c>
      <c r="K1430" s="312" t="s">
        <v>109</v>
      </c>
    </row>
    <row r="1431" spans="1:11">
      <c r="A1431" s="312" t="s">
        <v>964</v>
      </c>
      <c r="B1431" s="312" t="s">
        <v>965</v>
      </c>
      <c r="C1431" s="312" t="s">
        <v>105</v>
      </c>
      <c r="D1431" s="312" t="s">
        <v>746</v>
      </c>
      <c r="E1431" s="312" t="s">
        <v>107</v>
      </c>
      <c r="F1431" s="312">
        <v>1825</v>
      </c>
      <c r="G1431" s="312" t="s">
        <v>108</v>
      </c>
      <c r="H1431" s="312">
        <v>1827</v>
      </c>
      <c r="I1431" s="312" t="s">
        <v>107</v>
      </c>
      <c r="J1431" s="312">
        <v>1913</v>
      </c>
      <c r="K1431" s="312" t="s">
        <v>109</v>
      </c>
    </row>
    <row r="1432" spans="1:11">
      <c r="A1432" s="312" t="s">
        <v>1386</v>
      </c>
      <c r="B1432" s="312" t="s">
        <v>1387</v>
      </c>
      <c r="C1432" s="312" t="s">
        <v>105</v>
      </c>
      <c r="D1432" s="312" t="s">
        <v>746</v>
      </c>
      <c r="E1432" s="312" t="s">
        <v>167</v>
      </c>
      <c r="F1432" s="312">
        <v>1705</v>
      </c>
      <c r="G1432" s="312" t="s">
        <v>168</v>
      </c>
      <c r="H1432" s="312">
        <v>1707</v>
      </c>
      <c r="I1432" s="312" t="s">
        <v>167</v>
      </c>
      <c r="J1432" s="312">
        <v>1899</v>
      </c>
      <c r="K1432" s="312" t="s">
        <v>169</v>
      </c>
    </row>
    <row r="1433" spans="1:11">
      <c r="A1433" s="312" t="s">
        <v>1879</v>
      </c>
      <c r="B1433" s="1" t="s">
        <v>1880</v>
      </c>
      <c r="C1433" s="312" t="s">
        <v>105</v>
      </c>
      <c r="D1433" s="312" t="s">
        <v>746</v>
      </c>
      <c r="E1433" s="312" t="s">
        <v>107</v>
      </c>
      <c r="F1433" s="312">
        <v>1825</v>
      </c>
      <c r="G1433" s="312" t="s">
        <v>108</v>
      </c>
      <c r="H1433" s="312">
        <v>1827</v>
      </c>
      <c r="I1433" s="312" t="s">
        <v>107</v>
      </c>
      <c r="J1433" s="312">
        <v>1913</v>
      </c>
      <c r="K1433" s="312" t="s">
        <v>109</v>
      </c>
    </row>
    <row r="1434" spans="1:11">
      <c r="A1434" s="312" t="s">
        <v>1917</v>
      </c>
      <c r="B1434" s="312" t="s">
        <v>1918</v>
      </c>
      <c r="C1434" s="312" t="s">
        <v>105</v>
      </c>
      <c r="D1434" s="312" t="s">
        <v>746</v>
      </c>
      <c r="E1434" s="312" t="s">
        <v>107</v>
      </c>
      <c r="F1434" s="312">
        <v>1825</v>
      </c>
      <c r="G1434" s="312" t="s">
        <v>108</v>
      </c>
      <c r="H1434" s="312">
        <v>1827</v>
      </c>
      <c r="I1434" s="312" t="s">
        <v>107</v>
      </c>
      <c r="J1434" s="312">
        <v>1913</v>
      </c>
      <c r="K1434" s="312" t="s">
        <v>109</v>
      </c>
    </row>
    <row r="1435" spans="1:11">
      <c r="A1435" s="312" t="s">
        <v>1919</v>
      </c>
      <c r="B1435" s="312" t="s">
        <v>1920</v>
      </c>
      <c r="C1435" s="312" t="s">
        <v>105</v>
      </c>
      <c r="D1435" s="312" t="s">
        <v>746</v>
      </c>
      <c r="E1435" s="312" t="s">
        <v>107</v>
      </c>
      <c r="F1435" s="312">
        <v>1825</v>
      </c>
      <c r="G1435" s="312" t="s">
        <v>108</v>
      </c>
      <c r="H1435" s="312">
        <v>1827</v>
      </c>
      <c r="I1435" s="312" t="s">
        <v>107</v>
      </c>
      <c r="J1435" s="312">
        <v>1913</v>
      </c>
      <c r="K1435" s="312" t="s">
        <v>109</v>
      </c>
    </row>
    <row r="1436" spans="1:11">
      <c r="A1436" s="312" t="s">
        <v>1921</v>
      </c>
      <c r="B1436" s="312" t="s">
        <v>1922</v>
      </c>
      <c r="C1436" s="312" t="s">
        <v>105</v>
      </c>
      <c r="D1436" s="312" t="s">
        <v>746</v>
      </c>
      <c r="E1436" s="312" t="s">
        <v>107</v>
      </c>
      <c r="F1436" s="312">
        <v>1825</v>
      </c>
      <c r="G1436" s="312" t="s">
        <v>108</v>
      </c>
      <c r="H1436" s="312">
        <v>1827</v>
      </c>
      <c r="I1436" s="312" t="s">
        <v>107</v>
      </c>
      <c r="J1436" s="312">
        <v>1913</v>
      </c>
      <c r="K1436" s="312" t="s">
        <v>109</v>
      </c>
    </row>
    <row r="1437" spans="1:11">
      <c r="A1437" s="312" t="s">
        <v>1923</v>
      </c>
      <c r="B1437" s="312" t="s">
        <v>1924</v>
      </c>
      <c r="C1437" s="312" t="s">
        <v>105</v>
      </c>
      <c r="D1437" s="312" t="s">
        <v>746</v>
      </c>
      <c r="E1437" s="312" t="s">
        <v>107</v>
      </c>
      <c r="F1437" s="312">
        <v>1825</v>
      </c>
      <c r="G1437" s="312" t="s">
        <v>108</v>
      </c>
      <c r="H1437" s="312">
        <v>1827</v>
      </c>
      <c r="I1437" s="312" t="s">
        <v>107</v>
      </c>
      <c r="J1437" s="312">
        <v>1913</v>
      </c>
      <c r="K1437" s="312" t="s">
        <v>109</v>
      </c>
    </row>
    <row r="1438" spans="1:11">
      <c r="A1438" s="312" t="s">
        <v>2259</v>
      </c>
      <c r="B1438" s="312" t="s">
        <v>2260</v>
      </c>
      <c r="C1438" s="312" t="s">
        <v>105</v>
      </c>
      <c r="D1438" s="312" t="s">
        <v>746</v>
      </c>
      <c r="E1438" s="312" t="s">
        <v>107</v>
      </c>
      <c r="F1438" s="312">
        <v>1825</v>
      </c>
      <c r="G1438" s="312" t="s">
        <v>108</v>
      </c>
      <c r="H1438" s="312">
        <v>1827</v>
      </c>
      <c r="I1438" s="312" t="s">
        <v>107</v>
      </c>
      <c r="J1438" s="312">
        <v>1913</v>
      </c>
      <c r="K1438" s="312" t="s">
        <v>109</v>
      </c>
    </row>
    <row r="1439" spans="1:11">
      <c r="A1439" s="312" t="s">
        <v>2261</v>
      </c>
      <c r="B1439" s="312" t="s">
        <v>2262</v>
      </c>
      <c r="C1439" s="312" t="s">
        <v>105</v>
      </c>
      <c r="D1439" s="312" t="s">
        <v>746</v>
      </c>
      <c r="E1439" s="312" t="s">
        <v>107</v>
      </c>
      <c r="F1439" s="312">
        <v>1825</v>
      </c>
      <c r="G1439" s="312" t="s">
        <v>108</v>
      </c>
      <c r="H1439" s="312">
        <v>1827</v>
      </c>
      <c r="I1439" s="312" t="s">
        <v>107</v>
      </c>
      <c r="J1439" s="312">
        <v>1913</v>
      </c>
      <c r="K1439" s="312" t="s">
        <v>109</v>
      </c>
    </row>
    <row r="1440" spans="1:11">
      <c r="A1440" s="312" t="s">
        <v>2577</v>
      </c>
      <c r="B1440" s="312" t="s">
        <v>2578</v>
      </c>
      <c r="C1440" s="312" t="s">
        <v>105</v>
      </c>
      <c r="D1440" s="312" t="s">
        <v>746</v>
      </c>
      <c r="E1440" s="312" t="s">
        <v>466</v>
      </c>
      <c r="F1440" s="312">
        <v>1796</v>
      </c>
      <c r="G1440" s="312" t="s">
        <v>467</v>
      </c>
      <c r="H1440" s="312">
        <v>1799</v>
      </c>
      <c r="I1440" s="312" t="s">
        <v>466</v>
      </c>
      <c r="J1440" s="312">
        <v>1918</v>
      </c>
      <c r="K1440" s="312" t="s">
        <v>468</v>
      </c>
    </row>
    <row r="1441" spans="1:11">
      <c r="A1441" s="312" t="s">
        <v>2727</v>
      </c>
      <c r="B1441" s="312" t="s">
        <v>2728</v>
      </c>
      <c r="C1441" s="312" t="s">
        <v>105</v>
      </c>
      <c r="D1441" s="312" t="s">
        <v>746</v>
      </c>
      <c r="E1441" s="312" t="s">
        <v>107</v>
      </c>
      <c r="F1441" s="312">
        <v>1825</v>
      </c>
      <c r="G1441" s="312" t="s">
        <v>108</v>
      </c>
      <c r="H1441" s="312">
        <v>1827</v>
      </c>
      <c r="I1441" s="312" t="s">
        <v>107</v>
      </c>
      <c r="J1441" s="312">
        <v>1913</v>
      </c>
      <c r="K1441" s="312" t="s">
        <v>109</v>
      </c>
    </row>
    <row r="1442" spans="1:11">
      <c r="A1442" s="312" t="s">
        <v>3789</v>
      </c>
      <c r="B1442" s="312" t="s">
        <v>3790</v>
      </c>
      <c r="C1442" s="312" t="s">
        <v>105</v>
      </c>
      <c r="D1442" s="312" t="s">
        <v>746</v>
      </c>
      <c r="E1442" s="312" t="s">
        <v>107</v>
      </c>
      <c r="F1442" s="312">
        <v>1825</v>
      </c>
      <c r="G1442" s="312" t="s">
        <v>108</v>
      </c>
      <c r="H1442" s="312">
        <v>1827</v>
      </c>
      <c r="I1442" s="312" t="s">
        <v>107</v>
      </c>
      <c r="J1442" s="312">
        <v>1913</v>
      </c>
      <c r="K1442" s="312" t="s">
        <v>109</v>
      </c>
    </row>
    <row r="1443" spans="1:11">
      <c r="A1443" s="312" t="s">
        <v>3801</v>
      </c>
      <c r="B1443" s="312" t="s">
        <v>3802</v>
      </c>
      <c r="C1443" s="312" t="s">
        <v>105</v>
      </c>
      <c r="D1443" s="312" t="s">
        <v>746</v>
      </c>
      <c r="E1443" s="312" t="s">
        <v>107</v>
      </c>
      <c r="F1443" s="312">
        <v>1825</v>
      </c>
      <c r="G1443" s="312" t="s">
        <v>108</v>
      </c>
      <c r="H1443" s="312">
        <v>1827</v>
      </c>
      <c r="I1443" s="312" t="s">
        <v>107</v>
      </c>
      <c r="J1443" s="312">
        <v>1913</v>
      </c>
      <c r="K1443" s="312" t="s">
        <v>109</v>
      </c>
    </row>
    <row r="1444" spans="1:11">
      <c r="A1444" s="312" t="s">
        <v>3803</v>
      </c>
      <c r="B1444" s="312" t="s">
        <v>3804</v>
      </c>
      <c r="C1444" s="312" t="s">
        <v>105</v>
      </c>
      <c r="D1444" s="312" t="s">
        <v>746</v>
      </c>
      <c r="E1444" s="312" t="s">
        <v>107</v>
      </c>
      <c r="F1444" s="312">
        <v>1825</v>
      </c>
      <c r="G1444" s="312" t="s">
        <v>108</v>
      </c>
      <c r="H1444" s="312">
        <v>1827</v>
      </c>
      <c r="I1444" s="312" t="s">
        <v>107</v>
      </c>
      <c r="J1444" s="312">
        <v>1913</v>
      </c>
      <c r="K1444" s="312" t="s">
        <v>109</v>
      </c>
    </row>
    <row r="1445" spans="1:11">
      <c r="A1445" s="312" t="s">
        <v>3805</v>
      </c>
      <c r="B1445" s="312" t="s">
        <v>3806</v>
      </c>
      <c r="C1445" s="312" t="s">
        <v>105</v>
      </c>
      <c r="D1445" s="312" t="s">
        <v>746</v>
      </c>
      <c r="E1445" s="312" t="s">
        <v>107</v>
      </c>
      <c r="F1445" s="312">
        <v>1825</v>
      </c>
      <c r="G1445" s="312" t="s">
        <v>108</v>
      </c>
      <c r="H1445" s="312">
        <v>1827</v>
      </c>
      <c r="I1445" s="312" t="s">
        <v>107</v>
      </c>
      <c r="J1445" s="312">
        <v>1913</v>
      </c>
      <c r="K1445" s="312" t="s">
        <v>109</v>
      </c>
    </row>
    <row r="1446" spans="1:11">
      <c r="A1446" s="312" t="s">
        <v>4177</v>
      </c>
      <c r="B1446" s="312" t="s">
        <v>4178</v>
      </c>
      <c r="C1446" s="312" t="s">
        <v>105</v>
      </c>
      <c r="D1446" s="312" t="s">
        <v>746</v>
      </c>
      <c r="E1446" s="312" t="s">
        <v>107</v>
      </c>
      <c r="F1446" s="312">
        <v>1825</v>
      </c>
      <c r="G1446" s="312" t="s">
        <v>108</v>
      </c>
      <c r="H1446" s="312">
        <v>1827</v>
      </c>
      <c r="I1446" s="312" t="s">
        <v>107</v>
      </c>
      <c r="J1446" s="312">
        <v>1913</v>
      </c>
      <c r="K1446" s="312" t="s">
        <v>109</v>
      </c>
    </row>
    <row r="1447" spans="1:11">
      <c r="A1447" s="312" t="s">
        <v>4181</v>
      </c>
      <c r="B1447" s="312" t="s">
        <v>4182</v>
      </c>
      <c r="C1447" s="312" t="s">
        <v>105</v>
      </c>
      <c r="D1447" s="312" t="s">
        <v>746</v>
      </c>
      <c r="E1447" s="312" t="s">
        <v>107</v>
      </c>
      <c r="F1447" s="312">
        <v>1825</v>
      </c>
      <c r="G1447" s="312" t="s">
        <v>108</v>
      </c>
      <c r="H1447" s="312">
        <v>1827</v>
      </c>
      <c r="I1447" s="312" t="s">
        <v>107</v>
      </c>
      <c r="J1447" s="312">
        <v>1913</v>
      </c>
      <c r="K1447" s="312" t="s">
        <v>109</v>
      </c>
    </row>
    <row r="1448" spans="1:11">
      <c r="A1448" s="312" t="s">
        <v>4189</v>
      </c>
      <c r="B1448" s="312" t="s">
        <v>4190</v>
      </c>
      <c r="C1448" s="312" t="s">
        <v>105</v>
      </c>
      <c r="D1448" s="312" t="s">
        <v>746</v>
      </c>
      <c r="E1448" s="312" t="s">
        <v>107</v>
      </c>
      <c r="F1448" s="312">
        <v>1825</v>
      </c>
      <c r="G1448" s="312" t="s">
        <v>108</v>
      </c>
      <c r="H1448" s="312">
        <v>1827</v>
      </c>
      <c r="I1448" s="312" t="s">
        <v>107</v>
      </c>
      <c r="J1448" s="312">
        <v>1913</v>
      </c>
      <c r="K1448" s="312" t="s">
        <v>109</v>
      </c>
    </row>
    <row r="1449" spans="1:11">
      <c r="A1449" s="312" t="s">
        <v>4191</v>
      </c>
      <c r="B1449" s="312" t="s">
        <v>4192</v>
      </c>
      <c r="C1449" s="312" t="s">
        <v>105</v>
      </c>
      <c r="D1449" s="312" t="s">
        <v>746</v>
      </c>
      <c r="E1449" s="312" t="s">
        <v>107</v>
      </c>
      <c r="F1449" s="312">
        <v>1825</v>
      </c>
      <c r="G1449" s="312" t="s">
        <v>108</v>
      </c>
      <c r="H1449" s="312">
        <v>1827</v>
      </c>
      <c r="I1449" s="312" t="s">
        <v>107</v>
      </c>
      <c r="J1449" s="312">
        <v>1913</v>
      </c>
      <c r="K1449" s="312" t="s">
        <v>109</v>
      </c>
    </row>
    <row r="1450" spans="1:11">
      <c r="A1450" s="312" t="s">
        <v>4193</v>
      </c>
      <c r="B1450" s="312" t="s">
        <v>4194</v>
      </c>
      <c r="C1450" s="312" t="s">
        <v>105</v>
      </c>
      <c r="D1450" s="312" t="s">
        <v>746</v>
      </c>
      <c r="E1450" s="312" t="s">
        <v>107</v>
      </c>
      <c r="F1450" s="312">
        <v>1825</v>
      </c>
      <c r="G1450" s="312" t="s">
        <v>108</v>
      </c>
      <c r="H1450" s="312">
        <v>1827</v>
      </c>
      <c r="I1450" s="312" t="s">
        <v>107</v>
      </c>
      <c r="J1450" s="312">
        <v>1913</v>
      </c>
      <c r="K1450" s="312" t="s">
        <v>109</v>
      </c>
    </row>
    <row r="1451" spans="1:11">
      <c r="A1451" s="312" t="s">
        <v>4195</v>
      </c>
      <c r="B1451" s="312" t="s">
        <v>4196</v>
      </c>
      <c r="C1451" s="312" t="s">
        <v>105</v>
      </c>
      <c r="D1451" s="312" t="s">
        <v>746</v>
      </c>
      <c r="E1451" s="312" t="s">
        <v>107</v>
      </c>
      <c r="F1451" s="312">
        <v>1825</v>
      </c>
      <c r="G1451" s="312" t="s">
        <v>108</v>
      </c>
      <c r="H1451" s="312">
        <v>1827</v>
      </c>
      <c r="I1451" s="312" t="s">
        <v>107</v>
      </c>
      <c r="J1451" s="312">
        <v>1913</v>
      </c>
      <c r="K1451" s="312" t="s">
        <v>109</v>
      </c>
    </row>
    <row r="1452" spans="1:11">
      <c r="A1452" s="312" t="s">
        <v>4197</v>
      </c>
      <c r="B1452" s="312" t="s">
        <v>4198</v>
      </c>
      <c r="C1452" s="312" t="s">
        <v>105</v>
      </c>
      <c r="D1452" s="312" t="s">
        <v>746</v>
      </c>
      <c r="E1452" s="312" t="s">
        <v>107</v>
      </c>
      <c r="F1452" s="312">
        <v>1825</v>
      </c>
      <c r="G1452" s="312" t="s">
        <v>108</v>
      </c>
      <c r="H1452" s="312">
        <v>1827</v>
      </c>
      <c r="I1452" s="312" t="s">
        <v>107</v>
      </c>
      <c r="J1452" s="312">
        <v>1913</v>
      </c>
      <c r="K1452" s="312" t="s">
        <v>109</v>
      </c>
    </row>
    <row r="1453" spans="1:11">
      <c r="A1453" s="312" t="s">
        <v>4229</v>
      </c>
      <c r="B1453" s="312" t="s">
        <v>4230</v>
      </c>
      <c r="C1453" s="312" t="s">
        <v>105</v>
      </c>
      <c r="D1453" s="312" t="s">
        <v>746</v>
      </c>
      <c r="E1453" s="312" t="s">
        <v>107</v>
      </c>
      <c r="F1453" s="312">
        <v>1825</v>
      </c>
      <c r="G1453" s="312" t="s">
        <v>108</v>
      </c>
      <c r="H1453" s="312">
        <v>1827</v>
      </c>
      <c r="I1453" s="312" t="s">
        <v>107</v>
      </c>
      <c r="J1453" s="312">
        <v>1913</v>
      </c>
      <c r="K1453" s="312" t="s">
        <v>109</v>
      </c>
    </row>
    <row r="1454" spans="1:11">
      <c r="A1454" s="312" t="s">
        <v>4749</v>
      </c>
      <c r="B1454" s="1" t="s">
        <v>4750</v>
      </c>
      <c r="C1454" s="312" t="s">
        <v>105</v>
      </c>
      <c r="D1454" s="312" t="s">
        <v>746</v>
      </c>
      <c r="E1454" s="312" t="s">
        <v>320</v>
      </c>
      <c r="F1454" s="312">
        <v>1716</v>
      </c>
      <c r="G1454" s="312" t="s">
        <v>321</v>
      </c>
      <c r="H1454" s="312">
        <v>1725</v>
      </c>
      <c r="I1454" s="312" t="s">
        <v>320</v>
      </c>
      <c r="J1454" s="312">
        <v>1910</v>
      </c>
      <c r="K1454" s="312" t="s">
        <v>322</v>
      </c>
    </row>
    <row r="1455" spans="1:11">
      <c r="A1455" s="312" t="s">
        <v>5143</v>
      </c>
      <c r="B1455" s="1" t="s">
        <v>5144</v>
      </c>
      <c r="C1455" s="312" t="s">
        <v>105</v>
      </c>
      <c r="D1455" s="312" t="s">
        <v>746</v>
      </c>
      <c r="E1455" s="312" t="s">
        <v>107</v>
      </c>
      <c r="F1455" s="312">
        <v>1825</v>
      </c>
      <c r="G1455" s="312" t="s">
        <v>108</v>
      </c>
      <c r="H1455" s="312">
        <v>1827</v>
      </c>
      <c r="I1455" s="312" t="s">
        <v>107</v>
      </c>
      <c r="J1455" s="312">
        <v>1913</v>
      </c>
      <c r="K1455" s="312" t="s">
        <v>109</v>
      </c>
    </row>
    <row r="1456" spans="1:11">
      <c r="A1456" s="312" t="s">
        <v>5316</v>
      </c>
      <c r="B1456" s="312" t="s">
        <v>5317</v>
      </c>
      <c r="C1456" s="312" t="s">
        <v>105</v>
      </c>
      <c r="D1456" s="312" t="s">
        <v>746</v>
      </c>
      <c r="E1456" s="312" t="s">
        <v>107</v>
      </c>
      <c r="F1456" s="312">
        <v>1825</v>
      </c>
      <c r="G1456" s="312" t="s">
        <v>108</v>
      </c>
      <c r="H1456" s="312">
        <v>1827</v>
      </c>
      <c r="I1456" s="312" t="s">
        <v>107</v>
      </c>
      <c r="J1456" s="312">
        <v>1913</v>
      </c>
      <c r="K1456" s="312" t="s">
        <v>109</v>
      </c>
    </row>
    <row r="1457" spans="1:11">
      <c r="A1457" s="312" t="s">
        <v>5318</v>
      </c>
      <c r="B1457" s="312" t="s">
        <v>5319</v>
      </c>
      <c r="C1457" s="312" t="s">
        <v>105</v>
      </c>
      <c r="D1457" s="312" t="s">
        <v>746</v>
      </c>
      <c r="E1457" s="312" t="s">
        <v>107</v>
      </c>
      <c r="F1457" s="312">
        <v>1825</v>
      </c>
      <c r="G1457" s="312" t="s">
        <v>108</v>
      </c>
      <c r="H1457" s="312">
        <v>1827</v>
      </c>
      <c r="I1457" s="312" t="s">
        <v>107</v>
      </c>
      <c r="J1457" s="312">
        <v>1913</v>
      </c>
      <c r="K1457" s="312" t="s">
        <v>109</v>
      </c>
    </row>
    <row r="1458" spans="1:11">
      <c r="A1458" s="312" t="s">
        <v>5856</v>
      </c>
      <c r="B1458" s="312" t="s">
        <v>5857</v>
      </c>
      <c r="C1458" s="312" t="s">
        <v>105</v>
      </c>
      <c r="D1458" s="312" t="s">
        <v>746</v>
      </c>
      <c r="E1458" s="312" t="s">
        <v>107</v>
      </c>
      <c r="F1458" s="312">
        <v>1825</v>
      </c>
      <c r="G1458" s="312" t="s">
        <v>108</v>
      </c>
      <c r="H1458" s="312">
        <v>1827</v>
      </c>
      <c r="I1458" s="312" t="s">
        <v>107</v>
      </c>
      <c r="J1458" s="312">
        <v>1913</v>
      </c>
      <c r="K1458" s="312" t="s">
        <v>109</v>
      </c>
    </row>
    <row r="1459" spans="1:11">
      <c r="A1459" s="312" t="s">
        <v>5858</v>
      </c>
      <c r="B1459" s="312" t="s">
        <v>5859</v>
      </c>
      <c r="C1459" s="312" t="s">
        <v>105</v>
      </c>
      <c r="D1459" s="312" t="s">
        <v>746</v>
      </c>
      <c r="E1459" s="312" t="s">
        <v>107</v>
      </c>
      <c r="F1459" s="312">
        <v>1825</v>
      </c>
      <c r="G1459" s="312" t="s">
        <v>108</v>
      </c>
      <c r="H1459" s="312">
        <v>1827</v>
      </c>
      <c r="I1459" s="312" t="s">
        <v>107</v>
      </c>
      <c r="J1459" s="312">
        <v>1913</v>
      </c>
      <c r="K1459" s="312" t="s">
        <v>109</v>
      </c>
    </row>
    <row r="1460" spans="1:11">
      <c r="A1460" s="312" t="s">
        <v>6088</v>
      </c>
      <c r="B1460" s="312" t="s">
        <v>6089</v>
      </c>
      <c r="C1460" s="312" t="s">
        <v>105</v>
      </c>
      <c r="D1460" s="312" t="s">
        <v>746</v>
      </c>
      <c r="E1460" s="312" t="s">
        <v>466</v>
      </c>
      <c r="F1460" s="312">
        <v>1796</v>
      </c>
      <c r="G1460" s="312" t="s">
        <v>467</v>
      </c>
      <c r="H1460" s="312">
        <v>1799</v>
      </c>
      <c r="I1460" s="312" t="s">
        <v>466</v>
      </c>
      <c r="J1460" s="312">
        <v>1918</v>
      </c>
      <c r="K1460" s="312" t="s">
        <v>468</v>
      </c>
    </row>
    <row r="1461" spans="1:11">
      <c r="A1461" s="312" t="s">
        <v>475</v>
      </c>
      <c r="B1461" s="312" t="s">
        <v>476</v>
      </c>
      <c r="C1461" s="312" t="s">
        <v>105</v>
      </c>
      <c r="D1461" s="312" t="s">
        <v>477</v>
      </c>
      <c r="E1461" s="312" t="s">
        <v>466</v>
      </c>
      <c r="F1461" s="312">
        <v>1796</v>
      </c>
      <c r="G1461" s="312" t="s">
        <v>467</v>
      </c>
      <c r="H1461" s="312">
        <v>1799</v>
      </c>
      <c r="I1461" s="312" t="s">
        <v>466</v>
      </c>
      <c r="J1461" s="312">
        <v>1918</v>
      </c>
      <c r="K1461" s="312" t="s">
        <v>468</v>
      </c>
    </row>
    <row r="1462" spans="1:11">
      <c r="A1462" s="312" t="s">
        <v>2053</v>
      </c>
      <c r="B1462" s="312" t="s">
        <v>2054</v>
      </c>
      <c r="C1462" s="312" t="s">
        <v>105</v>
      </c>
      <c r="D1462" s="312" t="s">
        <v>477</v>
      </c>
      <c r="E1462" s="312" t="s">
        <v>107</v>
      </c>
      <c r="F1462" s="312">
        <v>1825</v>
      </c>
      <c r="G1462" s="312" t="s">
        <v>108</v>
      </c>
      <c r="H1462" s="312">
        <v>1827</v>
      </c>
      <c r="I1462" s="312" t="s">
        <v>107</v>
      </c>
      <c r="J1462" s="312">
        <v>1913</v>
      </c>
      <c r="K1462" s="312" t="s">
        <v>109</v>
      </c>
    </row>
    <row r="1463" spans="1:11">
      <c r="A1463" s="312" t="s">
        <v>2055</v>
      </c>
      <c r="B1463" s="312" t="s">
        <v>2056</v>
      </c>
      <c r="C1463" s="312" t="s">
        <v>105</v>
      </c>
      <c r="D1463" s="312" t="s">
        <v>477</v>
      </c>
      <c r="E1463" s="312" t="s">
        <v>107</v>
      </c>
      <c r="F1463" s="312">
        <v>1825</v>
      </c>
      <c r="G1463" s="312" t="s">
        <v>108</v>
      </c>
      <c r="H1463" s="312">
        <v>1827</v>
      </c>
      <c r="I1463" s="312" t="s">
        <v>107</v>
      </c>
      <c r="J1463" s="312">
        <v>1913</v>
      </c>
      <c r="K1463" s="312" t="s">
        <v>109</v>
      </c>
    </row>
    <row r="1464" spans="1:11">
      <c r="A1464" s="312" t="s">
        <v>2130</v>
      </c>
      <c r="B1464" s="312" t="s">
        <v>2131</v>
      </c>
      <c r="C1464" s="312" t="s">
        <v>105</v>
      </c>
      <c r="D1464" s="312" t="s">
        <v>477</v>
      </c>
      <c r="E1464" s="312" t="s">
        <v>107</v>
      </c>
      <c r="F1464" s="312">
        <v>1825</v>
      </c>
      <c r="G1464" s="312" t="s">
        <v>108</v>
      </c>
      <c r="H1464" s="312">
        <v>1827</v>
      </c>
      <c r="I1464" s="312" t="s">
        <v>107</v>
      </c>
      <c r="J1464" s="312">
        <v>1913</v>
      </c>
      <c r="K1464" s="312" t="s">
        <v>109</v>
      </c>
    </row>
    <row r="1465" spans="1:11">
      <c r="A1465" s="312" t="s">
        <v>2149</v>
      </c>
      <c r="B1465" s="312" t="s">
        <v>2150</v>
      </c>
      <c r="C1465" s="312" t="s">
        <v>105</v>
      </c>
      <c r="D1465" s="312" t="s">
        <v>477</v>
      </c>
      <c r="E1465" s="312" t="s">
        <v>107</v>
      </c>
      <c r="F1465" s="312">
        <v>1825</v>
      </c>
      <c r="G1465" s="312" t="s">
        <v>108</v>
      </c>
      <c r="H1465" s="312">
        <v>1827</v>
      </c>
      <c r="I1465" s="312" t="s">
        <v>107</v>
      </c>
      <c r="J1465" s="312">
        <v>1913</v>
      </c>
      <c r="K1465" s="312" t="s">
        <v>109</v>
      </c>
    </row>
    <row r="1466" spans="1:11">
      <c r="A1466" s="312" t="s">
        <v>2257</v>
      </c>
      <c r="B1466" s="312" t="s">
        <v>2258</v>
      </c>
      <c r="C1466" s="312" t="s">
        <v>105</v>
      </c>
      <c r="D1466" s="312" t="s">
        <v>477</v>
      </c>
      <c r="E1466" s="312" t="s">
        <v>107</v>
      </c>
      <c r="F1466" s="312">
        <v>1825</v>
      </c>
      <c r="G1466" s="312" t="s">
        <v>108</v>
      </c>
      <c r="H1466" s="312">
        <v>1827</v>
      </c>
      <c r="I1466" s="312" t="s">
        <v>107</v>
      </c>
      <c r="J1466" s="312">
        <v>1913</v>
      </c>
      <c r="K1466" s="312" t="s">
        <v>109</v>
      </c>
    </row>
    <row r="1467" spans="1:11">
      <c r="A1467" s="312" t="s">
        <v>2265</v>
      </c>
      <c r="B1467" s="312" t="s">
        <v>2266</v>
      </c>
      <c r="C1467" s="312" t="s">
        <v>105</v>
      </c>
      <c r="D1467" s="312" t="s">
        <v>477</v>
      </c>
      <c r="E1467" s="312" t="s">
        <v>107</v>
      </c>
      <c r="F1467" s="312">
        <v>1825</v>
      </c>
      <c r="G1467" s="312" t="s">
        <v>108</v>
      </c>
      <c r="H1467" s="312">
        <v>1827</v>
      </c>
      <c r="I1467" s="312" t="s">
        <v>107</v>
      </c>
      <c r="J1467" s="312">
        <v>1913</v>
      </c>
      <c r="K1467" s="312" t="s">
        <v>109</v>
      </c>
    </row>
    <row r="1468" spans="1:11">
      <c r="A1468" s="312" t="s">
        <v>2271</v>
      </c>
      <c r="B1468" s="312" t="s">
        <v>2272</v>
      </c>
      <c r="C1468" s="312" t="s">
        <v>105</v>
      </c>
      <c r="D1468" s="312" t="s">
        <v>477</v>
      </c>
      <c r="E1468" s="312" t="s">
        <v>107</v>
      </c>
      <c r="F1468" s="312">
        <v>1825</v>
      </c>
      <c r="G1468" s="312" t="s">
        <v>108</v>
      </c>
      <c r="H1468" s="312">
        <v>1827</v>
      </c>
      <c r="I1468" s="312" t="s">
        <v>107</v>
      </c>
      <c r="J1468" s="312">
        <v>1913</v>
      </c>
      <c r="K1468" s="312" t="s">
        <v>109</v>
      </c>
    </row>
    <row r="1469" spans="1:11">
      <c r="A1469" s="312" t="s">
        <v>2273</v>
      </c>
      <c r="B1469" s="312" t="s">
        <v>2274</v>
      </c>
      <c r="C1469" s="312" t="s">
        <v>105</v>
      </c>
      <c r="D1469" s="312" t="s">
        <v>477</v>
      </c>
      <c r="E1469" s="312" t="s">
        <v>466</v>
      </c>
      <c r="F1469" s="312">
        <v>1796</v>
      </c>
      <c r="G1469" s="312" t="s">
        <v>467</v>
      </c>
      <c r="H1469" s="312">
        <v>1799</v>
      </c>
      <c r="I1469" s="312" t="s">
        <v>466</v>
      </c>
      <c r="J1469" s="312">
        <v>1918</v>
      </c>
      <c r="K1469" s="312" t="s">
        <v>468</v>
      </c>
    </row>
    <row r="1470" spans="1:11">
      <c r="A1470" s="312" t="s">
        <v>2275</v>
      </c>
      <c r="B1470" s="312" t="s">
        <v>2276</v>
      </c>
      <c r="C1470" s="312" t="s">
        <v>105</v>
      </c>
      <c r="D1470" s="312" t="s">
        <v>477</v>
      </c>
      <c r="E1470" s="312" t="s">
        <v>466</v>
      </c>
      <c r="F1470" s="312">
        <v>1796</v>
      </c>
      <c r="G1470" s="312" t="s">
        <v>467</v>
      </c>
      <c r="H1470" s="312">
        <v>1799</v>
      </c>
      <c r="I1470" s="312" t="s">
        <v>466</v>
      </c>
      <c r="J1470" s="312">
        <v>1918</v>
      </c>
      <c r="K1470" s="312" t="s">
        <v>468</v>
      </c>
    </row>
    <row r="1471" spans="1:11">
      <c r="A1471" s="312" t="s">
        <v>2277</v>
      </c>
      <c r="B1471" s="312" t="s">
        <v>2278</v>
      </c>
      <c r="C1471" s="312" t="s">
        <v>105</v>
      </c>
      <c r="D1471" s="312" t="s">
        <v>477</v>
      </c>
      <c r="E1471" s="312" t="s">
        <v>466</v>
      </c>
      <c r="F1471" s="312">
        <v>1796</v>
      </c>
      <c r="G1471" s="312" t="s">
        <v>467</v>
      </c>
      <c r="H1471" s="312">
        <v>1799</v>
      </c>
      <c r="I1471" s="312" t="s">
        <v>466</v>
      </c>
      <c r="J1471" s="312">
        <v>1918</v>
      </c>
      <c r="K1471" s="312" t="s">
        <v>468</v>
      </c>
    </row>
    <row r="1472" spans="1:11">
      <c r="A1472" s="312" t="s">
        <v>3795</v>
      </c>
      <c r="B1472" s="312" t="s">
        <v>3796</v>
      </c>
      <c r="C1472" s="312" t="s">
        <v>105</v>
      </c>
      <c r="D1472" s="312" t="s">
        <v>477</v>
      </c>
      <c r="E1472" s="312" t="s">
        <v>107</v>
      </c>
      <c r="F1472" s="312">
        <v>1825</v>
      </c>
      <c r="G1472" s="312" t="s">
        <v>108</v>
      </c>
      <c r="H1472" s="312">
        <v>1827</v>
      </c>
      <c r="I1472" s="312" t="s">
        <v>107</v>
      </c>
      <c r="J1472" s="312">
        <v>1913</v>
      </c>
      <c r="K1472" s="312" t="s">
        <v>109</v>
      </c>
    </row>
    <row r="1473" spans="1:11">
      <c r="A1473" s="312" t="s">
        <v>3797</v>
      </c>
      <c r="B1473" s="312" t="s">
        <v>3798</v>
      </c>
      <c r="C1473" s="312" t="s">
        <v>105</v>
      </c>
      <c r="D1473" s="312" t="s">
        <v>477</v>
      </c>
      <c r="E1473" s="312" t="s">
        <v>107</v>
      </c>
      <c r="F1473" s="312">
        <v>1825</v>
      </c>
      <c r="G1473" s="312" t="s">
        <v>108</v>
      </c>
      <c r="H1473" s="312">
        <v>1827</v>
      </c>
      <c r="I1473" s="312" t="s">
        <v>107</v>
      </c>
      <c r="J1473" s="312">
        <v>1913</v>
      </c>
      <c r="K1473" s="312" t="s">
        <v>109</v>
      </c>
    </row>
    <row r="1474" spans="1:11">
      <c r="A1474" s="312" t="s">
        <v>3799</v>
      </c>
      <c r="B1474" s="312" t="s">
        <v>3800</v>
      </c>
      <c r="C1474" s="312" t="s">
        <v>105</v>
      </c>
      <c r="D1474" s="312" t="s">
        <v>477</v>
      </c>
      <c r="E1474" s="312" t="s">
        <v>107</v>
      </c>
      <c r="F1474" s="312">
        <v>1825</v>
      </c>
      <c r="G1474" s="312" t="s">
        <v>108</v>
      </c>
      <c r="H1474" s="312">
        <v>1827</v>
      </c>
      <c r="I1474" s="312" t="s">
        <v>107</v>
      </c>
      <c r="J1474" s="312">
        <v>1913</v>
      </c>
      <c r="K1474" s="312" t="s">
        <v>109</v>
      </c>
    </row>
    <row r="1475" spans="1:11">
      <c r="A1475" s="312" t="s">
        <v>3837</v>
      </c>
      <c r="B1475" s="312" t="s">
        <v>3838</v>
      </c>
      <c r="C1475" s="312" t="s">
        <v>105</v>
      </c>
      <c r="D1475" s="312" t="s">
        <v>477</v>
      </c>
      <c r="E1475" s="312" t="s">
        <v>107</v>
      </c>
      <c r="F1475" s="312">
        <v>1825</v>
      </c>
      <c r="G1475" s="312" t="s">
        <v>108</v>
      </c>
      <c r="H1475" s="312">
        <v>1827</v>
      </c>
      <c r="I1475" s="312" t="s">
        <v>107</v>
      </c>
      <c r="J1475" s="312">
        <v>1913</v>
      </c>
      <c r="K1475" s="312" t="s">
        <v>109</v>
      </c>
    </row>
    <row r="1476" spans="1:11">
      <c r="A1476" s="312" t="s">
        <v>4979</v>
      </c>
      <c r="B1476" s="312" t="s">
        <v>4980</v>
      </c>
      <c r="C1476" s="312" t="s">
        <v>105</v>
      </c>
      <c r="D1476" s="312" t="s">
        <v>477</v>
      </c>
      <c r="E1476" s="312" t="s">
        <v>107</v>
      </c>
      <c r="F1476" s="312">
        <v>1825</v>
      </c>
      <c r="G1476" s="312" t="s">
        <v>108</v>
      </c>
      <c r="H1476" s="312">
        <v>1827</v>
      </c>
      <c r="I1476" s="312" t="s">
        <v>107</v>
      </c>
      <c r="J1476" s="312">
        <v>1913</v>
      </c>
      <c r="K1476" s="312" t="s">
        <v>109</v>
      </c>
    </row>
    <row r="1477" spans="1:11">
      <c r="A1477" s="312" t="s">
        <v>4989</v>
      </c>
      <c r="B1477" s="312" t="s">
        <v>4990</v>
      </c>
      <c r="C1477" s="312" t="s">
        <v>105</v>
      </c>
      <c r="D1477" s="312" t="s">
        <v>477</v>
      </c>
      <c r="E1477" s="312" t="s">
        <v>107</v>
      </c>
      <c r="F1477" s="312">
        <v>1825</v>
      </c>
      <c r="G1477" s="312" t="s">
        <v>108</v>
      </c>
      <c r="H1477" s="312">
        <v>1827</v>
      </c>
      <c r="I1477" s="312" t="s">
        <v>107</v>
      </c>
      <c r="J1477" s="312">
        <v>1913</v>
      </c>
      <c r="K1477" s="312" t="s">
        <v>109</v>
      </c>
    </row>
    <row r="1478" spans="1:11">
      <c r="A1478" s="312" t="s">
        <v>5270</v>
      </c>
      <c r="B1478" s="312" t="s">
        <v>5271</v>
      </c>
      <c r="C1478" s="312" t="s">
        <v>105</v>
      </c>
      <c r="D1478" s="312" t="s">
        <v>477</v>
      </c>
      <c r="E1478" s="312" t="s">
        <v>107</v>
      </c>
      <c r="F1478" s="312">
        <v>1825</v>
      </c>
      <c r="G1478" s="312" t="s">
        <v>108</v>
      </c>
      <c r="H1478" s="312">
        <v>1827</v>
      </c>
      <c r="I1478" s="312" t="s">
        <v>107</v>
      </c>
      <c r="J1478" s="312">
        <v>1913</v>
      </c>
      <c r="K1478" s="312" t="s">
        <v>109</v>
      </c>
    </row>
    <row r="1479" spans="1:11">
      <c r="A1479" s="312" t="s">
        <v>2373</v>
      </c>
      <c r="B1479" s="312" t="s">
        <v>2374</v>
      </c>
      <c r="C1479" s="312" t="s">
        <v>105</v>
      </c>
      <c r="D1479" s="312" t="s">
        <v>2375</v>
      </c>
      <c r="E1479" s="312" t="s">
        <v>107</v>
      </c>
      <c r="F1479" s="312">
        <v>1825</v>
      </c>
      <c r="G1479" s="312" t="s">
        <v>108</v>
      </c>
      <c r="H1479" s="312">
        <v>1827</v>
      </c>
      <c r="I1479" s="312" t="s">
        <v>107</v>
      </c>
      <c r="J1479" s="312">
        <v>1913</v>
      </c>
      <c r="K1479" s="312" t="s">
        <v>109</v>
      </c>
    </row>
    <row r="1480" spans="1:11">
      <c r="A1480" s="312" t="s">
        <v>4534</v>
      </c>
      <c r="B1480" s="312" t="s">
        <v>4535</v>
      </c>
      <c r="C1480" s="312" t="s">
        <v>105</v>
      </c>
      <c r="D1480" s="312" t="s">
        <v>4536</v>
      </c>
      <c r="E1480" s="312" t="s">
        <v>107</v>
      </c>
      <c r="F1480" s="312">
        <v>1825</v>
      </c>
      <c r="G1480" s="312" t="s">
        <v>108</v>
      </c>
      <c r="H1480" s="312">
        <v>1827</v>
      </c>
      <c r="I1480" s="312" t="s">
        <v>107</v>
      </c>
      <c r="J1480" s="312">
        <v>1913</v>
      </c>
      <c r="K1480" s="312" t="s">
        <v>109</v>
      </c>
    </row>
    <row r="1481" spans="1:11">
      <c r="A1481" s="312" t="s">
        <v>4537</v>
      </c>
      <c r="B1481" s="312" t="s">
        <v>4538</v>
      </c>
      <c r="C1481" s="312" t="s">
        <v>105</v>
      </c>
      <c r="D1481" s="312" t="s">
        <v>4536</v>
      </c>
      <c r="E1481" s="312" t="s">
        <v>107</v>
      </c>
      <c r="F1481" s="312">
        <v>1825</v>
      </c>
      <c r="G1481" s="312" t="s">
        <v>108</v>
      </c>
      <c r="H1481" s="312">
        <v>1827</v>
      </c>
      <c r="I1481" s="312" t="s">
        <v>107</v>
      </c>
      <c r="J1481" s="312">
        <v>1913</v>
      </c>
      <c r="K1481" s="312" t="s">
        <v>109</v>
      </c>
    </row>
    <row r="1482" spans="1:11">
      <c r="A1482" s="312" t="s">
        <v>4539</v>
      </c>
      <c r="B1482" s="312" t="s">
        <v>4540</v>
      </c>
      <c r="C1482" s="312" t="s">
        <v>105</v>
      </c>
      <c r="D1482" s="312" t="s">
        <v>4536</v>
      </c>
      <c r="E1482" s="312" t="s">
        <v>107</v>
      </c>
      <c r="F1482" s="312">
        <v>1825</v>
      </c>
      <c r="G1482" s="312" t="s">
        <v>108</v>
      </c>
      <c r="H1482" s="312">
        <v>1827</v>
      </c>
      <c r="I1482" s="312" t="s">
        <v>107</v>
      </c>
      <c r="J1482" s="312">
        <v>1913</v>
      </c>
      <c r="K1482" s="312" t="s">
        <v>109</v>
      </c>
    </row>
    <row r="1483" spans="1:11">
      <c r="A1483" s="312" t="s">
        <v>4541</v>
      </c>
      <c r="B1483" s="312" t="s">
        <v>4542</v>
      </c>
      <c r="C1483" s="312" t="s">
        <v>105</v>
      </c>
      <c r="D1483" s="312" t="s">
        <v>4536</v>
      </c>
      <c r="E1483" s="312" t="s">
        <v>107</v>
      </c>
      <c r="F1483" s="312">
        <v>1825</v>
      </c>
      <c r="G1483" s="312" t="s">
        <v>108</v>
      </c>
      <c r="H1483" s="312">
        <v>1827</v>
      </c>
      <c r="I1483" s="312" t="s">
        <v>107</v>
      </c>
      <c r="J1483" s="312">
        <v>1913</v>
      </c>
      <c r="K1483" s="312" t="s">
        <v>109</v>
      </c>
    </row>
    <row r="1484" spans="1:11">
      <c r="A1484" s="312" t="s">
        <v>1129</v>
      </c>
      <c r="B1484" s="312" t="s">
        <v>1130</v>
      </c>
      <c r="C1484" s="312" t="s">
        <v>105</v>
      </c>
      <c r="D1484" s="312" t="s">
        <v>1131</v>
      </c>
      <c r="E1484" s="312" t="s">
        <v>107</v>
      </c>
      <c r="F1484" s="312">
        <v>1825</v>
      </c>
      <c r="G1484" s="312" t="s">
        <v>108</v>
      </c>
      <c r="H1484" s="312">
        <v>1827</v>
      </c>
      <c r="I1484" s="312" t="s">
        <v>107</v>
      </c>
      <c r="J1484" s="312">
        <v>1913</v>
      </c>
      <c r="K1484" s="312" t="s">
        <v>109</v>
      </c>
    </row>
    <row r="1485" spans="1:11">
      <c r="A1485" s="312" t="s">
        <v>1238</v>
      </c>
      <c r="B1485" s="312" t="s">
        <v>1239</v>
      </c>
      <c r="C1485" s="312" t="s">
        <v>105</v>
      </c>
      <c r="D1485" s="312" t="s">
        <v>1131</v>
      </c>
      <c r="E1485" s="312" t="s">
        <v>107</v>
      </c>
      <c r="F1485" s="312">
        <v>1825</v>
      </c>
      <c r="G1485" s="312" t="s">
        <v>108</v>
      </c>
      <c r="H1485" s="312">
        <v>1827</v>
      </c>
      <c r="I1485" s="312" t="s">
        <v>107</v>
      </c>
      <c r="J1485" s="312">
        <v>1913</v>
      </c>
      <c r="K1485" s="312" t="s">
        <v>109</v>
      </c>
    </row>
    <row r="1486" spans="1:11">
      <c r="A1486" s="312" t="s">
        <v>1242</v>
      </c>
      <c r="B1486" s="312" t="s">
        <v>1243</v>
      </c>
      <c r="C1486" s="312" t="s">
        <v>105</v>
      </c>
      <c r="D1486" s="312" t="s">
        <v>1131</v>
      </c>
      <c r="E1486" s="312" t="s">
        <v>107</v>
      </c>
      <c r="F1486" s="312">
        <v>1825</v>
      </c>
      <c r="G1486" s="312" t="s">
        <v>108</v>
      </c>
      <c r="H1486" s="312">
        <v>1827</v>
      </c>
      <c r="I1486" s="312" t="s">
        <v>107</v>
      </c>
      <c r="J1486" s="312">
        <v>1913</v>
      </c>
      <c r="K1486" s="312" t="s">
        <v>109</v>
      </c>
    </row>
    <row r="1487" spans="1:11">
      <c r="A1487" s="312" t="s">
        <v>1279</v>
      </c>
      <c r="B1487" s="312" t="s">
        <v>1280</v>
      </c>
      <c r="C1487" s="312" t="s">
        <v>105</v>
      </c>
      <c r="D1487" s="312" t="s">
        <v>1131</v>
      </c>
      <c r="E1487" s="312" t="s">
        <v>107</v>
      </c>
      <c r="F1487" s="312">
        <v>1825</v>
      </c>
      <c r="G1487" s="312" t="s">
        <v>108</v>
      </c>
      <c r="H1487" s="312">
        <v>1827</v>
      </c>
      <c r="I1487" s="312" t="s">
        <v>107</v>
      </c>
      <c r="J1487" s="312">
        <v>1913</v>
      </c>
      <c r="K1487" s="312" t="s">
        <v>109</v>
      </c>
    </row>
    <row r="1488" spans="1:11">
      <c r="A1488" s="312" t="s">
        <v>2935</v>
      </c>
      <c r="B1488" s="312" t="s">
        <v>2936</v>
      </c>
      <c r="C1488" s="312" t="s">
        <v>105</v>
      </c>
      <c r="D1488" s="312" t="s">
        <v>1131</v>
      </c>
      <c r="E1488" s="312" t="s">
        <v>107</v>
      </c>
      <c r="F1488" s="312">
        <v>1825</v>
      </c>
      <c r="G1488" s="312" t="s">
        <v>108</v>
      </c>
      <c r="H1488" s="312">
        <v>1827</v>
      </c>
      <c r="I1488" s="312" t="s">
        <v>107</v>
      </c>
      <c r="J1488" s="312">
        <v>1913</v>
      </c>
      <c r="K1488" s="312" t="s">
        <v>109</v>
      </c>
    </row>
    <row r="1489" spans="1:11">
      <c r="A1489" s="312" t="s">
        <v>4594</v>
      </c>
      <c r="B1489" s="312" t="s">
        <v>4595</v>
      </c>
      <c r="C1489" s="312" t="s">
        <v>105</v>
      </c>
      <c r="D1489" s="312" t="s">
        <v>1131</v>
      </c>
      <c r="E1489" s="312" t="s">
        <v>107</v>
      </c>
      <c r="F1489" s="312">
        <v>1825</v>
      </c>
      <c r="G1489" s="312" t="s">
        <v>108</v>
      </c>
      <c r="H1489" s="312">
        <v>1827</v>
      </c>
      <c r="I1489" s="312" t="s">
        <v>107</v>
      </c>
      <c r="J1489" s="312">
        <v>1913</v>
      </c>
      <c r="K1489" s="312" t="s">
        <v>109</v>
      </c>
    </row>
    <row r="1490" spans="1:11">
      <c r="A1490" s="312" t="s">
        <v>4641</v>
      </c>
      <c r="B1490" s="312" t="s">
        <v>4642</v>
      </c>
      <c r="C1490" s="312" t="s">
        <v>105</v>
      </c>
      <c r="D1490" s="312" t="s">
        <v>1131</v>
      </c>
      <c r="E1490" s="312" t="s">
        <v>107</v>
      </c>
      <c r="F1490" s="312">
        <v>1825</v>
      </c>
      <c r="G1490" s="312" t="s">
        <v>108</v>
      </c>
      <c r="H1490" s="312">
        <v>1827</v>
      </c>
      <c r="I1490" s="312" t="s">
        <v>107</v>
      </c>
      <c r="J1490" s="312">
        <v>1913</v>
      </c>
      <c r="K1490" s="312" t="s">
        <v>109</v>
      </c>
    </row>
    <row r="1491" spans="1:11">
      <c r="A1491" s="312" t="s">
        <v>4790</v>
      </c>
      <c r="B1491" s="312" t="s">
        <v>4791</v>
      </c>
      <c r="C1491" s="312" t="s">
        <v>105</v>
      </c>
      <c r="D1491" s="312" t="s">
        <v>1131</v>
      </c>
      <c r="E1491" s="312" t="s">
        <v>107</v>
      </c>
      <c r="F1491" s="312">
        <v>1825</v>
      </c>
      <c r="G1491" s="312" t="s">
        <v>108</v>
      </c>
      <c r="H1491" s="312">
        <v>1827</v>
      </c>
      <c r="I1491" s="312" t="s">
        <v>107</v>
      </c>
      <c r="J1491" s="312">
        <v>1913</v>
      </c>
      <c r="K1491" s="312" t="s">
        <v>109</v>
      </c>
    </row>
    <row r="1492" spans="1:11">
      <c r="A1492" s="312" t="s">
        <v>1951</v>
      </c>
      <c r="B1492" s="312" t="s">
        <v>1952</v>
      </c>
      <c r="C1492" s="312" t="s">
        <v>105</v>
      </c>
      <c r="D1492" s="312" t="s">
        <v>1953</v>
      </c>
      <c r="E1492" s="312" t="s">
        <v>107</v>
      </c>
      <c r="F1492" s="312">
        <v>1825</v>
      </c>
      <c r="G1492" s="312" t="s">
        <v>108</v>
      </c>
      <c r="H1492" s="312">
        <v>1827</v>
      </c>
      <c r="I1492" s="312" t="s">
        <v>107</v>
      </c>
      <c r="J1492" s="312">
        <v>1913</v>
      </c>
      <c r="K1492" s="312" t="s">
        <v>109</v>
      </c>
    </row>
    <row r="1493" spans="1:11">
      <c r="A1493" s="312" t="s">
        <v>219</v>
      </c>
      <c r="B1493" s="312" t="s">
        <v>220</v>
      </c>
      <c r="C1493" s="312" t="s">
        <v>105</v>
      </c>
      <c r="D1493" s="312" t="s">
        <v>221</v>
      </c>
      <c r="E1493" s="312" t="s">
        <v>107</v>
      </c>
      <c r="F1493" s="312">
        <v>1825</v>
      </c>
      <c r="G1493" s="312" t="s">
        <v>108</v>
      </c>
      <c r="H1493" s="312">
        <v>1827</v>
      </c>
      <c r="I1493" s="312" t="s">
        <v>107</v>
      </c>
      <c r="J1493" s="312">
        <v>1913</v>
      </c>
      <c r="K1493" s="312" t="s">
        <v>109</v>
      </c>
    </row>
    <row r="1494" spans="1:11">
      <c r="A1494" s="312" t="s">
        <v>431</v>
      </c>
      <c r="B1494" s="312" t="s">
        <v>432</v>
      </c>
      <c r="C1494" s="312" t="s">
        <v>105</v>
      </c>
      <c r="D1494" s="312" t="s">
        <v>221</v>
      </c>
      <c r="E1494" s="312" t="s">
        <v>107</v>
      </c>
      <c r="F1494" s="312">
        <v>1825</v>
      </c>
      <c r="G1494" s="312" t="s">
        <v>108</v>
      </c>
      <c r="H1494" s="312">
        <v>1827</v>
      </c>
      <c r="I1494" s="312" t="s">
        <v>107</v>
      </c>
      <c r="J1494" s="312">
        <v>1913</v>
      </c>
      <c r="K1494" s="312" t="s">
        <v>109</v>
      </c>
    </row>
    <row r="1495" spans="1:11">
      <c r="A1495" s="312" t="s">
        <v>439</v>
      </c>
      <c r="B1495" s="312" t="s">
        <v>440</v>
      </c>
      <c r="C1495" s="312" t="s">
        <v>105</v>
      </c>
      <c r="D1495" s="312" t="s">
        <v>221</v>
      </c>
      <c r="E1495" s="312" t="s">
        <v>107</v>
      </c>
      <c r="F1495" s="312">
        <v>1825</v>
      </c>
      <c r="G1495" s="312" t="s">
        <v>108</v>
      </c>
      <c r="H1495" s="312">
        <v>1827</v>
      </c>
      <c r="I1495" s="312" t="s">
        <v>107</v>
      </c>
      <c r="J1495" s="312">
        <v>1913</v>
      </c>
      <c r="K1495" s="312" t="s">
        <v>109</v>
      </c>
    </row>
    <row r="1496" spans="1:11">
      <c r="A1496" s="312" t="s">
        <v>596</v>
      </c>
      <c r="B1496" s="312" t="s">
        <v>597</v>
      </c>
      <c r="C1496" s="312" t="s">
        <v>105</v>
      </c>
      <c r="D1496" s="312" t="s">
        <v>221</v>
      </c>
      <c r="E1496" s="312" t="s">
        <v>107</v>
      </c>
      <c r="F1496" s="312">
        <v>1825</v>
      </c>
      <c r="G1496" s="312" t="s">
        <v>108</v>
      </c>
      <c r="H1496" s="312">
        <v>1827</v>
      </c>
      <c r="I1496" s="312" t="s">
        <v>107</v>
      </c>
      <c r="J1496" s="312">
        <v>1913</v>
      </c>
      <c r="K1496" s="312" t="s">
        <v>109</v>
      </c>
    </row>
    <row r="1497" spans="1:11">
      <c r="A1497" s="312" t="s">
        <v>1059</v>
      </c>
      <c r="B1497" s="312" t="s">
        <v>1060</v>
      </c>
      <c r="C1497" s="312" t="s">
        <v>105</v>
      </c>
      <c r="D1497" s="312" t="s">
        <v>221</v>
      </c>
      <c r="E1497" s="312" t="s">
        <v>107</v>
      </c>
      <c r="F1497" s="312">
        <v>1825</v>
      </c>
      <c r="G1497" s="312" t="s">
        <v>108</v>
      </c>
      <c r="H1497" s="312">
        <v>1827</v>
      </c>
      <c r="I1497" s="312" t="s">
        <v>107</v>
      </c>
      <c r="J1497" s="312">
        <v>1913</v>
      </c>
      <c r="K1497" s="312" t="s">
        <v>109</v>
      </c>
    </row>
    <row r="1498" spans="1:11">
      <c r="A1498" s="312" t="s">
        <v>1065</v>
      </c>
      <c r="B1498" s="312" t="s">
        <v>1066</v>
      </c>
      <c r="C1498" s="312" t="s">
        <v>105</v>
      </c>
      <c r="D1498" s="312" t="s">
        <v>221</v>
      </c>
      <c r="E1498" s="312" t="s">
        <v>107</v>
      </c>
      <c r="F1498" s="312">
        <v>1825</v>
      </c>
      <c r="G1498" s="312" t="s">
        <v>108</v>
      </c>
      <c r="H1498" s="312">
        <v>1827</v>
      </c>
      <c r="I1498" s="312" t="s">
        <v>107</v>
      </c>
      <c r="J1498" s="312">
        <v>1913</v>
      </c>
      <c r="K1498" s="312" t="s">
        <v>109</v>
      </c>
    </row>
    <row r="1499" spans="1:11">
      <c r="A1499" s="312" t="s">
        <v>1067</v>
      </c>
      <c r="B1499" s="312" t="s">
        <v>1068</v>
      </c>
      <c r="C1499" s="312" t="s">
        <v>105</v>
      </c>
      <c r="D1499" s="312" t="s">
        <v>221</v>
      </c>
      <c r="E1499" s="312" t="s">
        <v>107</v>
      </c>
      <c r="F1499" s="312">
        <v>1825</v>
      </c>
      <c r="G1499" s="312" t="s">
        <v>108</v>
      </c>
      <c r="H1499" s="312">
        <v>1827</v>
      </c>
      <c r="I1499" s="312" t="s">
        <v>107</v>
      </c>
      <c r="J1499" s="312">
        <v>1913</v>
      </c>
      <c r="K1499" s="312" t="s">
        <v>109</v>
      </c>
    </row>
    <row r="1500" spans="1:11">
      <c r="A1500" s="312" t="s">
        <v>1069</v>
      </c>
      <c r="B1500" s="312" t="s">
        <v>1070</v>
      </c>
      <c r="C1500" s="312" t="s">
        <v>105</v>
      </c>
      <c r="D1500" s="312" t="s">
        <v>221</v>
      </c>
      <c r="E1500" s="312" t="s">
        <v>107</v>
      </c>
      <c r="F1500" s="312">
        <v>1825</v>
      </c>
      <c r="G1500" s="312" t="s">
        <v>108</v>
      </c>
      <c r="H1500" s="312">
        <v>1827</v>
      </c>
      <c r="I1500" s="312" t="s">
        <v>107</v>
      </c>
      <c r="J1500" s="312">
        <v>1913</v>
      </c>
      <c r="K1500" s="312" t="s">
        <v>109</v>
      </c>
    </row>
    <row r="1501" spans="1:11">
      <c r="A1501" s="312" t="s">
        <v>1071</v>
      </c>
      <c r="B1501" s="312" t="s">
        <v>1072</v>
      </c>
      <c r="C1501" s="312" t="s">
        <v>105</v>
      </c>
      <c r="D1501" s="312" t="s">
        <v>221</v>
      </c>
      <c r="E1501" s="312" t="s">
        <v>107</v>
      </c>
      <c r="F1501" s="312">
        <v>1825</v>
      </c>
      <c r="G1501" s="312" t="s">
        <v>108</v>
      </c>
      <c r="H1501" s="312">
        <v>1827</v>
      </c>
      <c r="I1501" s="312" t="s">
        <v>107</v>
      </c>
      <c r="J1501" s="312">
        <v>1913</v>
      </c>
      <c r="K1501" s="312" t="s">
        <v>109</v>
      </c>
    </row>
    <row r="1502" spans="1:11">
      <c r="A1502" s="312" t="s">
        <v>1073</v>
      </c>
      <c r="B1502" s="312" t="s">
        <v>1074</v>
      </c>
      <c r="C1502" s="312" t="s">
        <v>105</v>
      </c>
      <c r="D1502" s="312" t="s">
        <v>221</v>
      </c>
      <c r="E1502" s="312" t="s">
        <v>107</v>
      </c>
      <c r="F1502" s="312">
        <v>1825</v>
      </c>
      <c r="G1502" s="312" t="s">
        <v>108</v>
      </c>
      <c r="H1502" s="312">
        <v>1827</v>
      </c>
      <c r="I1502" s="312" t="s">
        <v>107</v>
      </c>
      <c r="J1502" s="312">
        <v>1913</v>
      </c>
      <c r="K1502" s="312" t="s">
        <v>109</v>
      </c>
    </row>
    <row r="1503" spans="1:11">
      <c r="A1503" s="312" t="s">
        <v>1075</v>
      </c>
      <c r="B1503" s="312" t="s">
        <v>1076</v>
      </c>
      <c r="C1503" s="312" t="s">
        <v>105</v>
      </c>
      <c r="D1503" s="312" t="s">
        <v>221</v>
      </c>
      <c r="E1503" s="312" t="s">
        <v>107</v>
      </c>
      <c r="F1503" s="312">
        <v>1825</v>
      </c>
      <c r="G1503" s="312" t="s">
        <v>108</v>
      </c>
      <c r="H1503" s="312">
        <v>1827</v>
      </c>
      <c r="I1503" s="312" t="s">
        <v>107</v>
      </c>
      <c r="J1503" s="312">
        <v>1913</v>
      </c>
      <c r="K1503" s="312" t="s">
        <v>109</v>
      </c>
    </row>
    <row r="1504" spans="1:11">
      <c r="A1504" s="312" t="s">
        <v>1077</v>
      </c>
      <c r="B1504" s="312" t="s">
        <v>1078</v>
      </c>
      <c r="C1504" s="312" t="s">
        <v>105</v>
      </c>
      <c r="D1504" s="312" t="s">
        <v>221</v>
      </c>
      <c r="E1504" s="312" t="s">
        <v>107</v>
      </c>
      <c r="F1504" s="312">
        <v>1825</v>
      </c>
      <c r="G1504" s="312" t="s">
        <v>108</v>
      </c>
      <c r="H1504" s="312">
        <v>1827</v>
      </c>
      <c r="I1504" s="312" t="s">
        <v>107</v>
      </c>
      <c r="J1504" s="312">
        <v>1913</v>
      </c>
      <c r="K1504" s="312" t="s">
        <v>109</v>
      </c>
    </row>
    <row r="1505" spans="1:11">
      <c r="A1505" s="312" t="s">
        <v>1079</v>
      </c>
      <c r="B1505" s="312" t="s">
        <v>1080</v>
      </c>
      <c r="C1505" s="312" t="s">
        <v>105</v>
      </c>
      <c r="D1505" s="312" t="s">
        <v>221</v>
      </c>
      <c r="E1505" s="312" t="s">
        <v>107</v>
      </c>
      <c r="F1505" s="312">
        <v>1825</v>
      </c>
      <c r="G1505" s="312" t="s">
        <v>108</v>
      </c>
      <c r="H1505" s="312">
        <v>1827</v>
      </c>
      <c r="I1505" s="312" t="s">
        <v>107</v>
      </c>
      <c r="J1505" s="312">
        <v>1913</v>
      </c>
      <c r="K1505" s="312" t="s">
        <v>109</v>
      </c>
    </row>
    <row r="1506" spans="1:11">
      <c r="A1506" s="312" t="s">
        <v>1081</v>
      </c>
      <c r="B1506" s="312" t="s">
        <v>1082</v>
      </c>
      <c r="C1506" s="312" t="s">
        <v>105</v>
      </c>
      <c r="D1506" s="312" t="s">
        <v>221</v>
      </c>
      <c r="E1506" s="312" t="s">
        <v>107</v>
      </c>
      <c r="F1506" s="312">
        <v>1825</v>
      </c>
      <c r="G1506" s="312" t="s">
        <v>108</v>
      </c>
      <c r="H1506" s="312">
        <v>1827</v>
      </c>
      <c r="I1506" s="312" t="s">
        <v>107</v>
      </c>
      <c r="J1506" s="312">
        <v>1913</v>
      </c>
      <c r="K1506" s="312" t="s">
        <v>109</v>
      </c>
    </row>
    <row r="1507" spans="1:11">
      <c r="A1507" s="312" t="s">
        <v>1083</v>
      </c>
      <c r="B1507" s="312" t="s">
        <v>1084</v>
      </c>
      <c r="C1507" s="312" t="s">
        <v>105</v>
      </c>
      <c r="D1507" s="312" t="s">
        <v>221</v>
      </c>
      <c r="E1507" s="312" t="s">
        <v>107</v>
      </c>
      <c r="F1507" s="312">
        <v>1825</v>
      </c>
      <c r="G1507" s="312" t="s">
        <v>108</v>
      </c>
      <c r="H1507" s="312">
        <v>1827</v>
      </c>
      <c r="I1507" s="312" t="s">
        <v>107</v>
      </c>
      <c r="J1507" s="312">
        <v>1913</v>
      </c>
      <c r="K1507" s="312" t="s">
        <v>109</v>
      </c>
    </row>
    <row r="1508" spans="1:11">
      <c r="A1508" s="312" t="s">
        <v>1085</v>
      </c>
      <c r="B1508" s="312" t="s">
        <v>1086</v>
      </c>
      <c r="C1508" s="312" t="s">
        <v>105</v>
      </c>
      <c r="D1508" s="312" t="s">
        <v>221</v>
      </c>
      <c r="E1508" s="312" t="s">
        <v>107</v>
      </c>
      <c r="F1508" s="312">
        <v>1825</v>
      </c>
      <c r="G1508" s="312" t="s">
        <v>108</v>
      </c>
      <c r="H1508" s="312">
        <v>1827</v>
      </c>
      <c r="I1508" s="312" t="s">
        <v>107</v>
      </c>
      <c r="J1508" s="312">
        <v>1913</v>
      </c>
      <c r="K1508" s="312" t="s">
        <v>109</v>
      </c>
    </row>
    <row r="1509" spans="1:11">
      <c r="A1509" s="312" t="s">
        <v>1087</v>
      </c>
      <c r="B1509" s="312" t="s">
        <v>1088</v>
      </c>
      <c r="C1509" s="312" t="s">
        <v>105</v>
      </c>
      <c r="D1509" s="312" t="s">
        <v>221</v>
      </c>
      <c r="E1509" s="312" t="s">
        <v>107</v>
      </c>
      <c r="F1509" s="312">
        <v>1825</v>
      </c>
      <c r="G1509" s="312" t="s">
        <v>108</v>
      </c>
      <c r="H1509" s="312">
        <v>1827</v>
      </c>
      <c r="I1509" s="312" t="s">
        <v>107</v>
      </c>
      <c r="J1509" s="312">
        <v>1913</v>
      </c>
      <c r="K1509" s="312" t="s">
        <v>109</v>
      </c>
    </row>
    <row r="1510" spans="1:11">
      <c r="A1510" s="312" t="s">
        <v>1089</v>
      </c>
      <c r="B1510" s="312" t="s">
        <v>1090</v>
      </c>
      <c r="C1510" s="312" t="s">
        <v>105</v>
      </c>
      <c r="D1510" s="312" t="s">
        <v>221</v>
      </c>
      <c r="E1510" s="312" t="s">
        <v>107</v>
      </c>
      <c r="F1510" s="312">
        <v>1825</v>
      </c>
      <c r="G1510" s="312" t="s">
        <v>108</v>
      </c>
      <c r="H1510" s="312">
        <v>1827</v>
      </c>
      <c r="I1510" s="312" t="s">
        <v>107</v>
      </c>
      <c r="J1510" s="312">
        <v>1913</v>
      </c>
      <c r="K1510" s="312" t="s">
        <v>109</v>
      </c>
    </row>
    <row r="1511" spans="1:11">
      <c r="A1511" s="312" t="s">
        <v>1091</v>
      </c>
      <c r="B1511" s="312" t="s">
        <v>1092</v>
      </c>
      <c r="C1511" s="312" t="s">
        <v>105</v>
      </c>
      <c r="D1511" s="312" t="s">
        <v>221</v>
      </c>
      <c r="E1511" s="312" t="s">
        <v>107</v>
      </c>
      <c r="F1511" s="312">
        <v>1825</v>
      </c>
      <c r="G1511" s="312" t="s">
        <v>108</v>
      </c>
      <c r="H1511" s="312">
        <v>1827</v>
      </c>
      <c r="I1511" s="312" t="s">
        <v>107</v>
      </c>
      <c r="J1511" s="312">
        <v>1913</v>
      </c>
      <c r="K1511" s="312" t="s">
        <v>109</v>
      </c>
    </row>
    <row r="1512" spans="1:11">
      <c r="A1512" s="312" t="s">
        <v>1093</v>
      </c>
      <c r="B1512" s="312" t="s">
        <v>1094</v>
      </c>
      <c r="C1512" s="312" t="s">
        <v>105</v>
      </c>
      <c r="D1512" s="312" t="s">
        <v>221</v>
      </c>
      <c r="E1512" s="312" t="s">
        <v>107</v>
      </c>
      <c r="F1512" s="312">
        <v>1825</v>
      </c>
      <c r="G1512" s="312" t="s">
        <v>108</v>
      </c>
      <c r="H1512" s="312">
        <v>1827</v>
      </c>
      <c r="I1512" s="312" t="s">
        <v>107</v>
      </c>
      <c r="J1512" s="312">
        <v>1913</v>
      </c>
      <c r="K1512" s="312" t="s">
        <v>109</v>
      </c>
    </row>
    <row r="1513" spans="1:11">
      <c r="A1513" s="312" t="s">
        <v>1095</v>
      </c>
      <c r="B1513" s="312" t="s">
        <v>1096</v>
      </c>
      <c r="C1513" s="312" t="s">
        <v>105</v>
      </c>
      <c r="D1513" s="312" t="s">
        <v>221</v>
      </c>
      <c r="E1513" s="312" t="s">
        <v>107</v>
      </c>
      <c r="F1513" s="312">
        <v>1825</v>
      </c>
      <c r="G1513" s="312" t="s">
        <v>108</v>
      </c>
      <c r="H1513" s="312">
        <v>1827</v>
      </c>
      <c r="I1513" s="312" t="s">
        <v>107</v>
      </c>
      <c r="J1513" s="312">
        <v>1913</v>
      </c>
      <c r="K1513" s="312" t="s">
        <v>109</v>
      </c>
    </row>
    <row r="1514" spans="1:11">
      <c r="A1514" s="312" t="s">
        <v>1097</v>
      </c>
      <c r="B1514" s="312" t="s">
        <v>1098</v>
      </c>
      <c r="C1514" s="312" t="s">
        <v>105</v>
      </c>
      <c r="D1514" s="312" t="s">
        <v>221</v>
      </c>
      <c r="E1514" s="312" t="s">
        <v>107</v>
      </c>
      <c r="F1514" s="312">
        <v>1825</v>
      </c>
      <c r="G1514" s="312" t="s">
        <v>108</v>
      </c>
      <c r="H1514" s="312">
        <v>1827</v>
      </c>
      <c r="I1514" s="312" t="s">
        <v>107</v>
      </c>
      <c r="J1514" s="312">
        <v>1913</v>
      </c>
      <c r="K1514" s="312" t="s">
        <v>109</v>
      </c>
    </row>
    <row r="1515" spans="1:11">
      <c r="A1515" s="312" t="s">
        <v>1099</v>
      </c>
      <c r="B1515" s="312" t="s">
        <v>1100</v>
      </c>
      <c r="C1515" s="312" t="s">
        <v>105</v>
      </c>
      <c r="D1515" s="312" t="s">
        <v>221</v>
      </c>
      <c r="E1515" s="312" t="s">
        <v>107</v>
      </c>
      <c r="F1515" s="312">
        <v>1825</v>
      </c>
      <c r="G1515" s="312" t="s">
        <v>108</v>
      </c>
      <c r="H1515" s="312">
        <v>1827</v>
      </c>
      <c r="I1515" s="312" t="s">
        <v>107</v>
      </c>
      <c r="J1515" s="312">
        <v>1913</v>
      </c>
      <c r="K1515" s="312" t="s">
        <v>109</v>
      </c>
    </row>
    <row r="1516" spans="1:11">
      <c r="A1516" s="312" t="s">
        <v>1101</v>
      </c>
      <c r="B1516" s="312" t="s">
        <v>1102</v>
      </c>
      <c r="C1516" s="312" t="s">
        <v>105</v>
      </c>
      <c r="D1516" s="312" t="s">
        <v>221</v>
      </c>
      <c r="E1516" s="312" t="s">
        <v>107</v>
      </c>
      <c r="F1516" s="312">
        <v>1825</v>
      </c>
      <c r="G1516" s="312" t="s">
        <v>108</v>
      </c>
      <c r="H1516" s="312">
        <v>1827</v>
      </c>
      <c r="I1516" s="312" t="s">
        <v>107</v>
      </c>
      <c r="J1516" s="312">
        <v>1913</v>
      </c>
      <c r="K1516" s="312" t="s">
        <v>109</v>
      </c>
    </row>
    <row r="1517" spans="1:11">
      <c r="A1517" s="312" t="s">
        <v>1103</v>
      </c>
      <c r="B1517" s="312" t="s">
        <v>1104</v>
      </c>
      <c r="C1517" s="312" t="s">
        <v>105</v>
      </c>
      <c r="D1517" s="312" t="s">
        <v>221</v>
      </c>
      <c r="E1517" s="312" t="s">
        <v>107</v>
      </c>
      <c r="F1517" s="312">
        <v>1825</v>
      </c>
      <c r="G1517" s="312" t="s">
        <v>108</v>
      </c>
      <c r="H1517" s="312">
        <v>1827</v>
      </c>
      <c r="I1517" s="312" t="s">
        <v>107</v>
      </c>
      <c r="J1517" s="312">
        <v>1913</v>
      </c>
      <c r="K1517" s="312" t="s">
        <v>109</v>
      </c>
    </row>
    <row r="1518" spans="1:11">
      <c r="A1518" s="312" t="s">
        <v>1105</v>
      </c>
      <c r="B1518" s="312" t="s">
        <v>1106</v>
      </c>
      <c r="C1518" s="312" t="s">
        <v>105</v>
      </c>
      <c r="D1518" s="312" t="s">
        <v>221</v>
      </c>
      <c r="E1518" s="312" t="s">
        <v>107</v>
      </c>
      <c r="F1518" s="312">
        <v>1825</v>
      </c>
      <c r="G1518" s="312" t="s">
        <v>108</v>
      </c>
      <c r="H1518" s="312">
        <v>1827</v>
      </c>
      <c r="I1518" s="312" t="s">
        <v>107</v>
      </c>
      <c r="J1518" s="312">
        <v>1913</v>
      </c>
      <c r="K1518" s="312" t="s">
        <v>109</v>
      </c>
    </row>
    <row r="1519" spans="1:11">
      <c r="A1519" s="312" t="s">
        <v>1107</v>
      </c>
      <c r="B1519" s="312" t="s">
        <v>1108</v>
      </c>
      <c r="C1519" s="312" t="s">
        <v>105</v>
      </c>
      <c r="D1519" s="312" t="s">
        <v>221</v>
      </c>
      <c r="E1519" s="312" t="s">
        <v>107</v>
      </c>
      <c r="F1519" s="312">
        <v>1825</v>
      </c>
      <c r="G1519" s="312" t="s">
        <v>108</v>
      </c>
      <c r="H1519" s="312">
        <v>1827</v>
      </c>
      <c r="I1519" s="312" t="s">
        <v>107</v>
      </c>
      <c r="J1519" s="312">
        <v>1913</v>
      </c>
      <c r="K1519" s="312" t="s">
        <v>109</v>
      </c>
    </row>
    <row r="1520" spans="1:11">
      <c r="A1520" s="312" t="s">
        <v>1109</v>
      </c>
      <c r="B1520" s="312" t="s">
        <v>1110</v>
      </c>
      <c r="C1520" s="312" t="s">
        <v>105</v>
      </c>
      <c r="D1520" s="312" t="s">
        <v>221</v>
      </c>
      <c r="E1520" s="312" t="s">
        <v>107</v>
      </c>
      <c r="F1520" s="312">
        <v>1825</v>
      </c>
      <c r="G1520" s="312" t="s">
        <v>108</v>
      </c>
      <c r="H1520" s="312">
        <v>1827</v>
      </c>
      <c r="I1520" s="312" t="s">
        <v>107</v>
      </c>
      <c r="J1520" s="312">
        <v>1913</v>
      </c>
      <c r="K1520" s="312" t="s">
        <v>109</v>
      </c>
    </row>
    <row r="1521" spans="1:11">
      <c r="A1521" s="312" t="s">
        <v>1111</v>
      </c>
      <c r="B1521" s="312" t="s">
        <v>1112</v>
      </c>
      <c r="C1521" s="312" t="s">
        <v>105</v>
      </c>
      <c r="D1521" s="312" t="s">
        <v>221</v>
      </c>
      <c r="E1521" s="312" t="s">
        <v>107</v>
      </c>
      <c r="F1521" s="312">
        <v>1825</v>
      </c>
      <c r="G1521" s="312" t="s">
        <v>108</v>
      </c>
      <c r="H1521" s="312">
        <v>1827</v>
      </c>
      <c r="I1521" s="312" t="s">
        <v>107</v>
      </c>
      <c r="J1521" s="312">
        <v>1913</v>
      </c>
      <c r="K1521" s="312" t="s">
        <v>109</v>
      </c>
    </row>
    <row r="1522" spans="1:11">
      <c r="A1522" s="312" t="s">
        <v>1113</v>
      </c>
      <c r="B1522" s="312" t="s">
        <v>1114</v>
      </c>
      <c r="C1522" s="312" t="s">
        <v>105</v>
      </c>
      <c r="D1522" s="312" t="s">
        <v>221</v>
      </c>
      <c r="E1522" s="312" t="s">
        <v>107</v>
      </c>
      <c r="F1522" s="312">
        <v>1825</v>
      </c>
      <c r="G1522" s="312" t="s">
        <v>108</v>
      </c>
      <c r="H1522" s="312">
        <v>1827</v>
      </c>
      <c r="I1522" s="312" t="s">
        <v>107</v>
      </c>
      <c r="J1522" s="312">
        <v>1913</v>
      </c>
      <c r="K1522" s="312" t="s">
        <v>109</v>
      </c>
    </row>
    <row r="1523" spans="1:11">
      <c r="A1523" s="312" t="s">
        <v>1115</v>
      </c>
      <c r="B1523" s="312" t="s">
        <v>1116</v>
      </c>
      <c r="C1523" s="312" t="s">
        <v>105</v>
      </c>
      <c r="D1523" s="312" t="s">
        <v>221</v>
      </c>
      <c r="E1523" s="312" t="s">
        <v>107</v>
      </c>
      <c r="F1523" s="312">
        <v>1825</v>
      </c>
      <c r="G1523" s="312" t="s">
        <v>108</v>
      </c>
      <c r="H1523" s="312">
        <v>1827</v>
      </c>
      <c r="I1523" s="312" t="s">
        <v>107</v>
      </c>
      <c r="J1523" s="312">
        <v>1913</v>
      </c>
      <c r="K1523" s="312" t="s">
        <v>109</v>
      </c>
    </row>
    <row r="1524" spans="1:11">
      <c r="A1524" s="312" t="s">
        <v>1117</v>
      </c>
      <c r="B1524" s="312" t="s">
        <v>1118</v>
      </c>
      <c r="C1524" s="312" t="s">
        <v>105</v>
      </c>
      <c r="D1524" s="312" t="s">
        <v>221</v>
      </c>
      <c r="E1524" s="312" t="s">
        <v>107</v>
      </c>
      <c r="F1524" s="312">
        <v>1825</v>
      </c>
      <c r="G1524" s="312" t="s">
        <v>108</v>
      </c>
      <c r="H1524" s="312">
        <v>1827</v>
      </c>
      <c r="I1524" s="312" t="s">
        <v>107</v>
      </c>
      <c r="J1524" s="312">
        <v>1913</v>
      </c>
      <c r="K1524" s="312" t="s">
        <v>109</v>
      </c>
    </row>
    <row r="1525" spans="1:11">
      <c r="A1525" s="312" t="s">
        <v>1119</v>
      </c>
      <c r="B1525" s="312" t="s">
        <v>1120</v>
      </c>
      <c r="C1525" s="312" t="s">
        <v>105</v>
      </c>
      <c r="D1525" s="312" t="s">
        <v>221</v>
      </c>
      <c r="E1525" s="312" t="s">
        <v>107</v>
      </c>
      <c r="F1525" s="312">
        <v>1825</v>
      </c>
      <c r="G1525" s="312" t="s">
        <v>108</v>
      </c>
      <c r="H1525" s="312">
        <v>1827</v>
      </c>
      <c r="I1525" s="312" t="s">
        <v>107</v>
      </c>
      <c r="J1525" s="312">
        <v>1913</v>
      </c>
      <c r="K1525" s="312" t="s">
        <v>109</v>
      </c>
    </row>
    <row r="1526" spans="1:11">
      <c r="A1526" s="312" t="s">
        <v>1121</v>
      </c>
      <c r="B1526" s="312" t="s">
        <v>1122</v>
      </c>
      <c r="C1526" s="312" t="s">
        <v>105</v>
      </c>
      <c r="D1526" s="312" t="s">
        <v>221</v>
      </c>
      <c r="E1526" s="312" t="s">
        <v>107</v>
      </c>
      <c r="F1526" s="312">
        <v>1825</v>
      </c>
      <c r="G1526" s="312" t="s">
        <v>108</v>
      </c>
      <c r="H1526" s="312">
        <v>1827</v>
      </c>
      <c r="I1526" s="312" t="s">
        <v>107</v>
      </c>
      <c r="J1526" s="312">
        <v>1913</v>
      </c>
      <c r="K1526" s="312" t="s">
        <v>109</v>
      </c>
    </row>
    <row r="1527" spans="1:11">
      <c r="A1527" s="312" t="s">
        <v>1123</v>
      </c>
      <c r="B1527" s="312" t="s">
        <v>1124</v>
      </c>
      <c r="C1527" s="312" t="s">
        <v>105</v>
      </c>
      <c r="D1527" s="312" t="s">
        <v>221</v>
      </c>
      <c r="E1527" s="312" t="s">
        <v>107</v>
      </c>
      <c r="F1527" s="312">
        <v>1825</v>
      </c>
      <c r="G1527" s="312" t="s">
        <v>108</v>
      </c>
      <c r="H1527" s="312">
        <v>1827</v>
      </c>
      <c r="I1527" s="312" t="s">
        <v>107</v>
      </c>
      <c r="J1527" s="312">
        <v>1913</v>
      </c>
      <c r="K1527" s="312" t="s">
        <v>109</v>
      </c>
    </row>
    <row r="1528" spans="1:11">
      <c r="A1528" s="312" t="s">
        <v>1125</v>
      </c>
      <c r="B1528" s="312" t="s">
        <v>1126</v>
      </c>
      <c r="C1528" s="312" t="s">
        <v>105</v>
      </c>
      <c r="D1528" s="312" t="s">
        <v>221</v>
      </c>
      <c r="E1528" s="312" t="s">
        <v>107</v>
      </c>
      <c r="F1528" s="312">
        <v>1825</v>
      </c>
      <c r="G1528" s="312" t="s">
        <v>108</v>
      </c>
      <c r="H1528" s="312">
        <v>1827</v>
      </c>
      <c r="I1528" s="312" t="s">
        <v>107</v>
      </c>
      <c r="J1528" s="312">
        <v>1913</v>
      </c>
      <c r="K1528" s="312" t="s">
        <v>109</v>
      </c>
    </row>
    <row r="1529" spans="1:11">
      <c r="A1529" s="312" t="s">
        <v>1251</v>
      </c>
      <c r="B1529" s="312" t="s">
        <v>1252</v>
      </c>
      <c r="C1529" s="312" t="s">
        <v>105</v>
      </c>
      <c r="D1529" s="312" t="s">
        <v>221</v>
      </c>
      <c r="E1529" s="312" t="s">
        <v>107</v>
      </c>
      <c r="F1529" s="312">
        <v>1825</v>
      </c>
      <c r="G1529" s="312" t="s">
        <v>108</v>
      </c>
      <c r="H1529" s="312">
        <v>1827</v>
      </c>
      <c r="I1529" s="312" t="s">
        <v>107</v>
      </c>
      <c r="J1529" s="312">
        <v>1913</v>
      </c>
      <c r="K1529" s="312" t="s">
        <v>109</v>
      </c>
    </row>
    <row r="1530" spans="1:11">
      <c r="A1530" s="312" t="s">
        <v>1461</v>
      </c>
      <c r="B1530" s="312" t="s">
        <v>1462</v>
      </c>
      <c r="C1530" s="312" t="s">
        <v>105</v>
      </c>
      <c r="D1530" s="312" t="s">
        <v>221</v>
      </c>
      <c r="E1530" s="312" t="s">
        <v>107</v>
      </c>
      <c r="F1530" s="312">
        <v>1825</v>
      </c>
      <c r="G1530" s="312" t="s">
        <v>108</v>
      </c>
      <c r="H1530" s="312">
        <v>1827</v>
      </c>
      <c r="I1530" s="312" t="s">
        <v>107</v>
      </c>
      <c r="J1530" s="312">
        <v>1913</v>
      </c>
      <c r="K1530" s="312" t="s">
        <v>109</v>
      </c>
    </row>
    <row r="1531" spans="1:11">
      <c r="A1531" s="312" t="s">
        <v>1463</v>
      </c>
      <c r="B1531" s="312" t="s">
        <v>1464</v>
      </c>
      <c r="C1531" s="312" t="s">
        <v>105</v>
      </c>
      <c r="D1531" s="312" t="s">
        <v>221</v>
      </c>
      <c r="E1531" s="312" t="s">
        <v>107</v>
      </c>
      <c r="F1531" s="312">
        <v>1825</v>
      </c>
      <c r="G1531" s="312" t="s">
        <v>108</v>
      </c>
      <c r="H1531" s="312">
        <v>1827</v>
      </c>
      <c r="I1531" s="312" t="s">
        <v>107</v>
      </c>
      <c r="J1531" s="312">
        <v>1913</v>
      </c>
      <c r="K1531" s="312" t="s">
        <v>109</v>
      </c>
    </row>
    <row r="1532" spans="1:11">
      <c r="A1532" s="312" t="s">
        <v>2376</v>
      </c>
      <c r="B1532" s="312" t="s">
        <v>2377</v>
      </c>
      <c r="C1532" s="312" t="s">
        <v>105</v>
      </c>
      <c r="D1532" s="312" t="s">
        <v>221</v>
      </c>
      <c r="E1532" s="312" t="s">
        <v>107</v>
      </c>
      <c r="F1532" s="312">
        <v>1825</v>
      </c>
      <c r="G1532" s="312" t="s">
        <v>108</v>
      </c>
      <c r="H1532" s="312">
        <v>1827</v>
      </c>
      <c r="I1532" s="312" t="s">
        <v>107</v>
      </c>
      <c r="J1532" s="312">
        <v>1913</v>
      </c>
      <c r="K1532" s="312" t="s">
        <v>109</v>
      </c>
    </row>
    <row r="1533" spans="1:11">
      <c r="A1533" s="312" t="s">
        <v>2378</v>
      </c>
      <c r="B1533" s="312" t="s">
        <v>2379</v>
      </c>
      <c r="C1533" s="312" t="s">
        <v>105</v>
      </c>
      <c r="D1533" s="312" t="s">
        <v>221</v>
      </c>
      <c r="E1533" s="312" t="s">
        <v>107</v>
      </c>
      <c r="F1533" s="312">
        <v>1825</v>
      </c>
      <c r="G1533" s="312" t="s">
        <v>108</v>
      </c>
      <c r="H1533" s="312">
        <v>1827</v>
      </c>
      <c r="I1533" s="312" t="s">
        <v>107</v>
      </c>
      <c r="J1533" s="312">
        <v>1913</v>
      </c>
      <c r="K1533" s="312" t="s">
        <v>109</v>
      </c>
    </row>
    <row r="1534" spans="1:11">
      <c r="A1534" s="312" t="s">
        <v>2719</v>
      </c>
      <c r="B1534" s="312" t="s">
        <v>2720</v>
      </c>
      <c r="C1534" s="312" t="s">
        <v>105</v>
      </c>
      <c r="D1534" s="312" t="s">
        <v>221</v>
      </c>
      <c r="E1534" s="312" t="s">
        <v>107</v>
      </c>
      <c r="F1534" s="312">
        <v>1825</v>
      </c>
      <c r="G1534" s="312" t="s">
        <v>108</v>
      </c>
      <c r="H1534" s="312">
        <v>1827</v>
      </c>
      <c r="I1534" s="312" t="s">
        <v>107</v>
      </c>
      <c r="J1534" s="312">
        <v>1913</v>
      </c>
      <c r="K1534" s="312" t="s">
        <v>109</v>
      </c>
    </row>
    <row r="1535" spans="1:11">
      <c r="A1535" s="312" t="s">
        <v>2943</v>
      </c>
      <c r="B1535" s="1" t="s">
        <v>2944</v>
      </c>
      <c r="C1535" s="312" t="s">
        <v>105</v>
      </c>
      <c r="D1535" s="312" t="s">
        <v>221</v>
      </c>
      <c r="E1535" s="312" t="s">
        <v>107</v>
      </c>
      <c r="F1535" s="312">
        <v>1825</v>
      </c>
      <c r="G1535" s="312" t="s">
        <v>108</v>
      </c>
      <c r="H1535" s="312">
        <v>1827</v>
      </c>
      <c r="I1535" s="312" t="s">
        <v>107</v>
      </c>
      <c r="J1535" s="312">
        <v>1913</v>
      </c>
      <c r="K1535" s="312" t="s">
        <v>109</v>
      </c>
    </row>
    <row r="1536" spans="1:11">
      <c r="A1536" s="312" t="s">
        <v>2968</v>
      </c>
      <c r="B1536" s="312" t="s">
        <v>2969</v>
      </c>
      <c r="C1536" s="312" t="s">
        <v>105</v>
      </c>
      <c r="D1536" s="312" t="s">
        <v>221</v>
      </c>
      <c r="E1536" s="312" t="s">
        <v>107</v>
      </c>
      <c r="F1536" s="312">
        <v>1825</v>
      </c>
      <c r="G1536" s="312" t="s">
        <v>108</v>
      </c>
      <c r="H1536" s="312">
        <v>1827</v>
      </c>
      <c r="I1536" s="312" t="s">
        <v>107</v>
      </c>
      <c r="J1536" s="312">
        <v>1913</v>
      </c>
      <c r="K1536" s="312" t="s">
        <v>109</v>
      </c>
    </row>
    <row r="1537" spans="1:11">
      <c r="A1537" s="312" t="s">
        <v>2970</v>
      </c>
      <c r="B1537" s="312" t="s">
        <v>2971</v>
      </c>
      <c r="C1537" s="312" t="s">
        <v>105</v>
      </c>
      <c r="D1537" s="312" t="s">
        <v>221</v>
      </c>
      <c r="E1537" s="312" t="s">
        <v>107</v>
      </c>
      <c r="F1537" s="312">
        <v>1825</v>
      </c>
      <c r="G1537" s="312" t="s">
        <v>108</v>
      </c>
      <c r="H1537" s="312">
        <v>1827</v>
      </c>
      <c r="I1537" s="312" t="s">
        <v>107</v>
      </c>
      <c r="J1537" s="312">
        <v>1913</v>
      </c>
      <c r="K1537" s="312" t="s">
        <v>109</v>
      </c>
    </row>
    <row r="1538" spans="1:11">
      <c r="A1538" s="312" t="s">
        <v>2972</v>
      </c>
      <c r="B1538" s="312" t="s">
        <v>2973</v>
      </c>
      <c r="C1538" s="312" t="s">
        <v>105</v>
      </c>
      <c r="D1538" s="312" t="s">
        <v>221</v>
      </c>
      <c r="E1538" s="312" t="s">
        <v>107</v>
      </c>
      <c r="F1538" s="312">
        <v>1825</v>
      </c>
      <c r="G1538" s="312" t="s">
        <v>108</v>
      </c>
      <c r="H1538" s="312">
        <v>1827</v>
      </c>
      <c r="I1538" s="312" t="s">
        <v>107</v>
      </c>
      <c r="J1538" s="312">
        <v>1913</v>
      </c>
      <c r="K1538" s="312" t="s">
        <v>109</v>
      </c>
    </row>
    <row r="1539" spans="1:11">
      <c r="A1539" s="312" t="s">
        <v>2974</v>
      </c>
      <c r="B1539" s="312" t="s">
        <v>2975</v>
      </c>
      <c r="C1539" s="312" t="s">
        <v>105</v>
      </c>
      <c r="D1539" s="312" t="s">
        <v>221</v>
      </c>
      <c r="E1539" s="312" t="s">
        <v>107</v>
      </c>
      <c r="F1539" s="312">
        <v>1825</v>
      </c>
      <c r="G1539" s="312" t="s">
        <v>108</v>
      </c>
      <c r="H1539" s="312">
        <v>1827</v>
      </c>
      <c r="I1539" s="312" t="s">
        <v>107</v>
      </c>
      <c r="J1539" s="312">
        <v>1913</v>
      </c>
      <c r="K1539" s="312" t="s">
        <v>109</v>
      </c>
    </row>
    <row r="1540" spans="1:11">
      <c r="A1540" s="312" t="s">
        <v>4105</v>
      </c>
      <c r="B1540" s="312" t="s">
        <v>4106</v>
      </c>
      <c r="C1540" s="312" t="s">
        <v>105</v>
      </c>
      <c r="D1540" s="312" t="s">
        <v>221</v>
      </c>
      <c r="E1540" s="312" t="s">
        <v>107</v>
      </c>
      <c r="F1540" s="312">
        <v>1825</v>
      </c>
      <c r="G1540" s="312" t="s">
        <v>108</v>
      </c>
      <c r="H1540" s="312">
        <v>1827</v>
      </c>
      <c r="I1540" s="312" t="s">
        <v>107</v>
      </c>
      <c r="J1540" s="312">
        <v>1913</v>
      </c>
      <c r="K1540" s="312" t="s">
        <v>109</v>
      </c>
    </row>
    <row r="1541" spans="1:11">
      <c r="A1541" s="312" t="s">
        <v>4469</v>
      </c>
      <c r="B1541" s="312" t="s">
        <v>4470</v>
      </c>
      <c r="C1541" s="312" t="s">
        <v>105</v>
      </c>
      <c r="D1541" s="312" t="s">
        <v>221</v>
      </c>
      <c r="E1541" s="312" t="s">
        <v>107</v>
      </c>
      <c r="F1541" s="312">
        <v>1825</v>
      </c>
      <c r="G1541" s="312" t="s">
        <v>108</v>
      </c>
      <c r="H1541" s="312">
        <v>1827</v>
      </c>
      <c r="I1541" s="312" t="s">
        <v>107</v>
      </c>
      <c r="J1541" s="312">
        <v>1913</v>
      </c>
      <c r="K1541" s="312" t="s">
        <v>109</v>
      </c>
    </row>
    <row r="1542" spans="1:11">
      <c r="A1542" s="312" t="s">
        <v>4471</v>
      </c>
      <c r="B1542" s="312" t="s">
        <v>4472</v>
      </c>
      <c r="C1542" s="312" t="s">
        <v>105</v>
      </c>
      <c r="D1542" s="312" t="s">
        <v>221</v>
      </c>
      <c r="E1542" s="312" t="s">
        <v>107</v>
      </c>
      <c r="F1542" s="312">
        <v>1825</v>
      </c>
      <c r="G1542" s="312" t="s">
        <v>108</v>
      </c>
      <c r="H1542" s="312">
        <v>1827</v>
      </c>
      <c r="I1542" s="312" t="s">
        <v>107</v>
      </c>
      <c r="J1542" s="312">
        <v>1913</v>
      </c>
      <c r="K1542" s="312" t="s">
        <v>109</v>
      </c>
    </row>
    <row r="1543" spans="1:11">
      <c r="A1543" s="312" t="s">
        <v>4473</v>
      </c>
      <c r="B1543" s="312" t="s">
        <v>4474</v>
      </c>
      <c r="C1543" s="312" t="s">
        <v>105</v>
      </c>
      <c r="D1543" s="312" t="s">
        <v>221</v>
      </c>
      <c r="E1543" s="312" t="s">
        <v>107</v>
      </c>
      <c r="F1543" s="312">
        <v>1825</v>
      </c>
      <c r="G1543" s="312" t="s">
        <v>108</v>
      </c>
      <c r="H1543" s="312">
        <v>1827</v>
      </c>
      <c r="I1543" s="312" t="s">
        <v>107</v>
      </c>
      <c r="J1543" s="312">
        <v>1913</v>
      </c>
      <c r="K1543" s="312" t="s">
        <v>109</v>
      </c>
    </row>
    <row r="1544" spans="1:11">
      <c r="A1544" s="312" t="s">
        <v>4821</v>
      </c>
      <c r="B1544" s="312" t="s">
        <v>4822</v>
      </c>
      <c r="C1544" s="312" t="s">
        <v>105</v>
      </c>
      <c r="D1544" s="312" t="s">
        <v>221</v>
      </c>
      <c r="E1544" s="312" t="s">
        <v>107</v>
      </c>
      <c r="F1544" s="312">
        <v>1825</v>
      </c>
      <c r="G1544" s="312" t="s">
        <v>108</v>
      </c>
      <c r="H1544" s="312">
        <v>1827</v>
      </c>
      <c r="I1544" s="312" t="s">
        <v>107</v>
      </c>
      <c r="J1544" s="312">
        <v>1913</v>
      </c>
      <c r="K1544" s="312" t="s">
        <v>109</v>
      </c>
    </row>
    <row r="1545" spans="1:11">
      <c r="A1545" s="312" t="s">
        <v>5218</v>
      </c>
      <c r="B1545" s="312" t="s">
        <v>5219</v>
      </c>
      <c r="C1545" s="312" t="s">
        <v>105</v>
      </c>
      <c r="D1545" s="312" t="s">
        <v>221</v>
      </c>
      <c r="E1545" s="312" t="s">
        <v>107</v>
      </c>
      <c r="F1545" s="312">
        <v>1825</v>
      </c>
      <c r="G1545" s="312" t="s">
        <v>108</v>
      </c>
      <c r="H1545" s="312">
        <v>1827</v>
      </c>
      <c r="I1545" s="312" t="s">
        <v>107</v>
      </c>
      <c r="J1545" s="312">
        <v>1913</v>
      </c>
      <c r="K1545" s="312" t="s">
        <v>109</v>
      </c>
    </row>
    <row r="1546" spans="1:11">
      <c r="A1546" s="312" t="s">
        <v>5310</v>
      </c>
      <c r="B1546" s="312" t="s">
        <v>5311</v>
      </c>
      <c r="C1546" s="312" t="s">
        <v>105</v>
      </c>
      <c r="D1546" s="312" t="s">
        <v>221</v>
      </c>
      <c r="E1546" s="312" t="s">
        <v>107</v>
      </c>
      <c r="F1546" s="312">
        <v>1825</v>
      </c>
      <c r="G1546" s="312" t="s">
        <v>108</v>
      </c>
      <c r="H1546" s="312">
        <v>1827</v>
      </c>
      <c r="I1546" s="312" t="s">
        <v>107</v>
      </c>
      <c r="J1546" s="312">
        <v>1913</v>
      </c>
      <c r="K1546" s="312" t="s">
        <v>109</v>
      </c>
    </row>
    <row r="1547" spans="1:11">
      <c r="A1547" s="312" t="s">
        <v>433</v>
      </c>
      <c r="B1547" s="312" t="s">
        <v>434</v>
      </c>
      <c r="C1547" s="312" t="s">
        <v>105</v>
      </c>
      <c r="D1547" s="312" t="s">
        <v>435</v>
      </c>
      <c r="E1547" s="312" t="s">
        <v>107</v>
      </c>
      <c r="F1547" s="312">
        <v>1825</v>
      </c>
      <c r="G1547" s="312" t="s">
        <v>108</v>
      </c>
      <c r="H1547" s="312">
        <v>1827</v>
      </c>
      <c r="I1547" s="312" t="s">
        <v>107</v>
      </c>
      <c r="J1547" s="312">
        <v>1913</v>
      </c>
      <c r="K1547" s="312" t="s">
        <v>109</v>
      </c>
    </row>
    <row r="1548" spans="1:11">
      <c r="A1548" s="312" t="s">
        <v>518</v>
      </c>
      <c r="B1548" s="312" t="s">
        <v>519</v>
      </c>
      <c r="C1548" s="312" t="s">
        <v>105</v>
      </c>
      <c r="D1548" s="312" t="s">
        <v>435</v>
      </c>
      <c r="E1548" s="312" t="s">
        <v>107</v>
      </c>
      <c r="F1548" s="312">
        <v>1825</v>
      </c>
      <c r="G1548" s="312" t="s">
        <v>108</v>
      </c>
      <c r="H1548" s="312">
        <v>1827</v>
      </c>
      <c r="I1548" s="312" t="s">
        <v>107</v>
      </c>
      <c r="J1548" s="312">
        <v>1913</v>
      </c>
      <c r="K1548" s="312" t="s">
        <v>109</v>
      </c>
    </row>
    <row r="1549" spans="1:11">
      <c r="A1549" s="312" t="s">
        <v>1055</v>
      </c>
      <c r="B1549" s="312" t="s">
        <v>1056</v>
      </c>
      <c r="C1549" s="312" t="s">
        <v>105</v>
      </c>
      <c r="D1549" s="312" t="s">
        <v>435</v>
      </c>
      <c r="E1549" s="312" t="s">
        <v>107</v>
      </c>
      <c r="F1549" s="312">
        <v>1825</v>
      </c>
      <c r="G1549" s="312" t="s">
        <v>108</v>
      </c>
      <c r="H1549" s="312">
        <v>1827</v>
      </c>
      <c r="I1549" s="312" t="s">
        <v>107</v>
      </c>
      <c r="J1549" s="312">
        <v>1913</v>
      </c>
      <c r="K1549" s="312" t="s">
        <v>109</v>
      </c>
    </row>
    <row r="1550" spans="1:11">
      <c r="A1550" s="312" t="s">
        <v>1061</v>
      </c>
      <c r="B1550" s="312" t="s">
        <v>1062</v>
      </c>
      <c r="C1550" s="312" t="s">
        <v>105</v>
      </c>
      <c r="D1550" s="312" t="s">
        <v>435</v>
      </c>
      <c r="E1550" s="312" t="s">
        <v>684</v>
      </c>
      <c r="F1550" s="312">
        <v>1750</v>
      </c>
      <c r="G1550" s="312" t="s">
        <v>685</v>
      </c>
      <c r="H1550" s="312">
        <v>1754</v>
      </c>
      <c r="I1550" s="312" t="s">
        <v>684</v>
      </c>
      <c r="J1550" s="312">
        <v>1920</v>
      </c>
      <c r="K1550" s="312" t="s">
        <v>686</v>
      </c>
    </row>
    <row r="1551" spans="1:11">
      <c r="A1551" s="312" t="s">
        <v>1063</v>
      </c>
      <c r="B1551" s="312" t="s">
        <v>1064</v>
      </c>
      <c r="C1551" s="312" t="s">
        <v>105</v>
      </c>
      <c r="D1551" s="312" t="s">
        <v>435</v>
      </c>
      <c r="E1551" s="312" t="s">
        <v>107</v>
      </c>
      <c r="F1551" s="312">
        <v>1825</v>
      </c>
      <c r="G1551" s="312" t="s">
        <v>108</v>
      </c>
      <c r="H1551" s="312">
        <v>1827</v>
      </c>
      <c r="I1551" s="312" t="s">
        <v>107</v>
      </c>
      <c r="J1551" s="312">
        <v>1913</v>
      </c>
      <c r="K1551" s="312" t="s">
        <v>109</v>
      </c>
    </row>
    <row r="1552" spans="1:11">
      <c r="A1552" s="312" t="s">
        <v>1341</v>
      </c>
      <c r="B1552" s="312" t="s">
        <v>1342</v>
      </c>
      <c r="C1552" s="312" t="s">
        <v>105</v>
      </c>
      <c r="D1552" s="312" t="s">
        <v>435</v>
      </c>
      <c r="E1552" s="312" t="s">
        <v>107</v>
      </c>
      <c r="F1552" s="312">
        <v>1825</v>
      </c>
      <c r="G1552" s="312" t="s">
        <v>108</v>
      </c>
      <c r="H1552" s="312">
        <v>1827</v>
      </c>
      <c r="I1552" s="312" t="s">
        <v>107</v>
      </c>
      <c r="J1552" s="312">
        <v>1913</v>
      </c>
      <c r="K1552" s="312" t="s">
        <v>109</v>
      </c>
    </row>
    <row r="1553" spans="1:11">
      <c r="A1553" s="312" t="s">
        <v>1345</v>
      </c>
      <c r="B1553" s="312" t="s">
        <v>1346</v>
      </c>
      <c r="C1553" s="312" t="s">
        <v>105</v>
      </c>
      <c r="D1553" s="312" t="s">
        <v>435</v>
      </c>
      <c r="E1553" s="312" t="s">
        <v>107</v>
      </c>
      <c r="F1553" s="312">
        <v>1825</v>
      </c>
      <c r="G1553" s="312" t="s">
        <v>108</v>
      </c>
      <c r="H1553" s="312">
        <v>1827</v>
      </c>
      <c r="I1553" s="312" t="s">
        <v>107</v>
      </c>
      <c r="J1553" s="312">
        <v>1913</v>
      </c>
      <c r="K1553" s="312" t="s">
        <v>109</v>
      </c>
    </row>
    <row r="1554" spans="1:11">
      <c r="A1554" s="312" t="s">
        <v>1347</v>
      </c>
      <c r="B1554" s="312" t="s">
        <v>1348</v>
      </c>
      <c r="C1554" s="312" t="s">
        <v>105</v>
      </c>
      <c r="D1554" s="312" t="s">
        <v>435</v>
      </c>
      <c r="E1554" s="312" t="s">
        <v>684</v>
      </c>
      <c r="F1554" s="312">
        <v>1750</v>
      </c>
      <c r="G1554" s="312" t="s">
        <v>685</v>
      </c>
      <c r="H1554" s="312">
        <v>1754</v>
      </c>
      <c r="I1554" s="312" t="s">
        <v>684</v>
      </c>
      <c r="J1554" s="312">
        <v>1920</v>
      </c>
      <c r="K1554" s="312" t="s">
        <v>686</v>
      </c>
    </row>
    <row r="1555" spans="1:11">
      <c r="A1555" s="312" t="s">
        <v>1349</v>
      </c>
      <c r="B1555" s="1" t="s">
        <v>1350</v>
      </c>
      <c r="C1555" s="312" t="s">
        <v>105</v>
      </c>
      <c r="D1555" s="312" t="s">
        <v>435</v>
      </c>
      <c r="E1555" s="312" t="s">
        <v>684</v>
      </c>
      <c r="F1555" s="312">
        <v>1750</v>
      </c>
      <c r="G1555" s="312" t="s">
        <v>685</v>
      </c>
      <c r="H1555" s="312">
        <v>1754</v>
      </c>
      <c r="I1555" s="312" t="s">
        <v>684</v>
      </c>
      <c r="J1555" s="312">
        <v>1920</v>
      </c>
      <c r="K1555" s="312" t="s">
        <v>686</v>
      </c>
    </row>
    <row r="1556" spans="1:11">
      <c r="A1556" s="312" t="s">
        <v>1351</v>
      </c>
      <c r="B1556" s="312" t="s">
        <v>1352</v>
      </c>
      <c r="C1556" s="312" t="s">
        <v>105</v>
      </c>
      <c r="D1556" s="312" t="s">
        <v>435</v>
      </c>
      <c r="E1556" s="312" t="s">
        <v>684</v>
      </c>
      <c r="F1556" s="312">
        <v>1750</v>
      </c>
      <c r="G1556" s="312" t="s">
        <v>685</v>
      </c>
      <c r="H1556" s="312">
        <v>1754</v>
      </c>
      <c r="I1556" s="312" t="s">
        <v>684</v>
      </c>
      <c r="J1556" s="312">
        <v>1920</v>
      </c>
      <c r="K1556" s="312" t="s">
        <v>686</v>
      </c>
    </row>
    <row r="1557" spans="1:11">
      <c r="A1557" s="312" t="s">
        <v>1353</v>
      </c>
      <c r="B1557" s="312" t="s">
        <v>1354</v>
      </c>
      <c r="C1557" s="312" t="s">
        <v>105</v>
      </c>
      <c r="D1557" s="312" t="s">
        <v>435</v>
      </c>
      <c r="E1557" s="312" t="s">
        <v>684</v>
      </c>
      <c r="F1557" s="312">
        <v>1750</v>
      </c>
      <c r="G1557" s="312" t="s">
        <v>685</v>
      </c>
      <c r="H1557" s="312">
        <v>1754</v>
      </c>
      <c r="I1557" s="312" t="s">
        <v>684</v>
      </c>
      <c r="J1557" s="312">
        <v>1920</v>
      </c>
      <c r="K1557" s="312" t="s">
        <v>686</v>
      </c>
    </row>
    <row r="1558" spans="1:11">
      <c r="A1558" s="312" t="s">
        <v>1355</v>
      </c>
      <c r="B1558" s="312" t="s">
        <v>1356</v>
      </c>
      <c r="C1558" s="312" t="s">
        <v>105</v>
      </c>
      <c r="D1558" s="312" t="s">
        <v>435</v>
      </c>
      <c r="E1558" s="312" t="s">
        <v>684</v>
      </c>
      <c r="F1558" s="312">
        <v>1750</v>
      </c>
      <c r="G1558" s="312" t="s">
        <v>685</v>
      </c>
      <c r="H1558" s="312">
        <v>1754</v>
      </c>
      <c r="I1558" s="312" t="s">
        <v>684</v>
      </c>
      <c r="J1558" s="312">
        <v>1920</v>
      </c>
      <c r="K1558" s="312" t="s">
        <v>686</v>
      </c>
    </row>
    <row r="1559" spans="1:11">
      <c r="A1559" s="312" t="s">
        <v>1357</v>
      </c>
      <c r="B1559" s="312" t="s">
        <v>1358</v>
      </c>
      <c r="C1559" s="312" t="s">
        <v>105</v>
      </c>
      <c r="D1559" s="312" t="s">
        <v>435</v>
      </c>
      <c r="E1559" s="312" t="s">
        <v>684</v>
      </c>
      <c r="F1559" s="312">
        <v>1750</v>
      </c>
      <c r="G1559" s="312" t="s">
        <v>685</v>
      </c>
      <c r="H1559" s="312">
        <v>1754</v>
      </c>
      <c r="I1559" s="312" t="s">
        <v>684</v>
      </c>
      <c r="J1559" s="312">
        <v>1920</v>
      </c>
      <c r="K1559" s="312" t="s">
        <v>686</v>
      </c>
    </row>
    <row r="1560" spans="1:11">
      <c r="A1560" s="312" t="s">
        <v>1359</v>
      </c>
      <c r="B1560" s="312" t="s">
        <v>1360</v>
      </c>
      <c r="C1560" s="312" t="s">
        <v>105</v>
      </c>
      <c r="D1560" s="312" t="s">
        <v>435</v>
      </c>
      <c r="E1560" s="312" t="s">
        <v>684</v>
      </c>
      <c r="F1560" s="312">
        <v>1750</v>
      </c>
      <c r="G1560" s="312" t="s">
        <v>685</v>
      </c>
      <c r="H1560" s="312">
        <v>1754</v>
      </c>
      <c r="I1560" s="312" t="s">
        <v>684</v>
      </c>
      <c r="J1560" s="312">
        <v>1920</v>
      </c>
      <c r="K1560" s="312" t="s">
        <v>686</v>
      </c>
    </row>
    <row r="1561" spans="1:11">
      <c r="A1561" s="312" t="s">
        <v>1361</v>
      </c>
      <c r="B1561" s="312" t="s">
        <v>1362</v>
      </c>
      <c r="C1561" s="312" t="s">
        <v>105</v>
      </c>
      <c r="D1561" s="312" t="s">
        <v>435</v>
      </c>
      <c r="E1561" s="312" t="s">
        <v>684</v>
      </c>
      <c r="F1561" s="312">
        <v>1750</v>
      </c>
      <c r="G1561" s="312" t="s">
        <v>685</v>
      </c>
      <c r="H1561" s="312">
        <v>1754</v>
      </c>
      <c r="I1561" s="312" t="s">
        <v>684</v>
      </c>
      <c r="J1561" s="312">
        <v>1920</v>
      </c>
      <c r="K1561" s="312" t="s">
        <v>686</v>
      </c>
    </row>
    <row r="1562" spans="1:11">
      <c r="A1562" s="312" t="s">
        <v>1363</v>
      </c>
      <c r="B1562" s="312" t="s">
        <v>1364</v>
      </c>
      <c r="C1562" s="312" t="s">
        <v>105</v>
      </c>
      <c r="D1562" s="312" t="s">
        <v>435</v>
      </c>
      <c r="E1562" s="312" t="s">
        <v>684</v>
      </c>
      <c r="F1562" s="312">
        <v>1750</v>
      </c>
      <c r="G1562" s="312" t="s">
        <v>685</v>
      </c>
      <c r="H1562" s="312">
        <v>1754</v>
      </c>
      <c r="I1562" s="312" t="s">
        <v>684</v>
      </c>
      <c r="J1562" s="312">
        <v>1920</v>
      </c>
      <c r="K1562" s="312" t="s">
        <v>686</v>
      </c>
    </row>
    <row r="1563" spans="1:11">
      <c r="A1563" s="312" t="s">
        <v>1365</v>
      </c>
      <c r="B1563" s="312" t="s">
        <v>1366</v>
      </c>
      <c r="C1563" s="312" t="s">
        <v>105</v>
      </c>
      <c r="D1563" s="312" t="s">
        <v>435</v>
      </c>
      <c r="E1563" s="312" t="s">
        <v>684</v>
      </c>
      <c r="F1563" s="312">
        <v>1750</v>
      </c>
      <c r="G1563" s="312" t="s">
        <v>685</v>
      </c>
      <c r="H1563" s="312">
        <v>1754</v>
      </c>
      <c r="I1563" s="312" t="s">
        <v>684</v>
      </c>
      <c r="J1563" s="312">
        <v>1920</v>
      </c>
      <c r="K1563" s="312" t="s">
        <v>686</v>
      </c>
    </row>
    <row r="1564" spans="1:11">
      <c r="A1564" s="312" t="s">
        <v>1367</v>
      </c>
      <c r="B1564" s="312" t="s">
        <v>1368</v>
      </c>
      <c r="C1564" s="312" t="s">
        <v>105</v>
      </c>
      <c r="D1564" s="312" t="s">
        <v>435</v>
      </c>
      <c r="E1564" s="312" t="s">
        <v>684</v>
      </c>
      <c r="F1564" s="312">
        <v>1750</v>
      </c>
      <c r="G1564" s="312" t="s">
        <v>685</v>
      </c>
      <c r="H1564" s="312">
        <v>1754</v>
      </c>
      <c r="I1564" s="312" t="s">
        <v>684</v>
      </c>
      <c r="J1564" s="312">
        <v>1920</v>
      </c>
      <c r="K1564" s="312" t="s">
        <v>686</v>
      </c>
    </row>
    <row r="1565" spans="1:11">
      <c r="A1565" s="312" t="s">
        <v>1369</v>
      </c>
      <c r="B1565" s="312" t="s">
        <v>1370</v>
      </c>
      <c r="C1565" s="312" t="s">
        <v>105</v>
      </c>
      <c r="D1565" s="312" t="s">
        <v>435</v>
      </c>
      <c r="E1565" s="312" t="s">
        <v>684</v>
      </c>
      <c r="F1565" s="312">
        <v>1750</v>
      </c>
      <c r="G1565" s="312" t="s">
        <v>685</v>
      </c>
      <c r="H1565" s="312">
        <v>1754</v>
      </c>
      <c r="I1565" s="312" t="s">
        <v>684</v>
      </c>
      <c r="J1565" s="312">
        <v>1920</v>
      </c>
      <c r="K1565" s="312" t="s">
        <v>686</v>
      </c>
    </row>
    <row r="1566" spans="1:11">
      <c r="A1566" s="312" t="s">
        <v>1371</v>
      </c>
      <c r="B1566" s="312" t="s">
        <v>1372</v>
      </c>
      <c r="C1566" s="312" t="s">
        <v>105</v>
      </c>
      <c r="D1566" s="312" t="s">
        <v>435</v>
      </c>
      <c r="E1566" s="312" t="s">
        <v>684</v>
      </c>
      <c r="F1566" s="312">
        <v>1750</v>
      </c>
      <c r="G1566" s="312" t="s">
        <v>685</v>
      </c>
      <c r="H1566" s="312">
        <v>1754</v>
      </c>
      <c r="I1566" s="312" t="s">
        <v>684</v>
      </c>
      <c r="J1566" s="312">
        <v>1920</v>
      </c>
      <c r="K1566" s="312" t="s">
        <v>686</v>
      </c>
    </row>
    <row r="1567" spans="1:11">
      <c r="A1567" s="312" t="s">
        <v>1373</v>
      </c>
      <c r="B1567" s="312" t="s">
        <v>1374</v>
      </c>
      <c r="C1567" s="312" t="s">
        <v>105</v>
      </c>
      <c r="D1567" s="312" t="s">
        <v>435</v>
      </c>
      <c r="E1567" s="312" t="s">
        <v>684</v>
      </c>
      <c r="F1567" s="312">
        <v>1750</v>
      </c>
      <c r="G1567" s="312" t="s">
        <v>685</v>
      </c>
      <c r="H1567" s="312">
        <v>1754</v>
      </c>
      <c r="I1567" s="312" t="s">
        <v>684</v>
      </c>
      <c r="J1567" s="312">
        <v>1920</v>
      </c>
      <c r="K1567" s="312" t="s">
        <v>686</v>
      </c>
    </row>
    <row r="1568" spans="1:11">
      <c r="A1568" s="312" t="s">
        <v>1375</v>
      </c>
      <c r="B1568" s="312" t="s">
        <v>1376</v>
      </c>
      <c r="C1568" s="312" t="s">
        <v>105</v>
      </c>
      <c r="D1568" s="312" t="s">
        <v>435</v>
      </c>
      <c r="E1568" s="312" t="s">
        <v>684</v>
      </c>
      <c r="F1568" s="312">
        <v>1750</v>
      </c>
      <c r="G1568" s="312" t="s">
        <v>685</v>
      </c>
      <c r="H1568" s="312">
        <v>1754</v>
      </c>
      <c r="I1568" s="312" t="s">
        <v>684</v>
      </c>
      <c r="J1568" s="312">
        <v>1920</v>
      </c>
      <c r="K1568" s="312" t="s">
        <v>686</v>
      </c>
    </row>
    <row r="1569" spans="1:11">
      <c r="A1569" s="312" t="s">
        <v>1978</v>
      </c>
      <c r="B1569" s="312" t="s">
        <v>1979</v>
      </c>
      <c r="C1569" s="312" t="s">
        <v>105</v>
      </c>
      <c r="D1569" s="312" t="s">
        <v>435</v>
      </c>
      <c r="E1569" s="312" t="s">
        <v>107</v>
      </c>
      <c r="F1569" s="312">
        <v>1825</v>
      </c>
      <c r="G1569" s="312" t="s">
        <v>108</v>
      </c>
      <c r="H1569" s="312">
        <v>1827</v>
      </c>
      <c r="I1569" s="312" t="s">
        <v>107</v>
      </c>
      <c r="J1569" s="312">
        <v>1913</v>
      </c>
      <c r="K1569" s="312" t="s">
        <v>109</v>
      </c>
    </row>
    <row r="1570" spans="1:11">
      <c r="A1570" s="312" t="s">
        <v>1980</v>
      </c>
      <c r="B1570" s="312" t="s">
        <v>1981</v>
      </c>
      <c r="C1570" s="312" t="s">
        <v>105</v>
      </c>
      <c r="D1570" s="312" t="s">
        <v>435</v>
      </c>
      <c r="E1570" s="312" t="s">
        <v>107</v>
      </c>
      <c r="F1570" s="312">
        <v>1825</v>
      </c>
      <c r="G1570" s="312" t="s">
        <v>108</v>
      </c>
      <c r="H1570" s="312">
        <v>1827</v>
      </c>
      <c r="I1570" s="312" t="s">
        <v>107</v>
      </c>
      <c r="J1570" s="312">
        <v>1913</v>
      </c>
      <c r="K1570" s="312" t="s">
        <v>109</v>
      </c>
    </row>
    <row r="1571" spans="1:11">
      <c r="A1571" s="312" t="s">
        <v>1982</v>
      </c>
      <c r="B1571" s="312" t="s">
        <v>1983</v>
      </c>
      <c r="C1571" s="312" t="s">
        <v>105</v>
      </c>
      <c r="D1571" s="312" t="s">
        <v>435</v>
      </c>
      <c r="E1571" s="312" t="s">
        <v>107</v>
      </c>
      <c r="F1571" s="312">
        <v>1825</v>
      </c>
      <c r="G1571" s="312" t="s">
        <v>108</v>
      </c>
      <c r="H1571" s="312">
        <v>1827</v>
      </c>
      <c r="I1571" s="312" t="s">
        <v>107</v>
      </c>
      <c r="J1571" s="312">
        <v>1913</v>
      </c>
      <c r="K1571" s="312" t="s">
        <v>109</v>
      </c>
    </row>
    <row r="1572" spans="1:11">
      <c r="A1572" s="312" t="s">
        <v>1984</v>
      </c>
      <c r="B1572" s="312" t="s">
        <v>1985</v>
      </c>
      <c r="C1572" s="312" t="s">
        <v>105</v>
      </c>
      <c r="D1572" s="312" t="s">
        <v>435</v>
      </c>
      <c r="E1572" s="312" t="s">
        <v>107</v>
      </c>
      <c r="F1572" s="312">
        <v>1825</v>
      </c>
      <c r="G1572" s="312" t="s">
        <v>108</v>
      </c>
      <c r="H1572" s="312">
        <v>1827</v>
      </c>
      <c r="I1572" s="312" t="s">
        <v>107</v>
      </c>
      <c r="J1572" s="312">
        <v>1913</v>
      </c>
      <c r="K1572" s="312" t="s">
        <v>109</v>
      </c>
    </row>
    <row r="1573" spans="1:11">
      <c r="A1573" s="312" t="s">
        <v>1986</v>
      </c>
      <c r="B1573" s="312" t="s">
        <v>1987</v>
      </c>
      <c r="C1573" s="312" t="s">
        <v>105</v>
      </c>
      <c r="D1573" s="312" t="s">
        <v>435</v>
      </c>
      <c r="E1573" s="312" t="s">
        <v>107</v>
      </c>
      <c r="F1573" s="312">
        <v>1825</v>
      </c>
      <c r="G1573" s="312" t="s">
        <v>108</v>
      </c>
      <c r="H1573" s="312">
        <v>1827</v>
      </c>
      <c r="I1573" s="312" t="s">
        <v>107</v>
      </c>
      <c r="J1573" s="312">
        <v>1913</v>
      </c>
      <c r="K1573" s="312" t="s">
        <v>109</v>
      </c>
    </row>
    <row r="1574" spans="1:11">
      <c r="A1574" s="312" t="s">
        <v>2014</v>
      </c>
      <c r="B1574" s="312" t="s">
        <v>2015</v>
      </c>
      <c r="C1574" s="312" t="s">
        <v>105</v>
      </c>
      <c r="D1574" s="312" t="s">
        <v>435</v>
      </c>
      <c r="E1574" s="312" t="s">
        <v>684</v>
      </c>
      <c r="F1574" s="312">
        <v>1750</v>
      </c>
      <c r="G1574" s="312" t="s">
        <v>685</v>
      </c>
      <c r="H1574" s="312">
        <v>1754</v>
      </c>
      <c r="I1574" s="312" t="s">
        <v>684</v>
      </c>
      <c r="J1574" s="312">
        <v>1920</v>
      </c>
      <c r="K1574" s="312" t="s">
        <v>686</v>
      </c>
    </row>
    <row r="1575" spans="1:11">
      <c r="A1575" s="312" t="s">
        <v>2088</v>
      </c>
      <c r="B1575" s="312" t="s">
        <v>2089</v>
      </c>
      <c r="C1575" s="312" t="s">
        <v>105</v>
      </c>
      <c r="D1575" s="312" t="s">
        <v>435</v>
      </c>
      <c r="E1575" s="312" t="s">
        <v>107</v>
      </c>
      <c r="F1575" s="312">
        <v>1825</v>
      </c>
      <c r="G1575" s="312" t="s">
        <v>108</v>
      </c>
      <c r="H1575" s="312">
        <v>1827</v>
      </c>
      <c r="I1575" s="312" t="s">
        <v>107</v>
      </c>
      <c r="J1575" s="312">
        <v>1913</v>
      </c>
      <c r="K1575" s="312" t="s">
        <v>109</v>
      </c>
    </row>
    <row r="1576" spans="1:11">
      <c r="A1576" s="312" t="s">
        <v>2315</v>
      </c>
      <c r="B1576" s="312" t="s">
        <v>2316</v>
      </c>
      <c r="C1576" s="312" t="s">
        <v>105</v>
      </c>
      <c r="D1576" s="312" t="s">
        <v>435</v>
      </c>
      <c r="E1576" s="312" t="s">
        <v>107</v>
      </c>
      <c r="F1576" s="312">
        <v>1825</v>
      </c>
      <c r="G1576" s="312" t="s">
        <v>108</v>
      </c>
      <c r="H1576" s="312">
        <v>1827</v>
      </c>
      <c r="I1576" s="312" t="s">
        <v>107</v>
      </c>
      <c r="J1576" s="312">
        <v>1913</v>
      </c>
      <c r="K1576" s="312" t="s">
        <v>109</v>
      </c>
    </row>
    <row r="1577" spans="1:11">
      <c r="A1577" s="312" t="s">
        <v>2924</v>
      </c>
      <c r="B1577" s="312" t="s">
        <v>2925</v>
      </c>
      <c r="C1577" s="312" t="s">
        <v>105</v>
      </c>
      <c r="D1577" s="312" t="s">
        <v>435</v>
      </c>
      <c r="E1577" s="312" t="s">
        <v>684</v>
      </c>
      <c r="F1577" s="312">
        <v>1750</v>
      </c>
      <c r="G1577" s="312" t="s">
        <v>685</v>
      </c>
      <c r="H1577" s="312">
        <v>1754</v>
      </c>
      <c r="I1577" s="312" t="s">
        <v>684</v>
      </c>
      <c r="J1577" s="312">
        <v>1920</v>
      </c>
      <c r="K1577" s="312" t="s">
        <v>686</v>
      </c>
    </row>
    <row r="1578" spans="1:11">
      <c r="A1578" s="312" t="s">
        <v>4637</v>
      </c>
      <c r="B1578" s="312" t="s">
        <v>4638</v>
      </c>
      <c r="C1578" s="312" t="s">
        <v>105</v>
      </c>
      <c r="D1578" s="312" t="s">
        <v>435</v>
      </c>
      <c r="E1578" s="312" t="s">
        <v>107</v>
      </c>
      <c r="F1578" s="312">
        <v>1825</v>
      </c>
      <c r="G1578" s="312" t="s">
        <v>108</v>
      </c>
      <c r="H1578" s="312">
        <v>1827</v>
      </c>
      <c r="I1578" s="312" t="s">
        <v>107</v>
      </c>
      <c r="J1578" s="312">
        <v>1913</v>
      </c>
      <c r="K1578" s="312" t="s">
        <v>109</v>
      </c>
    </row>
    <row r="1579" spans="1:11">
      <c r="A1579" s="312" t="s">
        <v>5151</v>
      </c>
      <c r="B1579" s="312" t="s">
        <v>5152</v>
      </c>
      <c r="C1579" s="312" t="s">
        <v>105</v>
      </c>
      <c r="D1579" s="312" t="s">
        <v>435</v>
      </c>
      <c r="E1579" s="312" t="s">
        <v>107</v>
      </c>
      <c r="F1579" s="312">
        <v>1825</v>
      </c>
      <c r="G1579" s="312" t="s">
        <v>108</v>
      </c>
      <c r="H1579" s="312">
        <v>1827</v>
      </c>
      <c r="I1579" s="312" t="s">
        <v>107</v>
      </c>
      <c r="J1579" s="312">
        <v>1913</v>
      </c>
      <c r="K1579" s="312" t="s">
        <v>109</v>
      </c>
    </row>
    <row r="1580" spans="1:11">
      <c r="A1580" s="312" t="s">
        <v>3520</v>
      </c>
      <c r="B1580" s="312" t="s">
        <v>3521</v>
      </c>
      <c r="C1580" s="312" t="s">
        <v>105</v>
      </c>
      <c r="D1580" s="312" t="s">
        <v>3522</v>
      </c>
      <c r="E1580" s="312" t="s">
        <v>107</v>
      </c>
      <c r="F1580" s="312">
        <v>1825</v>
      </c>
      <c r="G1580" s="312" t="s">
        <v>108</v>
      </c>
      <c r="H1580" s="312">
        <v>1827</v>
      </c>
      <c r="I1580" s="312" t="s">
        <v>107</v>
      </c>
      <c r="J1580" s="312">
        <v>1913</v>
      </c>
      <c r="K1580" s="312" t="s">
        <v>109</v>
      </c>
    </row>
    <row r="1581" spans="1:11">
      <c r="A1581" s="312" t="s">
        <v>3523</v>
      </c>
      <c r="B1581" s="312" t="s">
        <v>3524</v>
      </c>
      <c r="C1581" s="312" t="s">
        <v>105</v>
      </c>
      <c r="D1581" s="312" t="s">
        <v>3522</v>
      </c>
      <c r="E1581" s="312" t="s">
        <v>107</v>
      </c>
      <c r="F1581" s="312">
        <v>1825</v>
      </c>
      <c r="G1581" s="312" t="s">
        <v>108</v>
      </c>
      <c r="H1581" s="312">
        <v>1827</v>
      </c>
      <c r="I1581" s="312" t="s">
        <v>107</v>
      </c>
      <c r="J1581" s="312">
        <v>1913</v>
      </c>
      <c r="K1581" s="312" t="s">
        <v>109</v>
      </c>
    </row>
    <row r="1582" spans="1:11">
      <c r="A1582" s="312" t="s">
        <v>3525</v>
      </c>
      <c r="B1582" s="312" t="s">
        <v>3526</v>
      </c>
      <c r="C1582" s="312" t="s">
        <v>105</v>
      </c>
      <c r="D1582" s="312" t="s">
        <v>3522</v>
      </c>
      <c r="E1582" s="312" t="s">
        <v>107</v>
      </c>
      <c r="F1582" s="312">
        <v>1825</v>
      </c>
      <c r="G1582" s="312" t="s">
        <v>108</v>
      </c>
      <c r="H1582" s="312">
        <v>1827</v>
      </c>
      <c r="I1582" s="312" t="s">
        <v>107</v>
      </c>
      <c r="J1582" s="312">
        <v>1913</v>
      </c>
      <c r="K1582" s="312" t="s">
        <v>109</v>
      </c>
    </row>
    <row r="1583" spans="1:11">
      <c r="A1583" s="312" t="s">
        <v>709</v>
      </c>
      <c r="B1583" s="312" t="s">
        <v>710</v>
      </c>
      <c r="C1583" s="312" t="s">
        <v>105</v>
      </c>
      <c r="D1583" s="312" t="s">
        <v>711</v>
      </c>
      <c r="E1583" s="312" t="s">
        <v>107</v>
      </c>
      <c r="F1583" s="312">
        <v>1825</v>
      </c>
      <c r="G1583" s="312" t="s">
        <v>108</v>
      </c>
      <c r="H1583" s="312">
        <v>1827</v>
      </c>
      <c r="I1583" s="312" t="s">
        <v>107</v>
      </c>
      <c r="J1583" s="312">
        <v>1913</v>
      </c>
      <c r="K1583" s="312" t="s">
        <v>109</v>
      </c>
    </row>
    <row r="1584" spans="1:11">
      <c r="A1584" s="312" t="s">
        <v>712</v>
      </c>
      <c r="B1584" s="312" t="s">
        <v>713</v>
      </c>
      <c r="C1584" s="312" t="s">
        <v>105</v>
      </c>
      <c r="D1584" s="312" t="s">
        <v>711</v>
      </c>
      <c r="E1584" s="312" t="s">
        <v>107</v>
      </c>
      <c r="F1584" s="312">
        <v>1825</v>
      </c>
      <c r="G1584" s="312" t="s">
        <v>108</v>
      </c>
      <c r="H1584" s="312">
        <v>1827</v>
      </c>
      <c r="I1584" s="312" t="s">
        <v>107</v>
      </c>
      <c r="J1584" s="312">
        <v>1913</v>
      </c>
      <c r="K1584" s="312" t="s">
        <v>109</v>
      </c>
    </row>
    <row r="1585" spans="1:11">
      <c r="A1585" s="312" t="s">
        <v>714</v>
      </c>
      <c r="B1585" s="312" t="s">
        <v>715</v>
      </c>
      <c r="C1585" s="312" t="s">
        <v>105</v>
      </c>
      <c r="D1585" s="312" t="s">
        <v>711</v>
      </c>
      <c r="E1585" s="312" t="s">
        <v>107</v>
      </c>
      <c r="F1585" s="312">
        <v>1825</v>
      </c>
      <c r="G1585" s="312" t="s">
        <v>108</v>
      </c>
      <c r="H1585" s="312">
        <v>1827</v>
      </c>
      <c r="I1585" s="312" t="s">
        <v>107</v>
      </c>
      <c r="J1585" s="312">
        <v>1913</v>
      </c>
      <c r="K1585" s="312" t="s">
        <v>109</v>
      </c>
    </row>
    <row r="1586" spans="1:11">
      <c r="A1586" s="312" t="s">
        <v>716</v>
      </c>
      <c r="B1586" s="312" t="s">
        <v>717</v>
      </c>
      <c r="C1586" s="312" t="s">
        <v>105</v>
      </c>
      <c r="D1586" s="312" t="s">
        <v>711</v>
      </c>
      <c r="E1586" s="312" t="s">
        <v>107</v>
      </c>
      <c r="F1586" s="312">
        <v>1825</v>
      </c>
      <c r="G1586" s="312" t="s">
        <v>108</v>
      </c>
      <c r="H1586" s="312">
        <v>1827</v>
      </c>
      <c r="I1586" s="312" t="s">
        <v>107</v>
      </c>
      <c r="J1586" s="312">
        <v>1913</v>
      </c>
      <c r="K1586" s="312" t="s">
        <v>109</v>
      </c>
    </row>
    <row r="1587" spans="1:11">
      <c r="A1587" s="312" t="s">
        <v>718</v>
      </c>
      <c r="B1587" s="312" t="s">
        <v>719</v>
      </c>
      <c r="C1587" s="312" t="s">
        <v>105</v>
      </c>
      <c r="D1587" s="312" t="s">
        <v>711</v>
      </c>
      <c r="E1587" s="312" t="s">
        <v>107</v>
      </c>
      <c r="F1587" s="312">
        <v>1825</v>
      </c>
      <c r="G1587" s="312" t="s">
        <v>108</v>
      </c>
      <c r="H1587" s="312">
        <v>1827</v>
      </c>
      <c r="I1587" s="312" t="s">
        <v>107</v>
      </c>
      <c r="J1587" s="312">
        <v>1913</v>
      </c>
      <c r="K1587" s="312" t="s">
        <v>109</v>
      </c>
    </row>
    <row r="1588" spans="1:11">
      <c r="A1588" s="312" t="s">
        <v>720</v>
      </c>
      <c r="B1588" s="312" t="s">
        <v>721</v>
      </c>
      <c r="C1588" s="312" t="s">
        <v>105</v>
      </c>
      <c r="D1588" s="312" t="s">
        <v>711</v>
      </c>
      <c r="E1588" s="312" t="s">
        <v>107</v>
      </c>
      <c r="F1588" s="312">
        <v>1825</v>
      </c>
      <c r="G1588" s="312" t="s">
        <v>108</v>
      </c>
      <c r="H1588" s="312">
        <v>1827</v>
      </c>
      <c r="I1588" s="312" t="s">
        <v>107</v>
      </c>
      <c r="J1588" s="312">
        <v>1913</v>
      </c>
      <c r="K1588" s="312" t="s">
        <v>109</v>
      </c>
    </row>
    <row r="1589" spans="1:11">
      <c r="A1589" s="312" t="s">
        <v>722</v>
      </c>
      <c r="B1589" s="312" t="s">
        <v>723</v>
      </c>
      <c r="C1589" s="312" t="s">
        <v>105</v>
      </c>
      <c r="D1589" s="312" t="s">
        <v>711</v>
      </c>
      <c r="E1589" s="312" t="s">
        <v>107</v>
      </c>
      <c r="F1589" s="312">
        <v>1825</v>
      </c>
      <c r="G1589" s="312" t="s">
        <v>108</v>
      </c>
      <c r="H1589" s="312">
        <v>1827</v>
      </c>
      <c r="I1589" s="312" t="s">
        <v>107</v>
      </c>
      <c r="J1589" s="312">
        <v>1913</v>
      </c>
      <c r="K1589" s="312" t="s">
        <v>109</v>
      </c>
    </row>
    <row r="1590" spans="1:11">
      <c r="A1590" s="312" t="s">
        <v>849</v>
      </c>
      <c r="B1590" s="312" t="s">
        <v>850</v>
      </c>
      <c r="C1590" s="312" t="s">
        <v>105</v>
      </c>
      <c r="D1590" s="312" t="s">
        <v>711</v>
      </c>
      <c r="E1590" s="312" t="s">
        <v>107</v>
      </c>
      <c r="F1590" s="312">
        <v>1825</v>
      </c>
      <c r="G1590" s="312" t="s">
        <v>108</v>
      </c>
      <c r="H1590" s="312">
        <v>1827</v>
      </c>
      <c r="I1590" s="312" t="s">
        <v>107</v>
      </c>
      <c r="J1590" s="312">
        <v>1913</v>
      </c>
      <c r="K1590" s="312" t="s">
        <v>109</v>
      </c>
    </row>
    <row r="1591" spans="1:11">
      <c r="A1591" s="312" t="s">
        <v>921</v>
      </c>
      <c r="B1591" s="312" t="s">
        <v>922</v>
      </c>
      <c r="C1591" s="312" t="s">
        <v>105</v>
      </c>
      <c r="D1591" s="312" t="s">
        <v>711</v>
      </c>
      <c r="E1591" s="312" t="s">
        <v>107</v>
      </c>
      <c r="F1591" s="312">
        <v>1825</v>
      </c>
      <c r="G1591" s="312" t="s">
        <v>108</v>
      </c>
      <c r="H1591" s="312">
        <v>1827</v>
      </c>
      <c r="I1591" s="312" t="s">
        <v>107</v>
      </c>
      <c r="J1591" s="312">
        <v>1913</v>
      </c>
      <c r="K1591" s="312" t="s">
        <v>109</v>
      </c>
    </row>
    <row r="1592" spans="1:11">
      <c r="A1592" s="312" t="s">
        <v>1902</v>
      </c>
      <c r="B1592" s="312" t="s">
        <v>1903</v>
      </c>
      <c r="C1592" s="312" t="s">
        <v>105</v>
      </c>
      <c r="D1592" s="312" t="s">
        <v>711</v>
      </c>
      <c r="E1592" s="312" t="s">
        <v>107</v>
      </c>
      <c r="F1592" s="312">
        <v>1825</v>
      </c>
      <c r="G1592" s="312" t="s">
        <v>108</v>
      </c>
      <c r="H1592" s="312">
        <v>1827</v>
      </c>
      <c r="I1592" s="312" t="s">
        <v>107</v>
      </c>
      <c r="J1592" s="312">
        <v>1913</v>
      </c>
      <c r="K1592" s="312" t="s">
        <v>109</v>
      </c>
    </row>
    <row r="1593" spans="1:11">
      <c r="A1593" s="312" t="s">
        <v>1904</v>
      </c>
      <c r="B1593" s="312" t="s">
        <v>1905</v>
      </c>
      <c r="C1593" s="312" t="s">
        <v>105</v>
      </c>
      <c r="D1593" s="312" t="s">
        <v>711</v>
      </c>
      <c r="E1593" s="312" t="s">
        <v>107</v>
      </c>
      <c r="F1593" s="312">
        <v>1825</v>
      </c>
      <c r="G1593" s="312" t="s">
        <v>108</v>
      </c>
      <c r="H1593" s="312">
        <v>1827</v>
      </c>
      <c r="I1593" s="312" t="s">
        <v>107</v>
      </c>
      <c r="J1593" s="312">
        <v>1913</v>
      </c>
      <c r="K1593" s="312" t="s">
        <v>109</v>
      </c>
    </row>
    <row r="1594" spans="1:11">
      <c r="A1594" s="312" t="s">
        <v>1906</v>
      </c>
      <c r="B1594" s="312" t="s">
        <v>1907</v>
      </c>
      <c r="C1594" s="312" t="s">
        <v>105</v>
      </c>
      <c r="D1594" s="312" t="s">
        <v>711</v>
      </c>
      <c r="E1594" s="312" t="s">
        <v>107</v>
      </c>
      <c r="F1594" s="312">
        <v>1825</v>
      </c>
      <c r="G1594" s="312" t="s">
        <v>108</v>
      </c>
      <c r="H1594" s="312">
        <v>1827</v>
      </c>
      <c r="I1594" s="312" t="s">
        <v>107</v>
      </c>
      <c r="J1594" s="312">
        <v>1913</v>
      </c>
      <c r="K1594" s="312" t="s">
        <v>109</v>
      </c>
    </row>
    <row r="1595" spans="1:11">
      <c r="A1595" s="312" t="s">
        <v>2090</v>
      </c>
      <c r="B1595" s="312" t="s">
        <v>2091</v>
      </c>
      <c r="C1595" s="312" t="s">
        <v>105</v>
      </c>
      <c r="D1595" s="312" t="s">
        <v>711</v>
      </c>
      <c r="E1595" s="312" t="s">
        <v>107</v>
      </c>
      <c r="F1595" s="312">
        <v>1825</v>
      </c>
      <c r="G1595" s="312" t="s">
        <v>108</v>
      </c>
      <c r="H1595" s="312">
        <v>1827</v>
      </c>
      <c r="I1595" s="312" t="s">
        <v>107</v>
      </c>
      <c r="J1595" s="312">
        <v>1913</v>
      </c>
      <c r="K1595" s="312" t="s">
        <v>109</v>
      </c>
    </row>
    <row r="1596" spans="1:11">
      <c r="A1596" s="312" t="s">
        <v>2094</v>
      </c>
      <c r="B1596" s="312" t="s">
        <v>2095</v>
      </c>
      <c r="C1596" s="312" t="s">
        <v>105</v>
      </c>
      <c r="D1596" s="312" t="s">
        <v>711</v>
      </c>
      <c r="E1596" s="312" t="s">
        <v>107</v>
      </c>
      <c r="F1596" s="312">
        <v>1825</v>
      </c>
      <c r="G1596" s="312" t="s">
        <v>108</v>
      </c>
      <c r="H1596" s="312">
        <v>1827</v>
      </c>
      <c r="I1596" s="312" t="s">
        <v>107</v>
      </c>
      <c r="J1596" s="312">
        <v>1913</v>
      </c>
      <c r="K1596" s="312" t="s">
        <v>109</v>
      </c>
    </row>
    <row r="1597" spans="1:11">
      <c r="A1597" s="312" t="s">
        <v>2267</v>
      </c>
      <c r="B1597" s="312" t="s">
        <v>2268</v>
      </c>
      <c r="C1597" s="312" t="s">
        <v>105</v>
      </c>
      <c r="D1597" s="312" t="s">
        <v>711</v>
      </c>
      <c r="E1597" s="312" t="s">
        <v>107</v>
      </c>
      <c r="F1597" s="312">
        <v>1825</v>
      </c>
      <c r="G1597" s="312" t="s">
        <v>108</v>
      </c>
      <c r="H1597" s="312">
        <v>1827</v>
      </c>
      <c r="I1597" s="312" t="s">
        <v>107</v>
      </c>
      <c r="J1597" s="312">
        <v>1913</v>
      </c>
      <c r="K1597" s="312" t="s">
        <v>109</v>
      </c>
    </row>
    <row r="1598" spans="1:11">
      <c r="A1598" s="312" t="s">
        <v>2269</v>
      </c>
      <c r="B1598" s="312" t="s">
        <v>2270</v>
      </c>
      <c r="C1598" s="312" t="s">
        <v>105</v>
      </c>
      <c r="D1598" s="312" t="s">
        <v>711</v>
      </c>
      <c r="E1598" s="312" t="s">
        <v>107</v>
      </c>
      <c r="F1598" s="312">
        <v>1825</v>
      </c>
      <c r="G1598" s="312" t="s">
        <v>108</v>
      </c>
      <c r="H1598" s="312">
        <v>1827</v>
      </c>
      <c r="I1598" s="312" t="s">
        <v>107</v>
      </c>
      <c r="J1598" s="312">
        <v>1913</v>
      </c>
      <c r="K1598" s="312" t="s">
        <v>109</v>
      </c>
    </row>
    <row r="1599" spans="1:11">
      <c r="A1599" s="312" t="s">
        <v>2945</v>
      </c>
      <c r="B1599" s="312" t="s">
        <v>2946</v>
      </c>
      <c r="C1599" s="312" t="s">
        <v>105</v>
      </c>
      <c r="D1599" s="312" t="s">
        <v>711</v>
      </c>
      <c r="E1599" s="312" t="s">
        <v>107</v>
      </c>
      <c r="F1599" s="312">
        <v>1825</v>
      </c>
      <c r="G1599" s="312" t="s">
        <v>108</v>
      </c>
      <c r="H1599" s="312">
        <v>1827</v>
      </c>
      <c r="I1599" s="312" t="s">
        <v>107</v>
      </c>
      <c r="J1599" s="312">
        <v>1913</v>
      </c>
      <c r="K1599" s="312" t="s">
        <v>109</v>
      </c>
    </row>
    <row r="1600" spans="1:11">
      <c r="A1600" s="312" t="s">
        <v>2947</v>
      </c>
      <c r="B1600" s="312" t="s">
        <v>2948</v>
      </c>
      <c r="C1600" s="312" t="s">
        <v>105</v>
      </c>
      <c r="D1600" s="312" t="s">
        <v>711</v>
      </c>
      <c r="E1600" s="312" t="s">
        <v>107</v>
      </c>
      <c r="F1600" s="312">
        <v>1825</v>
      </c>
      <c r="G1600" s="312" t="s">
        <v>108</v>
      </c>
      <c r="H1600" s="312">
        <v>1827</v>
      </c>
      <c r="I1600" s="312" t="s">
        <v>107</v>
      </c>
      <c r="J1600" s="312">
        <v>1913</v>
      </c>
      <c r="K1600" s="312" t="s">
        <v>109</v>
      </c>
    </row>
    <row r="1601" spans="1:11">
      <c r="A1601" s="312" t="s">
        <v>2949</v>
      </c>
      <c r="B1601" s="312" t="s">
        <v>2950</v>
      </c>
      <c r="C1601" s="312" t="s">
        <v>105</v>
      </c>
      <c r="D1601" s="312" t="s">
        <v>711</v>
      </c>
      <c r="E1601" s="312" t="s">
        <v>107</v>
      </c>
      <c r="F1601" s="312">
        <v>1825</v>
      </c>
      <c r="G1601" s="312" t="s">
        <v>108</v>
      </c>
      <c r="H1601" s="312">
        <v>1827</v>
      </c>
      <c r="I1601" s="312" t="s">
        <v>107</v>
      </c>
      <c r="J1601" s="312">
        <v>1913</v>
      </c>
      <c r="K1601" s="312" t="s">
        <v>109</v>
      </c>
    </row>
    <row r="1602" spans="1:11">
      <c r="A1602" s="312" t="s">
        <v>2951</v>
      </c>
      <c r="B1602" s="312" t="s">
        <v>2952</v>
      </c>
      <c r="C1602" s="312" t="s">
        <v>105</v>
      </c>
      <c r="D1602" s="312" t="s">
        <v>711</v>
      </c>
      <c r="E1602" s="312" t="s">
        <v>107</v>
      </c>
      <c r="F1602" s="312">
        <v>1825</v>
      </c>
      <c r="G1602" s="312" t="s">
        <v>108</v>
      </c>
      <c r="H1602" s="312">
        <v>1827</v>
      </c>
      <c r="I1602" s="312" t="s">
        <v>107</v>
      </c>
      <c r="J1602" s="312">
        <v>1913</v>
      </c>
      <c r="K1602" s="312" t="s">
        <v>109</v>
      </c>
    </row>
    <row r="1603" spans="1:11">
      <c r="A1603" s="312" t="s">
        <v>2953</v>
      </c>
      <c r="B1603" s="312" t="s">
        <v>2954</v>
      </c>
      <c r="C1603" s="312" t="s">
        <v>105</v>
      </c>
      <c r="D1603" s="312" t="s">
        <v>711</v>
      </c>
      <c r="E1603" s="312" t="s">
        <v>107</v>
      </c>
      <c r="F1603" s="312">
        <v>1825</v>
      </c>
      <c r="G1603" s="312" t="s">
        <v>108</v>
      </c>
      <c r="H1603" s="312">
        <v>1827</v>
      </c>
      <c r="I1603" s="312" t="s">
        <v>107</v>
      </c>
      <c r="J1603" s="312">
        <v>1913</v>
      </c>
      <c r="K1603" s="312" t="s">
        <v>109</v>
      </c>
    </row>
    <row r="1604" spans="1:11">
      <c r="A1604" s="312" t="s">
        <v>3265</v>
      </c>
      <c r="B1604" s="312" t="s">
        <v>3266</v>
      </c>
      <c r="C1604" s="312" t="s">
        <v>105</v>
      </c>
      <c r="D1604" s="312" t="s">
        <v>711</v>
      </c>
      <c r="E1604" s="312" t="s">
        <v>107</v>
      </c>
      <c r="F1604" s="312">
        <v>1825</v>
      </c>
      <c r="G1604" s="312" t="s">
        <v>108</v>
      </c>
      <c r="H1604" s="312">
        <v>1827</v>
      </c>
      <c r="I1604" s="312" t="s">
        <v>107</v>
      </c>
      <c r="J1604" s="312">
        <v>1913</v>
      </c>
      <c r="K1604" s="312" t="s">
        <v>109</v>
      </c>
    </row>
    <row r="1605" spans="1:11">
      <c r="A1605" s="312" t="s">
        <v>5121</v>
      </c>
      <c r="B1605" s="312" t="s">
        <v>5122</v>
      </c>
      <c r="C1605" s="312" t="s">
        <v>105</v>
      </c>
      <c r="D1605" s="312" t="s">
        <v>711</v>
      </c>
      <c r="E1605" s="312" t="s">
        <v>107</v>
      </c>
      <c r="F1605" s="312">
        <v>1825</v>
      </c>
      <c r="G1605" s="312" t="s">
        <v>108</v>
      </c>
      <c r="H1605" s="312">
        <v>1827</v>
      </c>
      <c r="I1605" s="312" t="s">
        <v>107</v>
      </c>
      <c r="J1605" s="312">
        <v>1913</v>
      </c>
      <c r="K1605" s="312" t="s">
        <v>109</v>
      </c>
    </row>
    <row r="1606" spans="1:11">
      <c r="A1606" s="312" t="s">
        <v>5125</v>
      </c>
      <c r="B1606" s="312" t="s">
        <v>5126</v>
      </c>
      <c r="C1606" s="312" t="s">
        <v>105</v>
      </c>
      <c r="D1606" s="312" t="s">
        <v>711</v>
      </c>
      <c r="E1606" s="312" t="s">
        <v>107</v>
      </c>
      <c r="F1606" s="312">
        <v>1825</v>
      </c>
      <c r="G1606" s="312" t="s">
        <v>108</v>
      </c>
      <c r="H1606" s="312">
        <v>1827</v>
      </c>
      <c r="I1606" s="312" t="s">
        <v>107</v>
      </c>
      <c r="J1606" s="312">
        <v>1913</v>
      </c>
      <c r="K1606" s="312" t="s">
        <v>109</v>
      </c>
    </row>
    <row r="1607" spans="1:11">
      <c r="A1607" s="312" t="s">
        <v>601</v>
      </c>
      <c r="B1607" s="312" t="s">
        <v>602</v>
      </c>
      <c r="C1607" s="312" t="s">
        <v>105</v>
      </c>
      <c r="D1607" s="312" t="s">
        <v>603</v>
      </c>
      <c r="E1607" s="312" t="s">
        <v>107</v>
      </c>
      <c r="F1607" s="312">
        <v>1825</v>
      </c>
      <c r="G1607" s="312" t="s">
        <v>108</v>
      </c>
      <c r="H1607" s="312">
        <v>1827</v>
      </c>
      <c r="I1607" s="312" t="s">
        <v>107</v>
      </c>
      <c r="J1607" s="312">
        <v>1913</v>
      </c>
      <c r="K1607" s="312" t="s">
        <v>109</v>
      </c>
    </row>
    <row r="1608" spans="1:11">
      <c r="A1608" s="312" t="s">
        <v>604</v>
      </c>
      <c r="B1608" s="312" t="s">
        <v>605</v>
      </c>
      <c r="C1608" s="312" t="s">
        <v>105</v>
      </c>
      <c r="D1608" s="312" t="s">
        <v>603</v>
      </c>
      <c r="E1608" s="312" t="s">
        <v>107</v>
      </c>
      <c r="F1608" s="312">
        <v>1825</v>
      </c>
      <c r="G1608" s="312" t="s">
        <v>108</v>
      </c>
      <c r="H1608" s="312">
        <v>1827</v>
      </c>
      <c r="I1608" s="312" t="s">
        <v>107</v>
      </c>
      <c r="J1608" s="312">
        <v>1913</v>
      </c>
      <c r="K1608" s="312" t="s">
        <v>109</v>
      </c>
    </row>
    <row r="1609" spans="1:11">
      <c r="A1609" s="312" t="s">
        <v>726</v>
      </c>
      <c r="B1609" s="312" t="s">
        <v>727</v>
      </c>
      <c r="C1609" s="312" t="s">
        <v>105</v>
      </c>
      <c r="D1609" s="312" t="s">
        <v>603</v>
      </c>
      <c r="E1609" s="312" t="s">
        <v>107</v>
      </c>
      <c r="F1609" s="312">
        <v>1825</v>
      </c>
      <c r="G1609" s="312" t="s">
        <v>108</v>
      </c>
      <c r="H1609" s="312">
        <v>1827</v>
      </c>
      <c r="I1609" s="312" t="s">
        <v>107</v>
      </c>
      <c r="J1609" s="312">
        <v>1913</v>
      </c>
      <c r="K1609" s="312" t="s">
        <v>109</v>
      </c>
    </row>
    <row r="1610" spans="1:11">
      <c r="A1610" s="312" t="s">
        <v>984</v>
      </c>
      <c r="B1610" s="312" t="s">
        <v>985</v>
      </c>
      <c r="C1610" s="312" t="s">
        <v>105</v>
      </c>
      <c r="D1610" s="312" t="s">
        <v>603</v>
      </c>
      <c r="E1610" s="312" t="s">
        <v>107</v>
      </c>
      <c r="F1610" s="312">
        <v>1825</v>
      </c>
      <c r="G1610" s="312" t="s">
        <v>108</v>
      </c>
      <c r="H1610" s="312">
        <v>1827</v>
      </c>
      <c r="I1610" s="312" t="s">
        <v>107</v>
      </c>
      <c r="J1610" s="312">
        <v>1913</v>
      </c>
      <c r="K1610" s="312" t="s">
        <v>109</v>
      </c>
    </row>
    <row r="1611" spans="1:11">
      <c r="A1611" s="312" t="s">
        <v>1205</v>
      </c>
      <c r="B1611" s="312" t="s">
        <v>1206</v>
      </c>
      <c r="C1611" s="312" t="s">
        <v>105</v>
      </c>
      <c r="D1611" s="312" t="s">
        <v>603</v>
      </c>
      <c r="E1611" s="312" t="s">
        <v>107</v>
      </c>
      <c r="F1611" s="312">
        <v>1825</v>
      </c>
      <c r="G1611" s="312" t="s">
        <v>108</v>
      </c>
      <c r="H1611" s="312">
        <v>1827</v>
      </c>
      <c r="I1611" s="312" t="s">
        <v>107</v>
      </c>
      <c r="J1611" s="312">
        <v>1913</v>
      </c>
      <c r="K1611" s="312" t="s">
        <v>109</v>
      </c>
    </row>
    <row r="1612" spans="1:11">
      <c r="A1612" s="312" t="s">
        <v>1653</v>
      </c>
      <c r="B1612" s="1" t="s">
        <v>1654</v>
      </c>
      <c r="C1612" s="312" t="s">
        <v>105</v>
      </c>
      <c r="D1612" s="312" t="s">
        <v>603</v>
      </c>
      <c r="E1612" s="312" t="s">
        <v>107</v>
      </c>
      <c r="F1612" s="312">
        <v>1825</v>
      </c>
      <c r="G1612" s="312" t="s">
        <v>108</v>
      </c>
      <c r="H1612" s="312">
        <v>1827</v>
      </c>
      <c r="I1612" s="312" t="s">
        <v>107</v>
      </c>
      <c r="J1612" s="312">
        <v>1913</v>
      </c>
      <c r="K1612" s="312" t="s">
        <v>109</v>
      </c>
    </row>
    <row r="1613" spans="1:11">
      <c r="A1613" s="312" t="s">
        <v>1695</v>
      </c>
      <c r="B1613" s="312" t="s">
        <v>1696</v>
      </c>
      <c r="C1613" s="312" t="s">
        <v>105</v>
      </c>
      <c r="D1613" s="312" t="s">
        <v>603</v>
      </c>
      <c r="E1613" s="312" t="s">
        <v>107</v>
      </c>
      <c r="F1613" s="312">
        <v>1825</v>
      </c>
      <c r="G1613" s="312" t="s">
        <v>108</v>
      </c>
      <c r="H1613" s="312">
        <v>1827</v>
      </c>
      <c r="I1613" s="312" t="s">
        <v>107</v>
      </c>
      <c r="J1613" s="312">
        <v>1913</v>
      </c>
      <c r="K1613" s="312" t="s">
        <v>109</v>
      </c>
    </row>
    <row r="1614" spans="1:11">
      <c r="A1614" s="312" t="s">
        <v>1697</v>
      </c>
      <c r="B1614" s="312" t="s">
        <v>1698</v>
      </c>
      <c r="C1614" s="312" t="s">
        <v>105</v>
      </c>
      <c r="D1614" s="312" t="s">
        <v>603</v>
      </c>
      <c r="E1614" s="312" t="s">
        <v>107</v>
      </c>
      <c r="F1614" s="312">
        <v>1825</v>
      </c>
      <c r="G1614" s="312" t="s">
        <v>108</v>
      </c>
      <c r="H1614" s="312">
        <v>1827</v>
      </c>
      <c r="I1614" s="312" t="s">
        <v>107</v>
      </c>
      <c r="J1614" s="312">
        <v>1913</v>
      </c>
      <c r="K1614" s="312" t="s">
        <v>109</v>
      </c>
    </row>
    <row r="1615" spans="1:11">
      <c r="A1615" s="312" t="s">
        <v>1954</v>
      </c>
      <c r="B1615" s="312" t="s">
        <v>1955</v>
      </c>
      <c r="C1615" s="312" t="s">
        <v>105</v>
      </c>
      <c r="D1615" s="312" t="s">
        <v>603</v>
      </c>
      <c r="E1615" s="312" t="s">
        <v>107</v>
      </c>
      <c r="F1615" s="312">
        <v>1825</v>
      </c>
      <c r="G1615" s="312" t="s">
        <v>108</v>
      </c>
      <c r="H1615" s="312">
        <v>1827</v>
      </c>
      <c r="I1615" s="312" t="s">
        <v>107</v>
      </c>
      <c r="J1615" s="312">
        <v>1913</v>
      </c>
      <c r="K1615" s="312" t="s">
        <v>109</v>
      </c>
    </row>
    <row r="1616" spans="1:11">
      <c r="A1616" s="312" t="s">
        <v>1956</v>
      </c>
      <c r="B1616" s="1" t="s">
        <v>1957</v>
      </c>
      <c r="C1616" s="312" t="s">
        <v>105</v>
      </c>
      <c r="D1616" s="312" t="s">
        <v>603</v>
      </c>
      <c r="E1616" s="312" t="s">
        <v>107</v>
      </c>
      <c r="F1616" s="312">
        <v>1825</v>
      </c>
      <c r="G1616" s="312" t="s">
        <v>108</v>
      </c>
      <c r="H1616" s="312">
        <v>1827</v>
      </c>
      <c r="I1616" s="312" t="s">
        <v>107</v>
      </c>
      <c r="J1616" s="312">
        <v>1913</v>
      </c>
      <c r="K1616" s="312" t="s">
        <v>109</v>
      </c>
    </row>
    <row r="1617" spans="1:11">
      <c r="A1617" s="312" t="s">
        <v>1958</v>
      </c>
      <c r="B1617" s="312" t="s">
        <v>1959</v>
      </c>
      <c r="C1617" s="312" t="s">
        <v>105</v>
      </c>
      <c r="D1617" s="312" t="s">
        <v>603</v>
      </c>
      <c r="E1617" s="312" t="s">
        <v>107</v>
      </c>
      <c r="F1617" s="312">
        <v>1825</v>
      </c>
      <c r="G1617" s="312" t="s">
        <v>108</v>
      </c>
      <c r="H1617" s="312">
        <v>1827</v>
      </c>
      <c r="I1617" s="312" t="s">
        <v>107</v>
      </c>
      <c r="J1617" s="312">
        <v>1913</v>
      </c>
      <c r="K1617" s="312" t="s">
        <v>109</v>
      </c>
    </row>
    <row r="1618" spans="1:11">
      <c r="A1618" s="312" t="s">
        <v>1962</v>
      </c>
      <c r="B1618" s="312" t="s">
        <v>1963</v>
      </c>
      <c r="C1618" s="312" t="s">
        <v>105</v>
      </c>
      <c r="D1618" s="312" t="s">
        <v>603</v>
      </c>
      <c r="E1618" s="312" t="s">
        <v>107</v>
      </c>
      <c r="F1618" s="312">
        <v>1825</v>
      </c>
      <c r="G1618" s="312" t="s">
        <v>108</v>
      </c>
      <c r="H1618" s="312">
        <v>1827</v>
      </c>
      <c r="I1618" s="312" t="s">
        <v>107</v>
      </c>
      <c r="J1618" s="312">
        <v>1913</v>
      </c>
      <c r="K1618" s="312" t="s">
        <v>109</v>
      </c>
    </row>
    <row r="1619" spans="1:11">
      <c r="A1619" s="312" t="s">
        <v>1964</v>
      </c>
      <c r="B1619" s="312" t="s">
        <v>1965</v>
      </c>
      <c r="C1619" s="312" t="s">
        <v>105</v>
      </c>
      <c r="D1619" s="312" t="s">
        <v>603</v>
      </c>
      <c r="E1619" s="312" t="s">
        <v>107</v>
      </c>
      <c r="F1619" s="312">
        <v>1825</v>
      </c>
      <c r="G1619" s="312" t="s">
        <v>108</v>
      </c>
      <c r="H1619" s="312">
        <v>1827</v>
      </c>
      <c r="I1619" s="312" t="s">
        <v>107</v>
      </c>
      <c r="J1619" s="312">
        <v>1913</v>
      </c>
      <c r="K1619" s="312" t="s">
        <v>109</v>
      </c>
    </row>
    <row r="1620" spans="1:11">
      <c r="A1620" s="312" t="s">
        <v>2112</v>
      </c>
      <c r="B1620" s="312" t="s">
        <v>2113</v>
      </c>
      <c r="C1620" s="312" t="s">
        <v>105</v>
      </c>
      <c r="D1620" s="312" t="s">
        <v>603</v>
      </c>
      <c r="E1620" s="312" t="s">
        <v>107</v>
      </c>
      <c r="F1620" s="312">
        <v>1825</v>
      </c>
      <c r="G1620" s="312" t="s">
        <v>108</v>
      </c>
      <c r="H1620" s="312">
        <v>1827</v>
      </c>
      <c r="I1620" s="312" t="s">
        <v>107</v>
      </c>
      <c r="J1620" s="312">
        <v>1913</v>
      </c>
      <c r="K1620" s="312" t="s">
        <v>109</v>
      </c>
    </row>
    <row r="1621" spans="1:11">
      <c r="A1621" s="312" t="s">
        <v>2579</v>
      </c>
      <c r="B1621" s="312" t="s">
        <v>2580</v>
      </c>
      <c r="C1621" s="312" t="s">
        <v>105</v>
      </c>
      <c r="D1621" s="312" t="s">
        <v>603</v>
      </c>
      <c r="E1621" s="312" t="s">
        <v>107</v>
      </c>
      <c r="F1621" s="312">
        <v>1825</v>
      </c>
      <c r="G1621" s="312" t="s">
        <v>108</v>
      </c>
      <c r="H1621" s="312">
        <v>1827</v>
      </c>
      <c r="I1621" s="312" t="s">
        <v>107</v>
      </c>
      <c r="J1621" s="312">
        <v>1913</v>
      </c>
      <c r="K1621" s="312" t="s">
        <v>109</v>
      </c>
    </row>
    <row r="1622" spans="1:11">
      <c r="A1622" s="312" t="s">
        <v>2786</v>
      </c>
      <c r="B1622" s="312" t="s">
        <v>2787</v>
      </c>
      <c r="C1622" s="312" t="s">
        <v>105</v>
      </c>
      <c r="D1622" s="312" t="s">
        <v>603</v>
      </c>
      <c r="E1622" s="312" t="s">
        <v>107</v>
      </c>
      <c r="F1622" s="312">
        <v>1825</v>
      </c>
      <c r="G1622" s="312" t="s">
        <v>108</v>
      </c>
      <c r="H1622" s="312">
        <v>1827</v>
      </c>
      <c r="I1622" s="312" t="s">
        <v>107</v>
      </c>
      <c r="J1622" s="312">
        <v>1913</v>
      </c>
      <c r="K1622" s="312" t="s">
        <v>109</v>
      </c>
    </row>
    <row r="1623" spans="1:11">
      <c r="A1623" s="312" t="s">
        <v>2792</v>
      </c>
      <c r="B1623" s="312" t="s">
        <v>2793</v>
      </c>
      <c r="C1623" s="312" t="s">
        <v>105</v>
      </c>
      <c r="D1623" s="312" t="s">
        <v>603</v>
      </c>
      <c r="E1623" s="312" t="s">
        <v>107</v>
      </c>
      <c r="F1623" s="312">
        <v>1825</v>
      </c>
      <c r="G1623" s="312" t="s">
        <v>108</v>
      </c>
      <c r="H1623" s="312">
        <v>1827</v>
      </c>
      <c r="I1623" s="312" t="s">
        <v>107</v>
      </c>
      <c r="J1623" s="312">
        <v>1913</v>
      </c>
      <c r="K1623" s="312" t="s">
        <v>109</v>
      </c>
    </row>
    <row r="1624" spans="1:11">
      <c r="A1624" s="312" t="s">
        <v>2804</v>
      </c>
      <c r="B1624" s="312" t="s">
        <v>2805</v>
      </c>
      <c r="C1624" s="312" t="s">
        <v>105</v>
      </c>
      <c r="D1624" s="312" t="s">
        <v>603</v>
      </c>
      <c r="E1624" s="312" t="s">
        <v>107</v>
      </c>
      <c r="F1624" s="312">
        <v>1825</v>
      </c>
      <c r="G1624" s="312" t="s">
        <v>108</v>
      </c>
      <c r="H1624" s="312">
        <v>1827</v>
      </c>
      <c r="I1624" s="312" t="s">
        <v>107</v>
      </c>
      <c r="J1624" s="312">
        <v>1913</v>
      </c>
      <c r="K1624" s="312" t="s">
        <v>109</v>
      </c>
    </row>
    <row r="1625" spans="1:11">
      <c r="A1625" s="312" t="s">
        <v>4064</v>
      </c>
      <c r="B1625" s="312" t="s">
        <v>4065</v>
      </c>
      <c r="C1625" s="312" t="s">
        <v>105</v>
      </c>
      <c r="D1625" s="312" t="s">
        <v>603</v>
      </c>
      <c r="E1625" s="312" t="s">
        <v>107</v>
      </c>
      <c r="F1625" s="312">
        <v>1825</v>
      </c>
      <c r="G1625" s="312" t="s">
        <v>108</v>
      </c>
      <c r="H1625" s="312">
        <v>1827</v>
      </c>
      <c r="I1625" s="312" t="s">
        <v>107</v>
      </c>
      <c r="J1625" s="312">
        <v>1913</v>
      </c>
      <c r="K1625" s="312" t="s">
        <v>109</v>
      </c>
    </row>
    <row r="1626" spans="1:11">
      <c r="A1626" s="312" t="s">
        <v>4551</v>
      </c>
      <c r="B1626" s="312" t="s">
        <v>4552</v>
      </c>
      <c r="C1626" s="312" t="s">
        <v>105</v>
      </c>
      <c r="D1626" s="312" t="s">
        <v>603</v>
      </c>
      <c r="E1626" s="312" t="s">
        <v>107</v>
      </c>
      <c r="F1626" s="312">
        <v>1825</v>
      </c>
      <c r="G1626" s="312" t="s">
        <v>108</v>
      </c>
      <c r="H1626" s="312">
        <v>1827</v>
      </c>
      <c r="I1626" s="312" t="s">
        <v>107</v>
      </c>
      <c r="J1626" s="312">
        <v>1913</v>
      </c>
      <c r="K1626" s="312" t="s">
        <v>109</v>
      </c>
    </row>
    <row r="1627" spans="1:11">
      <c r="A1627" s="312" t="s">
        <v>4756</v>
      </c>
      <c r="B1627" s="312" t="s">
        <v>4757</v>
      </c>
      <c r="C1627" s="312" t="s">
        <v>105</v>
      </c>
      <c r="D1627" s="312" t="s">
        <v>603</v>
      </c>
      <c r="E1627" s="312" t="s">
        <v>107</v>
      </c>
      <c r="F1627" s="312">
        <v>1825</v>
      </c>
      <c r="G1627" s="312" t="s">
        <v>108</v>
      </c>
      <c r="H1627" s="312">
        <v>1827</v>
      </c>
      <c r="I1627" s="312" t="s">
        <v>107</v>
      </c>
      <c r="J1627" s="312">
        <v>1913</v>
      </c>
      <c r="K1627" s="312" t="s">
        <v>109</v>
      </c>
    </row>
    <row r="1628" spans="1:11">
      <c r="A1628" s="312" t="s">
        <v>4811</v>
      </c>
      <c r="B1628" s="312" t="s">
        <v>4812</v>
      </c>
      <c r="C1628" s="312" t="s">
        <v>105</v>
      </c>
      <c r="D1628" s="312" t="s">
        <v>603</v>
      </c>
      <c r="E1628" s="312" t="s">
        <v>107</v>
      </c>
      <c r="F1628" s="312">
        <v>1825</v>
      </c>
      <c r="G1628" s="312" t="s">
        <v>108</v>
      </c>
      <c r="H1628" s="312">
        <v>1827</v>
      </c>
      <c r="I1628" s="312" t="s">
        <v>107</v>
      </c>
      <c r="J1628" s="312">
        <v>1913</v>
      </c>
      <c r="K1628" s="312" t="s">
        <v>109</v>
      </c>
    </row>
    <row r="1629" spans="1:11">
      <c r="A1629" s="312" t="s">
        <v>4815</v>
      </c>
      <c r="B1629" s="312" t="s">
        <v>4816</v>
      </c>
      <c r="C1629" s="312" t="s">
        <v>105</v>
      </c>
      <c r="D1629" s="312" t="s">
        <v>603</v>
      </c>
      <c r="E1629" s="312" t="s">
        <v>107</v>
      </c>
      <c r="F1629" s="312">
        <v>1825</v>
      </c>
      <c r="G1629" s="312" t="s">
        <v>108</v>
      </c>
      <c r="H1629" s="312">
        <v>1827</v>
      </c>
      <c r="I1629" s="312" t="s">
        <v>107</v>
      </c>
      <c r="J1629" s="312">
        <v>1913</v>
      </c>
      <c r="K1629" s="312" t="s">
        <v>109</v>
      </c>
    </row>
    <row r="1630" spans="1:11">
      <c r="A1630" s="312" t="s">
        <v>5055</v>
      </c>
      <c r="B1630" s="312" t="s">
        <v>5056</v>
      </c>
      <c r="C1630" s="312" t="s">
        <v>105</v>
      </c>
      <c r="D1630" s="312" t="s">
        <v>603</v>
      </c>
      <c r="E1630" s="312" t="s">
        <v>107</v>
      </c>
      <c r="F1630" s="312">
        <v>1825</v>
      </c>
      <c r="G1630" s="312" t="s">
        <v>108</v>
      </c>
      <c r="H1630" s="312">
        <v>1827</v>
      </c>
      <c r="I1630" s="312" t="s">
        <v>107</v>
      </c>
      <c r="J1630" s="312">
        <v>1913</v>
      </c>
      <c r="K1630" s="312" t="s">
        <v>109</v>
      </c>
    </row>
    <row r="1631" spans="1:11">
      <c r="A1631" s="312" t="s">
        <v>5099</v>
      </c>
      <c r="B1631" s="312" t="s">
        <v>5100</v>
      </c>
      <c r="C1631" s="312" t="s">
        <v>105</v>
      </c>
      <c r="D1631" s="312" t="s">
        <v>603</v>
      </c>
      <c r="E1631" s="312" t="s">
        <v>107</v>
      </c>
      <c r="F1631" s="312">
        <v>1825</v>
      </c>
      <c r="G1631" s="312" t="s">
        <v>108</v>
      </c>
      <c r="H1631" s="312">
        <v>1827</v>
      </c>
      <c r="I1631" s="312" t="s">
        <v>107</v>
      </c>
      <c r="J1631" s="312">
        <v>1913</v>
      </c>
      <c r="K1631" s="312" t="s">
        <v>109</v>
      </c>
    </row>
    <row r="1632" spans="1:11">
      <c r="A1632" s="312" t="s">
        <v>5101</v>
      </c>
      <c r="B1632" s="312" t="s">
        <v>5102</v>
      </c>
      <c r="C1632" s="312" t="s">
        <v>105</v>
      </c>
      <c r="D1632" s="312" t="s">
        <v>603</v>
      </c>
      <c r="E1632" s="312" t="s">
        <v>107</v>
      </c>
      <c r="F1632" s="312">
        <v>1825</v>
      </c>
      <c r="G1632" s="312" t="s">
        <v>108</v>
      </c>
      <c r="H1632" s="312">
        <v>1827</v>
      </c>
      <c r="I1632" s="312" t="s">
        <v>107</v>
      </c>
      <c r="J1632" s="312">
        <v>1913</v>
      </c>
      <c r="K1632" s="312" t="s">
        <v>109</v>
      </c>
    </row>
    <row r="1633" spans="1:11">
      <c r="A1633" s="312" t="s">
        <v>5103</v>
      </c>
      <c r="B1633" s="312" t="s">
        <v>5104</v>
      </c>
      <c r="C1633" s="312" t="s">
        <v>105</v>
      </c>
      <c r="D1633" s="312" t="s">
        <v>603</v>
      </c>
      <c r="E1633" s="312" t="s">
        <v>107</v>
      </c>
      <c r="F1633" s="312">
        <v>1825</v>
      </c>
      <c r="G1633" s="312" t="s">
        <v>108</v>
      </c>
      <c r="H1633" s="312">
        <v>1827</v>
      </c>
      <c r="I1633" s="312" t="s">
        <v>107</v>
      </c>
      <c r="J1633" s="312">
        <v>1913</v>
      </c>
      <c r="K1633" s="312" t="s">
        <v>109</v>
      </c>
    </row>
    <row r="1634" spans="1:11">
      <c r="A1634" s="312" t="s">
        <v>5105</v>
      </c>
      <c r="B1634" s="312" t="s">
        <v>5106</v>
      </c>
      <c r="C1634" s="312" t="s">
        <v>105</v>
      </c>
      <c r="D1634" s="312" t="s">
        <v>603</v>
      </c>
      <c r="E1634" s="312" t="s">
        <v>107</v>
      </c>
      <c r="F1634" s="312">
        <v>1825</v>
      </c>
      <c r="G1634" s="312" t="s">
        <v>108</v>
      </c>
      <c r="H1634" s="312">
        <v>1827</v>
      </c>
      <c r="I1634" s="312" t="s">
        <v>107</v>
      </c>
      <c r="J1634" s="312">
        <v>1913</v>
      </c>
      <c r="K1634" s="312" t="s">
        <v>109</v>
      </c>
    </row>
    <row r="1635" spans="1:11">
      <c r="A1635" s="312" t="s">
        <v>5107</v>
      </c>
      <c r="B1635" s="312" t="s">
        <v>5108</v>
      </c>
      <c r="C1635" s="312" t="s">
        <v>105</v>
      </c>
      <c r="D1635" s="312" t="s">
        <v>603</v>
      </c>
      <c r="E1635" s="312" t="s">
        <v>107</v>
      </c>
      <c r="F1635" s="312">
        <v>1825</v>
      </c>
      <c r="G1635" s="312" t="s">
        <v>108</v>
      </c>
      <c r="H1635" s="312">
        <v>1827</v>
      </c>
      <c r="I1635" s="312" t="s">
        <v>107</v>
      </c>
      <c r="J1635" s="312">
        <v>1913</v>
      </c>
      <c r="K1635" s="312" t="s">
        <v>109</v>
      </c>
    </row>
    <row r="1636" spans="1:11">
      <c r="A1636" s="312" t="s">
        <v>5361</v>
      </c>
      <c r="B1636" s="312" t="s">
        <v>5362</v>
      </c>
      <c r="C1636" s="312" t="s">
        <v>105</v>
      </c>
      <c r="D1636" s="312" t="s">
        <v>603</v>
      </c>
      <c r="E1636" s="312" t="s">
        <v>466</v>
      </c>
      <c r="F1636" s="312">
        <v>1796</v>
      </c>
      <c r="G1636" s="312" t="s">
        <v>467</v>
      </c>
      <c r="H1636" s="312">
        <v>1799</v>
      </c>
      <c r="I1636" s="312" t="s">
        <v>466</v>
      </c>
      <c r="J1636" s="312">
        <v>1918</v>
      </c>
      <c r="K1636" s="312" t="s">
        <v>468</v>
      </c>
    </row>
    <row r="1637" spans="1:11">
      <c r="A1637" s="312" t="s">
        <v>6096</v>
      </c>
      <c r="B1637" s="312" t="s">
        <v>6097</v>
      </c>
      <c r="C1637" s="312" t="s">
        <v>105</v>
      </c>
      <c r="D1637" s="312" t="s">
        <v>603</v>
      </c>
      <c r="E1637" s="312" t="s">
        <v>107</v>
      </c>
      <c r="F1637" s="312">
        <v>1825</v>
      </c>
      <c r="G1637" s="312" t="s">
        <v>108</v>
      </c>
      <c r="H1637" s="312">
        <v>1827</v>
      </c>
      <c r="I1637" s="312" t="s">
        <v>107</v>
      </c>
      <c r="J1637" s="312">
        <v>1913</v>
      </c>
      <c r="K1637" s="312" t="s">
        <v>109</v>
      </c>
    </row>
    <row r="1638" spans="1:11">
      <c r="A1638" s="312" t="s">
        <v>671</v>
      </c>
      <c r="B1638" s="312" t="s">
        <v>672</v>
      </c>
      <c r="C1638" s="312" t="s">
        <v>105</v>
      </c>
      <c r="D1638" s="312" t="s">
        <v>673</v>
      </c>
      <c r="E1638" s="312" t="s">
        <v>107</v>
      </c>
      <c r="F1638" s="312">
        <v>1825</v>
      </c>
      <c r="G1638" s="312" t="s">
        <v>108</v>
      </c>
      <c r="H1638" s="312">
        <v>1827</v>
      </c>
      <c r="I1638" s="312" t="s">
        <v>107</v>
      </c>
      <c r="J1638" s="312">
        <v>1913</v>
      </c>
      <c r="K1638" s="312" t="s">
        <v>109</v>
      </c>
    </row>
    <row r="1639" spans="1:11">
      <c r="A1639" s="312" t="s">
        <v>310</v>
      </c>
      <c r="B1639" s="312" t="s">
        <v>311</v>
      </c>
      <c r="C1639" s="312" t="s">
        <v>105</v>
      </c>
      <c r="D1639" s="312" t="s">
        <v>312</v>
      </c>
      <c r="E1639" s="312" t="s">
        <v>107</v>
      </c>
      <c r="F1639" s="312">
        <v>1825</v>
      </c>
      <c r="G1639" s="312" t="s">
        <v>108</v>
      </c>
      <c r="H1639" s="312">
        <v>1827</v>
      </c>
      <c r="I1639" s="312" t="s">
        <v>107</v>
      </c>
      <c r="J1639" s="312">
        <v>1913</v>
      </c>
      <c r="K1639" s="312" t="s">
        <v>109</v>
      </c>
    </row>
    <row r="1640" spans="1:11">
      <c r="A1640" s="312" t="s">
        <v>313</v>
      </c>
      <c r="B1640" s="312" t="s">
        <v>314</v>
      </c>
      <c r="C1640" s="312" t="s">
        <v>105</v>
      </c>
      <c r="D1640" s="312" t="s">
        <v>312</v>
      </c>
      <c r="E1640" s="312" t="s">
        <v>107</v>
      </c>
      <c r="F1640" s="312">
        <v>1825</v>
      </c>
      <c r="G1640" s="312" t="s">
        <v>108</v>
      </c>
      <c r="H1640" s="312">
        <v>1827</v>
      </c>
      <c r="I1640" s="312" t="s">
        <v>107</v>
      </c>
      <c r="J1640" s="312">
        <v>1913</v>
      </c>
      <c r="K1640" s="312" t="s">
        <v>109</v>
      </c>
    </row>
    <row r="1641" spans="1:11">
      <c r="A1641" s="312" t="s">
        <v>315</v>
      </c>
      <c r="B1641" s="312" t="s">
        <v>316</v>
      </c>
      <c r="C1641" s="312" t="s">
        <v>105</v>
      </c>
      <c r="D1641" s="312" t="s">
        <v>312</v>
      </c>
      <c r="E1641" s="312" t="s">
        <v>107</v>
      </c>
      <c r="F1641" s="312">
        <v>1825</v>
      </c>
      <c r="G1641" s="312" t="s">
        <v>108</v>
      </c>
      <c r="H1641" s="312">
        <v>1827</v>
      </c>
      <c r="I1641" s="312" t="s">
        <v>107</v>
      </c>
      <c r="J1641" s="312">
        <v>1913</v>
      </c>
      <c r="K1641" s="312" t="s">
        <v>109</v>
      </c>
    </row>
    <row r="1642" spans="1:11">
      <c r="A1642" s="312" t="s">
        <v>346</v>
      </c>
      <c r="B1642" s="312" t="s">
        <v>347</v>
      </c>
      <c r="C1642" s="312" t="s">
        <v>105</v>
      </c>
      <c r="D1642" s="312" t="s">
        <v>312</v>
      </c>
      <c r="E1642" s="312" t="s">
        <v>107</v>
      </c>
      <c r="F1642" s="312">
        <v>1825</v>
      </c>
      <c r="G1642" s="312" t="s">
        <v>108</v>
      </c>
      <c r="H1642" s="312">
        <v>1827</v>
      </c>
      <c r="I1642" s="312" t="s">
        <v>107</v>
      </c>
      <c r="J1642" s="312">
        <v>1913</v>
      </c>
      <c r="K1642" s="312" t="s">
        <v>109</v>
      </c>
    </row>
    <row r="1643" spans="1:11">
      <c r="A1643" s="312" t="s">
        <v>348</v>
      </c>
      <c r="B1643" s="312" t="s">
        <v>349</v>
      </c>
      <c r="C1643" s="312" t="s">
        <v>105</v>
      </c>
      <c r="D1643" s="312" t="s">
        <v>312</v>
      </c>
      <c r="E1643" s="312" t="s">
        <v>107</v>
      </c>
      <c r="F1643" s="312">
        <v>1825</v>
      </c>
      <c r="G1643" s="312" t="s">
        <v>108</v>
      </c>
      <c r="H1643" s="312">
        <v>1827</v>
      </c>
      <c r="I1643" s="312" t="s">
        <v>107</v>
      </c>
      <c r="J1643" s="312">
        <v>1913</v>
      </c>
      <c r="K1643" s="312" t="s">
        <v>109</v>
      </c>
    </row>
    <row r="1644" spans="1:11">
      <c r="A1644" s="312" t="s">
        <v>375</v>
      </c>
      <c r="B1644" s="312" t="s">
        <v>376</v>
      </c>
      <c r="C1644" s="312" t="s">
        <v>105</v>
      </c>
      <c r="D1644" s="312" t="s">
        <v>312</v>
      </c>
      <c r="E1644" s="312" t="s">
        <v>107</v>
      </c>
      <c r="F1644" s="312">
        <v>1825</v>
      </c>
      <c r="G1644" s="312" t="s">
        <v>108</v>
      </c>
      <c r="H1644" s="312">
        <v>1827</v>
      </c>
      <c r="I1644" s="312" t="s">
        <v>107</v>
      </c>
      <c r="J1644" s="312">
        <v>1913</v>
      </c>
      <c r="K1644" s="312" t="s">
        <v>109</v>
      </c>
    </row>
    <row r="1645" spans="1:11">
      <c r="A1645" s="3" t="s">
        <v>386</v>
      </c>
      <c r="B1645" s="312" t="s">
        <v>387</v>
      </c>
      <c r="C1645" s="312" t="s">
        <v>105</v>
      </c>
      <c r="D1645" s="312" t="s">
        <v>312</v>
      </c>
      <c r="E1645" s="312" t="s">
        <v>107</v>
      </c>
      <c r="F1645" s="312">
        <v>1825</v>
      </c>
      <c r="G1645" s="312" t="s">
        <v>108</v>
      </c>
      <c r="H1645" s="312">
        <v>1827</v>
      </c>
      <c r="I1645" s="312" t="s">
        <v>107</v>
      </c>
      <c r="J1645" s="312">
        <v>1913</v>
      </c>
      <c r="K1645" s="312" t="s">
        <v>109</v>
      </c>
    </row>
    <row r="1646" spans="1:11">
      <c r="A1646" s="3" t="s">
        <v>390</v>
      </c>
      <c r="B1646" s="312" t="s">
        <v>391</v>
      </c>
      <c r="C1646" s="312" t="s">
        <v>105</v>
      </c>
      <c r="D1646" s="312" t="s">
        <v>312</v>
      </c>
      <c r="E1646" s="312" t="s">
        <v>107</v>
      </c>
      <c r="F1646" s="312">
        <v>1825</v>
      </c>
      <c r="G1646" s="312" t="s">
        <v>108</v>
      </c>
      <c r="H1646" s="312">
        <v>1827</v>
      </c>
      <c r="I1646" s="312" t="s">
        <v>107</v>
      </c>
      <c r="J1646" s="312">
        <v>1913</v>
      </c>
      <c r="K1646" s="312" t="s">
        <v>109</v>
      </c>
    </row>
    <row r="1647" spans="1:11">
      <c r="A1647" s="3" t="s">
        <v>392</v>
      </c>
      <c r="B1647" s="312" t="s">
        <v>393</v>
      </c>
      <c r="C1647" s="312" t="s">
        <v>105</v>
      </c>
      <c r="D1647" s="312" t="s">
        <v>312</v>
      </c>
      <c r="E1647" s="312" t="s">
        <v>107</v>
      </c>
      <c r="F1647" s="312">
        <v>1825</v>
      </c>
      <c r="G1647" s="312" t="s">
        <v>108</v>
      </c>
      <c r="H1647" s="312">
        <v>1827</v>
      </c>
      <c r="I1647" s="312" t="s">
        <v>107</v>
      </c>
      <c r="J1647" s="312">
        <v>1913</v>
      </c>
      <c r="K1647" s="312" t="s">
        <v>109</v>
      </c>
    </row>
    <row r="1648" spans="1:11">
      <c r="A1648" s="3" t="s">
        <v>394</v>
      </c>
      <c r="B1648" s="312" t="s">
        <v>395</v>
      </c>
      <c r="C1648" s="312" t="s">
        <v>105</v>
      </c>
      <c r="D1648" s="312" t="s">
        <v>312</v>
      </c>
      <c r="E1648" s="312" t="s">
        <v>107</v>
      </c>
      <c r="F1648" s="312">
        <v>1825</v>
      </c>
      <c r="G1648" s="312" t="s">
        <v>108</v>
      </c>
      <c r="H1648" s="312">
        <v>1827</v>
      </c>
      <c r="I1648" s="312" t="s">
        <v>107</v>
      </c>
      <c r="J1648" s="312">
        <v>1913</v>
      </c>
      <c r="K1648" s="312" t="s">
        <v>109</v>
      </c>
    </row>
    <row r="1649" spans="1:11">
      <c r="A1649" s="3" t="s">
        <v>396</v>
      </c>
      <c r="B1649" s="312" t="s">
        <v>397</v>
      </c>
      <c r="C1649" s="312" t="s">
        <v>105</v>
      </c>
      <c r="D1649" s="312" t="s">
        <v>312</v>
      </c>
      <c r="E1649" s="312" t="s">
        <v>107</v>
      </c>
      <c r="F1649" s="312">
        <v>1825</v>
      </c>
      <c r="G1649" s="312" t="s">
        <v>108</v>
      </c>
      <c r="H1649" s="312">
        <v>1827</v>
      </c>
      <c r="I1649" s="312" t="s">
        <v>107</v>
      </c>
      <c r="J1649" s="312">
        <v>1913</v>
      </c>
      <c r="K1649" s="312" t="s">
        <v>109</v>
      </c>
    </row>
    <row r="1650" spans="1:11">
      <c r="A1650" s="312" t="s">
        <v>417</v>
      </c>
      <c r="B1650" s="312" t="s">
        <v>418</v>
      </c>
      <c r="C1650" s="312" t="s">
        <v>105</v>
      </c>
      <c r="D1650" s="312" t="s">
        <v>312</v>
      </c>
      <c r="E1650" s="312" t="s">
        <v>107</v>
      </c>
      <c r="F1650" s="312">
        <v>1825</v>
      </c>
      <c r="G1650" s="312" t="s">
        <v>108</v>
      </c>
      <c r="H1650" s="312">
        <v>1827</v>
      </c>
      <c r="I1650" s="312" t="s">
        <v>107</v>
      </c>
      <c r="J1650" s="312">
        <v>1913</v>
      </c>
      <c r="K1650" s="312" t="s">
        <v>109</v>
      </c>
    </row>
    <row r="1651" spans="1:11">
      <c r="A1651" s="312" t="s">
        <v>449</v>
      </c>
      <c r="B1651" s="312" t="s">
        <v>450</v>
      </c>
      <c r="C1651" s="312" t="s">
        <v>105</v>
      </c>
      <c r="D1651" s="312" t="s">
        <v>312</v>
      </c>
      <c r="E1651" s="312" t="s">
        <v>107</v>
      </c>
      <c r="F1651" s="312">
        <v>1825</v>
      </c>
      <c r="G1651" s="312" t="s">
        <v>108</v>
      </c>
      <c r="H1651" s="312">
        <v>1827</v>
      </c>
      <c r="I1651" s="312" t="s">
        <v>107</v>
      </c>
      <c r="J1651" s="312">
        <v>1913</v>
      </c>
      <c r="K1651" s="312" t="s">
        <v>109</v>
      </c>
    </row>
    <row r="1652" spans="1:11">
      <c r="A1652" s="312" t="s">
        <v>473</v>
      </c>
      <c r="B1652" s="312" t="s">
        <v>474</v>
      </c>
      <c r="C1652" s="312" t="s">
        <v>105</v>
      </c>
      <c r="D1652" s="312" t="s">
        <v>312</v>
      </c>
      <c r="E1652" s="312" t="s">
        <v>107</v>
      </c>
      <c r="F1652" s="312">
        <v>1825</v>
      </c>
      <c r="G1652" s="312" t="s">
        <v>108</v>
      </c>
      <c r="H1652" s="312">
        <v>1827</v>
      </c>
      <c r="I1652" s="312" t="s">
        <v>107</v>
      </c>
      <c r="J1652" s="312">
        <v>1913</v>
      </c>
      <c r="K1652" s="312" t="s">
        <v>109</v>
      </c>
    </row>
    <row r="1653" spans="1:11">
      <c r="A1653" s="312" t="s">
        <v>674</v>
      </c>
      <c r="B1653" s="312" t="s">
        <v>675</v>
      </c>
      <c r="C1653" s="312" t="s">
        <v>105</v>
      </c>
      <c r="D1653" s="312" t="s">
        <v>312</v>
      </c>
      <c r="E1653" s="312" t="s">
        <v>107</v>
      </c>
      <c r="F1653" s="312">
        <v>1825</v>
      </c>
      <c r="G1653" s="312" t="s">
        <v>108</v>
      </c>
      <c r="H1653" s="312">
        <v>1827</v>
      </c>
      <c r="I1653" s="312" t="s">
        <v>107</v>
      </c>
      <c r="J1653" s="312">
        <v>1913</v>
      </c>
      <c r="K1653" s="312" t="s">
        <v>109</v>
      </c>
    </row>
    <row r="1654" spans="1:11">
      <c r="A1654" s="2" t="s">
        <v>776</v>
      </c>
      <c r="B1654" s="312" t="s">
        <v>777</v>
      </c>
      <c r="C1654" s="312" t="s">
        <v>105</v>
      </c>
      <c r="D1654" s="312" t="s">
        <v>312</v>
      </c>
      <c r="E1654" s="312" t="s">
        <v>107</v>
      </c>
      <c r="F1654" s="312">
        <v>1825</v>
      </c>
      <c r="G1654" s="312" t="s">
        <v>108</v>
      </c>
      <c r="H1654" s="312">
        <v>1827</v>
      </c>
      <c r="I1654" s="312" t="s">
        <v>107</v>
      </c>
      <c r="J1654" s="312">
        <v>1913</v>
      </c>
      <c r="K1654" s="312" t="s">
        <v>109</v>
      </c>
    </row>
    <row r="1655" spans="1:11">
      <c r="A1655" s="312" t="s">
        <v>905</v>
      </c>
      <c r="B1655" s="312" t="s">
        <v>906</v>
      </c>
      <c r="C1655" s="312" t="s">
        <v>105</v>
      </c>
      <c r="D1655" s="312" t="s">
        <v>312</v>
      </c>
      <c r="E1655" s="312" t="s">
        <v>107</v>
      </c>
      <c r="F1655" s="312">
        <v>1825</v>
      </c>
      <c r="G1655" s="312" t="s">
        <v>108</v>
      </c>
      <c r="H1655" s="312">
        <v>1827</v>
      </c>
      <c r="I1655" s="312" t="s">
        <v>107</v>
      </c>
      <c r="J1655" s="312">
        <v>1913</v>
      </c>
      <c r="K1655" s="312" t="s">
        <v>109</v>
      </c>
    </row>
    <row r="1656" spans="1:11">
      <c r="A1656" s="312" t="s">
        <v>909</v>
      </c>
      <c r="B1656" s="312" t="s">
        <v>910</v>
      </c>
      <c r="C1656" s="312" t="s">
        <v>105</v>
      </c>
      <c r="D1656" s="312" t="s">
        <v>312</v>
      </c>
      <c r="E1656" s="312" t="s">
        <v>107</v>
      </c>
      <c r="F1656" s="312">
        <v>1825</v>
      </c>
      <c r="G1656" s="312" t="s">
        <v>108</v>
      </c>
      <c r="H1656" s="312">
        <v>1827</v>
      </c>
      <c r="I1656" s="312" t="s">
        <v>107</v>
      </c>
      <c r="J1656" s="312">
        <v>1913</v>
      </c>
      <c r="K1656" s="312" t="s">
        <v>109</v>
      </c>
    </row>
    <row r="1657" spans="1:11">
      <c r="A1657" s="312" t="s">
        <v>911</v>
      </c>
      <c r="B1657" s="312" t="s">
        <v>912</v>
      </c>
      <c r="C1657" s="312" t="s">
        <v>105</v>
      </c>
      <c r="D1657" s="312" t="s">
        <v>312</v>
      </c>
      <c r="E1657" s="312" t="s">
        <v>107</v>
      </c>
      <c r="F1657" s="312">
        <v>1825</v>
      </c>
      <c r="G1657" s="312" t="s">
        <v>108</v>
      </c>
      <c r="H1657" s="312">
        <v>1827</v>
      </c>
      <c r="I1657" s="312" t="s">
        <v>107</v>
      </c>
      <c r="J1657" s="312">
        <v>1913</v>
      </c>
      <c r="K1657" s="312" t="s">
        <v>109</v>
      </c>
    </row>
    <row r="1658" spans="1:11">
      <c r="A1658" s="312" t="s">
        <v>1173</v>
      </c>
      <c r="B1658" s="312" t="s">
        <v>1174</v>
      </c>
      <c r="C1658" s="312" t="s">
        <v>105</v>
      </c>
      <c r="D1658" s="312" t="s">
        <v>312</v>
      </c>
      <c r="E1658" s="312" t="s">
        <v>107</v>
      </c>
      <c r="F1658" s="312">
        <v>1825</v>
      </c>
      <c r="G1658" s="312" t="s">
        <v>108</v>
      </c>
      <c r="H1658" s="312">
        <v>1827</v>
      </c>
      <c r="I1658" s="312" t="s">
        <v>107</v>
      </c>
      <c r="J1658" s="312">
        <v>1913</v>
      </c>
      <c r="K1658" s="312" t="s">
        <v>109</v>
      </c>
    </row>
    <row r="1659" spans="1:11">
      <c r="A1659" s="312" t="s">
        <v>1201</v>
      </c>
      <c r="B1659" s="312" t="s">
        <v>1202</v>
      </c>
      <c r="C1659" s="312" t="s">
        <v>105</v>
      </c>
      <c r="D1659" s="312" t="s">
        <v>312</v>
      </c>
      <c r="E1659" s="312" t="s">
        <v>107</v>
      </c>
      <c r="F1659" s="312">
        <v>1825</v>
      </c>
      <c r="G1659" s="312" t="s">
        <v>108</v>
      </c>
      <c r="H1659" s="312">
        <v>1827</v>
      </c>
      <c r="I1659" s="312" t="s">
        <v>107</v>
      </c>
      <c r="J1659" s="312">
        <v>1913</v>
      </c>
      <c r="K1659" s="312" t="s">
        <v>109</v>
      </c>
    </row>
    <row r="1660" spans="1:11">
      <c r="A1660" s="312" t="s">
        <v>1269</v>
      </c>
      <c r="B1660" s="312" t="s">
        <v>1270</v>
      </c>
      <c r="C1660" s="312" t="s">
        <v>105</v>
      </c>
      <c r="D1660" s="312" t="s">
        <v>312</v>
      </c>
      <c r="E1660" s="312" t="s">
        <v>107</v>
      </c>
      <c r="F1660" s="312">
        <v>1825</v>
      </c>
      <c r="G1660" s="312" t="s">
        <v>108</v>
      </c>
      <c r="H1660" s="312">
        <v>1827</v>
      </c>
      <c r="I1660" s="312" t="s">
        <v>107</v>
      </c>
      <c r="J1660" s="312">
        <v>1913</v>
      </c>
      <c r="K1660" s="312" t="s">
        <v>109</v>
      </c>
    </row>
    <row r="1661" spans="1:11">
      <c r="A1661" s="312" t="s">
        <v>1271</v>
      </c>
      <c r="B1661" s="312" t="s">
        <v>1272</v>
      </c>
      <c r="C1661" s="312" t="s">
        <v>105</v>
      </c>
      <c r="D1661" s="312" t="s">
        <v>312</v>
      </c>
      <c r="E1661" s="312" t="s">
        <v>107</v>
      </c>
      <c r="F1661" s="312">
        <v>1825</v>
      </c>
      <c r="G1661" s="312" t="s">
        <v>108</v>
      </c>
      <c r="H1661" s="312">
        <v>1827</v>
      </c>
      <c r="I1661" s="312" t="s">
        <v>107</v>
      </c>
      <c r="J1661" s="312">
        <v>1913</v>
      </c>
      <c r="K1661" s="312" t="s">
        <v>109</v>
      </c>
    </row>
    <row r="1662" spans="1:11">
      <c r="A1662" s="312" t="s">
        <v>1273</v>
      </c>
      <c r="B1662" s="312" t="s">
        <v>1274</v>
      </c>
      <c r="C1662" s="312" t="s">
        <v>105</v>
      </c>
      <c r="D1662" s="312" t="s">
        <v>312</v>
      </c>
      <c r="E1662" s="312" t="s">
        <v>107</v>
      </c>
      <c r="F1662" s="312">
        <v>1825</v>
      </c>
      <c r="G1662" s="312" t="s">
        <v>108</v>
      </c>
      <c r="H1662" s="312">
        <v>1827</v>
      </c>
      <c r="I1662" s="312" t="s">
        <v>107</v>
      </c>
      <c r="J1662" s="312">
        <v>1913</v>
      </c>
      <c r="K1662" s="312" t="s">
        <v>109</v>
      </c>
    </row>
    <row r="1663" spans="1:11">
      <c r="A1663" s="312" t="s">
        <v>1275</v>
      </c>
      <c r="B1663" s="312" t="s">
        <v>1276</v>
      </c>
      <c r="C1663" s="312" t="s">
        <v>105</v>
      </c>
      <c r="D1663" s="312" t="s">
        <v>312</v>
      </c>
      <c r="E1663" s="312" t="s">
        <v>107</v>
      </c>
      <c r="F1663" s="312">
        <v>1825</v>
      </c>
      <c r="G1663" s="312" t="s">
        <v>108</v>
      </c>
      <c r="H1663" s="312">
        <v>1827</v>
      </c>
      <c r="I1663" s="312" t="s">
        <v>107</v>
      </c>
      <c r="J1663" s="312">
        <v>1913</v>
      </c>
      <c r="K1663" s="312" t="s">
        <v>109</v>
      </c>
    </row>
    <row r="1664" spans="1:11">
      <c r="A1664" s="312" t="s">
        <v>1413</v>
      </c>
      <c r="B1664" s="312" t="s">
        <v>1414</v>
      </c>
      <c r="C1664" s="312" t="s">
        <v>105</v>
      </c>
      <c r="D1664" s="312" t="s">
        <v>312</v>
      </c>
      <c r="E1664" s="312" t="s">
        <v>107</v>
      </c>
      <c r="F1664" s="312">
        <v>1825</v>
      </c>
      <c r="G1664" s="312" t="s">
        <v>108</v>
      </c>
      <c r="H1664" s="312">
        <v>1827</v>
      </c>
      <c r="I1664" s="312" t="s">
        <v>107</v>
      </c>
      <c r="J1664" s="312">
        <v>1913</v>
      </c>
      <c r="K1664" s="312" t="s">
        <v>109</v>
      </c>
    </row>
    <row r="1665" spans="1:11">
      <c r="A1665" s="312" t="s">
        <v>1429</v>
      </c>
      <c r="B1665" s="312" t="s">
        <v>1430</v>
      </c>
      <c r="C1665" s="312" t="s">
        <v>105</v>
      </c>
      <c r="D1665" s="312" t="s">
        <v>312</v>
      </c>
      <c r="E1665" s="312" t="s">
        <v>107</v>
      </c>
      <c r="F1665" s="312">
        <v>1825</v>
      </c>
      <c r="G1665" s="312" t="s">
        <v>108</v>
      </c>
      <c r="H1665" s="312">
        <v>1827</v>
      </c>
      <c r="I1665" s="312" t="s">
        <v>107</v>
      </c>
      <c r="J1665" s="312">
        <v>1913</v>
      </c>
      <c r="K1665" s="312" t="s">
        <v>109</v>
      </c>
    </row>
    <row r="1666" spans="1:11">
      <c r="A1666" s="312" t="s">
        <v>1431</v>
      </c>
      <c r="B1666" s="312" t="s">
        <v>1432</v>
      </c>
      <c r="C1666" s="312" t="s">
        <v>105</v>
      </c>
      <c r="D1666" s="312" t="s">
        <v>312</v>
      </c>
      <c r="E1666" s="312" t="s">
        <v>107</v>
      </c>
      <c r="F1666" s="312">
        <v>1825</v>
      </c>
      <c r="G1666" s="312" t="s">
        <v>108</v>
      </c>
      <c r="H1666" s="312">
        <v>1827</v>
      </c>
      <c r="I1666" s="312" t="s">
        <v>107</v>
      </c>
      <c r="J1666" s="312">
        <v>1913</v>
      </c>
      <c r="K1666" s="312" t="s">
        <v>109</v>
      </c>
    </row>
    <row r="1667" spans="1:11">
      <c r="A1667" s="312" t="s">
        <v>1433</v>
      </c>
      <c r="B1667" s="312" t="s">
        <v>1434</v>
      </c>
      <c r="C1667" s="312" t="s">
        <v>105</v>
      </c>
      <c r="D1667" s="312" t="s">
        <v>312</v>
      </c>
      <c r="E1667" s="312" t="s">
        <v>107</v>
      </c>
      <c r="F1667" s="312">
        <v>1825</v>
      </c>
      <c r="G1667" s="312" t="s">
        <v>108</v>
      </c>
      <c r="H1667" s="312">
        <v>1827</v>
      </c>
      <c r="I1667" s="312" t="s">
        <v>107</v>
      </c>
      <c r="J1667" s="312">
        <v>1913</v>
      </c>
      <c r="K1667" s="312" t="s">
        <v>109</v>
      </c>
    </row>
    <row r="1668" spans="1:11">
      <c r="A1668" s="312" t="s">
        <v>1435</v>
      </c>
      <c r="B1668" s="312" t="s">
        <v>1436</v>
      </c>
      <c r="C1668" s="312" t="s">
        <v>105</v>
      </c>
      <c r="D1668" s="312" t="s">
        <v>312</v>
      </c>
      <c r="E1668" s="312" t="s">
        <v>107</v>
      </c>
      <c r="F1668" s="312">
        <v>1825</v>
      </c>
      <c r="G1668" s="312" t="s">
        <v>108</v>
      </c>
      <c r="H1668" s="312">
        <v>1827</v>
      </c>
      <c r="I1668" s="312" t="s">
        <v>107</v>
      </c>
      <c r="J1668" s="312">
        <v>1913</v>
      </c>
      <c r="K1668" s="312" t="s">
        <v>109</v>
      </c>
    </row>
    <row r="1669" spans="1:11">
      <c r="A1669" s="312" t="s">
        <v>1471</v>
      </c>
      <c r="B1669" s="312" t="s">
        <v>1472</v>
      </c>
      <c r="C1669" s="312" t="s">
        <v>105</v>
      </c>
      <c r="D1669" s="312" t="s">
        <v>312</v>
      </c>
      <c r="E1669" s="312" t="s">
        <v>107</v>
      </c>
      <c r="F1669" s="312">
        <v>1825</v>
      </c>
      <c r="G1669" s="312" t="s">
        <v>108</v>
      </c>
      <c r="H1669" s="312">
        <v>1827</v>
      </c>
      <c r="I1669" s="312" t="s">
        <v>107</v>
      </c>
      <c r="J1669" s="312">
        <v>1913</v>
      </c>
      <c r="K1669" s="312" t="s">
        <v>109</v>
      </c>
    </row>
    <row r="1670" spans="1:11">
      <c r="A1670" s="312" t="s">
        <v>1754</v>
      </c>
      <c r="B1670" s="312" t="s">
        <v>1755</v>
      </c>
      <c r="C1670" s="312" t="s">
        <v>105</v>
      </c>
      <c r="D1670" s="312" t="s">
        <v>312</v>
      </c>
      <c r="E1670" s="312" t="s">
        <v>107</v>
      </c>
      <c r="F1670" s="312">
        <v>1825</v>
      </c>
      <c r="G1670" s="312" t="s">
        <v>108</v>
      </c>
      <c r="H1670" s="312">
        <v>1827</v>
      </c>
      <c r="I1670" s="312" t="s">
        <v>107</v>
      </c>
      <c r="J1670" s="312">
        <v>1913</v>
      </c>
      <c r="K1670" s="312" t="s">
        <v>109</v>
      </c>
    </row>
    <row r="1671" spans="1:11">
      <c r="A1671" s="312" t="s">
        <v>1763</v>
      </c>
      <c r="B1671" s="312" t="s">
        <v>1764</v>
      </c>
      <c r="C1671" s="312" t="s">
        <v>105</v>
      </c>
      <c r="D1671" s="312" t="s">
        <v>312</v>
      </c>
      <c r="E1671" s="312" t="s">
        <v>684</v>
      </c>
      <c r="F1671" s="312">
        <v>1750</v>
      </c>
      <c r="G1671" s="312" t="s">
        <v>685</v>
      </c>
      <c r="H1671" s="312">
        <v>1754</v>
      </c>
      <c r="I1671" s="312" t="s">
        <v>684</v>
      </c>
      <c r="J1671" s="312">
        <v>1920</v>
      </c>
      <c r="K1671" s="312" t="s">
        <v>686</v>
      </c>
    </row>
    <row r="1672" spans="1:11">
      <c r="A1672" s="312" t="s">
        <v>1960</v>
      </c>
      <c r="B1672" s="312" t="s">
        <v>1961</v>
      </c>
      <c r="C1672" s="312" t="s">
        <v>105</v>
      </c>
      <c r="D1672" s="312" t="s">
        <v>312</v>
      </c>
      <c r="E1672" s="312" t="s">
        <v>107</v>
      </c>
      <c r="F1672" s="312">
        <v>1825</v>
      </c>
      <c r="G1672" s="312" t="s">
        <v>108</v>
      </c>
      <c r="H1672" s="312">
        <v>1827</v>
      </c>
      <c r="I1672" s="312" t="s">
        <v>107</v>
      </c>
      <c r="J1672" s="312">
        <v>1913</v>
      </c>
      <c r="K1672" s="312" t="s">
        <v>109</v>
      </c>
    </row>
    <row r="1673" spans="1:11">
      <c r="A1673" s="312" t="s">
        <v>2082</v>
      </c>
      <c r="B1673" s="312" t="s">
        <v>2083</v>
      </c>
      <c r="C1673" s="312" t="s">
        <v>105</v>
      </c>
      <c r="D1673" s="312" t="s">
        <v>312</v>
      </c>
      <c r="E1673" s="312" t="s">
        <v>107</v>
      </c>
      <c r="F1673" s="312">
        <v>1825</v>
      </c>
      <c r="G1673" s="312" t="s">
        <v>108</v>
      </c>
      <c r="H1673" s="312">
        <v>1827</v>
      </c>
      <c r="I1673" s="312" t="s">
        <v>107</v>
      </c>
      <c r="J1673" s="312">
        <v>1913</v>
      </c>
      <c r="K1673" s="312" t="s">
        <v>109</v>
      </c>
    </row>
    <row r="1674" spans="1:11">
      <c r="A1674" s="312" t="s">
        <v>2310</v>
      </c>
      <c r="B1674" s="312" t="s">
        <v>2311</v>
      </c>
      <c r="C1674" s="312" t="s">
        <v>105</v>
      </c>
      <c r="D1674" s="312" t="s">
        <v>312</v>
      </c>
      <c r="E1674" s="312" t="s">
        <v>107</v>
      </c>
      <c r="F1674" s="312">
        <v>1825</v>
      </c>
      <c r="G1674" s="312" t="s">
        <v>108</v>
      </c>
      <c r="H1674" s="312">
        <v>1827</v>
      </c>
      <c r="I1674" s="312" t="s">
        <v>107</v>
      </c>
      <c r="J1674" s="312">
        <v>1913</v>
      </c>
      <c r="K1674" s="312" t="s">
        <v>109</v>
      </c>
    </row>
    <row r="1675" spans="1:11">
      <c r="A1675" s="312" t="s">
        <v>2697</v>
      </c>
      <c r="B1675" s="312" t="s">
        <v>2698</v>
      </c>
      <c r="C1675" s="312" t="s">
        <v>105</v>
      </c>
      <c r="D1675" s="312" t="s">
        <v>312</v>
      </c>
      <c r="E1675" s="312" t="s">
        <v>107</v>
      </c>
      <c r="F1675" s="312">
        <v>1825</v>
      </c>
      <c r="G1675" s="312" t="s">
        <v>108</v>
      </c>
      <c r="H1675" s="312">
        <v>1827</v>
      </c>
      <c r="I1675" s="312" t="s">
        <v>107</v>
      </c>
      <c r="J1675" s="312">
        <v>1913</v>
      </c>
      <c r="K1675" s="312" t="s">
        <v>109</v>
      </c>
    </row>
    <row r="1676" spans="1:11">
      <c r="A1676" s="312" t="s">
        <v>2699</v>
      </c>
      <c r="B1676" s="312" t="s">
        <v>2700</v>
      </c>
      <c r="C1676" s="312" t="s">
        <v>105</v>
      </c>
      <c r="D1676" s="312" t="s">
        <v>312</v>
      </c>
      <c r="E1676" s="312" t="s">
        <v>107</v>
      </c>
      <c r="F1676" s="312">
        <v>1825</v>
      </c>
      <c r="G1676" s="312" t="s">
        <v>108</v>
      </c>
      <c r="H1676" s="312">
        <v>1827</v>
      </c>
      <c r="I1676" s="312" t="s">
        <v>107</v>
      </c>
      <c r="J1676" s="312">
        <v>1913</v>
      </c>
      <c r="K1676" s="312" t="s">
        <v>109</v>
      </c>
    </row>
    <row r="1677" spans="1:11">
      <c r="A1677" s="312" t="s">
        <v>2918</v>
      </c>
      <c r="B1677" s="312" t="s">
        <v>2919</v>
      </c>
      <c r="C1677" s="312" t="s">
        <v>105</v>
      </c>
      <c r="D1677" s="312" t="s">
        <v>312</v>
      </c>
      <c r="E1677" s="312" t="s">
        <v>107</v>
      </c>
      <c r="F1677" s="312">
        <v>1825</v>
      </c>
      <c r="G1677" s="312" t="s">
        <v>108</v>
      </c>
      <c r="H1677" s="312">
        <v>1827</v>
      </c>
      <c r="I1677" s="312" t="s">
        <v>107</v>
      </c>
      <c r="J1677" s="312">
        <v>1913</v>
      </c>
      <c r="K1677" s="312" t="s">
        <v>109</v>
      </c>
    </row>
    <row r="1678" spans="1:11">
      <c r="A1678" s="312" t="s">
        <v>2922</v>
      </c>
      <c r="B1678" s="312" t="s">
        <v>2923</v>
      </c>
      <c r="C1678" s="312" t="s">
        <v>105</v>
      </c>
      <c r="D1678" s="312" t="s">
        <v>312</v>
      </c>
      <c r="E1678" s="312" t="s">
        <v>107</v>
      </c>
      <c r="F1678" s="312">
        <v>1825</v>
      </c>
      <c r="G1678" s="312" t="s">
        <v>108</v>
      </c>
      <c r="H1678" s="312">
        <v>1827</v>
      </c>
      <c r="I1678" s="312" t="s">
        <v>107</v>
      </c>
      <c r="J1678" s="312">
        <v>1913</v>
      </c>
      <c r="K1678" s="312" t="s">
        <v>109</v>
      </c>
    </row>
    <row r="1679" spans="1:11">
      <c r="A1679" s="312" t="s">
        <v>3084</v>
      </c>
      <c r="B1679" s="312" t="s">
        <v>3085</v>
      </c>
      <c r="C1679" s="312" t="s">
        <v>105</v>
      </c>
      <c r="D1679" s="312" t="s">
        <v>312</v>
      </c>
      <c r="E1679" s="312" t="s">
        <v>107</v>
      </c>
      <c r="F1679" s="312">
        <v>1825</v>
      </c>
      <c r="G1679" s="312" t="s">
        <v>108</v>
      </c>
      <c r="H1679" s="312">
        <v>1827</v>
      </c>
      <c r="I1679" s="312" t="s">
        <v>107</v>
      </c>
      <c r="J1679" s="312">
        <v>1913</v>
      </c>
      <c r="K1679" s="312" t="s">
        <v>109</v>
      </c>
    </row>
    <row r="1680" spans="1:11">
      <c r="A1680" s="312" t="s">
        <v>3094</v>
      </c>
      <c r="B1680" s="312" t="s">
        <v>3095</v>
      </c>
      <c r="C1680" s="312" t="s">
        <v>105</v>
      </c>
      <c r="D1680" s="312" t="s">
        <v>312</v>
      </c>
      <c r="E1680" s="312" t="s">
        <v>107</v>
      </c>
      <c r="F1680" s="312">
        <v>1825</v>
      </c>
      <c r="G1680" s="312" t="s">
        <v>108</v>
      </c>
      <c r="H1680" s="312">
        <v>1827</v>
      </c>
      <c r="I1680" s="312" t="s">
        <v>107</v>
      </c>
      <c r="J1680" s="312">
        <v>1913</v>
      </c>
      <c r="K1680" s="312" t="s">
        <v>109</v>
      </c>
    </row>
    <row r="1681" spans="1:11">
      <c r="A1681" s="312" t="s">
        <v>3096</v>
      </c>
      <c r="B1681" s="312" t="s">
        <v>3097</v>
      </c>
      <c r="C1681" s="312" t="s">
        <v>105</v>
      </c>
      <c r="D1681" s="312" t="s">
        <v>312</v>
      </c>
      <c r="E1681" s="312" t="s">
        <v>107</v>
      </c>
      <c r="F1681" s="312">
        <v>1825</v>
      </c>
      <c r="G1681" s="312" t="s">
        <v>108</v>
      </c>
      <c r="H1681" s="312">
        <v>1827</v>
      </c>
      <c r="I1681" s="312" t="s">
        <v>107</v>
      </c>
      <c r="J1681" s="312">
        <v>1913</v>
      </c>
      <c r="K1681" s="312" t="s">
        <v>109</v>
      </c>
    </row>
    <row r="1682" spans="1:11">
      <c r="A1682" s="312" t="s">
        <v>3098</v>
      </c>
      <c r="B1682" s="312" t="s">
        <v>3099</v>
      </c>
      <c r="C1682" s="312" t="s">
        <v>105</v>
      </c>
      <c r="D1682" s="312" t="s">
        <v>312</v>
      </c>
      <c r="E1682" s="312" t="s">
        <v>107</v>
      </c>
      <c r="F1682" s="312">
        <v>1825</v>
      </c>
      <c r="G1682" s="312" t="s">
        <v>108</v>
      </c>
      <c r="H1682" s="312">
        <v>1827</v>
      </c>
      <c r="I1682" s="312" t="s">
        <v>107</v>
      </c>
      <c r="J1682" s="312">
        <v>1913</v>
      </c>
      <c r="K1682" s="312" t="s">
        <v>109</v>
      </c>
    </row>
    <row r="1683" spans="1:11">
      <c r="A1683" s="312" t="s">
        <v>3229</v>
      </c>
      <c r="B1683" s="312" t="s">
        <v>3230</v>
      </c>
      <c r="C1683" s="312" t="s">
        <v>105</v>
      </c>
      <c r="D1683" s="312" t="s">
        <v>312</v>
      </c>
      <c r="E1683" s="312" t="s">
        <v>107</v>
      </c>
      <c r="F1683" s="312">
        <v>1825</v>
      </c>
      <c r="G1683" s="312" t="s">
        <v>108</v>
      </c>
      <c r="H1683" s="312">
        <v>1827</v>
      </c>
      <c r="I1683" s="312" t="s">
        <v>107</v>
      </c>
      <c r="J1683" s="312">
        <v>1913</v>
      </c>
      <c r="K1683" s="312" t="s">
        <v>109</v>
      </c>
    </row>
    <row r="1684" spans="1:11">
      <c r="A1684" s="312" t="s">
        <v>3289</v>
      </c>
      <c r="B1684" s="312" t="s">
        <v>3290</v>
      </c>
      <c r="C1684" s="312" t="s">
        <v>105</v>
      </c>
      <c r="D1684" s="312" t="s">
        <v>312</v>
      </c>
      <c r="E1684" s="312" t="s">
        <v>107</v>
      </c>
      <c r="F1684" s="312">
        <v>1825</v>
      </c>
      <c r="G1684" s="312" t="s">
        <v>108</v>
      </c>
      <c r="H1684" s="312">
        <v>1827</v>
      </c>
      <c r="I1684" s="312" t="s">
        <v>107</v>
      </c>
      <c r="J1684" s="312">
        <v>1913</v>
      </c>
      <c r="K1684" s="312" t="s">
        <v>109</v>
      </c>
    </row>
    <row r="1685" spans="1:11">
      <c r="A1685" s="312" t="s">
        <v>3293</v>
      </c>
      <c r="B1685" s="312" t="s">
        <v>3294</v>
      </c>
      <c r="C1685" s="312" t="s">
        <v>105</v>
      </c>
      <c r="D1685" s="312" t="s">
        <v>312</v>
      </c>
      <c r="E1685" s="312" t="s">
        <v>107</v>
      </c>
      <c r="F1685" s="312">
        <v>1825</v>
      </c>
      <c r="G1685" s="312" t="s">
        <v>108</v>
      </c>
      <c r="H1685" s="312">
        <v>1827</v>
      </c>
      <c r="I1685" s="312" t="s">
        <v>107</v>
      </c>
      <c r="J1685" s="312">
        <v>1913</v>
      </c>
      <c r="K1685" s="312" t="s">
        <v>109</v>
      </c>
    </row>
    <row r="1686" spans="1:11">
      <c r="A1686" s="312" t="s">
        <v>3440</v>
      </c>
      <c r="B1686" s="312" t="s">
        <v>3441</v>
      </c>
      <c r="C1686" s="312" t="s">
        <v>105</v>
      </c>
      <c r="D1686" s="312" t="s">
        <v>312</v>
      </c>
      <c r="E1686" s="312" t="s">
        <v>107</v>
      </c>
      <c r="F1686" s="312">
        <v>1825</v>
      </c>
      <c r="G1686" s="312" t="s">
        <v>108</v>
      </c>
      <c r="H1686" s="312">
        <v>1827</v>
      </c>
      <c r="I1686" s="312" t="s">
        <v>107</v>
      </c>
      <c r="J1686" s="312">
        <v>1913</v>
      </c>
      <c r="K1686" s="312" t="s">
        <v>109</v>
      </c>
    </row>
    <row r="1687" spans="1:11">
      <c r="A1687" s="312" t="s">
        <v>3442</v>
      </c>
      <c r="B1687" s="312" t="s">
        <v>3443</v>
      </c>
      <c r="C1687" s="312" t="s">
        <v>105</v>
      </c>
      <c r="D1687" s="312" t="s">
        <v>312</v>
      </c>
      <c r="E1687" s="312" t="s">
        <v>107</v>
      </c>
      <c r="F1687" s="312">
        <v>1825</v>
      </c>
      <c r="G1687" s="312" t="s">
        <v>108</v>
      </c>
      <c r="H1687" s="312">
        <v>1827</v>
      </c>
      <c r="I1687" s="312" t="s">
        <v>107</v>
      </c>
      <c r="J1687" s="312">
        <v>1913</v>
      </c>
      <c r="K1687" s="312" t="s">
        <v>109</v>
      </c>
    </row>
    <row r="1688" spans="1:11">
      <c r="A1688" s="312" t="s">
        <v>3535</v>
      </c>
      <c r="B1688" s="312" t="s">
        <v>3536</v>
      </c>
      <c r="C1688" s="312" t="s">
        <v>105</v>
      </c>
      <c r="D1688" s="312" t="s">
        <v>312</v>
      </c>
      <c r="E1688" s="312" t="s">
        <v>107</v>
      </c>
      <c r="F1688" s="312">
        <v>1825</v>
      </c>
      <c r="G1688" s="312" t="s">
        <v>108</v>
      </c>
      <c r="H1688" s="312">
        <v>1827</v>
      </c>
      <c r="I1688" s="312" t="s">
        <v>107</v>
      </c>
      <c r="J1688" s="312">
        <v>1913</v>
      </c>
      <c r="K1688" s="312" t="s">
        <v>109</v>
      </c>
    </row>
    <row r="1689" spans="1:11">
      <c r="A1689" s="312" t="s">
        <v>3537</v>
      </c>
      <c r="B1689" s="312" t="s">
        <v>3538</v>
      </c>
      <c r="C1689" s="312" t="s">
        <v>105</v>
      </c>
      <c r="D1689" s="312" t="s">
        <v>312</v>
      </c>
      <c r="E1689" s="312" t="s">
        <v>107</v>
      </c>
      <c r="F1689" s="312">
        <v>1825</v>
      </c>
      <c r="G1689" s="312" t="s">
        <v>108</v>
      </c>
      <c r="H1689" s="312">
        <v>1827</v>
      </c>
      <c r="I1689" s="312" t="s">
        <v>107</v>
      </c>
      <c r="J1689" s="312">
        <v>1913</v>
      </c>
      <c r="K1689" s="312" t="s">
        <v>109</v>
      </c>
    </row>
    <row r="1690" spans="1:11">
      <c r="A1690" s="312" t="s">
        <v>3539</v>
      </c>
      <c r="B1690" s="312" t="s">
        <v>3540</v>
      </c>
      <c r="C1690" s="312" t="s">
        <v>105</v>
      </c>
      <c r="D1690" s="312" t="s">
        <v>312</v>
      </c>
      <c r="E1690" s="312" t="s">
        <v>107</v>
      </c>
      <c r="F1690" s="312">
        <v>1825</v>
      </c>
      <c r="G1690" s="312" t="s">
        <v>108</v>
      </c>
      <c r="H1690" s="312">
        <v>1827</v>
      </c>
      <c r="I1690" s="312" t="s">
        <v>107</v>
      </c>
      <c r="J1690" s="312">
        <v>1913</v>
      </c>
      <c r="K1690" s="312" t="s">
        <v>109</v>
      </c>
    </row>
    <row r="1691" spans="1:11">
      <c r="A1691" s="312" t="s">
        <v>3541</v>
      </c>
      <c r="B1691" s="312" t="s">
        <v>3542</v>
      </c>
      <c r="C1691" s="312" t="s">
        <v>105</v>
      </c>
      <c r="D1691" s="312" t="s">
        <v>312</v>
      </c>
      <c r="E1691" s="312" t="s">
        <v>107</v>
      </c>
      <c r="F1691" s="312">
        <v>1825</v>
      </c>
      <c r="G1691" s="312" t="s">
        <v>108</v>
      </c>
      <c r="H1691" s="312">
        <v>1827</v>
      </c>
      <c r="I1691" s="312" t="s">
        <v>107</v>
      </c>
      <c r="J1691" s="312">
        <v>1913</v>
      </c>
      <c r="K1691" s="312" t="s">
        <v>109</v>
      </c>
    </row>
    <row r="1692" spans="1:11">
      <c r="A1692" s="312" t="s">
        <v>3543</v>
      </c>
      <c r="B1692" s="312" t="s">
        <v>3544</v>
      </c>
      <c r="C1692" s="312" t="s">
        <v>105</v>
      </c>
      <c r="D1692" s="312" t="s">
        <v>312</v>
      </c>
      <c r="E1692" s="312" t="s">
        <v>107</v>
      </c>
      <c r="F1692" s="312">
        <v>1825</v>
      </c>
      <c r="G1692" s="312" t="s">
        <v>108</v>
      </c>
      <c r="H1692" s="312">
        <v>1827</v>
      </c>
      <c r="I1692" s="312" t="s">
        <v>107</v>
      </c>
      <c r="J1692" s="312">
        <v>1913</v>
      </c>
      <c r="K1692" s="312" t="s">
        <v>109</v>
      </c>
    </row>
    <row r="1693" spans="1:11">
      <c r="A1693" s="312" t="s">
        <v>3816</v>
      </c>
      <c r="B1693" s="312" t="s">
        <v>3817</v>
      </c>
      <c r="C1693" s="312" t="s">
        <v>105</v>
      </c>
      <c r="D1693" s="312" t="s">
        <v>312</v>
      </c>
      <c r="E1693" s="312" t="s">
        <v>107</v>
      </c>
      <c r="F1693" s="312">
        <v>1825</v>
      </c>
      <c r="G1693" s="312" t="s">
        <v>108</v>
      </c>
      <c r="H1693" s="312">
        <v>1827</v>
      </c>
      <c r="I1693" s="312" t="s">
        <v>107</v>
      </c>
      <c r="J1693" s="312">
        <v>1913</v>
      </c>
      <c r="K1693" s="312" t="s">
        <v>109</v>
      </c>
    </row>
    <row r="1694" spans="1:11">
      <c r="A1694" s="312" t="s">
        <v>4332</v>
      </c>
      <c r="B1694" s="312" t="s">
        <v>4333</v>
      </c>
      <c r="C1694" s="312" t="s">
        <v>105</v>
      </c>
      <c r="D1694" s="312" t="s">
        <v>312</v>
      </c>
      <c r="E1694" s="312" t="s">
        <v>107</v>
      </c>
      <c r="F1694" s="312">
        <v>1825</v>
      </c>
      <c r="G1694" s="312" t="s">
        <v>108</v>
      </c>
      <c r="H1694" s="312">
        <v>1827</v>
      </c>
      <c r="I1694" s="312" t="s">
        <v>107</v>
      </c>
      <c r="J1694" s="312">
        <v>1913</v>
      </c>
      <c r="K1694" s="312" t="s">
        <v>109</v>
      </c>
    </row>
    <row r="1695" spans="1:11">
      <c r="A1695" s="312" t="s">
        <v>4388</v>
      </c>
      <c r="B1695" s="312" t="s">
        <v>4389</v>
      </c>
      <c r="C1695" s="312" t="s">
        <v>105</v>
      </c>
      <c r="D1695" s="312" t="s">
        <v>312</v>
      </c>
      <c r="E1695" s="312" t="s">
        <v>107</v>
      </c>
      <c r="F1695" s="312">
        <v>1825</v>
      </c>
      <c r="G1695" s="312" t="s">
        <v>108</v>
      </c>
      <c r="H1695" s="312">
        <v>1827</v>
      </c>
      <c r="I1695" s="312" t="s">
        <v>107</v>
      </c>
      <c r="J1695" s="312">
        <v>1913</v>
      </c>
      <c r="K1695" s="312" t="s">
        <v>109</v>
      </c>
    </row>
    <row r="1696" spans="1:11">
      <c r="A1696" s="312" t="s">
        <v>4497</v>
      </c>
      <c r="B1696" s="312" t="s">
        <v>4498</v>
      </c>
      <c r="C1696" s="312" t="s">
        <v>105</v>
      </c>
      <c r="D1696" s="312" t="s">
        <v>312</v>
      </c>
      <c r="E1696" s="312" t="s">
        <v>107</v>
      </c>
      <c r="F1696" s="312">
        <v>1825</v>
      </c>
      <c r="G1696" s="312" t="s">
        <v>108</v>
      </c>
      <c r="H1696" s="312">
        <v>1827</v>
      </c>
      <c r="I1696" s="312" t="s">
        <v>107</v>
      </c>
      <c r="J1696" s="312">
        <v>1913</v>
      </c>
      <c r="K1696" s="312" t="s">
        <v>109</v>
      </c>
    </row>
    <row r="1697" spans="1:11">
      <c r="A1697" s="312" t="s">
        <v>4573</v>
      </c>
      <c r="B1697" s="312" t="s">
        <v>4574</v>
      </c>
      <c r="C1697" s="312" t="s">
        <v>105</v>
      </c>
      <c r="D1697" s="312" t="s">
        <v>312</v>
      </c>
      <c r="E1697" s="312" t="s">
        <v>107</v>
      </c>
      <c r="F1697" s="312">
        <v>1825</v>
      </c>
      <c r="G1697" s="312" t="s">
        <v>108</v>
      </c>
      <c r="H1697" s="312">
        <v>1827</v>
      </c>
      <c r="I1697" s="312" t="s">
        <v>107</v>
      </c>
      <c r="J1697" s="312">
        <v>1913</v>
      </c>
      <c r="K1697" s="312" t="s">
        <v>109</v>
      </c>
    </row>
    <row r="1698" spans="1:11">
      <c r="A1698" s="312" t="s">
        <v>4741</v>
      </c>
      <c r="B1698" s="312" t="s">
        <v>4742</v>
      </c>
      <c r="C1698" s="312" t="s">
        <v>105</v>
      </c>
      <c r="D1698" s="312" t="s">
        <v>312</v>
      </c>
      <c r="E1698" s="312" t="s">
        <v>107</v>
      </c>
      <c r="F1698" s="312">
        <v>1825</v>
      </c>
      <c r="G1698" s="312" t="s">
        <v>108</v>
      </c>
      <c r="H1698" s="312">
        <v>1827</v>
      </c>
      <c r="I1698" s="312" t="s">
        <v>107</v>
      </c>
      <c r="J1698" s="312">
        <v>1913</v>
      </c>
      <c r="K1698" s="312" t="s">
        <v>109</v>
      </c>
    </row>
    <row r="1699" spans="1:11">
      <c r="A1699" s="312" t="s">
        <v>4743</v>
      </c>
      <c r="B1699" s="312" t="s">
        <v>4744</v>
      </c>
      <c r="C1699" s="312" t="s">
        <v>105</v>
      </c>
      <c r="D1699" s="312" t="s">
        <v>312</v>
      </c>
      <c r="E1699" s="312" t="s">
        <v>107</v>
      </c>
      <c r="F1699" s="312">
        <v>1825</v>
      </c>
      <c r="G1699" s="312" t="s">
        <v>108</v>
      </c>
      <c r="H1699" s="312">
        <v>1827</v>
      </c>
      <c r="I1699" s="312" t="s">
        <v>107</v>
      </c>
      <c r="J1699" s="312">
        <v>1913</v>
      </c>
      <c r="K1699" s="312" t="s">
        <v>109</v>
      </c>
    </row>
    <row r="1700" spans="1:11">
      <c r="A1700" s="312" t="s">
        <v>4754</v>
      </c>
      <c r="B1700" s="312" t="s">
        <v>4755</v>
      </c>
      <c r="C1700" s="312" t="s">
        <v>105</v>
      </c>
      <c r="D1700" s="312" t="s">
        <v>312</v>
      </c>
      <c r="E1700" s="312" t="s">
        <v>107</v>
      </c>
      <c r="F1700" s="312">
        <v>1825</v>
      </c>
      <c r="G1700" s="312" t="s">
        <v>108</v>
      </c>
      <c r="H1700" s="312">
        <v>1827</v>
      </c>
      <c r="I1700" s="312" t="s">
        <v>107</v>
      </c>
      <c r="J1700" s="312">
        <v>1913</v>
      </c>
      <c r="K1700" s="312" t="s">
        <v>109</v>
      </c>
    </row>
    <row r="1701" spans="1:11">
      <c r="A1701" s="312" t="s">
        <v>4774</v>
      </c>
      <c r="B1701" s="312" t="s">
        <v>4775</v>
      </c>
      <c r="C1701" s="312" t="s">
        <v>105</v>
      </c>
      <c r="D1701" s="312" t="s">
        <v>312</v>
      </c>
      <c r="E1701" s="312" t="s">
        <v>107</v>
      </c>
      <c r="F1701" s="312">
        <v>1825</v>
      </c>
      <c r="G1701" s="312" t="s">
        <v>108</v>
      </c>
      <c r="H1701" s="312">
        <v>1827</v>
      </c>
      <c r="I1701" s="312" t="s">
        <v>107</v>
      </c>
      <c r="J1701" s="312">
        <v>1913</v>
      </c>
      <c r="K1701" s="312" t="s">
        <v>109</v>
      </c>
    </row>
    <row r="1702" spans="1:11">
      <c r="A1702" s="312" t="s">
        <v>4809</v>
      </c>
      <c r="B1702" s="312" t="s">
        <v>4810</v>
      </c>
      <c r="C1702" s="312" t="s">
        <v>105</v>
      </c>
      <c r="D1702" s="312" t="s">
        <v>312</v>
      </c>
      <c r="E1702" s="312" t="s">
        <v>107</v>
      </c>
      <c r="F1702" s="312">
        <v>1825</v>
      </c>
      <c r="G1702" s="312" t="s">
        <v>108</v>
      </c>
      <c r="H1702" s="312">
        <v>1827</v>
      </c>
      <c r="I1702" s="312" t="s">
        <v>107</v>
      </c>
      <c r="J1702" s="312">
        <v>1913</v>
      </c>
      <c r="K1702" s="312" t="s">
        <v>109</v>
      </c>
    </row>
    <row r="1703" spans="1:11">
      <c r="A1703" s="312" t="s">
        <v>4813</v>
      </c>
      <c r="B1703" s="312" t="s">
        <v>4814</v>
      </c>
      <c r="C1703" s="312" t="s">
        <v>105</v>
      </c>
      <c r="D1703" s="312" t="s">
        <v>312</v>
      </c>
      <c r="E1703" s="312" t="s">
        <v>107</v>
      </c>
      <c r="F1703" s="312">
        <v>1825</v>
      </c>
      <c r="G1703" s="312" t="s">
        <v>108</v>
      </c>
      <c r="H1703" s="312">
        <v>1827</v>
      </c>
      <c r="I1703" s="312" t="s">
        <v>107</v>
      </c>
      <c r="J1703" s="312">
        <v>1913</v>
      </c>
      <c r="K1703" s="312" t="s">
        <v>109</v>
      </c>
    </row>
    <row r="1704" spans="1:11">
      <c r="A1704" s="312" t="s">
        <v>4833</v>
      </c>
      <c r="B1704" s="312" t="s">
        <v>4834</v>
      </c>
      <c r="C1704" s="312" t="s">
        <v>105</v>
      </c>
      <c r="D1704" s="312" t="s">
        <v>312</v>
      </c>
      <c r="E1704" s="312" t="s">
        <v>107</v>
      </c>
      <c r="F1704" s="312">
        <v>1825</v>
      </c>
      <c r="G1704" s="312" t="s">
        <v>108</v>
      </c>
      <c r="H1704" s="312">
        <v>1827</v>
      </c>
      <c r="I1704" s="312" t="s">
        <v>107</v>
      </c>
      <c r="J1704" s="312">
        <v>1913</v>
      </c>
      <c r="K1704" s="312" t="s">
        <v>109</v>
      </c>
    </row>
    <row r="1705" spans="1:11">
      <c r="A1705" s="312" t="s">
        <v>4849</v>
      </c>
      <c r="B1705" s="312" t="s">
        <v>4850</v>
      </c>
      <c r="C1705" s="312" t="s">
        <v>105</v>
      </c>
      <c r="D1705" s="312" t="s">
        <v>312</v>
      </c>
      <c r="E1705" s="312" t="s">
        <v>107</v>
      </c>
      <c r="F1705" s="312">
        <v>1825</v>
      </c>
      <c r="G1705" s="312" t="s">
        <v>108</v>
      </c>
      <c r="H1705" s="312">
        <v>1827</v>
      </c>
      <c r="I1705" s="312" t="s">
        <v>107</v>
      </c>
      <c r="J1705" s="312">
        <v>1913</v>
      </c>
      <c r="K1705" s="312" t="s">
        <v>109</v>
      </c>
    </row>
    <row r="1706" spans="1:11">
      <c r="A1706" s="312" t="s">
        <v>5045</v>
      </c>
      <c r="B1706" s="312" t="s">
        <v>5046</v>
      </c>
      <c r="C1706" s="312" t="s">
        <v>105</v>
      </c>
      <c r="D1706" s="312" t="s">
        <v>312</v>
      </c>
      <c r="E1706" s="312" t="s">
        <v>107</v>
      </c>
      <c r="F1706" s="312">
        <v>1825</v>
      </c>
      <c r="G1706" s="312" t="s">
        <v>108</v>
      </c>
      <c r="H1706" s="312">
        <v>1827</v>
      </c>
      <c r="I1706" s="312" t="s">
        <v>107</v>
      </c>
      <c r="J1706" s="312">
        <v>1913</v>
      </c>
      <c r="K1706" s="312" t="s">
        <v>109</v>
      </c>
    </row>
    <row r="1707" spans="1:11">
      <c r="A1707" s="312" t="s">
        <v>5115</v>
      </c>
      <c r="B1707" s="312" t="s">
        <v>5116</v>
      </c>
      <c r="C1707" s="312" t="s">
        <v>105</v>
      </c>
      <c r="D1707" s="312" t="s">
        <v>312</v>
      </c>
      <c r="E1707" s="312" t="s">
        <v>107</v>
      </c>
      <c r="F1707" s="312">
        <v>1825</v>
      </c>
      <c r="G1707" s="312" t="s">
        <v>108</v>
      </c>
      <c r="H1707" s="312">
        <v>1827</v>
      </c>
      <c r="I1707" s="312" t="s">
        <v>107</v>
      </c>
      <c r="J1707" s="312">
        <v>1913</v>
      </c>
      <c r="K1707" s="312" t="s">
        <v>109</v>
      </c>
    </row>
    <row r="1708" spans="1:11">
      <c r="A1708" s="312" t="s">
        <v>5204</v>
      </c>
      <c r="B1708" s="312" t="s">
        <v>5205</v>
      </c>
      <c r="C1708" s="312" t="s">
        <v>105</v>
      </c>
      <c r="D1708" s="312" t="s">
        <v>312</v>
      </c>
      <c r="E1708" s="312" t="s">
        <v>107</v>
      </c>
      <c r="F1708" s="312">
        <v>1825</v>
      </c>
      <c r="G1708" s="312" t="s">
        <v>108</v>
      </c>
      <c r="H1708" s="312">
        <v>1827</v>
      </c>
      <c r="I1708" s="312" t="s">
        <v>107</v>
      </c>
      <c r="J1708" s="312">
        <v>1913</v>
      </c>
      <c r="K1708" s="312" t="s">
        <v>109</v>
      </c>
    </row>
    <row r="1709" spans="1:11">
      <c r="A1709" s="312" t="s">
        <v>5258</v>
      </c>
      <c r="B1709" s="312" t="s">
        <v>5259</v>
      </c>
      <c r="C1709" s="312" t="s">
        <v>105</v>
      </c>
      <c r="D1709" s="312" t="s">
        <v>312</v>
      </c>
      <c r="E1709" s="312" t="s">
        <v>107</v>
      </c>
      <c r="F1709" s="312">
        <v>1825</v>
      </c>
      <c r="G1709" s="312" t="s">
        <v>108</v>
      </c>
      <c r="H1709" s="312">
        <v>1827</v>
      </c>
      <c r="I1709" s="312" t="s">
        <v>107</v>
      </c>
      <c r="J1709" s="312">
        <v>1913</v>
      </c>
      <c r="K1709" s="312" t="s">
        <v>109</v>
      </c>
    </row>
    <row r="1710" spans="1:11">
      <c r="A1710" s="312" t="s">
        <v>5375</v>
      </c>
      <c r="B1710" s="312" t="s">
        <v>5376</v>
      </c>
      <c r="C1710" s="312" t="s">
        <v>105</v>
      </c>
      <c r="D1710" s="312" t="s">
        <v>312</v>
      </c>
      <c r="E1710" s="312" t="s">
        <v>107</v>
      </c>
      <c r="F1710" s="312">
        <v>1825</v>
      </c>
      <c r="G1710" s="312" t="s">
        <v>108</v>
      </c>
      <c r="H1710" s="312">
        <v>1827</v>
      </c>
      <c r="I1710" s="312" t="s">
        <v>107</v>
      </c>
      <c r="J1710" s="312">
        <v>1913</v>
      </c>
      <c r="K1710" s="312" t="s">
        <v>109</v>
      </c>
    </row>
    <row r="1711" spans="1:11">
      <c r="A1711" s="312" t="s">
        <v>5379</v>
      </c>
      <c r="B1711" s="312" t="s">
        <v>5380</v>
      </c>
      <c r="C1711" s="312" t="s">
        <v>105</v>
      </c>
      <c r="D1711" s="312" t="s">
        <v>312</v>
      </c>
      <c r="E1711" s="312" t="s">
        <v>107</v>
      </c>
      <c r="F1711" s="312">
        <v>1825</v>
      </c>
      <c r="G1711" s="312" t="s">
        <v>108</v>
      </c>
      <c r="H1711" s="312">
        <v>1827</v>
      </c>
      <c r="I1711" s="312" t="s">
        <v>107</v>
      </c>
      <c r="J1711" s="312">
        <v>1913</v>
      </c>
      <c r="K1711" s="312" t="s">
        <v>109</v>
      </c>
    </row>
    <row r="1712" spans="1:11">
      <c r="A1712" s="312" t="s">
        <v>5381</v>
      </c>
      <c r="B1712" s="312" t="s">
        <v>5382</v>
      </c>
      <c r="C1712" s="312" t="s">
        <v>105</v>
      </c>
      <c r="D1712" s="312" t="s">
        <v>312</v>
      </c>
      <c r="E1712" s="312" t="s">
        <v>107</v>
      </c>
      <c r="F1712" s="312">
        <v>1825</v>
      </c>
      <c r="G1712" s="312" t="s">
        <v>108</v>
      </c>
      <c r="H1712" s="312">
        <v>1827</v>
      </c>
      <c r="I1712" s="312" t="s">
        <v>107</v>
      </c>
      <c r="J1712" s="312">
        <v>1913</v>
      </c>
      <c r="K1712" s="312" t="s">
        <v>109</v>
      </c>
    </row>
    <row r="1713" spans="1:11">
      <c r="A1713" s="312" t="s">
        <v>5383</v>
      </c>
      <c r="B1713" s="312" t="s">
        <v>5384</v>
      </c>
      <c r="C1713" s="312" t="s">
        <v>105</v>
      </c>
      <c r="D1713" s="312" t="s">
        <v>312</v>
      </c>
      <c r="E1713" s="312" t="s">
        <v>107</v>
      </c>
      <c r="F1713" s="312">
        <v>1825</v>
      </c>
      <c r="G1713" s="312" t="s">
        <v>108</v>
      </c>
      <c r="H1713" s="312">
        <v>1827</v>
      </c>
      <c r="I1713" s="312" t="s">
        <v>107</v>
      </c>
      <c r="J1713" s="312">
        <v>1913</v>
      </c>
      <c r="K1713" s="312" t="s">
        <v>109</v>
      </c>
    </row>
    <row r="1714" spans="1:11">
      <c r="A1714" s="312" t="s">
        <v>5385</v>
      </c>
      <c r="B1714" s="312" t="s">
        <v>5386</v>
      </c>
      <c r="C1714" s="312" t="s">
        <v>105</v>
      </c>
      <c r="D1714" s="312" t="s">
        <v>312</v>
      </c>
      <c r="E1714" s="312" t="s">
        <v>107</v>
      </c>
      <c r="F1714" s="312">
        <v>1825</v>
      </c>
      <c r="G1714" s="312" t="s">
        <v>108</v>
      </c>
      <c r="H1714" s="312">
        <v>1827</v>
      </c>
      <c r="I1714" s="312" t="s">
        <v>107</v>
      </c>
      <c r="J1714" s="312">
        <v>1913</v>
      </c>
      <c r="K1714" s="312" t="s">
        <v>109</v>
      </c>
    </row>
    <row r="1715" spans="1:11">
      <c r="A1715" s="312" t="s">
        <v>5808</v>
      </c>
      <c r="B1715" s="312" t="s">
        <v>5809</v>
      </c>
      <c r="C1715" s="312" t="s">
        <v>105</v>
      </c>
      <c r="D1715" s="312" t="s">
        <v>312</v>
      </c>
      <c r="E1715" s="312" t="s">
        <v>107</v>
      </c>
      <c r="F1715" s="312">
        <v>1825</v>
      </c>
      <c r="G1715" s="312" t="s">
        <v>108</v>
      </c>
      <c r="H1715" s="312">
        <v>1827</v>
      </c>
      <c r="I1715" s="312" t="s">
        <v>107</v>
      </c>
      <c r="J1715" s="312">
        <v>1913</v>
      </c>
      <c r="K1715" s="312" t="s">
        <v>109</v>
      </c>
    </row>
    <row r="1716" spans="1:11">
      <c r="A1716" s="312" t="s">
        <v>6094</v>
      </c>
      <c r="B1716" s="312" t="s">
        <v>6095</v>
      </c>
      <c r="C1716" s="312" t="s">
        <v>105</v>
      </c>
      <c r="D1716" s="312" t="s">
        <v>312</v>
      </c>
      <c r="E1716" s="312" t="s">
        <v>107</v>
      </c>
      <c r="F1716" s="312">
        <v>1825</v>
      </c>
      <c r="G1716" s="312" t="s">
        <v>108</v>
      </c>
      <c r="H1716" s="312">
        <v>1827</v>
      </c>
      <c r="I1716" s="312" t="s">
        <v>107</v>
      </c>
      <c r="J1716" s="312">
        <v>1913</v>
      </c>
      <c r="K1716" s="312" t="s">
        <v>109</v>
      </c>
    </row>
    <row r="1717" spans="1:11">
      <c r="A1717" s="312" t="s">
        <v>6231</v>
      </c>
      <c r="B1717" s="312" t="s">
        <v>6232</v>
      </c>
      <c r="C1717" s="312" t="s">
        <v>105</v>
      </c>
      <c r="D1717" s="312" t="s">
        <v>312</v>
      </c>
      <c r="E1717" s="312" t="s">
        <v>107</v>
      </c>
      <c r="F1717" s="312">
        <v>1825</v>
      </c>
      <c r="G1717" s="312" t="s">
        <v>108</v>
      </c>
      <c r="H1717" s="312">
        <v>1827</v>
      </c>
      <c r="I1717" s="312" t="s">
        <v>107</v>
      </c>
      <c r="J1717" s="312">
        <v>1913</v>
      </c>
      <c r="K1717" s="312" t="s">
        <v>109</v>
      </c>
    </row>
    <row r="1718" spans="1:11">
      <c r="A1718" s="312" t="s">
        <v>1017</v>
      </c>
      <c r="B1718" s="312" t="s">
        <v>1018</v>
      </c>
      <c r="C1718" s="312" t="s">
        <v>105</v>
      </c>
      <c r="D1718" s="312" t="s">
        <v>1019</v>
      </c>
      <c r="E1718" s="312" t="s">
        <v>107</v>
      </c>
      <c r="F1718" s="312">
        <v>1825</v>
      </c>
      <c r="G1718" s="312" t="s">
        <v>108</v>
      </c>
      <c r="H1718" s="312">
        <v>1827</v>
      </c>
      <c r="I1718" s="312" t="s">
        <v>107</v>
      </c>
      <c r="J1718" s="312">
        <v>1913</v>
      </c>
      <c r="K1718" s="312" t="s">
        <v>109</v>
      </c>
    </row>
    <row r="1719" spans="1:11">
      <c r="A1719" s="312" t="s">
        <v>1010</v>
      </c>
      <c r="B1719" s="312" t="s">
        <v>1011</v>
      </c>
      <c r="C1719" s="312" t="s">
        <v>105</v>
      </c>
      <c r="D1719" s="312" t="s">
        <v>1012</v>
      </c>
      <c r="E1719" s="312" t="s">
        <v>107</v>
      </c>
      <c r="F1719" s="312">
        <v>1825</v>
      </c>
      <c r="G1719" s="312" t="s">
        <v>108</v>
      </c>
      <c r="H1719" s="312">
        <v>1827</v>
      </c>
      <c r="I1719" s="312" t="s">
        <v>107</v>
      </c>
      <c r="J1719" s="312">
        <v>1913</v>
      </c>
      <c r="K1719" s="312" t="s">
        <v>109</v>
      </c>
    </row>
    <row r="1720" spans="1:11">
      <c r="A1720" s="312" t="s">
        <v>1013</v>
      </c>
      <c r="B1720" s="312" t="s">
        <v>1014</v>
      </c>
      <c r="C1720" s="312" t="s">
        <v>105</v>
      </c>
      <c r="D1720" s="312" t="s">
        <v>1012</v>
      </c>
      <c r="E1720" s="312" t="s">
        <v>107</v>
      </c>
      <c r="F1720" s="312">
        <v>1825</v>
      </c>
      <c r="G1720" s="312" t="s">
        <v>108</v>
      </c>
      <c r="H1720" s="312">
        <v>1827</v>
      </c>
      <c r="I1720" s="312" t="s">
        <v>107</v>
      </c>
      <c r="J1720" s="312">
        <v>1913</v>
      </c>
      <c r="K1720" s="312" t="s">
        <v>109</v>
      </c>
    </row>
    <row r="1721" spans="1:11">
      <c r="A1721" s="312" t="s">
        <v>1015</v>
      </c>
      <c r="B1721" s="312" t="s">
        <v>1016</v>
      </c>
      <c r="C1721" s="312" t="s">
        <v>105</v>
      </c>
      <c r="D1721" s="312" t="s">
        <v>1012</v>
      </c>
      <c r="E1721" s="312" t="s">
        <v>107</v>
      </c>
      <c r="F1721" s="312">
        <v>1825</v>
      </c>
      <c r="G1721" s="312" t="s">
        <v>108</v>
      </c>
      <c r="H1721" s="312">
        <v>1827</v>
      </c>
      <c r="I1721" s="312" t="s">
        <v>107</v>
      </c>
      <c r="J1721" s="312">
        <v>1913</v>
      </c>
      <c r="K1721" s="312" t="s">
        <v>109</v>
      </c>
    </row>
    <row r="1722" spans="1:11">
      <c r="A1722" s="312" t="s">
        <v>5355</v>
      </c>
      <c r="B1722" s="312" t="s">
        <v>5356</v>
      </c>
      <c r="C1722" s="312" t="s">
        <v>105</v>
      </c>
      <c r="D1722" s="312" t="s">
        <v>1012</v>
      </c>
      <c r="E1722" s="312" t="s">
        <v>107</v>
      </c>
      <c r="F1722" s="312">
        <v>1825</v>
      </c>
      <c r="G1722" s="312" t="s">
        <v>108</v>
      </c>
      <c r="H1722" s="312">
        <v>1827</v>
      </c>
      <c r="I1722" s="312" t="s">
        <v>107</v>
      </c>
      <c r="J1722" s="312">
        <v>1913</v>
      </c>
      <c r="K1722" s="312" t="s">
        <v>109</v>
      </c>
    </row>
    <row r="1723" spans="1:11">
      <c r="A1723" s="312" t="s">
        <v>1233</v>
      </c>
      <c r="B1723" s="312" t="s">
        <v>1234</v>
      </c>
      <c r="C1723" s="312" t="s">
        <v>105</v>
      </c>
      <c r="D1723" s="312" t="s">
        <v>1235</v>
      </c>
      <c r="E1723" s="312" t="s">
        <v>466</v>
      </c>
      <c r="F1723" s="312">
        <v>1796</v>
      </c>
      <c r="G1723" s="312" t="s">
        <v>467</v>
      </c>
      <c r="H1723" s="312">
        <v>1799</v>
      </c>
      <c r="I1723" s="312" t="s">
        <v>466</v>
      </c>
      <c r="J1723" s="312">
        <v>1918</v>
      </c>
      <c r="K1723" s="312" t="s">
        <v>468</v>
      </c>
    </row>
    <row r="1724" spans="1:11">
      <c r="A1724" s="312" t="s">
        <v>1649</v>
      </c>
      <c r="B1724" s="312" t="s">
        <v>1650</v>
      </c>
      <c r="C1724" s="312" t="s">
        <v>105</v>
      </c>
      <c r="D1724" s="312" t="s">
        <v>1235</v>
      </c>
      <c r="E1724" s="312" t="s">
        <v>466</v>
      </c>
      <c r="F1724" s="312">
        <v>1796</v>
      </c>
      <c r="G1724" s="312" t="s">
        <v>467</v>
      </c>
      <c r="H1724" s="312">
        <v>1799</v>
      </c>
      <c r="I1724" s="312" t="s">
        <v>466</v>
      </c>
      <c r="J1724" s="312">
        <v>1918</v>
      </c>
      <c r="K1724" s="312" t="s">
        <v>468</v>
      </c>
    </row>
    <row r="1725" spans="1:11">
      <c r="A1725" s="312" t="s">
        <v>6086</v>
      </c>
      <c r="B1725" s="312" t="s">
        <v>6087</v>
      </c>
      <c r="C1725" s="312" t="s">
        <v>105</v>
      </c>
      <c r="D1725" s="312" t="s">
        <v>1235</v>
      </c>
      <c r="E1725" s="312" t="s">
        <v>466</v>
      </c>
      <c r="F1725" s="312">
        <v>1796</v>
      </c>
      <c r="G1725" s="312" t="s">
        <v>467</v>
      </c>
      <c r="H1725" s="312">
        <v>1799</v>
      </c>
      <c r="I1725" s="312" t="s">
        <v>466</v>
      </c>
      <c r="J1725" s="312">
        <v>1918</v>
      </c>
      <c r="K1725" s="312" t="s">
        <v>468</v>
      </c>
    </row>
    <row r="1726" spans="1:11">
      <c r="A1726" s="312" t="s">
        <v>6092</v>
      </c>
      <c r="B1726" s="312" t="s">
        <v>6093</v>
      </c>
      <c r="C1726" s="312" t="s">
        <v>105</v>
      </c>
      <c r="D1726" s="312" t="s">
        <v>1235</v>
      </c>
      <c r="E1726" s="312" t="s">
        <v>466</v>
      </c>
      <c r="F1726" s="312">
        <v>1796</v>
      </c>
      <c r="G1726" s="312" t="s">
        <v>467</v>
      </c>
      <c r="H1726" s="312">
        <v>1799</v>
      </c>
      <c r="I1726" s="312" t="s">
        <v>466</v>
      </c>
      <c r="J1726" s="312">
        <v>1918</v>
      </c>
      <c r="K1726" s="312" t="s">
        <v>468</v>
      </c>
    </row>
    <row r="1727" spans="1:11">
      <c r="A1727" s="312" t="s">
        <v>1908</v>
      </c>
      <c r="B1727" s="312" t="s">
        <v>1909</v>
      </c>
      <c r="C1727" s="312" t="s">
        <v>105</v>
      </c>
      <c r="D1727" s="312" t="s">
        <v>1910</v>
      </c>
      <c r="E1727" s="312" t="s">
        <v>167</v>
      </c>
      <c r="F1727" s="312">
        <v>1705</v>
      </c>
      <c r="G1727" s="312" t="s">
        <v>168</v>
      </c>
      <c r="H1727" s="312">
        <v>1707</v>
      </c>
      <c r="I1727" s="312" t="s">
        <v>167</v>
      </c>
      <c r="J1727" s="312">
        <v>1899</v>
      </c>
      <c r="K1727" s="312" t="s">
        <v>169</v>
      </c>
    </row>
    <row r="1728" spans="1:11">
      <c r="A1728" s="312" t="s">
        <v>1911</v>
      </c>
      <c r="B1728" s="312" t="s">
        <v>1912</v>
      </c>
      <c r="C1728" s="312" t="s">
        <v>105</v>
      </c>
      <c r="D1728" s="312" t="s">
        <v>1910</v>
      </c>
      <c r="E1728" s="312" t="s">
        <v>167</v>
      </c>
      <c r="F1728" s="312">
        <v>1705</v>
      </c>
      <c r="G1728" s="312" t="s">
        <v>168</v>
      </c>
      <c r="H1728" s="312">
        <v>1707</v>
      </c>
      <c r="I1728" s="312" t="s">
        <v>167</v>
      </c>
      <c r="J1728" s="312">
        <v>1899</v>
      </c>
      <c r="K1728" s="312" t="s">
        <v>169</v>
      </c>
    </row>
    <row r="1729" spans="1:11">
      <c r="A1729" s="312" t="s">
        <v>2499</v>
      </c>
      <c r="B1729" s="312" t="s">
        <v>2500</v>
      </c>
      <c r="C1729" s="312" t="s">
        <v>105</v>
      </c>
      <c r="D1729" s="312" t="s">
        <v>1910</v>
      </c>
      <c r="E1729" s="312" t="s">
        <v>167</v>
      </c>
      <c r="F1729" s="312">
        <v>1705</v>
      </c>
      <c r="G1729" s="312" t="s">
        <v>168</v>
      </c>
      <c r="H1729" s="312">
        <v>1707</v>
      </c>
      <c r="I1729" s="312" t="s">
        <v>167</v>
      </c>
      <c r="J1729" s="312">
        <v>1899</v>
      </c>
      <c r="K1729" s="312" t="s">
        <v>169</v>
      </c>
    </row>
    <row r="1730" spans="1:11">
      <c r="A1730" s="312" t="s">
        <v>2583</v>
      </c>
      <c r="B1730" s="312" t="s">
        <v>2584</v>
      </c>
      <c r="C1730" s="312" t="s">
        <v>105</v>
      </c>
      <c r="D1730" s="312" t="s">
        <v>1910</v>
      </c>
      <c r="E1730" s="312" t="s">
        <v>167</v>
      </c>
      <c r="F1730" s="312">
        <v>1705</v>
      </c>
      <c r="G1730" s="312" t="s">
        <v>168</v>
      </c>
      <c r="H1730" s="312">
        <v>1707</v>
      </c>
      <c r="I1730" s="312" t="s">
        <v>167</v>
      </c>
      <c r="J1730" s="312">
        <v>1899</v>
      </c>
      <c r="K1730" s="312" t="s">
        <v>169</v>
      </c>
    </row>
    <row r="1731" spans="1:11">
      <c r="A1731" s="312" t="s">
        <v>3012</v>
      </c>
      <c r="B1731" s="312" t="s">
        <v>3013</v>
      </c>
      <c r="C1731" s="312" t="s">
        <v>105</v>
      </c>
      <c r="D1731" s="312" t="s">
        <v>1910</v>
      </c>
      <c r="E1731" s="312" t="s">
        <v>167</v>
      </c>
      <c r="F1731" s="312">
        <v>1705</v>
      </c>
      <c r="G1731" s="312" t="s">
        <v>168</v>
      </c>
      <c r="H1731" s="312">
        <v>1707</v>
      </c>
      <c r="I1731" s="312" t="s">
        <v>167</v>
      </c>
      <c r="J1731" s="312">
        <v>1899</v>
      </c>
      <c r="K1731" s="312" t="s">
        <v>169</v>
      </c>
    </row>
    <row r="1732" spans="1:11">
      <c r="A1732" s="312" t="s">
        <v>3661</v>
      </c>
      <c r="B1732" s="312" t="s">
        <v>3662</v>
      </c>
      <c r="C1732" s="312" t="s">
        <v>105</v>
      </c>
      <c r="D1732" s="312" t="s">
        <v>1910</v>
      </c>
      <c r="E1732" s="312" t="s">
        <v>167</v>
      </c>
      <c r="F1732" s="312">
        <v>1705</v>
      </c>
      <c r="G1732" s="312" t="s">
        <v>168</v>
      </c>
      <c r="H1732" s="312">
        <v>1707</v>
      </c>
      <c r="I1732" s="312" t="s">
        <v>167</v>
      </c>
      <c r="J1732" s="312">
        <v>1899</v>
      </c>
      <c r="K1732" s="312" t="s">
        <v>169</v>
      </c>
    </row>
    <row r="1733" spans="1:11">
      <c r="A1733" s="312" t="s">
        <v>5129</v>
      </c>
      <c r="B1733" s="312" t="s">
        <v>5130</v>
      </c>
      <c r="C1733" s="312" t="s">
        <v>105</v>
      </c>
      <c r="D1733" s="312" t="s">
        <v>1910</v>
      </c>
      <c r="E1733" s="312" t="s">
        <v>167</v>
      </c>
      <c r="F1733" s="312">
        <v>1705</v>
      </c>
      <c r="G1733" s="312" t="s">
        <v>168</v>
      </c>
      <c r="H1733" s="312">
        <v>1707</v>
      </c>
      <c r="I1733" s="312" t="s">
        <v>167</v>
      </c>
      <c r="J1733" s="312">
        <v>1899</v>
      </c>
      <c r="K1733" s="312" t="s">
        <v>169</v>
      </c>
    </row>
    <row r="1734" spans="1:11">
      <c r="A1734" s="312" t="s">
        <v>5131</v>
      </c>
      <c r="B1734" s="312" t="s">
        <v>5132</v>
      </c>
      <c r="C1734" s="312" t="s">
        <v>105</v>
      </c>
      <c r="D1734" s="312" t="s">
        <v>1910</v>
      </c>
      <c r="E1734" s="312" t="s">
        <v>167</v>
      </c>
      <c r="F1734" s="312">
        <v>1705</v>
      </c>
      <c r="G1734" s="312" t="s">
        <v>168</v>
      </c>
      <c r="H1734" s="312">
        <v>1707</v>
      </c>
      <c r="I1734" s="312" t="s">
        <v>167</v>
      </c>
      <c r="J1734" s="312">
        <v>1899</v>
      </c>
      <c r="K1734" s="312" t="s">
        <v>169</v>
      </c>
    </row>
    <row r="1735" spans="1:11">
      <c r="A1735" s="8" t="s">
        <v>1788</v>
      </c>
      <c r="B1735" s="312" t="s">
        <v>1789</v>
      </c>
      <c r="C1735" s="312" t="s">
        <v>105</v>
      </c>
      <c r="D1735" s="312" t="s">
        <v>1790</v>
      </c>
      <c r="E1735" s="312" t="s">
        <v>107</v>
      </c>
      <c r="F1735" s="312">
        <v>1825</v>
      </c>
      <c r="G1735" s="312" t="s">
        <v>108</v>
      </c>
      <c r="H1735" s="312">
        <v>1827</v>
      </c>
      <c r="I1735" s="312" t="s">
        <v>107</v>
      </c>
      <c r="J1735" s="312">
        <v>1913</v>
      </c>
      <c r="K1735" s="312" t="s">
        <v>109</v>
      </c>
    </row>
    <row r="1736" spans="1:11">
      <c r="A1736" s="8" t="s">
        <v>1791</v>
      </c>
      <c r="B1736" s="312" t="s">
        <v>1792</v>
      </c>
      <c r="C1736" s="312" t="s">
        <v>105</v>
      </c>
      <c r="D1736" s="312" t="s">
        <v>1790</v>
      </c>
      <c r="E1736" s="312" t="s">
        <v>107</v>
      </c>
      <c r="F1736" s="312">
        <v>1825</v>
      </c>
      <c r="G1736" s="312" t="s">
        <v>108</v>
      </c>
      <c r="H1736" s="312">
        <v>1827</v>
      </c>
      <c r="I1736" s="312" t="s">
        <v>107</v>
      </c>
      <c r="J1736" s="312">
        <v>1913</v>
      </c>
      <c r="K1736" s="312" t="s">
        <v>109</v>
      </c>
    </row>
    <row r="1737" spans="1:11">
      <c r="A1737" s="312" t="s">
        <v>3300</v>
      </c>
      <c r="B1737" s="312" t="s">
        <v>3301</v>
      </c>
      <c r="C1737" s="312" t="s">
        <v>105</v>
      </c>
      <c r="D1737" s="312" t="s">
        <v>1790</v>
      </c>
      <c r="E1737" s="312" t="s">
        <v>107</v>
      </c>
      <c r="F1737" s="312">
        <v>1825</v>
      </c>
      <c r="G1737" s="312" t="s">
        <v>108</v>
      </c>
      <c r="H1737" s="312">
        <v>1827</v>
      </c>
      <c r="I1737" s="312" t="s">
        <v>107</v>
      </c>
      <c r="J1737" s="312">
        <v>1913</v>
      </c>
      <c r="K1737" s="312" t="s">
        <v>109</v>
      </c>
    </row>
    <row r="1738" spans="1:11">
      <c r="A1738" s="312" t="s">
        <v>3302</v>
      </c>
      <c r="B1738" s="312" t="s">
        <v>3303</v>
      </c>
      <c r="C1738" s="312" t="s">
        <v>105</v>
      </c>
      <c r="D1738" s="312" t="s">
        <v>1790</v>
      </c>
      <c r="E1738" s="312" t="s">
        <v>107</v>
      </c>
      <c r="F1738" s="312">
        <v>1825</v>
      </c>
      <c r="G1738" s="312" t="s">
        <v>108</v>
      </c>
      <c r="H1738" s="312">
        <v>1827</v>
      </c>
      <c r="I1738" s="312" t="s">
        <v>107</v>
      </c>
      <c r="J1738" s="312">
        <v>1913</v>
      </c>
      <c r="K1738" s="312" t="s">
        <v>109</v>
      </c>
    </row>
    <row r="1739" spans="1:11">
      <c r="A1739" s="312" t="s">
        <v>3304</v>
      </c>
      <c r="B1739" s="312" t="s">
        <v>3305</v>
      </c>
      <c r="C1739" s="312" t="s">
        <v>105</v>
      </c>
      <c r="D1739" s="312" t="s">
        <v>1790</v>
      </c>
      <c r="E1739" s="312" t="s">
        <v>107</v>
      </c>
      <c r="F1739" s="312">
        <v>1825</v>
      </c>
      <c r="G1739" s="312" t="s">
        <v>108</v>
      </c>
      <c r="H1739" s="312">
        <v>1827</v>
      </c>
      <c r="I1739" s="312" t="s">
        <v>107</v>
      </c>
      <c r="J1739" s="312">
        <v>1913</v>
      </c>
      <c r="K1739" s="312" t="s">
        <v>109</v>
      </c>
    </row>
    <row r="1740" spans="1:11">
      <c r="A1740" s="312" t="s">
        <v>3306</v>
      </c>
      <c r="B1740" s="312" t="s">
        <v>3307</v>
      </c>
      <c r="C1740" s="312" t="s">
        <v>105</v>
      </c>
      <c r="D1740" s="312" t="s">
        <v>1790</v>
      </c>
      <c r="E1740" s="312" t="s">
        <v>107</v>
      </c>
      <c r="F1740" s="312">
        <v>1825</v>
      </c>
      <c r="G1740" s="312" t="s">
        <v>108</v>
      </c>
      <c r="H1740" s="312">
        <v>1827</v>
      </c>
      <c r="I1740" s="312" t="s">
        <v>107</v>
      </c>
      <c r="J1740" s="312">
        <v>1913</v>
      </c>
      <c r="K1740" s="312" t="s">
        <v>109</v>
      </c>
    </row>
    <row r="1741" spans="1:11">
      <c r="A1741" s="312" t="s">
        <v>3308</v>
      </c>
      <c r="B1741" s="312" t="s">
        <v>3309</v>
      </c>
      <c r="C1741" s="312" t="s">
        <v>105</v>
      </c>
      <c r="D1741" s="312" t="s">
        <v>1790</v>
      </c>
      <c r="E1741" s="312" t="s">
        <v>107</v>
      </c>
      <c r="F1741" s="312">
        <v>1825</v>
      </c>
      <c r="G1741" s="312" t="s">
        <v>108</v>
      </c>
      <c r="H1741" s="312">
        <v>1827</v>
      </c>
      <c r="I1741" s="312" t="s">
        <v>107</v>
      </c>
      <c r="J1741" s="312">
        <v>1913</v>
      </c>
      <c r="K1741" s="312" t="s">
        <v>109</v>
      </c>
    </row>
    <row r="1742" spans="1:11">
      <c r="A1742" s="4" t="s">
        <v>1497</v>
      </c>
      <c r="B1742" s="312" t="s">
        <v>1498</v>
      </c>
      <c r="C1742" s="312" t="s">
        <v>105</v>
      </c>
      <c r="D1742" s="312" t="s">
        <v>1499</v>
      </c>
      <c r="E1742" s="312" t="s">
        <v>107</v>
      </c>
      <c r="F1742" s="312">
        <v>1825</v>
      </c>
      <c r="G1742" s="312" t="s">
        <v>108</v>
      </c>
      <c r="H1742" s="312">
        <v>1827</v>
      </c>
      <c r="I1742" s="312" t="s">
        <v>107</v>
      </c>
      <c r="J1742" s="312">
        <v>1913</v>
      </c>
      <c r="K1742" s="312" t="s">
        <v>109</v>
      </c>
    </row>
    <row r="1743" spans="1:11">
      <c r="A1743" s="4" t="s">
        <v>1500</v>
      </c>
      <c r="B1743" s="312" t="s">
        <v>1501</v>
      </c>
      <c r="C1743" s="312" t="s">
        <v>105</v>
      </c>
      <c r="D1743" s="312" t="s">
        <v>1499</v>
      </c>
      <c r="E1743" s="312" t="s">
        <v>107</v>
      </c>
      <c r="F1743" s="312">
        <v>1825</v>
      </c>
      <c r="G1743" s="312" t="s">
        <v>108</v>
      </c>
      <c r="H1743" s="312">
        <v>1827</v>
      </c>
      <c r="I1743" s="312" t="s">
        <v>107</v>
      </c>
      <c r="J1743" s="312">
        <v>1913</v>
      </c>
      <c r="K1743" s="312" t="s">
        <v>109</v>
      </c>
    </row>
    <row r="1744" spans="1:11">
      <c r="A1744" s="4" t="s">
        <v>1502</v>
      </c>
      <c r="B1744" s="312" t="s">
        <v>1503</v>
      </c>
      <c r="C1744" s="312" t="s">
        <v>105</v>
      </c>
      <c r="D1744" s="312" t="s">
        <v>1499</v>
      </c>
      <c r="E1744" s="312" t="s">
        <v>107</v>
      </c>
      <c r="F1744" s="312">
        <v>1825</v>
      </c>
      <c r="G1744" s="312" t="s">
        <v>108</v>
      </c>
      <c r="H1744" s="312">
        <v>1827</v>
      </c>
      <c r="I1744" s="312" t="s">
        <v>107</v>
      </c>
      <c r="J1744" s="312">
        <v>1913</v>
      </c>
      <c r="K1744" s="312" t="s">
        <v>109</v>
      </c>
    </row>
    <row r="1745" spans="1:11">
      <c r="A1745" s="4" t="s">
        <v>1504</v>
      </c>
      <c r="B1745" s="312" t="s">
        <v>1505</v>
      </c>
      <c r="C1745" s="312" t="s">
        <v>105</v>
      </c>
      <c r="D1745" s="312" t="s">
        <v>1499</v>
      </c>
      <c r="E1745" s="312" t="s">
        <v>107</v>
      </c>
      <c r="F1745" s="312">
        <v>1825</v>
      </c>
      <c r="G1745" s="312" t="s">
        <v>108</v>
      </c>
      <c r="H1745" s="312">
        <v>1827</v>
      </c>
      <c r="I1745" s="312" t="s">
        <v>107</v>
      </c>
      <c r="J1745" s="312">
        <v>1913</v>
      </c>
      <c r="K1745" s="312" t="s">
        <v>109</v>
      </c>
    </row>
    <row r="1746" spans="1:11">
      <c r="A1746" s="4" t="s">
        <v>1506</v>
      </c>
      <c r="B1746" s="312" t="s">
        <v>1507</v>
      </c>
      <c r="C1746" s="312" t="s">
        <v>105</v>
      </c>
      <c r="D1746" s="312" t="s">
        <v>1499</v>
      </c>
      <c r="E1746" s="312" t="s">
        <v>107</v>
      </c>
      <c r="F1746" s="312">
        <v>1825</v>
      </c>
      <c r="G1746" s="312" t="s">
        <v>108</v>
      </c>
      <c r="H1746" s="312">
        <v>1827</v>
      </c>
      <c r="I1746" s="312" t="s">
        <v>107</v>
      </c>
      <c r="J1746" s="312">
        <v>1913</v>
      </c>
      <c r="K1746" s="312" t="s">
        <v>109</v>
      </c>
    </row>
    <row r="1747" spans="1:11">
      <c r="A1747" s="4" t="s">
        <v>1508</v>
      </c>
      <c r="B1747" s="312" t="s">
        <v>1509</v>
      </c>
      <c r="C1747" s="312" t="s">
        <v>105</v>
      </c>
      <c r="D1747" s="312" t="s">
        <v>1499</v>
      </c>
      <c r="E1747" s="312" t="s">
        <v>107</v>
      </c>
      <c r="F1747" s="312">
        <v>1825</v>
      </c>
      <c r="G1747" s="312" t="s">
        <v>108</v>
      </c>
      <c r="H1747" s="312">
        <v>1827</v>
      </c>
      <c r="I1747" s="312" t="s">
        <v>107</v>
      </c>
      <c r="J1747" s="312">
        <v>1913</v>
      </c>
      <c r="K1747" s="312" t="s">
        <v>109</v>
      </c>
    </row>
    <row r="1748" spans="1:11">
      <c r="A1748" s="4" t="s">
        <v>1510</v>
      </c>
      <c r="B1748" s="312" t="s">
        <v>1511</v>
      </c>
      <c r="C1748" s="312" t="s">
        <v>105</v>
      </c>
      <c r="D1748" s="312" t="s">
        <v>1499</v>
      </c>
      <c r="E1748" s="312" t="s">
        <v>107</v>
      </c>
      <c r="F1748" s="312">
        <v>1825</v>
      </c>
      <c r="G1748" s="312" t="s">
        <v>108</v>
      </c>
      <c r="H1748" s="312">
        <v>1827</v>
      </c>
      <c r="I1748" s="312" t="s">
        <v>107</v>
      </c>
      <c r="J1748" s="312">
        <v>1913</v>
      </c>
      <c r="K1748" s="312" t="s">
        <v>109</v>
      </c>
    </row>
    <row r="1749" spans="1:11">
      <c r="A1749" s="4" t="s">
        <v>1512</v>
      </c>
      <c r="B1749" s="312" t="s">
        <v>1513</v>
      </c>
      <c r="C1749" s="312" t="s">
        <v>105</v>
      </c>
      <c r="D1749" s="312" t="s">
        <v>1499</v>
      </c>
      <c r="E1749" s="312" t="s">
        <v>107</v>
      </c>
      <c r="F1749" s="312">
        <v>1825</v>
      </c>
      <c r="G1749" s="312" t="s">
        <v>108</v>
      </c>
      <c r="H1749" s="312">
        <v>1827</v>
      </c>
      <c r="I1749" s="312" t="s">
        <v>107</v>
      </c>
      <c r="J1749" s="312">
        <v>1913</v>
      </c>
      <c r="K1749" s="312" t="s">
        <v>109</v>
      </c>
    </row>
    <row r="1750" spans="1:11">
      <c r="A1750" s="312" t="s">
        <v>2633</v>
      </c>
      <c r="B1750" s="1" t="s">
        <v>2634</v>
      </c>
      <c r="C1750" s="312" t="s">
        <v>105</v>
      </c>
      <c r="D1750" s="312" t="s">
        <v>1499</v>
      </c>
      <c r="E1750" s="312" t="s">
        <v>107</v>
      </c>
      <c r="F1750" s="312">
        <v>1825</v>
      </c>
      <c r="G1750" s="312" t="s">
        <v>108</v>
      </c>
      <c r="H1750" s="312">
        <v>1827</v>
      </c>
      <c r="I1750" s="312" t="s">
        <v>107</v>
      </c>
      <c r="J1750" s="312">
        <v>1913</v>
      </c>
      <c r="K1750" s="312" t="s">
        <v>109</v>
      </c>
    </row>
    <row r="1751" spans="1:11">
      <c r="A1751" s="312" t="s">
        <v>2635</v>
      </c>
      <c r="B1751" s="312" t="s">
        <v>2636</v>
      </c>
      <c r="C1751" s="312" t="s">
        <v>105</v>
      </c>
      <c r="D1751" s="312" t="s">
        <v>1499</v>
      </c>
      <c r="E1751" s="312" t="s">
        <v>107</v>
      </c>
      <c r="F1751" s="312">
        <v>1825</v>
      </c>
      <c r="G1751" s="312" t="s">
        <v>108</v>
      </c>
      <c r="H1751" s="312">
        <v>1827</v>
      </c>
      <c r="I1751" s="312" t="s">
        <v>107</v>
      </c>
      <c r="J1751" s="312">
        <v>1913</v>
      </c>
      <c r="K1751" s="312" t="s">
        <v>109</v>
      </c>
    </row>
    <row r="1752" spans="1:11">
      <c r="A1752" s="312" t="s">
        <v>2637</v>
      </c>
      <c r="B1752" s="312" t="s">
        <v>2638</v>
      </c>
      <c r="C1752" s="312" t="s">
        <v>105</v>
      </c>
      <c r="D1752" s="312" t="s">
        <v>1499</v>
      </c>
      <c r="E1752" s="312" t="s">
        <v>107</v>
      </c>
      <c r="F1752" s="312">
        <v>1825</v>
      </c>
      <c r="G1752" s="312" t="s">
        <v>108</v>
      </c>
      <c r="H1752" s="312">
        <v>1827</v>
      </c>
      <c r="I1752" s="312" t="s">
        <v>107</v>
      </c>
      <c r="J1752" s="312">
        <v>1913</v>
      </c>
      <c r="K1752" s="312" t="s">
        <v>109</v>
      </c>
    </row>
    <row r="1753" spans="1:11">
      <c r="A1753" s="312" t="s">
        <v>2639</v>
      </c>
      <c r="B1753" s="312" t="s">
        <v>2640</v>
      </c>
      <c r="C1753" s="312" t="s">
        <v>105</v>
      </c>
      <c r="D1753" s="312" t="s">
        <v>1499</v>
      </c>
      <c r="E1753" s="312" t="s">
        <v>107</v>
      </c>
      <c r="F1753" s="312">
        <v>1825</v>
      </c>
      <c r="G1753" s="312" t="s">
        <v>108</v>
      </c>
      <c r="H1753" s="312">
        <v>1827</v>
      </c>
      <c r="I1753" s="312" t="s">
        <v>107</v>
      </c>
      <c r="J1753" s="312">
        <v>1913</v>
      </c>
      <c r="K1753" s="312" t="s">
        <v>109</v>
      </c>
    </row>
    <row r="1754" spans="1:11">
      <c r="A1754" s="312" t="s">
        <v>2641</v>
      </c>
      <c r="B1754" s="312" t="s">
        <v>2642</v>
      </c>
      <c r="C1754" s="312" t="s">
        <v>105</v>
      </c>
      <c r="D1754" s="312" t="s">
        <v>1499</v>
      </c>
      <c r="E1754" s="312" t="s">
        <v>107</v>
      </c>
      <c r="F1754" s="312">
        <v>1825</v>
      </c>
      <c r="G1754" s="312" t="s">
        <v>108</v>
      </c>
      <c r="H1754" s="312">
        <v>1827</v>
      </c>
      <c r="I1754" s="312" t="s">
        <v>107</v>
      </c>
      <c r="J1754" s="312">
        <v>1913</v>
      </c>
      <c r="K1754" s="312" t="s">
        <v>109</v>
      </c>
    </row>
    <row r="1755" spans="1:11">
      <c r="A1755" s="312" t="s">
        <v>2643</v>
      </c>
      <c r="B1755" s="312" t="s">
        <v>2644</v>
      </c>
      <c r="C1755" s="312" t="s">
        <v>105</v>
      </c>
      <c r="D1755" s="312" t="s">
        <v>1499</v>
      </c>
      <c r="E1755" s="312" t="s">
        <v>107</v>
      </c>
      <c r="F1755" s="312">
        <v>1825</v>
      </c>
      <c r="G1755" s="312" t="s">
        <v>108</v>
      </c>
      <c r="H1755" s="312">
        <v>1827</v>
      </c>
      <c r="I1755" s="312" t="s">
        <v>107</v>
      </c>
      <c r="J1755" s="312">
        <v>1913</v>
      </c>
      <c r="K1755" s="312" t="s">
        <v>109</v>
      </c>
    </row>
    <row r="1756" spans="1:11">
      <c r="A1756" s="312" t="s">
        <v>2645</v>
      </c>
      <c r="B1756" s="312" t="s">
        <v>2646</v>
      </c>
      <c r="C1756" s="312" t="s">
        <v>105</v>
      </c>
      <c r="D1756" s="312" t="s">
        <v>1499</v>
      </c>
      <c r="E1756" s="312" t="s">
        <v>107</v>
      </c>
      <c r="F1756" s="312">
        <v>1825</v>
      </c>
      <c r="G1756" s="312" t="s">
        <v>108</v>
      </c>
      <c r="H1756" s="312">
        <v>1827</v>
      </c>
      <c r="I1756" s="312" t="s">
        <v>107</v>
      </c>
      <c r="J1756" s="312">
        <v>1913</v>
      </c>
      <c r="K1756" s="312" t="s">
        <v>109</v>
      </c>
    </row>
    <row r="1757" spans="1:11">
      <c r="A1757" s="312" t="s">
        <v>2647</v>
      </c>
      <c r="B1757" s="312" t="s">
        <v>2648</v>
      </c>
      <c r="C1757" s="312" t="s">
        <v>105</v>
      </c>
      <c r="D1757" s="312" t="s">
        <v>1499</v>
      </c>
      <c r="E1757" s="312" t="s">
        <v>107</v>
      </c>
      <c r="F1757" s="312">
        <v>1825</v>
      </c>
      <c r="G1757" s="312" t="s">
        <v>108</v>
      </c>
      <c r="H1757" s="312">
        <v>1827</v>
      </c>
      <c r="I1757" s="312" t="s">
        <v>107</v>
      </c>
      <c r="J1757" s="312">
        <v>1913</v>
      </c>
      <c r="K1757" s="312" t="s">
        <v>109</v>
      </c>
    </row>
    <row r="1758" spans="1:11">
      <c r="A1758" s="312" t="s">
        <v>2649</v>
      </c>
      <c r="B1758" s="312" t="s">
        <v>2650</v>
      </c>
      <c r="C1758" s="312" t="s">
        <v>105</v>
      </c>
      <c r="D1758" s="312" t="s">
        <v>1499</v>
      </c>
      <c r="E1758" s="312" t="s">
        <v>107</v>
      </c>
      <c r="F1758" s="312">
        <v>1825</v>
      </c>
      <c r="G1758" s="312" t="s">
        <v>108</v>
      </c>
      <c r="H1758" s="312">
        <v>1827</v>
      </c>
      <c r="I1758" s="312" t="s">
        <v>107</v>
      </c>
      <c r="J1758" s="312">
        <v>1913</v>
      </c>
      <c r="K1758" s="312" t="s">
        <v>109</v>
      </c>
    </row>
    <row r="1759" spans="1:11">
      <c r="A1759" s="312" t="s">
        <v>2651</v>
      </c>
      <c r="B1759" s="312" t="s">
        <v>2652</v>
      </c>
      <c r="C1759" s="312" t="s">
        <v>105</v>
      </c>
      <c r="D1759" s="312" t="s">
        <v>1499</v>
      </c>
      <c r="E1759" s="312" t="s">
        <v>107</v>
      </c>
      <c r="F1759" s="312">
        <v>1825</v>
      </c>
      <c r="G1759" s="312" t="s">
        <v>108</v>
      </c>
      <c r="H1759" s="312">
        <v>1827</v>
      </c>
      <c r="I1759" s="312" t="s">
        <v>107</v>
      </c>
      <c r="J1759" s="312">
        <v>1913</v>
      </c>
      <c r="K1759" s="312" t="s">
        <v>109</v>
      </c>
    </row>
    <row r="1760" spans="1:11">
      <c r="A1760" s="312" t="s">
        <v>2653</v>
      </c>
      <c r="B1760" s="312" t="s">
        <v>2654</v>
      </c>
      <c r="C1760" s="312" t="s">
        <v>105</v>
      </c>
      <c r="D1760" s="312" t="s">
        <v>1499</v>
      </c>
      <c r="E1760" s="312" t="s">
        <v>107</v>
      </c>
      <c r="F1760" s="312">
        <v>1825</v>
      </c>
      <c r="G1760" s="312" t="s">
        <v>108</v>
      </c>
      <c r="H1760" s="312">
        <v>1827</v>
      </c>
      <c r="I1760" s="312" t="s">
        <v>107</v>
      </c>
      <c r="J1760" s="312">
        <v>1913</v>
      </c>
      <c r="K1760" s="312" t="s">
        <v>109</v>
      </c>
    </row>
    <row r="1761" spans="1:11">
      <c r="A1761" s="312" t="s">
        <v>2655</v>
      </c>
      <c r="B1761" s="312" t="s">
        <v>2656</v>
      </c>
      <c r="C1761" s="312" t="s">
        <v>105</v>
      </c>
      <c r="D1761" s="312" t="s">
        <v>1499</v>
      </c>
      <c r="E1761" s="312" t="s">
        <v>107</v>
      </c>
      <c r="F1761" s="312">
        <v>1825</v>
      </c>
      <c r="G1761" s="312" t="s">
        <v>108</v>
      </c>
      <c r="H1761" s="312">
        <v>1827</v>
      </c>
      <c r="I1761" s="312" t="s">
        <v>107</v>
      </c>
      <c r="J1761" s="312">
        <v>1913</v>
      </c>
      <c r="K1761" s="312" t="s">
        <v>109</v>
      </c>
    </row>
    <row r="1762" spans="1:11">
      <c r="A1762" s="312" t="s">
        <v>2657</v>
      </c>
      <c r="B1762" s="312" t="s">
        <v>2658</v>
      </c>
      <c r="C1762" s="312" t="s">
        <v>105</v>
      </c>
      <c r="D1762" s="312" t="s">
        <v>1499</v>
      </c>
      <c r="E1762" s="312" t="s">
        <v>107</v>
      </c>
      <c r="F1762" s="312">
        <v>1825</v>
      </c>
      <c r="G1762" s="312" t="s">
        <v>108</v>
      </c>
      <c r="H1762" s="312">
        <v>1827</v>
      </c>
      <c r="I1762" s="312" t="s">
        <v>107</v>
      </c>
      <c r="J1762" s="312">
        <v>1913</v>
      </c>
      <c r="K1762" s="312" t="s">
        <v>109</v>
      </c>
    </row>
    <row r="1763" spans="1:11">
      <c r="A1763" s="312" t="s">
        <v>2659</v>
      </c>
      <c r="B1763" s="312" t="s">
        <v>2660</v>
      </c>
      <c r="C1763" s="312" t="s">
        <v>105</v>
      </c>
      <c r="D1763" s="312" t="s">
        <v>1499</v>
      </c>
      <c r="E1763" s="312" t="s">
        <v>107</v>
      </c>
      <c r="F1763" s="312">
        <v>1825</v>
      </c>
      <c r="G1763" s="312" t="s">
        <v>108</v>
      </c>
      <c r="H1763" s="312">
        <v>1827</v>
      </c>
      <c r="I1763" s="312" t="s">
        <v>107</v>
      </c>
      <c r="J1763" s="312">
        <v>1913</v>
      </c>
      <c r="K1763" s="312" t="s">
        <v>109</v>
      </c>
    </row>
    <row r="1764" spans="1:11">
      <c r="A1764" s="312" t="s">
        <v>2661</v>
      </c>
      <c r="B1764" s="312" t="s">
        <v>2662</v>
      </c>
      <c r="C1764" s="312" t="s">
        <v>105</v>
      </c>
      <c r="D1764" s="312" t="s">
        <v>1499</v>
      </c>
      <c r="E1764" s="312" t="s">
        <v>107</v>
      </c>
      <c r="F1764" s="312">
        <v>1825</v>
      </c>
      <c r="G1764" s="312" t="s">
        <v>108</v>
      </c>
      <c r="H1764" s="312">
        <v>1827</v>
      </c>
      <c r="I1764" s="312" t="s">
        <v>107</v>
      </c>
      <c r="J1764" s="312">
        <v>1913</v>
      </c>
      <c r="K1764" s="312" t="s">
        <v>109</v>
      </c>
    </row>
    <row r="1765" spans="1:11">
      <c r="A1765" s="312" t="s">
        <v>2663</v>
      </c>
      <c r="B1765" s="312" t="s">
        <v>2664</v>
      </c>
      <c r="C1765" s="312" t="s">
        <v>105</v>
      </c>
      <c r="D1765" s="312" t="s">
        <v>1499</v>
      </c>
      <c r="E1765" s="312" t="s">
        <v>107</v>
      </c>
      <c r="F1765" s="312">
        <v>1825</v>
      </c>
      <c r="G1765" s="312" t="s">
        <v>108</v>
      </c>
      <c r="H1765" s="312">
        <v>1827</v>
      </c>
      <c r="I1765" s="312" t="s">
        <v>107</v>
      </c>
      <c r="J1765" s="312">
        <v>1913</v>
      </c>
      <c r="K1765" s="312" t="s">
        <v>109</v>
      </c>
    </row>
    <row r="1766" spans="1:11">
      <c r="A1766" s="312" t="s">
        <v>2665</v>
      </c>
      <c r="B1766" s="312" t="s">
        <v>2666</v>
      </c>
      <c r="C1766" s="312" t="s">
        <v>105</v>
      </c>
      <c r="D1766" s="312" t="s">
        <v>1499</v>
      </c>
      <c r="E1766" s="312" t="s">
        <v>107</v>
      </c>
      <c r="F1766" s="312">
        <v>1825</v>
      </c>
      <c r="G1766" s="312" t="s">
        <v>108</v>
      </c>
      <c r="H1766" s="312">
        <v>1827</v>
      </c>
      <c r="I1766" s="312" t="s">
        <v>107</v>
      </c>
      <c r="J1766" s="312">
        <v>1913</v>
      </c>
      <c r="K1766" s="312" t="s">
        <v>109</v>
      </c>
    </row>
    <row r="1767" spans="1:11">
      <c r="A1767" s="312" t="s">
        <v>2667</v>
      </c>
      <c r="B1767" s="312" t="s">
        <v>2668</v>
      </c>
      <c r="C1767" s="312" t="s">
        <v>105</v>
      </c>
      <c r="D1767" s="312" t="s">
        <v>1499</v>
      </c>
      <c r="E1767" s="312" t="s">
        <v>107</v>
      </c>
      <c r="F1767" s="312">
        <v>1825</v>
      </c>
      <c r="G1767" s="312" t="s">
        <v>108</v>
      </c>
      <c r="H1767" s="312">
        <v>1827</v>
      </c>
      <c r="I1767" s="312" t="s">
        <v>107</v>
      </c>
      <c r="J1767" s="312">
        <v>1913</v>
      </c>
      <c r="K1767" s="312" t="s">
        <v>109</v>
      </c>
    </row>
    <row r="1768" spans="1:11">
      <c r="A1768" s="312" t="s">
        <v>2669</v>
      </c>
      <c r="B1768" s="312" t="s">
        <v>2670</v>
      </c>
      <c r="C1768" s="312" t="s">
        <v>105</v>
      </c>
      <c r="D1768" s="312" t="s">
        <v>1499</v>
      </c>
      <c r="E1768" s="312" t="s">
        <v>107</v>
      </c>
      <c r="F1768" s="312">
        <v>1825</v>
      </c>
      <c r="G1768" s="312" t="s">
        <v>108</v>
      </c>
      <c r="H1768" s="312">
        <v>1827</v>
      </c>
      <c r="I1768" s="312" t="s">
        <v>107</v>
      </c>
      <c r="J1768" s="312">
        <v>1913</v>
      </c>
      <c r="K1768" s="312" t="s">
        <v>109</v>
      </c>
    </row>
    <row r="1769" spans="1:11">
      <c r="A1769" s="312" t="s">
        <v>2671</v>
      </c>
      <c r="B1769" s="312" t="s">
        <v>2672</v>
      </c>
      <c r="C1769" s="312" t="s">
        <v>105</v>
      </c>
      <c r="D1769" s="312" t="s">
        <v>1499</v>
      </c>
      <c r="E1769" s="312" t="s">
        <v>107</v>
      </c>
      <c r="F1769" s="312">
        <v>1825</v>
      </c>
      <c r="G1769" s="312" t="s">
        <v>108</v>
      </c>
      <c r="H1769" s="312">
        <v>1827</v>
      </c>
      <c r="I1769" s="312" t="s">
        <v>107</v>
      </c>
      <c r="J1769" s="312">
        <v>1913</v>
      </c>
      <c r="K1769" s="312" t="s">
        <v>109</v>
      </c>
    </row>
    <row r="1770" spans="1:11">
      <c r="A1770" s="312" t="s">
        <v>2673</v>
      </c>
      <c r="B1770" s="312" t="s">
        <v>2674</v>
      </c>
      <c r="C1770" s="312" t="s">
        <v>105</v>
      </c>
      <c r="D1770" s="312" t="s">
        <v>1499</v>
      </c>
      <c r="E1770" s="312" t="s">
        <v>107</v>
      </c>
      <c r="F1770" s="312">
        <v>1825</v>
      </c>
      <c r="G1770" s="312" t="s">
        <v>108</v>
      </c>
      <c r="H1770" s="312">
        <v>1827</v>
      </c>
      <c r="I1770" s="312" t="s">
        <v>107</v>
      </c>
      <c r="J1770" s="312">
        <v>1913</v>
      </c>
      <c r="K1770" s="312" t="s">
        <v>109</v>
      </c>
    </row>
    <row r="1771" spans="1:11">
      <c r="A1771" s="312" t="s">
        <v>2675</v>
      </c>
      <c r="B1771" s="312" t="s">
        <v>2676</v>
      </c>
      <c r="C1771" s="312" t="s">
        <v>105</v>
      </c>
      <c r="D1771" s="312" t="s">
        <v>1499</v>
      </c>
      <c r="E1771" s="312" t="s">
        <v>107</v>
      </c>
      <c r="F1771" s="312">
        <v>1825</v>
      </c>
      <c r="G1771" s="312" t="s">
        <v>108</v>
      </c>
      <c r="H1771" s="312">
        <v>1827</v>
      </c>
      <c r="I1771" s="312" t="s">
        <v>107</v>
      </c>
      <c r="J1771" s="312">
        <v>1913</v>
      </c>
      <c r="K1771" s="312" t="s">
        <v>109</v>
      </c>
    </row>
    <row r="1772" spans="1:11">
      <c r="A1772" s="312" t="s">
        <v>2677</v>
      </c>
      <c r="B1772" s="312" t="s">
        <v>2678</v>
      </c>
      <c r="C1772" s="312" t="s">
        <v>105</v>
      </c>
      <c r="D1772" s="312" t="s">
        <v>1499</v>
      </c>
      <c r="E1772" s="312" t="s">
        <v>107</v>
      </c>
      <c r="F1772" s="312">
        <v>1825</v>
      </c>
      <c r="G1772" s="312" t="s">
        <v>108</v>
      </c>
      <c r="H1772" s="312">
        <v>1827</v>
      </c>
      <c r="I1772" s="312" t="s">
        <v>107</v>
      </c>
      <c r="J1772" s="312">
        <v>1913</v>
      </c>
      <c r="K1772" s="312" t="s">
        <v>109</v>
      </c>
    </row>
    <row r="1773" spans="1:11">
      <c r="A1773" s="312" t="s">
        <v>2679</v>
      </c>
      <c r="B1773" s="312" t="s">
        <v>2680</v>
      </c>
      <c r="C1773" s="312" t="s">
        <v>105</v>
      </c>
      <c r="D1773" s="312" t="s">
        <v>1499</v>
      </c>
      <c r="E1773" s="312" t="s">
        <v>107</v>
      </c>
      <c r="F1773" s="312">
        <v>1825</v>
      </c>
      <c r="G1773" s="312" t="s">
        <v>108</v>
      </c>
      <c r="H1773" s="312">
        <v>1827</v>
      </c>
      <c r="I1773" s="312" t="s">
        <v>107</v>
      </c>
      <c r="J1773" s="312">
        <v>1913</v>
      </c>
      <c r="K1773" s="312" t="s">
        <v>109</v>
      </c>
    </row>
    <row r="1774" spans="1:11">
      <c r="A1774" s="312" t="s">
        <v>2681</v>
      </c>
      <c r="B1774" s="312" t="s">
        <v>2682</v>
      </c>
      <c r="C1774" s="312" t="s">
        <v>105</v>
      </c>
      <c r="D1774" s="312" t="s">
        <v>1499</v>
      </c>
      <c r="E1774" s="312" t="s">
        <v>107</v>
      </c>
      <c r="F1774" s="312">
        <v>1825</v>
      </c>
      <c r="G1774" s="312" t="s">
        <v>108</v>
      </c>
      <c r="H1774" s="312">
        <v>1827</v>
      </c>
      <c r="I1774" s="312" t="s">
        <v>107</v>
      </c>
      <c r="J1774" s="312">
        <v>1913</v>
      </c>
      <c r="K1774" s="312" t="s">
        <v>109</v>
      </c>
    </row>
    <row r="1775" spans="1:11">
      <c r="A1775" s="312" t="s">
        <v>2683</v>
      </c>
      <c r="B1775" s="312" t="s">
        <v>2684</v>
      </c>
      <c r="C1775" s="312" t="s">
        <v>105</v>
      </c>
      <c r="D1775" s="312" t="s">
        <v>1499</v>
      </c>
      <c r="E1775" s="312" t="s">
        <v>107</v>
      </c>
      <c r="F1775" s="312">
        <v>1825</v>
      </c>
      <c r="G1775" s="312" t="s">
        <v>108</v>
      </c>
      <c r="H1775" s="312">
        <v>1827</v>
      </c>
      <c r="I1775" s="312" t="s">
        <v>107</v>
      </c>
      <c r="J1775" s="312">
        <v>1913</v>
      </c>
      <c r="K1775" s="312" t="s">
        <v>109</v>
      </c>
    </row>
    <row r="1776" spans="1:11">
      <c r="A1776" s="312" t="s">
        <v>2685</v>
      </c>
      <c r="B1776" s="312" t="s">
        <v>2686</v>
      </c>
      <c r="C1776" s="312" t="s">
        <v>105</v>
      </c>
      <c r="D1776" s="312" t="s">
        <v>1499</v>
      </c>
      <c r="E1776" s="312" t="s">
        <v>107</v>
      </c>
      <c r="F1776" s="312">
        <v>1825</v>
      </c>
      <c r="G1776" s="312" t="s">
        <v>108</v>
      </c>
      <c r="H1776" s="312">
        <v>1827</v>
      </c>
      <c r="I1776" s="312" t="s">
        <v>107</v>
      </c>
      <c r="J1776" s="312">
        <v>1913</v>
      </c>
      <c r="K1776" s="312" t="s">
        <v>109</v>
      </c>
    </row>
    <row r="1777" spans="1:11">
      <c r="A1777" s="312" t="s">
        <v>2687</v>
      </c>
      <c r="B1777" s="312" t="s">
        <v>2688</v>
      </c>
      <c r="C1777" s="312" t="s">
        <v>105</v>
      </c>
      <c r="D1777" s="312" t="s">
        <v>1499</v>
      </c>
      <c r="E1777" s="312" t="s">
        <v>107</v>
      </c>
      <c r="F1777" s="312">
        <v>1825</v>
      </c>
      <c r="G1777" s="312" t="s">
        <v>108</v>
      </c>
      <c r="H1777" s="312">
        <v>1827</v>
      </c>
      <c r="I1777" s="312" t="s">
        <v>107</v>
      </c>
      <c r="J1777" s="312">
        <v>1913</v>
      </c>
      <c r="K1777" s="312" t="s">
        <v>109</v>
      </c>
    </row>
    <row r="1778" spans="1:11">
      <c r="A1778" s="312" t="s">
        <v>2689</v>
      </c>
      <c r="B1778" s="312" t="s">
        <v>2690</v>
      </c>
      <c r="C1778" s="312" t="s">
        <v>105</v>
      </c>
      <c r="D1778" s="312" t="s">
        <v>1499</v>
      </c>
      <c r="E1778" s="312" t="s">
        <v>107</v>
      </c>
      <c r="F1778" s="312">
        <v>1825</v>
      </c>
      <c r="G1778" s="312" t="s">
        <v>108</v>
      </c>
      <c r="H1778" s="312">
        <v>1827</v>
      </c>
      <c r="I1778" s="312" t="s">
        <v>107</v>
      </c>
      <c r="J1778" s="312">
        <v>1913</v>
      </c>
      <c r="K1778" s="312" t="s">
        <v>109</v>
      </c>
    </row>
    <row r="1779" spans="1:11">
      <c r="A1779" s="312" t="s">
        <v>2691</v>
      </c>
      <c r="B1779" s="312" t="s">
        <v>2692</v>
      </c>
      <c r="C1779" s="312" t="s">
        <v>105</v>
      </c>
      <c r="D1779" s="312" t="s">
        <v>1499</v>
      </c>
      <c r="E1779" s="312" t="s">
        <v>107</v>
      </c>
      <c r="F1779" s="312">
        <v>1825</v>
      </c>
      <c r="G1779" s="312" t="s">
        <v>108</v>
      </c>
      <c r="H1779" s="312">
        <v>1827</v>
      </c>
      <c r="I1779" s="312" t="s">
        <v>107</v>
      </c>
      <c r="J1779" s="312">
        <v>1913</v>
      </c>
      <c r="K1779" s="312" t="s">
        <v>109</v>
      </c>
    </row>
    <row r="1780" spans="1:11">
      <c r="A1780" s="312" t="s">
        <v>2693</v>
      </c>
      <c r="B1780" s="312" t="s">
        <v>2694</v>
      </c>
      <c r="C1780" s="312" t="s">
        <v>105</v>
      </c>
      <c r="D1780" s="312" t="s">
        <v>1499</v>
      </c>
      <c r="E1780" s="312" t="s">
        <v>107</v>
      </c>
      <c r="F1780" s="312">
        <v>1825</v>
      </c>
      <c r="G1780" s="312" t="s">
        <v>108</v>
      </c>
      <c r="H1780" s="312">
        <v>1827</v>
      </c>
      <c r="I1780" s="312" t="s">
        <v>107</v>
      </c>
      <c r="J1780" s="312">
        <v>1913</v>
      </c>
      <c r="K1780" s="312" t="s">
        <v>109</v>
      </c>
    </row>
    <row r="1781" spans="1:11">
      <c r="A1781" s="3" t="s">
        <v>350</v>
      </c>
      <c r="B1781" s="312" t="s">
        <v>351</v>
      </c>
      <c r="C1781" s="312" t="s">
        <v>105</v>
      </c>
      <c r="D1781" s="312" t="s">
        <v>352</v>
      </c>
      <c r="E1781" s="312" t="s">
        <v>107</v>
      </c>
      <c r="F1781" s="312">
        <v>1825</v>
      </c>
      <c r="G1781" s="312" t="s">
        <v>108</v>
      </c>
      <c r="H1781" s="312">
        <v>1827</v>
      </c>
      <c r="I1781" s="312" t="s">
        <v>107</v>
      </c>
      <c r="J1781" s="312">
        <v>1913</v>
      </c>
      <c r="K1781" s="312" t="s">
        <v>109</v>
      </c>
    </row>
    <row r="1782" spans="1:11">
      <c r="A1782" s="3" t="s">
        <v>353</v>
      </c>
      <c r="B1782" s="312" t="s">
        <v>354</v>
      </c>
      <c r="C1782" s="312" t="s">
        <v>105</v>
      </c>
      <c r="D1782" s="312" t="s">
        <v>352</v>
      </c>
      <c r="E1782" s="312" t="s">
        <v>107</v>
      </c>
      <c r="F1782" s="312">
        <v>1825</v>
      </c>
      <c r="G1782" s="312" t="s">
        <v>108</v>
      </c>
      <c r="H1782" s="312">
        <v>1827</v>
      </c>
      <c r="I1782" s="312" t="s">
        <v>107</v>
      </c>
      <c r="J1782" s="312">
        <v>1913</v>
      </c>
      <c r="K1782" s="312" t="s">
        <v>109</v>
      </c>
    </row>
    <row r="1783" spans="1:11">
      <c r="A1783" s="3" t="s">
        <v>355</v>
      </c>
      <c r="B1783" s="312" t="s">
        <v>356</v>
      </c>
      <c r="C1783" s="312" t="s">
        <v>105</v>
      </c>
      <c r="D1783" s="312" t="s">
        <v>352</v>
      </c>
      <c r="E1783" s="312" t="s">
        <v>107</v>
      </c>
      <c r="F1783" s="312">
        <v>1825</v>
      </c>
      <c r="G1783" s="312" t="s">
        <v>108</v>
      </c>
      <c r="H1783" s="312">
        <v>1827</v>
      </c>
      <c r="I1783" s="312" t="s">
        <v>107</v>
      </c>
      <c r="J1783" s="312">
        <v>1913</v>
      </c>
      <c r="K1783" s="312" t="s">
        <v>109</v>
      </c>
    </row>
    <row r="1784" spans="1:11">
      <c r="A1784" s="3" t="s">
        <v>357</v>
      </c>
      <c r="B1784" s="312" t="s">
        <v>358</v>
      </c>
      <c r="C1784" s="312" t="s">
        <v>105</v>
      </c>
      <c r="D1784" s="312" t="s">
        <v>352</v>
      </c>
      <c r="E1784" s="312" t="s">
        <v>107</v>
      </c>
      <c r="F1784" s="312">
        <v>1825</v>
      </c>
      <c r="G1784" s="312" t="s">
        <v>108</v>
      </c>
      <c r="H1784" s="312">
        <v>1827</v>
      </c>
      <c r="I1784" s="312" t="s">
        <v>107</v>
      </c>
      <c r="J1784" s="312">
        <v>1913</v>
      </c>
      <c r="K1784" s="312" t="s">
        <v>109</v>
      </c>
    </row>
    <row r="1785" spans="1:11">
      <c r="A1785" s="3" t="s">
        <v>359</v>
      </c>
      <c r="B1785" s="312" t="s">
        <v>360</v>
      </c>
      <c r="C1785" s="312" t="s">
        <v>105</v>
      </c>
      <c r="D1785" s="312" t="s">
        <v>352</v>
      </c>
      <c r="E1785" s="312" t="s">
        <v>107</v>
      </c>
      <c r="F1785" s="312">
        <v>1825</v>
      </c>
      <c r="G1785" s="312" t="s">
        <v>108</v>
      </c>
      <c r="H1785" s="312">
        <v>1827</v>
      </c>
      <c r="I1785" s="312" t="s">
        <v>107</v>
      </c>
      <c r="J1785" s="312">
        <v>1913</v>
      </c>
      <c r="K1785" s="312" t="s">
        <v>109</v>
      </c>
    </row>
    <row r="1786" spans="1:11">
      <c r="A1786" s="3" t="s">
        <v>361</v>
      </c>
      <c r="B1786" s="312" t="s">
        <v>362</v>
      </c>
      <c r="C1786" s="312" t="s">
        <v>105</v>
      </c>
      <c r="D1786" s="312" t="s">
        <v>352</v>
      </c>
      <c r="E1786" s="312" t="s">
        <v>107</v>
      </c>
      <c r="F1786" s="312">
        <v>1825</v>
      </c>
      <c r="G1786" s="312" t="s">
        <v>108</v>
      </c>
      <c r="H1786" s="312">
        <v>1827</v>
      </c>
      <c r="I1786" s="312" t="s">
        <v>107</v>
      </c>
      <c r="J1786" s="312">
        <v>1913</v>
      </c>
      <c r="K1786" s="312" t="s">
        <v>109</v>
      </c>
    </row>
    <row r="1787" spans="1:11">
      <c r="A1787" s="3" t="s">
        <v>363</v>
      </c>
      <c r="B1787" s="312" t="s">
        <v>364</v>
      </c>
      <c r="C1787" s="312" t="s">
        <v>105</v>
      </c>
      <c r="D1787" s="312" t="s">
        <v>352</v>
      </c>
      <c r="E1787" s="312" t="s">
        <v>107</v>
      </c>
      <c r="F1787" s="312">
        <v>1825</v>
      </c>
      <c r="G1787" s="312" t="s">
        <v>108</v>
      </c>
      <c r="H1787" s="312">
        <v>1827</v>
      </c>
      <c r="I1787" s="312" t="s">
        <v>107</v>
      </c>
      <c r="J1787" s="312">
        <v>1913</v>
      </c>
      <c r="K1787" s="312" t="s">
        <v>109</v>
      </c>
    </row>
    <row r="1788" spans="1:11">
      <c r="A1788" s="3" t="s">
        <v>365</v>
      </c>
      <c r="B1788" s="312" t="s">
        <v>366</v>
      </c>
      <c r="C1788" s="312" t="s">
        <v>105</v>
      </c>
      <c r="D1788" s="312" t="s">
        <v>352</v>
      </c>
      <c r="E1788" s="312" t="s">
        <v>107</v>
      </c>
      <c r="F1788" s="312">
        <v>1825</v>
      </c>
      <c r="G1788" s="312" t="s">
        <v>108</v>
      </c>
      <c r="H1788" s="312">
        <v>1827</v>
      </c>
      <c r="I1788" s="312" t="s">
        <v>107</v>
      </c>
      <c r="J1788" s="312">
        <v>1913</v>
      </c>
      <c r="K1788" s="312" t="s">
        <v>109</v>
      </c>
    </row>
    <row r="1789" spans="1:11">
      <c r="A1789" s="3" t="s">
        <v>367</v>
      </c>
      <c r="B1789" s="312" t="s">
        <v>368</v>
      </c>
      <c r="C1789" s="312" t="s">
        <v>105</v>
      </c>
      <c r="D1789" s="312" t="s">
        <v>352</v>
      </c>
      <c r="E1789" s="312" t="s">
        <v>107</v>
      </c>
      <c r="F1789" s="312">
        <v>1825</v>
      </c>
      <c r="G1789" s="312" t="s">
        <v>108</v>
      </c>
      <c r="H1789" s="312">
        <v>1827</v>
      </c>
      <c r="I1789" s="312" t="s">
        <v>107</v>
      </c>
      <c r="J1789" s="312">
        <v>1913</v>
      </c>
      <c r="K1789" s="312" t="s">
        <v>109</v>
      </c>
    </row>
    <row r="1790" spans="1:11">
      <c r="A1790" s="3" t="s">
        <v>369</v>
      </c>
      <c r="B1790" s="312" t="s">
        <v>370</v>
      </c>
      <c r="C1790" s="312" t="s">
        <v>105</v>
      </c>
      <c r="D1790" s="312" t="s">
        <v>352</v>
      </c>
      <c r="E1790" s="312" t="s">
        <v>107</v>
      </c>
      <c r="F1790" s="312">
        <v>1825</v>
      </c>
      <c r="G1790" s="312" t="s">
        <v>108</v>
      </c>
      <c r="H1790" s="312">
        <v>1827</v>
      </c>
      <c r="I1790" s="312" t="s">
        <v>107</v>
      </c>
      <c r="J1790" s="312">
        <v>1913</v>
      </c>
      <c r="K1790" s="312" t="s">
        <v>109</v>
      </c>
    </row>
    <row r="1791" spans="1:11">
      <c r="A1791" s="3" t="s">
        <v>371</v>
      </c>
      <c r="B1791" s="312" t="s">
        <v>372</v>
      </c>
      <c r="C1791" s="312" t="s">
        <v>105</v>
      </c>
      <c r="D1791" s="312" t="s">
        <v>352</v>
      </c>
      <c r="E1791" s="312" t="s">
        <v>107</v>
      </c>
      <c r="F1791" s="312">
        <v>1825</v>
      </c>
      <c r="G1791" s="312" t="s">
        <v>108</v>
      </c>
      <c r="H1791" s="312">
        <v>1827</v>
      </c>
      <c r="I1791" s="312" t="s">
        <v>107</v>
      </c>
      <c r="J1791" s="312">
        <v>1913</v>
      </c>
      <c r="K1791" s="312" t="s">
        <v>109</v>
      </c>
    </row>
    <row r="1792" spans="1:11">
      <c r="A1792" s="3" t="s">
        <v>373</v>
      </c>
      <c r="B1792" s="312" t="s">
        <v>374</v>
      </c>
      <c r="C1792" s="312" t="s">
        <v>105</v>
      </c>
      <c r="D1792" s="312" t="s">
        <v>352</v>
      </c>
      <c r="E1792" s="312" t="s">
        <v>107</v>
      </c>
      <c r="F1792" s="312">
        <v>1825</v>
      </c>
      <c r="G1792" s="312" t="s">
        <v>108</v>
      </c>
      <c r="H1792" s="312">
        <v>1827</v>
      </c>
      <c r="I1792" s="312" t="s">
        <v>107</v>
      </c>
      <c r="J1792" s="312">
        <v>1913</v>
      </c>
      <c r="K1792" s="312" t="s">
        <v>109</v>
      </c>
    </row>
    <row r="1793" spans="1:11">
      <c r="A1793" s="312" t="s">
        <v>464</v>
      </c>
      <c r="B1793" s="312" t="s">
        <v>465</v>
      </c>
      <c r="C1793" s="312" t="s">
        <v>105</v>
      </c>
      <c r="D1793" s="312" t="s">
        <v>352</v>
      </c>
      <c r="E1793" s="312" t="s">
        <v>466</v>
      </c>
      <c r="F1793" s="312">
        <v>1796</v>
      </c>
      <c r="G1793" s="312" t="s">
        <v>467</v>
      </c>
      <c r="H1793" s="312">
        <v>1799</v>
      </c>
      <c r="I1793" s="312" t="s">
        <v>466</v>
      </c>
      <c r="J1793" s="312">
        <v>1918</v>
      </c>
      <c r="K1793" s="312" t="s">
        <v>468</v>
      </c>
    </row>
    <row r="1794" spans="1:11">
      <c r="A1794" s="2" t="s">
        <v>778</v>
      </c>
      <c r="B1794" s="312" t="s">
        <v>779</v>
      </c>
      <c r="C1794" s="312" t="s">
        <v>105</v>
      </c>
      <c r="D1794" s="312" t="s">
        <v>352</v>
      </c>
      <c r="E1794" s="312" t="s">
        <v>107</v>
      </c>
      <c r="F1794" s="312">
        <v>1825</v>
      </c>
      <c r="G1794" s="312" t="s">
        <v>108</v>
      </c>
      <c r="H1794" s="312">
        <v>1827</v>
      </c>
      <c r="I1794" s="312" t="s">
        <v>107</v>
      </c>
      <c r="J1794" s="312">
        <v>1913</v>
      </c>
      <c r="K1794" s="312" t="s">
        <v>109</v>
      </c>
    </row>
    <row r="1795" spans="1:11">
      <c r="A1795" s="2" t="s">
        <v>780</v>
      </c>
      <c r="B1795" s="312" t="s">
        <v>781</v>
      </c>
      <c r="C1795" s="312" t="s">
        <v>105</v>
      </c>
      <c r="D1795" s="312" t="s">
        <v>352</v>
      </c>
      <c r="E1795" s="312" t="s">
        <v>107</v>
      </c>
      <c r="F1795" s="312">
        <v>1825</v>
      </c>
      <c r="G1795" s="312" t="s">
        <v>108</v>
      </c>
      <c r="H1795" s="312">
        <v>1827</v>
      </c>
      <c r="I1795" s="312" t="s">
        <v>107</v>
      </c>
      <c r="J1795" s="312">
        <v>1913</v>
      </c>
      <c r="K1795" s="312" t="s">
        <v>109</v>
      </c>
    </row>
    <row r="1796" spans="1:11">
      <c r="A1796" s="2" t="s">
        <v>782</v>
      </c>
      <c r="B1796" s="312" t="s">
        <v>783</v>
      </c>
      <c r="C1796" s="312" t="s">
        <v>105</v>
      </c>
      <c r="D1796" s="312" t="s">
        <v>352</v>
      </c>
      <c r="E1796" s="312" t="s">
        <v>107</v>
      </c>
      <c r="F1796" s="312">
        <v>1825</v>
      </c>
      <c r="G1796" s="312" t="s">
        <v>108</v>
      </c>
      <c r="H1796" s="312">
        <v>1827</v>
      </c>
      <c r="I1796" s="312" t="s">
        <v>107</v>
      </c>
      <c r="J1796" s="312">
        <v>1913</v>
      </c>
      <c r="K1796" s="312" t="s">
        <v>109</v>
      </c>
    </row>
    <row r="1797" spans="1:11">
      <c r="A1797" s="2" t="s">
        <v>784</v>
      </c>
      <c r="B1797" s="312" t="s">
        <v>785</v>
      </c>
      <c r="C1797" s="312" t="s">
        <v>105</v>
      </c>
      <c r="D1797" s="312" t="s">
        <v>352</v>
      </c>
      <c r="E1797" s="312" t="s">
        <v>107</v>
      </c>
      <c r="F1797" s="312">
        <v>1825</v>
      </c>
      <c r="G1797" s="312" t="s">
        <v>108</v>
      </c>
      <c r="H1797" s="312">
        <v>1827</v>
      </c>
      <c r="I1797" s="312" t="s">
        <v>107</v>
      </c>
      <c r="J1797" s="312">
        <v>1913</v>
      </c>
      <c r="K1797" s="312" t="s">
        <v>109</v>
      </c>
    </row>
    <row r="1798" spans="1:11">
      <c r="A1798" s="2" t="s">
        <v>786</v>
      </c>
      <c r="B1798" s="312" t="s">
        <v>787</v>
      </c>
      <c r="C1798" s="312" t="s">
        <v>105</v>
      </c>
      <c r="D1798" s="312" t="s">
        <v>352</v>
      </c>
      <c r="E1798" s="312" t="s">
        <v>107</v>
      </c>
      <c r="F1798" s="312">
        <v>1825</v>
      </c>
      <c r="G1798" s="312" t="s">
        <v>108</v>
      </c>
      <c r="H1798" s="312">
        <v>1827</v>
      </c>
      <c r="I1798" s="312" t="s">
        <v>107</v>
      </c>
      <c r="J1798" s="312">
        <v>1913</v>
      </c>
      <c r="K1798" s="312" t="s">
        <v>109</v>
      </c>
    </row>
    <row r="1799" spans="1:11">
      <c r="A1799" s="2" t="s">
        <v>788</v>
      </c>
      <c r="B1799" s="312" t="s">
        <v>789</v>
      </c>
      <c r="C1799" s="312" t="s">
        <v>105</v>
      </c>
      <c r="D1799" s="312" t="s">
        <v>352</v>
      </c>
      <c r="E1799" s="312" t="s">
        <v>107</v>
      </c>
      <c r="F1799" s="312">
        <v>1825</v>
      </c>
      <c r="G1799" s="312" t="s">
        <v>108</v>
      </c>
      <c r="H1799" s="312">
        <v>1827</v>
      </c>
      <c r="I1799" s="312" t="s">
        <v>107</v>
      </c>
      <c r="J1799" s="312">
        <v>1913</v>
      </c>
      <c r="K1799" s="312" t="s">
        <v>109</v>
      </c>
    </row>
    <row r="1800" spans="1:11">
      <c r="A1800" s="2" t="s">
        <v>790</v>
      </c>
      <c r="B1800" s="312" t="s">
        <v>791</v>
      </c>
      <c r="C1800" s="312" t="s">
        <v>105</v>
      </c>
      <c r="D1800" s="312" t="s">
        <v>352</v>
      </c>
      <c r="E1800" s="312" t="s">
        <v>107</v>
      </c>
      <c r="F1800" s="312">
        <v>1825</v>
      </c>
      <c r="G1800" s="312" t="s">
        <v>108</v>
      </c>
      <c r="H1800" s="312">
        <v>1827</v>
      </c>
      <c r="I1800" s="312" t="s">
        <v>107</v>
      </c>
      <c r="J1800" s="312">
        <v>1913</v>
      </c>
      <c r="K1800" s="312" t="s">
        <v>109</v>
      </c>
    </row>
    <row r="1801" spans="1:11">
      <c r="A1801" s="2" t="s">
        <v>792</v>
      </c>
      <c r="B1801" s="312" t="s">
        <v>793</v>
      </c>
      <c r="C1801" s="312" t="s">
        <v>105</v>
      </c>
      <c r="D1801" s="312" t="s">
        <v>352</v>
      </c>
      <c r="E1801" s="312" t="s">
        <v>107</v>
      </c>
      <c r="F1801" s="312">
        <v>1825</v>
      </c>
      <c r="G1801" s="312" t="s">
        <v>108</v>
      </c>
      <c r="H1801" s="312">
        <v>1827</v>
      </c>
      <c r="I1801" s="312" t="s">
        <v>107</v>
      </c>
      <c r="J1801" s="312">
        <v>1913</v>
      </c>
      <c r="K1801" s="312" t="s">
        <v>109</v>
      </c>
    </row>
    <row r="1802" spans="1:11">
      <c r="A1802" s="312" t="s">
        <v>986</v>
      </c>
      <c r="B1802" s="312" t="s">
        <v>987</v>
      </c>
      <c r="C1802" s="312" t="s">
        <v>105</v>
      </c>
      <c r="D1802" s="312" t="s">
        <v>352</v>
      </c>
      <c r="E1802" s="312" t="s">
        <v>107</v>
      </c>
      <c r="F1802" s="312">
        <v>1825</v>
      </c>
      <c r="G1802" s="312" t="s">
        <v>108</v>
      </c>
      <c r="H1802" s="312">
        <v>1827</v>
      </c>
      <c r="I1802" s="312" t="s">
        <v>107</v>
      </c>
      <c r="J1802" s="312">
        <v>1913</v>
      </c>
      <c r="K1802" s="312" t="s">
        <v>109</v>
      </c>
    </row>
    <row r="1803" spans="1:11">
      <c r="A1803" s="312" t="s">
        <v>988</v>
      </c>
      <c r="B1803" s="312" t="s">
        <v>989</v>
      </c>
      <c r="C1803" s="312" t="s">
        <v>105</v>
      </c>
      <c r="D1803" s="312" t="s">
        <v>352</v>
      </c>
      <c r="E1803" s="312" t="s">
        <v>107</v>
      </c>
      <c r="F1803" s="312">
        <v>1825</v>
      </c>
      <c r="G1803" s="312" t="s">
        <v>108</v>
      </c>
      <c r="H1803" s="312">
        <v>1827</v>
      </c>
      <c r="I1803" s="312" t="s">
        <v>107</v>
      </c>
      <c r="J1803" s="312">
        <v>1913</v>
      </c>
      <c r="K1803" s="312" t="s">
        <v>109</v>
      </c>
    </row>
    <row r="1804" spans="1:11">
      <c r="A1804" s="312" t="s">
        <v>990</v>
      </c>
      <c r="B1804" s="312" t="s">
        <v>991</v>
      </c>
      <c r="C1804" s="312" t="s">
        <v>105</v>
      </c>
      <c r="D1804" s="312" t="s">
        <v>352</v>
      </c>
      <c r="E1804" s="312" t="s">
        <v>107</v>
      </c>
      <c r="F1804" s="312">
        <v>1825</v>
      </c>
      <c r="G1804" s="312" t="s">
        <v>108</v>
      </c>
      <c r="H1804" s="312">
        <v>1827</v>
      </c>
      <c r="I1804" s="312" t="s">
        <v>107</v>
      </c>
      <c r="J1804" s="312">
        <v>1913</v>
      </c>
      <c r="K1804" s="312" t="s">
        <v>109</v>
      </c>
    </row>
    <row r="1805" spans="1:11">
      <c r="A1805" s="312" t="s">
        <v>992</v>
      </c>
      <c r="B1805" s="312" t="s">
        <v>993</v>
      </c>
      <c r="C1805" s="312" t="s">
        <v>105</v>
      </c>
      <c r="D1805" s="312" t="s">
        <v>352</v>
      </c>
      <c r="E1805" s="312" t="s">
        <v>107</v>
      </c>
      <c r="F1805" s="312">
        <v>1825</v>
      </c>
      <c r="G1805" s="312" t="s">
        <v>108</v>
      </c>
      <c r="H1805" s="312">
        <v>1827</v>
      </c>
      <c r="I1805" s="312" t="s">
        <v>107</v>
      </c>
      <c r="J1805" s="312">
        <v>1913</v>
      </c>
      <c r="K1805" s="312" t="s">
        <v>109</v>
      </c>
    </row>
    <row r="1806" spans="1:11">
      <c r="A1806" s="312" t="s">
        <v>994</v>
      </c>
      <c r="B1806" s="312" t="s">
        <v>995</v>
      </c>
      <c r="C1806" s="312" t="s">
        <v>105</v>
      </c>
      <c r="D1806" s="312" t="s">
        <v>352</v>
      </c>
      <c r="E1806" s="312" t="s">
        <v>107</v>
      </c>
      <c r="F1806" s="312">
        <v>1825</v>
      </c>
      <c r="G1806" s="312" t="s">
        <v>108</v>
      </c>
      <c r="H1806" s="312">
        <v>1827</v>
      </c>
      <c r="I1806" s="312" t="s">
        <v>107</v>
      </c>
      <c r="J1806" s="312">
        <v>1913</v>
      </c>
      <c r="K1806" s="312" t="s">
        <v>109</v>
      </c>
    </row>
    <row r="1807" spans="1:11">
      <c r="A1807" s="312" t="s">
        <v>996</v>
      </c>
      <c r="B1807" s="312" t="s">
        <v>997</v>
      </c>
      <c r="C1807" s="312" t="s">
        <v>105</v>
      </c>
      <c r="D1807" s="312" t="s">
        <v>352</v>
      </c>
      <c r="E1807" s="312" t="s">
        <v>107</v>
      </c>
      <c r="F1807" s="312">
        <v>1825</v>
      </c>
      <c r="G1807" s="312" t="s">
        <v>108</v>
      </c>
      <c r="H1807" s="312">
        <v>1827</v>
      </c>
      <c r="I1807" s="312" t="s">
        <v>107</v>
      </c>
      <c r="J1807" s="312">
        <v>1913</v>
      </c>
      <c r="K1807" s="312" t="s">
        <v>109</v>
      </c>
    </row>
    <row r="1808" spans="1:11">
      <c r="A1808" s="312" t="s">
        <v>998</v>
      </c>
      <c r="B1808" s="312" t="s">
        <v>999</v>
      </c>
      <c r="C1808" s="312" t="s">
        <v>105</v>
      </c>
      <c r="D1808" s="312" t="s">
        <v>352</v>
      </c>
      <c r="E1808" s="312" t="s">
        <v>107</v>
      </c>
      <c r="F1808" s="312">
        <v>1825</v>
      </c>
      <c r="G1808" s="312" t="s">
        <v>108</v>
      </c>
      <c r="H1808" s="312">
        <v>1827</v>
      </c>
      <c r="I1808" s="312" t="s">
        <v>107</v>
      </c>
      <c r="J1808" s="312">
        <v>1913</v>
      </c>
      <c r="K1808" s="312" t="s">
        <v>109</v>
      </c>
    </row>
    <row r="1809" spans="1:11">
      <c r="A1809" s="312" t="s">
        <v>1000</v>
      </c>
      <c r="B1809" s="312" t="s">
        <v>1001</v>
      </c>
      <c r="C1809" s="312" t="s">
        <v>105</v>
      </c>
      <c r="D1809" s="312" t="s">
        <v>352</v>
      </c>
      <c r="E1809" s="312" t="s">
        <v>107</v>
      </c>
      <c r="F1809" s="312">
        <v>1825</v>
      </c>
      <c r="G1809" s="312" t="s">
        <v>108</v>
      </c>
      <c r="H1809" s="312">
        <v>1827</v>
      </c>
      <c r="I1809" s="312" t="s">
        <v>107</v>
      </c>
      <c r="J1809" s="312">
        <v>1913</v>
      </c>
      <c r="K1809" s="312" t="s">
        <v>109</v>
      </c>
    </row>
    <row r="1810" spans="1:11">
      <c r="A1810" s="312" t="s">
        <v>1002</v>
      </c>
      <c r="B1810" s="312" t="s">
        <v>1003</v>
      </c>
      <c r="C1810" s="312" t="s">
        <v>105</v>
      </c>
      <c r="D1810" s="312" t="s">
        <v>352</v>
      </c>
      <c r="E1810" s="312" t="s">
        <v>107</v>
      </c>
      <c r="F1810" s="312">
        <v>1825</v>
      </c>
      <c r="G1810" s="312" t="s">
        <v>108</v>
      </c>
      <c r="H1810" s="312">
        <v>1827</v>
      </c>
      <c r="I1810" s="312" t="s">
        <v>107</v>
      </c>
      <c r="J1810" s="312">
        <v>1913</v>
      </c>
      <c r="K1810" s="312" t="s">
        <v>109</v>
      </c>
    </row>
    <row r="1811" spans="1:11">
      <c r="A1811" s="312" t="s">
        <v>1004</v>
      </c>
      <c r="B1811" s="312" t="s">
        <v>1005</v>
      </c>
      <c r="C1811" s="312" t="s">
        <v>105</v>
      </c>
      <c r="D1811" s="312" t="s">
        <v>352</v>
      </c>
      <c r="E1811" s="312" t="s">
        <v>107</v>
      </c>
      <c r="F1811" s="312">
        <v>1825</v>
      </c>
      <c r="G1811" s="312" t="s">
        <v>108</v>
      </c>
      <c r="H1811" s="312">
        <v>1827</v>
      </c>
      <c r="I1811" s="312" t="s">
        <v>107</v>
      </c>
      <c r="J1811" s="312">
        <v>1913</v>
      </c>
      <c r="K1811" s="312" t="s">
        <v>109</v>
      </c>
    </row>
    <row r="1812" spans="1:11">
      <c r="A1812" s="312" t="s">
        <v>1006</v>
      </c>
      <c r="B1812" s="312" t="s">
        <v>1007</v>
      </c>
      <c r="C1812" s="312" t="s">
        <v>105</v>
      </c>
      <c r="D1812" s="312" t="s">
        <v>352</v>
      </c>
      <c r="E1812" s="312" t="s">
        <v>107</v>
      </c>
      <c r="F1812" s="312">
        <v>1825</v>
      </c>
      <c r="G1812" s="312" t="s">
        <v>108</v>
      </c>
      <c r="H1812" s="312">
        <v>1827</v>
      </c>
      <c r="I1812" s="312" t="s">
        <v>107</v>
      </c>
      <c r="J1812" s="312">
        <v>1913</v>
      </c>
      <c r="K1812" s="312" t="s">
        <v>109</v>
      </c>
    </row>
    <row r="1813" spans="1:11">
      <c r="A1813" s="312" t="s">
        <v>1008</v>
      </c>
      <c r="B1813" s="312" t="s">
        <v>1009</v>
      </c>
      <c r="C1813" s="312" t="s">
        <v>105</v>
      </c>
      <c r="D1813" s="312" t="s">
        <v>352</v>
      </c>
      <c r="E1813" s="312" t="s">
        <v>107</v>
      </c>
      <c r="F1813" s="312">
        <v>1825</v>
      </c>
      <c r="G1813" s="312" t="s">
        <v>108</v>
      </c>
      <c r="H1813" s="312">
        <v>1827</v>
      </c>
      <c r="I1813" s="312" t="s">
        <v>107</v>
      </c>
      <c r="J1813" s="312">
        <v>1913</v>
      </c>
      <c r="K1813" s="312" t="s">
        <v>109</v>
      </c>
    </row>
    <row r="1814" spans="1:11">
      <c r="A1814" s="4" t="s">
        <v>1207</v>
      </c>
      <c r="B1814" s="312" t="s">
        <v>1208</v>
      </c>
      <c r="C1814" s="312" t="s">
        <v>105</v>
      </c>
      <c r="D1814" s="312" t="s">
        <v>352</v>
      </c>
      <c r="E1814" s="312" t="s">
        <v>107</v>
      </c>
      <c r="F1814" s="312">
        <v>1825</v>
      </c>
      <c r="G1814" s="312" t="s">
        <v>108</v>
      </c>
      <c r="H1814" s="312">
        <v>1827</v>
      </c>
      <c r="I1814" s="312" t="s">
        <v>107</v>
      </c>
      <c r="J1814" s="312">
        <v>1913</v>
      </c>
      <c r="K1814" s="312" t="s">
        <v>109</v>
      </c>
    </row>
    <row r="1815" spans="1:11">
      <c r="A1815" s="4" t="s">
        <v>1209</v>
      </c>
      <c r="B1815" s="312" t="s">
        <v>1210</v>
      </c>
      <c r="C1815" s="312" t="s">
        <v>105</v>
      </c>
      <c r="D1815" s="312" t="s">
        <v>352</v>
      </c>
      <c r="E1815" s="312" t="s">
        <v>107</v>
      </c>
      <c r="F1815" s="312">
        <v>1825</v>
      </c>
      <c r="G1815" s="312" t="s">
        <v>108</v>
      </c>
      <c r="H1815" s="312">
        <v>1827</v>
      </c>
      <c r="I1815" s="312" t="s">
        <v>107</v>
      </c>
      <c r="J1815" s="312">
        <v>1913</v>
      </c>
      <c r="K1815" s="312" t="s">
        <v>109</v>
      </c>
    </row>
    <row r="1816" spans="1:11">
      <c r="A1816" s="4" t="s">
        <v>1211</v>
      </c>
      <c r="B1816" s="1" t="s">
        <v>1212</v>
      </c>
      <c r="C1816" s="312" t="s">
        <v>105</v>
      </c>
      <c r="D1816" s="312" t="s">
        <v>352</v>
      </c>
      <c r="E1816" s="312" t="s">
        <v>107</v>
      </c>
      <c r="F1816" s="312">
        <v>1825</v>
      </c>
      <c r="G1816" s="312" t="s">
        <v>108</v>
      </c>
      <c r="H1816" s="312">
        <v>1827</v>
      </c>
      <c r="I1816" s="312" t="s">
        <v>107</v>
      </c>
      <c r="J1816" s="312">
        <v>1913</v>
      </c>
      <c r="K1816" s="312" t="s">
        <v>109</v>
      </c>
    </row>
    <row r="1817" spans="1:11">
      <c r="A1817" s="4" t="s">
        <v>1213</v>
      </c>
      <c r="B1817" s="312" t="s">
        <v>1214</v>
      </c>
      <c r="C1817" s="312" t="s">
        <v>105</v>
      </c>
      <c r="D1817" s="312" t="s">
        <v>352</v>
      </c>
      <c r="E1817" s="312" t="s">
        <v>107</v>
      </c>
      <c r="F1817" s="312">
        <v>1825</v>
      </c>
      <c r="G1817" s="312" t="s">
        <v>108</v>
      </c>
      <c r="H1817" s="312">
        <v>1827</v>
      </c>
      <c r="I1817" s="312" t="s">
        <v>107</v>
      </c>
      <c r="J1817" s="312">
        <v>1913</v>
      </c>
      <c r="K1817" s="312" t="s">
        <v>109</v>
      </c>
    </row>
    <row r="1818" spans="1:11">
      <c r="A1818" s="4" t="s">
        <v>1215</v>
      </c>
      <c r="B1818" s="312" t="s">
        <v>1216</v>
      </c>
      <c r="C1818" s="312" t="s">
        <v>105</v>
      </c>
      <c r="D1818" s="312" t="s">
        <v>352</v>
      </c>
      <c r="E1818" s="312" t="s">
        <v>107</v>
      </c>
      <c r="F1818" s="312">
        <v>1825</v>
      </c>
      <c r="G1818" s="312" t="s">
        <v>108</v>
      </c>
      <c r="H1818" s="312">
        <v>1827</v>
      </c>
      <c r="I1818" s="312" t="s">
        <v>107</v>
      </c>
      <c r="J1818" s="312">
        <v>1913</v>
      </c>
      <c r="K1818" s="312" t="s">
        <v>109</v>
      </c>
    </row>
    <row r="1819" spans="1:11">
      <c r="A1819" s="4" t="s">
        <v>1217</v>
      </c>
      <c r="B1819" s="312" t="s">
        <v>1218</v>
      </c>
      <c r="C1819" s="312" t="s">
        <v>105</v>
      </c>
      <c r="D1819" s="312" t="s">
        <v>352</v>
      </c>
      <c r="E1819" s="312" t="s">
        <v>107</v>
      </c>
      <c r="F1819" s="312">
        <v>1825</v>
      </c>
      <c r="G1819" s="312" t="s">
        <v>108</v>
      </c>
      <c r="H1819" s="312">
        <v>1827</v>
      </c>
      <c r="I1819" s="312" t="s">
        <v>107</v>
      </c>
      <c r="J1819" s="312">
        <v>1913</v>
      </c>
      <c r="K1819" s="312" t="s">
        <v>109</v>
      </c>
    </row>
    <row r="1820" spans="1:11">
      <c r="A1820" s="4" t="s">
        <v>1219</v>
      </c>
      <c r="B1820" s="312" t="s">
        <v>1220</v>
      </c>
      <c r="C1820" s="312" t="s">
        <v>105</v>
      </c>
      <c r="D1820" s="312" t="s">
        <v>352</v>
      </c>
      <c r="E1820" s="312" t="s">
        <v>107</v>
      </c>
      <c r="F1820" s="312">
        <v>1825</v>
      </c>
      <c r="G1820" s="312" t="s">
        <v>108</v>
      </c>
      <c r="H1820" s="312">
        <v>1827</v>
      </c>
      <c r="I1820" s="312" t="s">
        <v>107</v>
      </c>
      <c r="J1820" s="312">
        <v>1913</v>
      </c>
      <c r="K1820" s="312" t="s">
        <v>109</v>
      </c>
    </row>
    <row r="1821" spans="1:11">
      <c r="A1821" s="4" t="s">
        <v>1221</v>
      </c>
      <c r="B1821" s="312" t="s">
        <v>1222</v>
      </c>
      <c r="C1821" s="312" t="s">
        <v>105</v>
      </c>
      <c r="D1821" s="312" t="s">
        <v>352</v>
      </c>
      <c r="E1821" s="312" t="s">
        <v>107</v>
      </c>
      <c r="F1821" s="312">
        <v>1825</v>
      </c>
      <c r="G1821" s="312" t="s">
        <v>108</v>
      </c>
      <c r="H1821" s="312">
        <v>1827</v>
      </c>
      <c r="I1821" s="312" t="s">
        <v>107</v>
      </c>
      <c r="J1821" s="312">
        <v>1913</v>
      </c>
      <c r="K1821" s="312" t="s">
        <v>109</v>
      </c>
    </row>
    <row r="1822" spans="1:11">
      <c r="A1822" s="4" t="s">
        <v>1223</v>
      </c>
      <c r="B1822" s="312" t="s">
        <v>1224</v>
      </c>
      <c r="C1822" s="312" t="s">
        <v>105</v>
      </c>
      <c r="D1822" s="312" t="s">
        <v>352</v>
      </c>
      <c r="E1822" s="312" t="s">
        <v>107</v>
      </c>
      <c r="F1822" s="312">
        <v>1825</v>
      </c>
      <c r="G1822" s="312" t="s">
        <v>108</v>
      </c>
      <c r="H1822" s="312">
        <v>1827</v>
      </c>
      <c r="I1822" s="312" t="s">
        <v>107</v>
      </c>
      <c r="J1822" s="312">
        <v>1913</v>
      </c>
      <c r="K1822" s="312" t="s">
        <v>109</v>
      </c>
    </row>
    <row r="1823" spans="1:11">
      <c r="A1823" s="4" t="s">
        <v>1225</v>
      </c>
      <c r="B1823" s="312" t="s">
        <v>1226</v>
      </c>
      <c r="C1823" s="312" t="s">
        <v>105</v>
      </c>
      <c r="D1823" s="312" t="s">
        <v>352</v>
      </c>
      <c r="E1823" s="312" t="s">
        <v>107</v>
      </c>
      <c r="F1823" s="312">
        <v>1825</v>
      </c>
      <c r="G1823" s="312" t="s">
        <v>108</v>
      </c>
      <c r="H1823" s="312">
        <v>1827</v>
      </c>
      <c r="I1823" s="312" t="s">
        <v>107</v>
      </c>
      <c r="J1823" s="312">
        <v>1913</v>
      </c>
      <c r="K1823" s="312" t="s">
        <v>109</v>
      </c>
    </row>
    <row r="1824" spans="1:11">
      <c r="A1824" s="4" t="s">
        <v>1227</v>
      </c>
      <c r="B1824" s="1" t="s">
        <v>1228</v>
      </c>
      <c r="C1824" s="312" t="s">
        <v>105</v>
      </c>
      <c r="D1824" s="312" t="s">
        <v>352</v>
      </c>
      <c r="E1824" s="312" t="s">
        <v>107</v>
      </c>
      <c r="F1824" s="312">
        <v>1825</v>
      </c>
      <c r="G1824" s="312" t="s">
        <v>108</v>
      </c>
      <c r="H1824" s="312">
        <v>1827</v>
      </c>
      <c r="I1824" s="312" t="s">
        <v>107</v>
      </c>
      <c r="J1824" s="312">
        <v>1913</v>
      </c>
      <c r="K1824" s="312" t="s">
        <v>109</v>
      </c>
    </row>
    <row r="1825" spans="1:11">
      <c r="A1825" s="4" t="s">
        <v>1229</v>
      </c>
      <c r="B1825" s="312" t="s">
        <v>1230</v>
      </c>
      <c r="C1825" s="312" t="s">
        <v>105</v>
      </c>
      <c r="D1825" s="312" t="s">
        <v>352</v>
      </c>
      <c r="E1825" s="312" t="s">
        <v>107</v>
      </c>
      <c r="F1825" s="312">
        <v>1825</v>
      </c>
      <c r="G1825" s="312" t="s">
        <v>108</v>
      </c>
      <c r="H1825" s="312">
        <v>1827</v>
      </c>
      <c r="I1825" s="312" t="s">
        <v>107</v>
      </c>
      <c r="J1825" s="312">
        <v>1913</v>
      </c>
      <c r="K1825" s="312" t="s">
        <v>109</v>
      </c>
    </row>
    <row r="1826" spans="1:11">
      <c r="A1826" s="312" t="s">
        <v>1394</v>
      </c>
      <c r="B1826" s="312" t="s">
        <v>1395</v>
      </c>
      <c r="C1826" s="312" t="s">
        <v>105</v>
      </c>
      <c r="D1826" s="312" t="s">
        <v>352</v>
      </c>
      <c r="E1826" s="312" t="s">
        <v>107</v>
      </c>
      <c r="F1826" s="312">
        <v>1825</v>
      </c>
      <c r="G1826" s="312" t="s">
        <v>108</v>
      </c>
      <c r="H1826" s="312">
        <v>1827</v>
      </c>
      <c r="I1826" s="312" t="s">
        <v>107</v>
      </c>
      <c r="J1826" s="312">
        <v>1913</v>
      </c>
      <c r="K1826" s="312" t="s">
        <v>109</v>
      </c>
    </row>
    <row r="1827" spans="1:11">
      <c r="A1827" s="312" t="s">
        <v>1396</v>
      </c>
      <c r="B1827" s="312" t="s">
        <v>1397</v>
      </c>
      <c r="C1827" s="312" t="s">
        <v>105</v>
      </c>
      <c r="D1827" s="312" t="s">
        <v>352</v>
      </c>
      <c r="E1827" s="312" t="s">
        <v>107</v>
      </c>
      <c r="F1827" s="312">
        <v>1825</v>
      </c>
      <c r="G1827" s="312" t="s">
        <v>108</v>
      </c>
      <c r="H1827" s="312">
        <v>1827</v>
      </c>
      <c r="I1827" s="312" t="s">
        <v>107</v>
      </c>
      <c r="J1827" s="312">
        <v>1913</v>
      </c>
      <c r="K1827" s="312" t="s">
        <v>109</v>
      </c>
    </row>
    <row r="1828" spans="1:11">
      <c r="A1828" s="312" t="s">
        <v>1521</v>
      </c>
      <c r="B1828" s="312" t="s">
        <v>1522</v>
      </c>
      <c r="C1828" s="312" t="s">
        <v>105</v>
      </c>
      <c r="D1828" s="312" t="s">
        <v>352</v>
      </c>
      <c r="E1828" s="312" t="s">
        <v>466</v>
      </c>
      <c r="F1828" s="312">
        <v>1796</v>
      </c>
      <c r="G1828" s="312" t="s">
        <v>467</v>
      </c>
      <c r="H1828" s="312">
        <v>1799</v>
      </c>
      <c r="I1828" s="312" t="s">
        <v>466</v>
      </c>
      <c r="J1828" s="312">
        <v>1918</v>
      </c>
      <c r="K1828" s="312" t="s">
        <v>468</v>
      </c>
    </row>
    <row r="1829" spans="1:11">
      <c r="A1829" s="312" t="s">
        <v>1786</v>
      </c>
      <c r="B1829" s="312" t="s">
        <v>1787</v>
      </c>
      <c r="C1829" s="312" t="s">
        <v>105</v>
      </c>
      <c r="D1829" s="312" t="s">
        <v>352</v>
      </c>
      <c r="E1829" s="312" t="s">
        <v>466</v>
      </c>
      <c r="F1829" s="312">
        <v>1796</v>
      </c>
      <c r="G1829" s="312" t="s">
        <v>467</v>
      </c>
      <c r="H1829" s="312">
        <v>1799</v>
      </c>
      <c r="I1829" s="312" t="s">
        <v>466</v>
      </c>
      <c r="J1829" s="312">
        <v>1918</v>
      </c>
      <c r="K1829" s="312" t="s">
        <v>468</v>
      </c>
    </row>
    <row r="1830" spans="1:11">
      <c r="A1830" s="312" t="s">
        <v>2384</v>
      </c>
      <c r="B1830" s="312" t="s">
        <v>2385</v>
      </c>
      <c r="C1830" s="312" t="s">
        <v>105</v>
      </c>
      <c r="D1830" s="312" t="s">
        <v>352</v>
      </c>
      <c r="E1830" s="312" t="s">
        <v>466</v>
      </c>
      <c r="F1830" s="312">
        <v>1796</v>
      </c>
      <c r="G1830" s="312" t="s">
        <v>467</v>
      </c>
      <c r="H1830" s="312">
        <v>1799</v>
      </c>
      <c r="I1830" s="312" t="s">
        <v>466</v>
      </c>
      <c r="J1830" s="312">
        <v>1918</v>
      </c>
      <c r="K1830" s="312" t="s">
        <v>468</v>
      </c>
    </row>
    <row r="1831" spans="1:11">
      <c r="A1831" s="312" t="s">
        <v>2884</v>
      </c>
      <c r="B1831" s="312" t="s">
        <v>2885</v>
      </c>
      <c r="C1831" s="312" t="s">
        <v>105</v>
      </c>
      <c r="D1831" s="312" t="s">
        <v>352</v>
      </c>
      <c r="E1831" s="312" t="s">
        <v>886</v>
      </c>
      <c r="F1831" s="312">
        <v>1857</v>
      </c>
      <c r="G1831" s="312" t="s">
        <v>887</v>
      </c>
      <c r="H1831" s="312">
        <v>1858</v>
      </c>
      <c r="I1831" s="312" t="s">
        <v>886</v>
      </c>
      <c r="J1831" s="312">
        <v>1924</v>
      </c>
      <c r="K1831" s="312" t="s">
        <v>888</v>
      </c>
    </row>
    <row r="1832" spans="1:11">
      <c r="A1832" s="312" t="s">
        <v>2886</v>
      </c>
      <c r="B1832" s="312" t="s">
        <v>2887</v>
      </c>
      <c r="C1832" s="312" t="s">
        <v>105</v>
      </c>
      <c r="D1832" s="312" t="s">
        <v>352</v>
      </c>
      <c r="E1832" s="312" t="s">
        <v>886</v>
      </c>
      <c r="F1832" s="312">
        <v>1857</v>
      </c>
      <c r="G1832" s="312" t="s">
        <v>887</v>
      </c>
      <c r="H1832" s="312">
        <v>1858</v>
      </c>
      <c r="I1832" s="312" t="s">
        <v>886</v>
      </c>
      <c r="J1832" s="312">
        <v>1924</v>
      </c>
      <c r="K1832" s="312" t="s">
        <v>888</v>
      </c>
    </row>
    <row r="1833" spans="1:11">
      <c r="A1833" s="312" t="s">
        <v>2888</v>
      </c>
      <c r="B1833" s="312" t="s">
        <v>2889</v>
      </c>
      <c r="C1833" s="312" t="s">
        <v>105</v>
      </c>
      <c r="D1833" s="312" t="s">
        <v>352</v>
      </c>
      <c r="E1833" s="312" t="s">
        <v>886</v>
      </c>
      <c r="F1833" s="312">
        <v>1857</v>
      </c>
      <c r="G1833" s="312" t="s">
        <v>887</v>
      </c>
      <c r="H1833" s="312">
        <v>1858</v>
      </c>
      <c r="I1833" s="312" t="s">
        <v>886</v>
      </c>
      <c r="J1833" s="312">
        <v>1924</v>
      </c>
      <c r="K1833" s="312" t="s">
        <v>888</v>
      </c>
    </row>
    <row r="1834" spans="1:11">
      <c r="A1834" s="312" t="s">
        <v>2890</v>
      </c>
      <c r="B1834" s="312" t="s">
        <v>2891</v>
      </c>
      <c r="C1834" s="312" t="s">
        <v>105</v>
      </c>
      <c r="D1834" s="312" t="s">
        <v>352</v>
      </c>
      <c r="E1834" s="312" t="s">
        <v>886</v>
      </c>
      <c r="F1834" s="312">
        <v>1857</v>
      </c>
      <c r="G1834" s="312" t="s">
        <v>887</v>
      </c>
      <c r="H1834" s="312">
        <v>1858</v>
      </c>
      <c r="I1834" s="312" t="s">
        <v>886</v>
      </c>
      <c r="J1834" s="312">
        <v>1924</v>
      </c>
      <c r="K1834" s="312" t="s">
        <v>888</v>
      </c>
    </row>
    <row r="1835" spans="1:11">
      <c r="A1835" s="312" t="s">
        <v>2892</v>
      </c>
      <c r="B1835" s="312" t="s">
        <v>2893</v>
      </c>
      <c r="C1835" s="312" t="s">
        <v>105</v>
      </c>
      <c r="D1835" s="312" t="s">
        <v>352</v>
      </c>
      <c r="E1835" s="312" t="s">
        <v>886</v>
      </c>
      <c r="F1835" s="312">
        <v>1857</v>
      </c>
      <c r="G1835" s="312" t="s">
        <v>887</v>
      </c>
      <c r="H1835" s="312">
        <v>1858</v>
      </c>
      <c r="I1835" s="312" t="s">
        <v>886</v>
      </c>
      <c r="J1835" s="312">
        <v>1924</v>
      </c>
      <c r="K1835" s="312" t="s">
        <v>888</v>
      </c>
    </row>
    <row r="1836" spans="1:11">
      <c r="A1836" s="312" t="s">
        <v>2894</v>
      </c>
      <c r="B1836" s="312" t="s">
        <v>2895</v>
      </c>
      <c r="C1836" s="312" t="s">
        <v>105</v>
      </c>
      <c r="D1836" s="312" t="s">
        <v>352</v>
      </c>
      <c r="E1836" s="312" t="s">
        <v>886</v>
      </c>
      <c r="F1836" s="312">
        <v>1857</v>
      </c>
      <c r="G1836" s="312" t="s">
        <v>887</v>
      </c>
      <c r="H1836" s="312">
        <v>1858</v>
      </c>
      <c r="I1836" s="312" t="s">
        <v>886</v>
      </c>
      <c r="J1836" s="312">
        <v>1924</v>
      </c>
      <c r="K1836" s="312" t="s">
        <v>888</v>
      </c>
    </row>
    <row r="1837" spans="1:11">
      <c r="A1837" s="312" t="s">
        <v>2896</v>
      </c>
      <c r="B1837" s="312" t="s">
        <v>2897</v>
      </c>
      <c r="C1837" s="312" t="s">
        <v>105</v>
      </c>
      <c r="D1837" s="312" t="s">
        <v>352</v>
      </c>
      <c r="E1837" s="312" t="s">
        <v>886</v>
      </c>
      <c r="F1837" s="312">
        <v>1857</v>
      </c>
      <c r="G1837" s="312" t="s">
        <v>887</v>
      </c>
      <c r="H1837" s="312">
        <v>1858</v>
      </c>
      <c r="I1837" s="312" t="s">
        <v>886</v>
      </c>
      <c r="J1837" s="312">
        <v>1924</v>
      </c>
      <c r="K1837" s="312" t="s">
        <v>888</v>
      </c>
    </row>
    <row r="1838" spans="1:11">
      <c r="A1838" s="312" t="s">
        <v>2898</v>
      </c>
      <c r="B1838" s="312" t="s">
        <v>2899</v>
      </c>
      <c r="C1838" s="312" t="s">
        <v>105</v>
      </c>
      <c r="D1838" s="312" t="s">
        <v>352</v>
      </c>
      <c r="E1838" s="312" t="s">
        <v>886</v>
      </c>
      <c r="F1838" s="312">
        <v>1857</v>
      </c>
      <c r="G1838" s="312" t="s">
        <v>887</v>
      </c>
      <c r="H1838" s="312">
        <v>1858</v>
      </c>
      <c r="I1838" s="312" t="s">
        <v>886</v>
      </c>
      <c r="J1838" s="312">
        <v>1924</v>
      </c>
      <c r="K1838" s="312" t="s">
        <v>888</v>
      </c>
    </row>
    <row r="1839" spans="1:11">
      <c r="A1839" s="312" t="s">
        <v>2900</v>
      </c>
      <c r="B1839" s="312" t="s">
        <v>2901</v>
      </c>
      <c r="C1839" s="312" t="s">
        <v>105</v>
      </c>
      <c r="D1839" s="312" t="s">
        <v>352</v>
      </c>
      <c r="E1839" s="312" t="s">
        <v>886</v>
      </c>
      <c r="F1839" s="312">
        <v>1857</v>
      </c>
      <c r="G1839" s="312" t="s">
        <v>887</v>
      </c>
      <c r="H1839" s="312">
        <v>1858</v>
      </c>
      <c r="I1839" s="312" t="s">
        <v>886</v>
      </c>
      <c r="J1839" s="312">
        <v>1924</v>
      </c>
      <c r="K1839" s="312" t="s">
        <v>888</v>
      </c>
    </row>
    <row r="1840" spans="1:11">
      <c r="A1840" s="312" t="s">
        <v>2902</v>
      </c>
      <c r="B1840" s="312" t="s">
        <v>2903</v>
      </c>
      <c r="C1840" s="312" t="s">
        <v>105</v>
      </c>
      <c r="D1840" s="312" t="s">
        <v>352</v>
      </c>
      <c r="E1840" s="312" t="s">
        <v>886</v>
      </c>
      <c r="F1840" s="312">
        <v>1857</v>
      </c>
      <c r="G1840" s="312" t="s">
        <v>887</v>
      </c>
      <c r="H1840" s="312">
        <v>1858</v>
      </c>
      <c r="I1840" s="312" t="s">
        <v>886</v>
      </c>
      <c r="J1840" s="312">
        <v>1924</v>
      </c>
      <c r="K1840" s="312" t="s">
        <v>888</v>
      </c>
    </row>
    <row r="1841" spans="1:11">
      <c r="A1841" s="312" t="s">
        <v>2904</v>
      </c>
      <c r="B1841" s="312" t="s">
        <v>2905</v>
      </c>
      <c r="C1841" s="312" t="s">
        <v>105</v>
      </c>
      <c r="D1841" s="312" t="s">
        <v>352</v>
      </c>
      <c r="E1841" s="312" t="s">
        <v>886</v>
      </c>
      <c r="F1841" s="312">
        <v>1857</v>
      </c>
      <c r="G1841" s="312" t="s">
        <v>887</v>
      </c>
      <c r="H1841" s="312">
        <v>1858</v>
      </c>
      <c r="I1841" s="312" t="s">
        <v>886</v>
      </c>
      <c r="J1841" s="312">
        <v>1924</v>
      </c>
      <c r="K1841" s="312" t="s">
        <v>888</v>
      </c>
    </row>
    <row r="1842" spans="1:11">
      <c r="A1842" s="312" t="s">
        <v>2906</v>
      </c>
      <c r="B1842" s="312" t="s">
        <v>2907</v>
      </c>
      <c r="C1842" s="312" t="s">
        <v>105</v>
      </c>
      <c r="D1842" s="312" t="s">
        <v>352</v>
      </c>
      <c r="E1842" s="312" t="s">
        <v>886</v>
      </c>
      <c r="F1842" s="312">
        <v>1857</v>
      </c>
      <c r="G1842" s="312" t="s">
        <v>887</v>
      </c>
      <c r="H1842" s="312">
        <v>1858</v>
      </c>
      <c r="I1842" s="312" t="s">
        <v>886</v>
      </c>
      <c r="J1842" s="312">
        <v>1924</v>
      </c>
      <c r="K1842" s="312" t="s">
        <v>888</v>
      </c>
    </row>
    <row r="1843" spans="1:11">
      <c r="A1843" s="312" t="s">
        <v>2908</v>
      </c>
      <c r="B1843" s="312" t="s">
        <v>2909</v>
      </c>
      <c r="C1843" s="312" t="s">
        <v>105</v>
      </c>
      <c r="D1843" s="312" t="s">
        <v>352</v>
      </c>
      <c r="E1843" s="312" t="s">
        <v>886</v>
      </c>
      <c r="F1843" s="312">
        <v>1857</v>
      </c>
      <c r="G1843" s="312" t="s">
        <v>887</v>
      </c>
      <c r="H1843" s="312">
        <v>1858</v>
      </c>
      <c r="I1843" s="312" t="s">
        <v>886</v>
      </c>
      <c r="J1843" s="312">
        <v>1924</v>
      </c>
      <c r="K1843" s="312" t="s">
        <v>888</v>
      </c>
    </row>
    <row r="1844" spans="1:11">
      <c r="A1844" s="312" t="s">
        <v>2910</v>
      </c>
      <c r="B1844" s="312" t="s">
        <v>2911</v>
      </c>
      <c r="C1844" s="312" t="s">
        <v>105</v>
      </c>
      <c r="D1844" s="312" t="s">
        <v>352</v>
      </c>
      <c r="E1844" s="312" t="s">
        <v>886</v>
      </c>
      <c r="F1844" s="312">
        <v>1857</v>
      </c>
      <c r="G1844" s="312" t="s">
        <v>887</v>
      </c>
      <c r="H1844" s="312">
        <v>1858</v>
      </c>
      <c r="I1844" s="312" t="s">
        <v>886</v>
      </c>
      <c r="J1844" s="312">
        <v>1924</v>
      </c>
      <c r="K1844" s="312" t="s">
        <v>888</v>
      </c>
    </row>
    <row r="1845" spans="1:11">
      <c r="A1845" s="312" t="s">
        <v>4299</v>
      </c>
      <c r="B1845" s="312" t="s">
        <v>4300</v>
      </c>
      <c r="C1845" s="312" t="s">
        <v>105</v>
      </c>
      <c r="D1845" s="312" t="s">
        <v>352</v>
      </c>
      <c r="E1845" s="312" t="s">
        <v>466</v>
      </c>
      <c r="F1845" s="312">
        <v>1796</v>
      </c>
      <c r="G1845" s="312" t="s">
        <v>467</v>
      </c>
      <c r="H1845" s="312">
        <v>1799</v>
      </c>
      <c r="I1845" s="312" t="s">
        <v>466</v>
      </c>
      <c r="J1845" s="312">
        <v>1918</v>
      </c>
      <c r="K1845" s="312" t="s">
        <v>468</v>
      </c>
    </row>
    <row r="1846" spans="1:11">
      <c r="A1846" s="312" t="s">
        <v>4301</v>
      </c>
      <c r="B1846" s="312" t="s">
        <v>4302</v>
      </c>
      <c r="C1846" s="312" t="s">
        <v>105</v>
      </c>
      <c r="D1846" s="312" t="s">
        <v>352</v>
      </c>
      <c r="E1846" s="312" t="s">
        <v>466</v>
      </c>
      <c r="F1846" s="312">
        <v>1796</v>
      </c>
      <c r="G1846" s="312" t="s">
        <v>467</v>
      </c>
      <c r="H1846" s="312">
        <v>1799</v>
      </c>
      <c r="I1846" s="312" t="s">
        <v>466</v>
      </c>
      <c r="J1846" s="312">
        <v>1918</v>
      </c>
      <c r="K1846" s="312" t="s">
        <v>468</v>
      </c>
    </row>
    <row r="1847" spans="1:11">
      <c r="A1847" s="312" t="s">
        <v>4762</v>
      </c>
      <c r="B1847" s="312" t="s">
        <v>4763</v>
      </c>
      <c r="C1847" s="312" t="s">
        <v>105</v>
      </c>
      <c r="D1847" s="312" t="s">
        <v>352</v>
      </c>
      <c r="E1847" s="312" t="s">
        <v>466</v>
      </c>
      <c r="F1847" s="312">
        <v>1796</v>
      </c>
      <c r="G1847" s="312" t="s">
        <v>467</v>
      </c>
      <c r="H1847" s="312">
        <v>1799</v>
      </c>
      <c r="I1847" s="312" t="s">
        <v>466</v>
      </c>
      <c r="J1847" s="312">
        <v>1918</v>
      </c>
      <c r="K1847" s="312" t="s">
        <v>468</v>
      </c>
    </row>
    <row r="1848" spans="1:11">
      <c r="A1848" s="312" t="s">
        <v>4764</v>
      </c>
      <c r="B1848" s="312" t="s">
        <v>4765</v>
      </c>
      <c r="C1848" s="312" t="s">
        <v>105</v>
      </c>
      <c r="D1848" s="312" t="s">
        <v>352</v>
      </c>
      <c r="E1848" s="312" t="s">
        <v>466</v>
      </c>
      <c r="F1848" s="312">
        <v>1796</v>
      </c>
      <c r="G1848" s="312" t="s">
        <v>467</v>
      </c>
      <c r="H1848" s="312">
        <v>1799</v>
      </c>
      <c r="I1848" s="312" t="s">
        <v>466</v>
      </c>
      <c r="J1848" s="312">
        <v>1918</v>
      </c>
      <c r="K1848" s="312" t="s">
        <v>468</v>
      </c>
    </row>
    <row r="1849" spans="1:11">
      <c r="A1849" s="312" t="s">
        <v>4766</v>
      </c>
      <c r="B1849" s="312" t="s">
        <v>4767</v>
      </c>
      <c r="C1849" s="312" t="s">
        <v>105</v>
      </c>
      <c r="D1849" s="312" t="s">
        <v>352</v>
      </c>
      <c r="E1849" s="312" t="s">
        <v>466</v>
      </c>
      <c r="F1849" s="312">
        <v>1796</v>
      </c>
      <c r="G1849" s="312" t="s">
        <v>467</v>
      </c>
      <c r="H1849" s="312">
        <v>1799</v>
      </c>
      <c r="I1849" s="312" t="s">
        <v>466</v>
      </c>
      <c r="J1849" s="312">
        <v>1918</v>
      </c>
      <c r="K1849" s="312" t="s">
        <v>468</v>
      </c>
    </row>
    <row r="1850" spans="1:11">
      <c r="A1850" s="312" t="s">
        <v>4768</v>
      </c>
      <c r="B1850" s="312" t="s">
        <v>4769</v>
      </c>
      <c r="C1850" s="312" t="s">
        <v>105</v>
      </c>
      <c r="D1850" s="312" t="s">
        <v>352</v>
      </c>
      <c r="E1850" s="312" t="s">
        <v>466</v>
      </c>
      <c r="F1850" s="312">
        <v>1796</v>
      </c>
      <c r="G1850" s="312" t="s">
        <v>467</v>
      </c>
      <c r="H1850" s="312">
        <v>1799</v>
      </c>
      <c r="I1850" s="312" t="s">
        <v>466</v>
      </c>
      <c r="J1850" s="312">
        <v>1918</v>
      </c>
      <c r="K1850" s="312" t="s">
        <v>468</v>
      </c>
    </row>
    <row r="1851" spans="1:11">
      <c r="A1851" s="312" t="s">
        <v>4770</v>
      </c>
      <c r="B1851" s="312" t="s">
        <v>4771</v>
      </c>
      <c r="C1851" s="312" t="s">
        <v>105</v>
      </c>
      <c r="D1851" s="312" t="s">
        <v>352</v>
      </c>
      <c r="E1851" s="312" t="s">
        <v>466</v>
      </c>
      <c r="F1851" s="312">
        <v>1796</v>
      </c>
      <c r="G1851" s="312" t="s">
        <v>467</v>
      </c>
      <c r="H1851" s="312">
        <v>1799</v>
      </c>
      <c r="I1851" s="312" t="s">
        <v>466</v>
      </c>
      <c r="J1851" s="312">
        <v>1918</v>
      </c>
      <c r="K1851" s="312" t="s">
        <v>468</v>
      </c>
    </row>
    <row r="1852" spans="1:11">
      <c r="A1852" s="312" t="s">
        <v>4772</v>
      </c>
      <c r="B1852" s="312" t="s">
        <v>4773</v>
      </c>
      <c r="C1852" s="312" t="s">
        <v>105</v>
      </c>
      <c r="D1852" s="312" t="s">
        <v>352</v>
      </c>
      <c r="E1852" s="312" t="s">
        <v>466</v>
      </c>
      <c r="F1852" s="312">
        <v>1796</v>
      </c>
      <c r="G1852" s="312" t="s">
        <v>467</v>
      </c>
      <c r="H1852" s="312">
        <v>1799</v>
      </c>
      <c r="I1852" s="312" t="s">
        <v>466</v>
      </c>
      <c r="J1852" s="312">
        <v>1918</v>
      </c>
      <c r="K1852" s="312" t="s">
        <v>468</v>
      </c>
    </row>
    <row r="1853" spans="1:11">
      <c r="A1853" s="312" t="s">
        <v>5059</v>
      </c>
      <c r="B1853" s="312" t="s">
        <v>5060</v>
      </c>
      <c r="C1853" s="312" t="s">
        <v>105</v>
      </c>
      <c r="D1853" s="312" t="s">
        <v>352</v>
      </c>
      <c r="E1853" s="312" t="s">
        <v>107</v>
      </c>
      <c r="F1853" s="312">
        <v>1825</v>
      </c>
      <c r="G1853" s="312" t="s">
        <v>108</v>
      </c>
      <c r="H1853" s="312">
        <v>1827</v>
      </c>
      <c r="I1853" s="312" t="s">
        <v>107</v>
      </c>
      <c r="J1853" s="312">
        <v>1913</v>
      </c>
      <c r="K1853" s="312" t="s">
        <v>109</v>
      </c>
    </row>
    <row r="1854" spans="1:11">
      <c r="A1854" s="312" t="s">
        <v>5061</v>
      </c>
      <c r="B1854" s="312" t="s">
        <v>5062</v>
      </c>
      <c r="C1854" s="312" t="s">
        <v>105</v>
      </c>
      <c r="D1854" s="312" t="s">
        <v>352</v>
      </c>
      <c r="E1854" s="312" t="s">
        <v>684</v>
      </c>
      <c r="F1854" s="312">
        <v>1750</v>
      </c>
      <c r="G1854" s="312" t="s">
        <v>685</v>
      </c>
      <c r="H1854" s="312">
        <v>1754</v>
      </c>
      <c r="I1854" s="312" t="s">
        <v>684</v>
      </c>
      <c r="J1854" s="312">
        <v>1920</v>
      </c>
      <c r="K1854" s="312" t="s">
        <v>686</v>
      </c>
    </row>
    <row r="1855" spans="1:11">
      <c r="A1855" s="312" t="s">
        <v>5075</v>
      </c>
      <c r="B1855" s="312" t="s">
        <v>5076</v>
      </c>
      <c r="C1855" s="312" t="s">
        <v>105</v>
      </c>
      <c r="D1855" s="312" t="s">
        <v>352</v>
      </c>
      <c r="E1855" s="312" t="s">
        <v>107</v>
      </c>
      <c r="F1855" s="312">
        <v>1825</v>
      </c>
      <c r="G1855" s="312" t="s">
        <v>108</v>
      </c>
      <c r="H1855" s="312">
        <v>1827</v>
      </c>
      <c r="I1855" s="312" t="s">
        <v>107</v>
      </c>
      <c r="J1855" s="312">
        <v>1913</v>
      </c>
      <c r="K1855" s="312" t="s">
        <v>109</v>
      </c>
    </row>
    <row r="1856" spans="1:11">
      <c r="A1856" s="312" t="s">
        <v>5077</v>
      </c>
      <c r="B1856" s="312" t="s">
        <v>5078</v>
      </c>
      <c r="C1856" s="312" t="s">
        <v>105</v>
      </c>
      <c r="D1856" s="312" t="s">
        <v>352</v>
      </c>
      <c r="E1856" s="312" t="s">
        <v>107</v>
      </c>
      <c r="F1856" s="312">
        <v>1825</v>
      </c>
      <c r="G1856" s="312" t="s">
        <v>108</v>
      </c>
      <c r="H1856" s="312">
        <v>1827</v>
      </c>
      <c r="I1856" s="312" t="s">
        <v>107</v>
      </c>
      <c r="J1856" s="312">
        <v>1913</v>
      </c>
      <c r="K1856" s="312" t="s">
        <v>109</v>
      </c>
    </row>
    <row r="1857" spans="1:11">
      <c r="A1857" s="312" t="s">
        <v>5079</v>
      </c>
      <c r="B1857" s="312" t="s">
        <v>5080</v>
      </c>
      <c r="C1857" s="312" t="s">
        <v>105</v>
      </c>
      <c r="D1857" s="312" t="s">
        <v>352</v>
      </c>
      <c r="E1857" s="312" t="s">
        <v>107</v>
      </c>
      <c r="F1857" s="312">
        <v>1825</v>
      </c>
      <c r="G1857" s="312" t="s">
        <v>108</v>
      </c>
      <c r="H1857" s="312">
        <v>1827</v>
      </c>
      <c r="I1857" s="312" t="s">
        <v>107</v>
      </c>
      <c r="J1857" s="312">
        <v>1913</v>
      </c>
      <c r="K1857" s="312" t="s">
        <v>109</v>
      </c>
    </row>
    <row r="1858" spans="1:11">
      <c r="A1858" s="312" t="s">
        <v>5081</v>
      </c>
      <c r="B1858" s="312" t="s">
        <v>5082</v>
      </c>
      <c r="C1858" s="312" t="s">
        <v>105</v>
      </c>
      <c r="D1858" s="312" t="s">
        <v>352</v>
      </c>
      <c r="E1858" s="312" t="s">
        <v>107</v>
      </c>
      <c r="F1858" s="312">
        <v>1825</v>
      </c>
      <c r="G1858" s="312" t="s">
        <v>108</v>
      </c>
      <c r="H1858" s="312">
        <v>1827</v>
      </c>
      <c r="I1858" s="312" t="s">
        <v>107</v>
      </c>
      <c r="J1858" s="312">
        <v>1913</v>
      </c>
      <c r="K1858" s="312" t="s">
        <v>109</v>
      </c>
    </row>
    <row r="1859" spans="1:11">
      <c r="A1859" s="312" t="s">
        <v>5083</v>
      </c>
      <c r="B1859" s="312" t="s">
        <v>5084</v>
      </c>
      <c r="C1859" s="312" t="s">
        <v>105</v>
      </c>
      <c r="D1859" s="312" t="s">
        <v>352</v>
      </c>
      <c r="E1859" s="312" t="s">
        <v>107</v>
      </c>
      <c r="F1859" s="312">
        <v>1825</v>
      </c>
      <c r="G1859" s="312" t="s">
        <v>108</v>
      </c>
      <c r="H1859" s="312">
        <v>1827</v>
      </c>
      <c r="I1859" s="312" t="s">
        <v>107</v>
      </c>
      <c r="J1859" s="312">
        <v>1913</v>
      </c>
      <c r="K1859" s="312" t="s">
        <v>109</v>
      </c>
    </row>
    <row r="1860" spans="1:11">
      <c r="A1860" s="312" t="s">
        <v>5085</v>
      </c>
      <c r="B1860" s="312" t="s">
        <v>5086</v>
      </c>
      <c r="C1860" s="312" t="s">
        <v>105</v>
      </c>
      <c r="D1860" s="312" t="s">
        <v>352</v>
      </c>
      <c r="E1860" s="312" t="s">
        <v>107</v>
      </c>
      <c r="F1860" s="312">
        <v>1825</v>
      </c>
      <c r="G1860" s="312" t="s">
        <v>108</v>
      </c>
      <c r="H1860" s="312">
        <v>1827</v>
      </c>
      <c r="I1860" s="312" t="s">
        <v>107</v>
      </c>
      <c r="J1860" s="312">
        <v>1913</v>
      </c>
      <c r="K1860" s="312" t="s">
        <v>109</v>
      </c>
    </row>
    <row r="1861" spans="1:11">
      <c r="A1861" s="312" t="s">
        <v>5087</v>
      </c>
      <c r="B1861" s="312" t="s">
        <v>5088</v>
      </c>
      <c r="C1861" s="312" t="s">
        <v>105</v>
      </c>
      <c r="D1861" s="312" t="s">
        <v>352</v>
      </c>
      <c r="E1861" s="312" t="s">
        <v>107</v>
      </c>
      <c r="F1861" s="312">
        <v>1825</v>
      </c>
      <c r="G1861" s="312" t="s">
        <v>108</v>
      </c>
      <c r="H1861" s="312">
        <v>1827</v>
      </c>
      <c r="I1861" s="312" t="s">
        <v>107</v>
      </c>
      <c r="J1861" s="312">
        <v>1913</v>
      </c>
      <c r="K1861" s="312" t="s">
        <v>109</v>
      </c>
    </row>
    <row r="1862" spans="1:11">
      <c r="A1862" s="312" t="s">
        <v>5089</v>
      </c>
      <c r="B1862" s="312" t="s">
        <v>5090</v>
      </c>
      <c r="C1862" s="312" t="s">
        <v>105</v>
      </c>
      <c r="D1862" s="312" t="s">
        <v>352</v>
      </c>
      <c r="E1862" s="312" t="s">
        <v>107</v>
      </c>
      <c r="F1862" s="312">
        <v>1825</v>
      </c>
      <c r="G1862" s="312" t="s">
        <v>108</v>
      </c>
      <c r="H1862" s="312">
        <v>1827</v>
      </c>
      <c r="I1862" s="312" t="s">
        <v>107</v>
      </c>
      <c r="J1862" s="312">
        <v>1913</v>
      </c>
      <c r="K1862" s="312" t="s">
        <v>109</v>
      </c>
    </row>
    <row r="1863" spans="1:11">
      <c r="A1863" s="312" t="s">
        <v>5091</v>
      </c>
      <c r="B1863" s="312" t="s">
        <v>5092</v>
      </c>
      <c r="C1863" s="312" t="s">
        <v>105</v>
      </c>
      <c r="D1863" s="312" t="s">
        <v>352</v>
      </c>
      <c r="E1863" s="312" t="s">
        <v>107</v>
      </c>
      <c r="F1863" s="312">
        <v>1825</v>
      </c>
      <c r="G1863" s="312" t="s">
        <v>108</v>
      </c>
      <c r="H1863" s="312">
        <v>1827</v>
      </c>
      <c r="I1863" s="312" t="s">
        <v>107</v>
      </c>
      <c r="J1863" s="312">
        <v>1913</v>
      </c>
      <c r="K1863" s="312" t="s">
        <v>109</v>
      </c>
    </row>
    <row r="1864" spans="1:11">
      <c r="A1864" s="312" t="s">
        <v>5093</v>
      </c>
      <c r="B1864" s="312" t="s">
        <v>5094</v>
      </c>
      <c r="C1864" s="312" t="s">
        <v>105</v>
      </c>
      <c r="D1864" s="312" t="s">
        <v>352</v>
      </c>
      <c r="E1864" s="312" t="s">
        <v>107</v>
      </c>
      <c r="F1864" s="312">
        <v>1825</v>
      </c>
      <c r="G1864" s="312" t="s">
        <v>108</v>
      </c>
      <c r="H1864" s="312">
        <v>1827</v>
      </c>
      <c r="I1864" s="312" t="s">
        <v>107</v>
      </c>
      <c r="J1864" s="312">
        <v>1913</v>
      </c>
      <c r="K1864" s="312" t="s">
        <v>109</v>
      </c>
    </row>
    <row r="1865" spans="1:11">
      <c r="A1865" s="312" t="s">
        <v>5095</v>
      </c>
      <c r="B1865" s="312" t="s">
        <v>5096</v>
      </c>
      <c r="C1865" s="312" t="s">
        <v>105</v>
      </c>
      <c r="D1865" s="312" t="s">
        <v>352</v>
      </c>
      <c r="E1865" s="312" t="s">
        <v>107</v>
      </c>
      <c r="F1865" s="312">
        <v>1825</v>
      </c>
      <c r="G1865" s="312" t="s">
        <v>108</v>
      </c>
      <c r="H1865" s="312">
        <v>1827</v>
      </c>
      <c r="I1865" s="312" t="s">
        <v>107</v>
      </c>
      <c r="J1865" s="312">
        <v>1913</v>
      </c>
      <c r="K1865" s="312" t="s">
        <v>109</v>
      </c>
    </row>
    <row r="1866" spans="1:11">
      <c r="A1866" s="312" t="s">
        <v>5097</v>
      </c>
      <c r="B1866" s="312" t="s">
        <v>5098</v>
      </c>
      <c r="C1866" s="312" t="s">
        <v>105</v>
      </c>
      <c r="D1866" s="312" t="s">
        <v>352</v>
      </c>
      <c r="E1866" s="312" t="s">
        <v>107</v>
      </c>
      <c r="F1866" s="312">
        <v>1825</v>
      </c>
      <c r="G1866" s="312" t="s">
        <v>108</v>
      </c>
      <c r="H1866" s="312">
        <v>1827</v>
      </c>
      <c r="I1866" s="312" t="s">
        <v>107</v>
      </c>
      <c r="J1866" s="312">
        <v>1913</v>
      </c>
      <c r="K1866" s="312" t="s">
        <v>109</v>
      </c>
    </row>
    <row r="1867" spans="1:11">
      <c r="A1867" s="312" t="s">
        <v>5363</v>
      </c>
      <c r="B1867" s="312" t="s">
        <v>5364</v>
      </c>
      <c r="C1867" s="312" t="s">
        <v>105</v>
      </c>
      <c r="D1867" s="312" t="s">
        <v>352</v>
      </c>
      <c r="E1867" s="312" t="s">
        <v>466</v>
      </c>
      <c r="F1867" s="312">
        <v>1796</v>
      </c>
      <c r="G1867" s="312" t="s">
        <v>467</v>
      </c>
      <c r="H1867" s="312">
        <v>1799</v>
      </c>
      <c r="I1867" s="312" t="s">
        <v>466</v>
      </c>
      <c r="J1867" s="312">
        <v>1918</v>
      </c>
      <c r="K1867" s="312" t="s">
        <v>468</v>
      </c>
    </row>
    <row r="1868" spans="1:11">
      <c r="A1868" s="312" t="s">
        <v>6024</v>
      </c>
      <c r="B1868" s="312" t="s">
        <v>6025</v>
      </c>
      <c r="C1868" s="312" t="s">
        <v>105</v>
      </c>
      <c r="D1868" s="312" t="s">
        <v>352</v>
      </c>
      <c r="E1868" s="312" t="s">
        <v>320</v>
      </c>
      <c r="F1868" s="312">
        <v>1716</v>
      </c>
      <c r="G1868" s="312" t="s">
        <v>321</v>
      </c>
      <c r="H1868" s="312">
        <v>1725</v>
      </c>
      <c r="I1868" s="312" t="s">
        <v>320</v>
      </c>
      <c r="J1868" s="312">
        <v>1910</v>
      </c>
      <c r="K1868" s="312" t="s">
        <v>322</v>
      </c>
    </row>
    <row r="1869" spans="1:11">
      <c r="A1869" s="312" t="s">
        <v>6026</v>
      </c>
      <c r="B1869" s="312" t="s">
        <v>6027</v>
      </c>
      <c r="C1869" s="312" t="s">
        <v>105</v>
      </c>
      <c r="D1869" s="312" t="s">
        <v>352</v>
      </c>
      <c r="E1869" s="312" t="s">
        <v>320</v>
      </c>
      <c r="F1869" s="312">
        <v>1716</v>
      </c>
      <c r="G1869" s="312" t="s">
        <v>321</v>
      </c>
      <c r="H1869" s="312">
        <v>1725</v>
      </c>
      <c r="I1869" s="312" t="s">
        <v>320</v>
      </c>
      <c r="J1869" s="312">
        <v>1910</v>
      </c>
      <c r="K1869" s="312" t="s">
        <v>322</v>
      </c>
    </row>
    <row r="1870" spans="1:11">
      <c r="A1870" s="312" t="s">
        <v>6028</v>
      </c>
      <c r="B1870" s="312" t="s">
        <v>6029</v>
      </c>
      <c r="C1870" s="312" t="s">
        <v>105</v>
      </c>
      <c r="D1870" s="312" t="s">
        <v>352</v>
      </c>
      <c r="E1870" s="312" t="s">
        <v>320</v>
      </c>
      <c r="F1870" s="312">
        <v>1716</v>
      </c>
      <c r="G1870" s="312" t="s">
        <v>321</v>
      </c>
      <c r="H1870" s="312">
        <v>1725</v>
      </c>
      <c r="I1870" s="312" t="s">
        <v>320</v>
      </c>
      <c r="J1870" s="312">
        <v>1910</v>
      </c>
      <c r="K1870" s="312" t="s">
        <v>322</v>
      </c>
    </row>
    <row r="1871" spans="1:11">
      <c r="A1871" s="312" t="s">
        <v>6217</v>
      </c>
      <c r="B1871" s="312" t="s">
        <v>6218</v>
      </c>
      <c r="C1871" s="312" t="s">
        <v>105</v>
      </c>
      <c r="D1871" s="312" t="s">
        <v>352</v>
      </c>
      <c r="E1871" s="312" t="s">
        <v>466</v>
      </c>
      <c r="F1871" s="312">
        <v>1796</v>
      </c>
      <c r="G1871" s="312" t="s">
        <v>467</v>
      </c>
      <c r="H1871" s="312">
        <v>1799</v>
      </c>
      <c r="I1871" s="312" t="s">
        <v>466</v>
      </c>
      <c r="J1871" s="312">
        <v>1918</v>
      </c>
      <c r="K1871" s="312" t="s">
        <v>468</v>
      </c>
    </row>
    <row r="1872" spans="1:11">
      <c r="A1872" s="312" t="s">
        <v>6219</v>
      </c>
      <c r="B1872" s="312" t="s">
        <v>6220</v>
      </c>
      <c r="C1872" s="312" t="s">
        <v>105</v>
      </c>
      <c r="D1872" s="312" t="s">
        <v>352</v>
      </c>
      <c r="E1872" s="312" t="s">
        <v>466</v>
      </c>
      <c r="F1872" s="312">
        <v>1796</v>
      </c>
      <c r="G1872" s="312" t="s">
        <v>467</v>
      </c>
      <c r="H1872" s="312">
        <v>1799</v>
      </c>
      <c r="I1872" s="312" t="s">
        <v>466</v>
      </c>
      <c r="J1872" s="312">
        <v>1918</v>
      </c>
      <c r="K1872" s="312" t="s">
        <v>468</v>
      </c>
    </row>
    <row r="1873" spans="1:11">
      <c r="A1873" s="312" t="s">
        <v>6221</v>
      </c>
      <c r="B1873" s="312" t="s">
        <v>6222</v>
      </c>
      <c r="C1873" s="312" t="s">
        <v>105</v>
      </c>
      <c r="D1873" s="312" t="s">
        <v>352</v>
      </c>
      <c r="E1873" s="312" t="s">
        <v>466</v>
      </c>
      <c r="F1873" s="312">
        <v>1796</v>
      </c>
      <c r="G1873" s="312" t="s">
        <v>467</v>
      </c>
      <c r="H1873" s="312">
        <v>1799</v>
      </c>
      <c r="I1873" s="312" t="s">
        <v>466</v>
      </c>
      <c r="J1873" s="312">
        <v>1918</v>
      </c>
      <c r="K1873" s="312" t="s">
        <v>468</v>
      </c>
    </row>
    <row r="1874" spans="1:11">
      <c r="A1874" s="312" t="s">
        <v>317</v>
      </c>
      <c r="B1874" s="312" t="s">
        <v>318</v>
      </c>
      <c r="C1874" s="312" t="s">
        <v>105</v>
      </c>
      <c r="D1874" s="312" t="s">
        <v>319</v>
      </c>
      <c r="E1874" s="312" t="s">
        <v>320</v>
      </c>
      <c r="F1874" s="312">
        <v>1716</v>
      </c>
      <c r="G1874" s="312" t="s">
        <v>321</v>
      </c>
      <c r="H1874" s="312">
        <v>1725</v>
      </c>
      <c r="I1874" s="312" t="s">
        <v>320</v>
      </c>
      <c r="J1874" s="312">
        <v>1910</v>
      </c>
      <c r="K1874" s="312" t="s">
        <v>322</v>
      </c>
    </row>
    <row r="1875" spans="1:11">
      <c r="A1875" s="312" t="s">
        <v>323</v>
      </c>
      <c r="B1875" s="312" t="s">
        <v>324</v>
      </c>
      <c r="C1875" s="312" t="s">
        <v>105</v>
      </c>
      <c r="D1875" s="312" t="s">
        <v>319</v>
      </c>
      <c r="E1875" s="312" t="s">
        <v>320</v>
      </c>
      <c r="F1875" s="312">
        <v>1716</v>
      </c>
      <c r="G1875" s="312" t="s">
        <v>321</v>
      </c>
      <c r="H1875" s="312">
        <v>1725</v>
      </c>
      <c r="I1875" s="312" t="s">
        <v>320</v>
      </c>
      <c r="J1875" s="312">
        <v>1910</v>
      </c>
      <c r="K1875" s="312" t="s">
        <v>322</v>
      </c>
    </row>
    <row r="1876" spans="1:11">
      <c r="A1876" s="312" t="s">
        <v>3911</v>
      </c>
      <c r="B1876" s="312" t="s">
        <v>3912</v>
      </c>
      <c r="C1876" s="312" t="s">
        <v>105</v>
      </c>
      <c r="D1876" s="312" t="s">
        <v>319</v>
      </c>
      <c r="E1876" s="312" t="s">
        <v>107</v>
      </c>
      <c r="F1876" s="312">
        <v>1825</v>
      </c>
      <c r="G1876" s="312" t="s">
        <v>108</v>
      </c>
      <c r="H1876" s="312">
        <v>1827</v>
      </c>
      <c r="I1876" s="312" t="s">
        <v>107</v>
      </c>
      <c r="J1876" s="312">
        <v>1913</v>
      </c>
      <c r="K1876" s="312" t="s">
        <v>109</v>
      </c>
    </row>
    <row r="1877" spans="1:11">
      <c r="A1877" s="312" t="s">
        <v>889</v>
      </c>
      <c r="B1877" s="312" t="s">
        <v>890</v>
      </c>
      <c r="C1877" s="312" t="s">
        <v>105</v>
      </c>
      <c r="D1877" s="312" t="s">
        <v>891</v>
      </c>
      <c r="E1877" s="312" t="s">
        <v>320</v>
      </c>
      <c r="F1877" s="312">
        <v>1716</v>
      </c>
      <c r="G1877" s="312" t="s">
        <v>321</v>
      </c>
      <c r="H1877" s="312">
        <v>1725</v>
      </c>
      <c r="I1877" s="312" t="s">
        <v>320</v>
      </c>
      <c r="J1877" s="312">
        <v>1910</v>
      </c>
      <c r="K1877" s="312" t="s">
        <v>322</v>
      </c>
    </row>
    <row r="1878" spans="1:11">
      <c r="A1878" s="312" t="s">
        <v>892</v>
      </c>
      <c r="B1878" s="312" t="s">
        <v>893</v>
      </c>
      <c r="C1878" s="312" t="s">
        <v>105</v>
      </c>
      <c r="D1878" s="312" t="s">
        <v>891</v>
      </c>
      <c r="E1878" s="312" t="s">
        <v>320</v>
      </c>
      <c r="F1878" s="312">
        <v>1716</v>
      </c>
      <c r="G1878" s="312" t="s">
        <v>321</v>
      </c>
      <c r="H1878" s="312">
        <v>1725</v>
      </c>
      <c r="I1878" s="312" t="s">
        <v>320</v>
      </c>
      <c r="J1878" s="312">
        <v>1910</v>
      </c>
      <c r="K1878" s="312" t="s">
        <v>322</v>
      </c>
    </row>
    <row r="1879" spans="1:11">
      <c r="A1879" s="312" t="s">
        <v>894</v>
      </c>
      <c r="B1879" s="312" t="s">
        <v>895</v>
      </c>
      <c r="C1879" s="312" t="s">
        <v>105</v>
      </c>
      <c r="D1879" s="312" t="s">
        <v>891</v>
      </c>
      <c r="E1879" s="312" t="s">
        <v>320</v>
      </c>
      <c r="F1879" s="312">
        <v>1716</v>
      </c>
      <c r="G1879" s="312" t="s">
        <v>321</v>
      </c>
      <c r="H1879" s="312">
        <v>1725</v>
      </c>
      <c r="I1879" s="312" t="s">
        <v>320</v>
      </c>
      <c r="J1879" s="312">
        <v>1910</v>
      </c>
      <c r="K1879" s="312" t="s">
        <v>322</v>
      </c>
    </row>
    <row r="1880" spans="1:11">
      <c r="A1880" s="312" t="s">
        <v>896</v>
      </c>
      <c r="B1880" s="312" t="s">
        <v>897</v>
      </c>
      <c r="C1880" s="312" t="s">
        <v>105</v>
      </c>
      <c r="D1880" s="312" t="s">
        <v>891</v>
      </c>
      <c r="E1880" s="312" t="s">
        <v>320</v>
      </c>
      <c r="F1880" s="312">
        <v>1716</v>
      </c>
      <c r="G1880" s="312" t="s">
        <v>321</v>
      </c>
      <c r="H1880" s="312">
        <v>1725</v>
      </c>
      <c r="I1880" s="312" t="s">
        <v>320</v>
      </c>
      <c r="J1880" s="312">
        <v>1910</v>
      </c>
      <c r="K1880" s="312" t="s">
        <v>322</v>
      </c>
    </row>
    <row r="1881" spans="1:11">
      <c r="A1881" s="312" t="s">
        <v>898</v>
      </c>
      <c r="B1881" s="312" t="s">
        <v>899</v>
      </c>
      <c r="C1881" s="312" t="s">
        <v>105</v>
      </c>
      <c r="D1881" s="312" t="s">
        <v>891</v>
      </c>
      <c r="E1881" s="312" t="s">
        <v>107</v>
      </c>
      <c r="F1881" s="312">
        <v>1825</v>
      </c>
      <c r="G1881" s="312" t="s">
        <v>108</v>
      </c>
      <c r="H1881" s="312">
        <v>1827</v>
      </c>
      <c r="I1881" s="312" t="s">
        <v>107</v>
      </c>
      <c r="J1881" s="312">
        <v>1913</v>
      </c>
      <c r="K1881" s="312" t="s">
        <v>109</v>
      </c>
    </row>
    <row r="1882" spans="1:11">
      <c r="A1882" s="312" t="s">
        <v>942</v>
      </c>
      <c r="B1882" s="312" t="s">
        <v>943</v>
      </c>
      <c r="C1882" s="312" t="s">
        <v>105</v>
      </c>
      <c r="D1882" s="312" t="s">
        <v>891</v>
      </c>
      <c r="E1882" s="312" t="s">
        <v>107</v>
      </c>
      <c r="F1882" s="312">
        <v>1825</v>
      </c>
      <c r="G1882" s="312" t="s">
        <v>108</v>
      </c>
      <c r="H1882" s="312">
        <v>1827</v>
      </c>
      <c r="I1882" s="312" t="s">
        <v>107</v>
      </c>
      <c r="J1882" s="312">
        <v>1913</v>
      </c>
      <c r="K1882" s="312" t="s">
        <v>109</v>
      </c>
    </row>
    <row r="1883" spans="1:11">
      <c r="A1883" s="312" t="s">
        <v>944</v>
      </c>
      <c r="B1883" s="312" t="s">
        <v>945</v>
      </c>
      <c r="C1883" s="312" t="s">
        <v>105</v>
      </c>
      <c r="D1883" s="312" t="s">
        <v>891</v>
      </c>
      <c r="E1883" s="312" t="s">
        <v>107</v>
      </c>
      <c r="F1883" s="312">
        <v>1825</v>
      </c>
      <c r="G1883" s="312" t="s">
        <v>108</v>
      </c>
      <c r="H1883" s="312">
        <v>1827</v>
      </c>
      <c r="I1883" s="312" t="s">
        <v>107</v>
      </c>
      <c r="J1883" s="312">
        <v>1913</v>
      </c>
      <c r="K1883" s="312" t="s">
        <v>109</v>
      </c>
    </row>
    <row r="1884" spans="1:11">
      <c r="A1884" s="312" t="s">
        <v>946</v>
      </c>
      <c r="B1884" s="312" t="s">
        <v>947</v>
      </c>
      <c r="C1884" s="312" t="s">
        <v>105</v>
      </c>
      <c r="D1884" s="312" t="s">
        <v>891</v>
      </c>
      <c r="E1884" s="312" t="s">
        <v>107</v>
      </c>
      <c r="F1884" s="312">
        <v>1825</v>
      </c>
      <c r="G1884" s="312" t="s">
        <v>108</v>
      </c>
      <c r="H1884" s="312">
        <v>1827</v>
      </c>
      <c r="I1884" s="312" t="s">
        <v>107</v>
      </c>
      <c r="J1884" s="312">
        <v>1913</v>
      </c>
      <c r="K1884" s="312" t="s">
        <v>109</v>
      </c>
    </row>
    <row r="1885" spans="1:11">
      <c r="A1885" s="312" t="s">
        <v>948</v>
      </c>
      <c r="B1885" s="312" t="s">
        <v>949</v>
      </c>
      <c r="C1885" s="312" t="s">
        <v>105</v>
      </c>
      <c r="D1885" s="312" t="s">
        <v>891</v>
      </c>
      <c r="E1885" s="312" t="s">
        <v>107</v>
      </c>
      <c r="F1885" s="312">
        <v>1825</v>
      </c>
      <c r="G1885" s="312" t="s">
        <v>108</v>
      </c>
      <c r="H1885" s="312">
        <v>1827</v>
      </c>
      <c r="I1885" s="312" t="s">
        <v>107</v>
      </c>
      <c r="J1885" s="312">
        <v>1913</v>
      </c>
      <c r="K1885" s="312" t="s">
        <v>109</v>
      </c>
    </row>
    <row r="1886" spans="1:11">
      <c r="A1886" s="312" t="s">
        <v>950</v>
      </c>
      <c r="B1886" s="312" t="s">
        <v>951</v>
      </c>
      <c r="C1886" s="312" t="s">
        <v>105</v>
      </c>
      <c r="D1886" s="312" t="s">
        <v>891</v>
      </c>
      <c r="E1886" s="312" t="s">
        <v>107</v>
      </c>
      <c r="F1886" s="312">
        <v>1825</v>
      </c>
      <c r="G1886" s="312" t="s">
        <v>108</v>
      </c>
      <c r="H1886" s="312">
        <v>1827</v>
      </c>
      <c r="I1886" s="312" t="s">
        <v>107</v>
      </c>
      <c r="J1886" s="312">
        <v>1913</v>
      </c>
      <c r="K1886" s="312" t="s">
        <v>109</v>
      </c>
    </row>
    <row r="1887" spans="1:11">
      <c r="A1887" s="312" t="s">
        <v>952</v>
      </c>
      <c r="B1887" s="312" t="s">
        <v>953</v>
      </c>
      <c r="C1887" s="312" t="s">
        <v>105</v>
      </c>
      <c r="D1887" s="312" t="s">
        <v>891</v>
      </c>
      <c r="E1887" s="312" t="s">
        <v>107</v>
      </c>
      <c r="F1887" s="312">
        <v>1825</v>
      </c>
      <c r="G1887" s="312" t="s">
        <v>108</v>
      </c>
      <c r="H1887" s="312">
        <v>1827</v>
      </c>
      <c r="I1887" s="312" t="s">
        <v>107</v>
      </c>
      <c r="J1887" s="312">
        <v>1913</v>
      </c>
      <c r="K1887" s="312" t="s">
        <v>109</v>
      </c>
    </row>
    <row r="1888" spans="1:11">
      <c r="A1888" s="312" t="s">
        <v>1606</v>
      </c>
      <c r="B1888" s="312" t="s">
        <v>1607</v>
      </c>
      <c r="C1888" s="312" t="s">
        <v>105</v>
      </c>
      <c r="D1888" s="312" t="s">
        <v>891</v>
      </c>
      <c r="E1888" s="312" t="s">
        <v>107</v>
      </c>
      <c r="F1888" s="312">
        <v>1825</v>
      </c>
      <c r="G1888" s="312" t="s">
        <v>108</v>
      </c>
      <c r="H1888" s="312">
        <v>1827</v>
      </c>
      <c r="I1888" s="312" t="s">
        <v>107</v>
      </c>
      <c r="J1888" s="312">
        <v>1913</v>
      </c>
      <c r="K1888" s="312" t="s">
        <v>109</v>
      </c>
    </row>
    <row r="1889" spans="1:11">
      <c r="A1889" s="312" t="s">
        <v>1608</v>
      </c>
      <c r="B1889" s="312" t="s">
        <v>1609</v>
      </c>
      <c r="C1889" s="312" t="s">
        <v>105</v>
      </c>
      <c r="D1889" s="312" t="s">
        <v>891</v>
      </c>
      <c r="E1889" s="312" t="s">
        <v>107</v>
      </c>
      <c r="F1889" s="312">
        <v>1825</v>
      </c>
      <c r="G1889" s="312" t="s">
        <v>108</v>
      </c>
      <c r="H1889" s="312">
        <v>1827</v>
      </c>
      <c r="I1889" s="312" t="s">
        <v>107</v>
      </c>
      <c r="J1889" s="312">
        <v>1913</v>
      </c>
      <c r="K1889" s="312" t="s">
        <v>109</v>
      </c>
    </row>
    <row r="1890" spans="1:11">
      <c r="A1890" s="312" t="s">
        <v>1610</v>
      </c>
      <c r="B1890" s="312" t="s">
        <v>1611</v>
      </c>
      <c r="C1890" s="312" t="s">
        <v>105</v>
      </c>
      <c r="D1890" s="312" t="s">
        <v>891</v>
      </c>
      <c r="E1890" s="312" t="s">
        <v>107</v>
      </c>
      <c r="F1890" s="312">
        <v>1825</v>
      </c>
      <c r="G1890" s="312" t="s">
        <v>108</v>
      </c>
      <c r="H1890" s="312">
        <v>1827</v>
      </c>
      <c r="I1890" s="312" t="s">
        <v>107</v>
      </c>
      <c r="J1890" s="312">
        <v>1913</v>
      </c>
      <c r="K1890" s="312" t="s">
        <v>109</v>
      </c>
    </row>
    <row r="1891" spans="1:11">
      <c r="A1891" s="312" t="s">
        <v>1702</v>
      </c>
      <c r="B1891" s="312" t="s">
        <v>1703</v>
      </c>
      <c r="C1891" s="312" t="s">
        <v>105</v>
      </c>
      <c r="D1891" s="312" t="s">
        <v>891</v>
      </c>
      <c r="E1891" s="312" t="s">
        <v>107</v>
      </c>
      <c r="F1891" s="312">
        <v>1825</v>
      </c>
      <c r="G1891" s="312" t="s">
        <v>108</v>
      </c>
      <c r="H1891" s="312">
        <v>1827</v>
      </c>
      <c r="I1891" s="312" t="s">
        <v>107</v>
      </c>
      <c r="J1891" s="312">
        <v>1913</v>
      </c>
      <c r="K1891" s="312" t="s">
        <v>109</v>
      </c>
    </row>
    <row r="1892" spans="1:11">
      <c r="A1892" s="312" t="s">
        <v>1704</v>
      </c>
      <c r="B1892" s="312" t="s">
        <v>1705</v>
      </c>
      <c r="C1892" s="312" t="s">
        <v>105</v>
      </c>
      <c r="D1892" s="312" t="s">
        <v>891</v>
      </c>
      <c r="E1892" s="312" t="s">
        <v>107</v>
      </c>
      <c r="F1892" s="312">
        <v>1825</v>
      </c>
      <c r="G1892" s="312" t="s">
        <v>108</v>
      </c>
      <c r="H1892" s="312">
        <v>1827</v>
      </c>
      <c r="I1892" s="312" t="s">
        <v>107</v>
      </c>
      <c r="J1892" s="312">
        <v>1913</v>
      </c>
      <c r="K1892" s="312" t="s">
        <v>109</v>
      </c>
    </row>
    <row r="1893" spans="1:11">
      <c r="A1893" s="312" t="s">
        <v>1706</v>
      </c>
      <c r="B1893" s="312" t="s">
        <v>1707</v>
      </c>
      <c r="C1893" s="312" t="s">
        <v>105</v>
      </c>
      <c r="D1893" s="312" t="s">
        <v>891</v>
      </c>
      <c r="E1893" s="312" t="s">
        <v>107</v>
      </c>
      <c r="F1893" s="312">
        <v>1825</v>
      </c>
      <c r="G1893" s="312" t="s">
        <v>108</v>
      </c>
      <c r="H1893" s="312">
        <v>1827</v>
      </c>
      <c r="I1893" s="312" t="s">
        <v>107</v>
      </c>
      <c r="J1893" s="312">
        <v>1913</v>
      </c>
      <c r="K1893" s="312" t="s">
        <v>109</v>
      </c>
    </row>
    <row r="1894" spans="1:11">
      <c r="A1894" s="312" t="s">
        <v>1765</v>
      </c>
      <c r="B1894" s="312" t="s">
        <v>1766</v>
      </c>
      <c r="C1894" s="312" t="s">
        <v>105</v>
      </c>
      <c r="D1894" s="312" t="s">
        <v>891</v>
      </c>
      <c r="E1894" s="312" t="s">
        <v>107</v>
      </c>
      <c r="F1894" s="312">
        <v>1825</v>
      </c>
      <c r="G1894" s="312" t="s">
        <v>108</v>
      </c>
      <c r="H1894" s="312">
        <v>1827</v>
      </c>
      <c r="I1894" s="312" t="s">
        <v>107</v>
      </c>
      <c r="J1894" s="312">
        <v>1913</v>
      </c>
      <c r="K1894" s="312" t="s">
        <v>109</v>
      </c>
    </row>
    <row r="1895" spans="1:11">
      <c r="A1895" s="6" t="s">
        <v>1772</v>
      </c>
      <c r="B1895" s="312" t="s">
        <v>1773</v>
      </c>
      <c r="C1895" s="312" t="s">
        <v>105</v>
      </c>
      <c r="D1895" s="312" t="s">
        <v>891</v>
      </c>
      <c r="E1895" s="312" t="s">
        <v>107</v>
      </c>
      <c r="F1895" s="312">
        <v>1825</v>
      </c>
      <c r="G1895" s="312" t="s">
        <v>108</v>
      </c>
      <c r="H1895" s="312">
        <v>1827</v>
      </c>
      <c r="I1895" s="312" t="s">
        <v>107</v>
      </c>
      <c r="J1895" s="312">
        <v>1913</v>
      </c>
      <c r="K1895" s="312" t="s">
        <v>109</v>
      </c>
    </row>
    <row r="1896" spans="1:11">
      <c r="A1896" s="6" t="s">
        <v>1774</v>
      </c>
      <c r="B1896" s="312" t="s">
        <v>1775</v>
      </c>
      <c r="C1896" s="312" t="s">
        <v>105</v>
      </c>
      <c r="D1896" s="312" t="s">
        <v>891</v>
      </c>
      <c r="E1896" s="312" t="s">
        <v>107</v>
      </c>
      <c r="F1896" s="312">
        <v>1825</v>
      </c>
      <c r="G1896" s="312" t="s">
        <v>108</v>
      </c>
      <c r="H1896" s="312">
        <v>1827</v>
      </c>
      <c r="I1896" s="312" t="s">
        <v>107</v>
      </c>
      <c r="J1896" s="312">
        <v>1913</v>
      </c>
      <c r="K1896" s="312" t="s">
        <v>109</v>
      </c>
    </row>
    <row r="1897" spans="1:11">
      <c r="A1897" s="6" t="s">
        <v>1776</v>
      </c>
      <c r="B1897" s="312" t="s">
        <v>1777</v>
      </c>
      <c r="C1897" s="312" t="s">
        <v>105</v>
      </c>
      <c r="D1897" s="312" t="s">
        <v>891</v>
      </c>
      <c r="E1897" s="312" t="s">
        <v>107</v>
      </c>
      <c r="F1897" s="312">
        <v>1825</v>
      </c>
      <c r="G1897" s="312" t="s">
        <v>108</v>
      </c>
      <c r="H1897" s="312">
        <v>1827</v>
      </c>
      <c r="I1897" s="312" t="s">
        <v>107</v>
      </c>
      <c r="J1897" s="312">
        <v>1913</v>
      </c>
      <c r="K1897" s="312" t="s">
        <v>109</v>
      </c>
    </row>
    <row r="1898" spans="1:11">
      <c r="A1898" s="312" t="s">
        <v>1925</v>
      </c>
      <c r="B1898" s="312" t="s">
        <v>1926</v>
      </c>
      <c r="C1898" s="312" t="s">
        <v>105</v>
      </c>
      <c r="D1898" s="312" t="s">
        <v>891</v>
      </c>
      <c r="E1898" s="312" t="s">
        <v>107</v>
      </c>
      <c r="F1898" s="312">
        <v>1825</v>
      </c>
      <c r="G1898" s="312" t="s">
        <v>108</v>
      </c>
      <c r="H1898" s="312">
        <v>1827</v>
      </c>
      <c r="I1898" s="312" t="s">
        <v>107</v>
      </c>
      <c r="J1898" s="312">
        <v>1913</v>
      </c>
      <c r="K1898" s="312" t="s">
        <v>109</v>
      </c>
    </row>
    <row r="1899" spans="1:11">
      <c r="A1899" s="5" t="s">
        <v>2703</v>
      </c>
      <c r="B1899" s="312" t="s">
        <v>2704</v>
      </c>
      <c r="C1899" s="312" t="s">
        <v>105</v>
      </c>
      <c r="D1899" s="312" t="s">
        <v>891</v>
      </c>
      <c r="E1899" s="312" t="s">
        <v>107</v>
      </c>
      <c r="F1899" s="312">
        <v>1825</v>
      </c>
      <c r="G1899" s="312" t="s">
        <v>108</v>
      </c>
      <c r="H1899" s="312">
        <v>1827</v>
      </c>
      <c r="I1899" s="312" t="s">
        <v>107</v>
      </c>
      <c r="J1899" s="312">
        <v>1913</v>
      </c>
      <c r="K1899" s="312" t="s">
        <v>109</v>
      </c>
    </row>
    <row r="1900" spans="1:11">
      <c r="A1900" s="5" t="s">
        <v>2705</v>
      </c>
      <c r="B1900" s="312" t="s">
        <v>2706</v>
      </c>
      <c r="C1900" s="312" t="s">
        <v>105</v>
      </c>
      <c r="D1900" s="312" t="s">
        <v>891</v>
      </c>
      <c r="E1900" s="312" t="s">
        <v>107</v>
      </c>
      <c r="F1900" s="312">
        <v>1825</v>
      </c>
      <c r="G1900" s="312" t="s">
        <v>108</v>
      </c>
      <c r="H1900" s="312">
        <v>1827</v>
      </c>
      <c r="I1900" s="312" t="s">
        <v>107</v>
      </c>
      <c r="J1900" s="312">
        <v>1913</v>
      </c>
      <c r="K1900" s="312" t="s">
        <v>109</v>
      </c>
    </row>
    <row r="1901" spans="1:11">
      <c r="A1901" s="5" t="s">
        <v>2707</v>
      </c>
      <c r="B1901" s="312" t="s">
        <v>2708</v>
      </c>
      <c r="C1901" s="312" t="s">
        <v>105</v>
      </c>
      <c r="D1901" s="312" t="s">
        <v>891</v>
      </c>
      <c r="E1901" s="312" t="s">
        <v>107</v>
      </c>
      <c r="F1901" s="312">
        <v>1825</v>
      </c>
      <c r="G1901" s="312" t="s">
        <v>108</v>
      </c>
      <c r="H1901" s="312">
        <v>1827</v>
      </c>
      <c r="I1901" s="312" t="s">
        <v>107</v>
      </c>
      <c r="J1901" s="312">
        <v>1913</v>
      </c>
      <c r="K1901" s="312" t="s">
        <v>109</v>
      </c>
    </row>
    <row r="1902" spans="1:11">
      <c r="A1902" s="312" t="s">
        <v>2709</v>
      </c>
      <c r="B1902" s="312" t="s">
        <v>2710</v>
      </c>
      <c r="C1902" s="312" t="s">
        <v>105</v>
      </c>
      <c r="D1902" s="312" t="s">
        <v>891</v>
      </c>
      <c r="E1902" s="312" t="s">
        <v>107</v>
      </c>
      <c r="F1902" s="312">
        <v>1825</v>
      </c>
      <c r="G1902" s="312" t="s">
        <v>108</v>
      </c>
      <c r="H1902" s="312">
        <v>1827</v>
      </c>
      <c r="I1902" s="312" t="s">
        <v>107</v>
      </c>
      <c r="J1902" s="312">
        <v>1913</v>
      </c>
      <c r="K1902" s="312" t="s">
        <v>109</v>
      </c>
    </row>
    <row r="1903" spans="1:11">
      <c r="A1903" s="312" t="s">
        <v>2735</v>
      </c>
      <c r="B1903" s="312" t="s">
        <v>2736</v>
      </c>
      <c r="C1903" s="312" t="s">
        <v>105</v>
      </c>
      <c r="D1903" s="312" t="s">
        <v>891</v>
      </c>
      <c r="E1903" s="312" t="s">
        <v>107</v>
      </c>
      <c r="F1903" s="312">
        <v>1825</v>
      </c>
      <c r="G1903" s="312" t="s">
        <v>108</v>
      </c>
      <c r="H1903" s="312">
        <v>1827</v>
      </c>
      <c r="I1903" s="312" t="s">
        <v>107</v>
      </c>
      <c r="J1903" s="312">
        <v>1913</v>
      </c>
      <c r="K1903" s="312" t="s">
        <v>109</v>
      </c>
    </row>
    <row r="1904" spans="1:11">
      <c r="A1904" s="312" t="s">
        <v>2741</v>
      </c>
      <c r="B1904" s="312" t="s">
        <v>2742</v>
      </c>
      <c r="C1904" s="312" t="s">
        <v>105</v>
      </c>
      <c r="D1904" s="312" t="s">
        <v>891</v>
      </c>
      <c r="E1904" s="312" t="s">
        <v>107</v>
      </c>
      <c r="F1904" s="312">
        <v>1825</v>
      </c>
      <c r="G1904" s="312" t="s">
        <v>108</v>
      </c>
      <c r="H1904" s="312">
        <v>1827</v>
      </c>
      <c r="I1904" s="312" t="s">
        <v>107</v>
      </c>
      <c r="J1904" s="312">
        <v>1913</v>
      </c>
      <c r="K1904" s="312" t="s">
        <v>109</v>
      </c>
    </row>
    <row r="1905" spans="1:11">
      <c r="A1905" s="312" t="s">
        <v>2743</v>
      </c>
      <c r="B1905" s="312" t="s">
        <v>2744</v>
      </c>
      <c r="C1905" s="312" t="s">
        <v>105</v>
      </c>
      <c r="D1905" s="312" t="s">
        <v>891</v>
      </c>
      <c r="E1905" s="312" t="s">
        <v>107</v>
      </c>
      <c r="F1905" s="312">
        <v>1825</v>
      </c>
      <c r="G1905" s="312" t="s">
        <v>108</v>
      </c>
      <c r="H1905" s="312">
        <v>1827</v>
      </c>
      <c r="I1905" s="312" t="s">
        <v>107</v>
      </c>
      <c r="J1905" s="312">
        <v>1913</v>
      </c>
      <c r="K1905" s="312" t="s">
        <v>109</v>
      </c>
    </row>
    <row r="1906" spans="1:11">
      <c r="A1906" s="312" t="s">
        <v>2939</v>
      </c>
      <c r="B1906" s="312" t="s">
        <v>2940</v>
      </c>
      <c r="C1906" s="312" t="s">
        <v>105</v>
      </c>
      <c r="D1906" s="312" t="s">
        <v>891</v>
      </c>
      <c r="E1906" s="312" t="s">
        <v>107</v>
      </c>
      <c r="F1906" s="312">
        <v>1825</v>
      </c>
      <c r="G1906" s="312" t="s">
        <v>108</v>
      </c>
      <c r="H1906" s="312">
        <v>1827</v>
      </c>
      <c r="I1906" s="312" t="s">
        <v>107</v>
      </c>
      <c r="J1906" s="312">
        <v>1913</v>
      </c>
      <c r="K1906" s="312" t="s">
        <v>109</v>
      </c>
    </row>
    <row r="1907" spans="1:11">
      <c r="A1907" s="312" t="s">
        <v>2998</v>
      </c>
      <c r="B1907" s="312" t="s">
        <v>2999</v>
      </c>
      <c r="C1907" s="312" t="s">
        <v>105</v>
      </c>
      <c r="D1907" s="312" t="s">
        <v>891</v>
      </c>
      <c r="E1907" s="312" t="s">
        <v>107</v>
      </c>
      <c r="F1907" s="312">
        <v>1825</v>
      </c>
      <c r="G1907" s="312" t="s">
        <v>108</v>
      </c>
      <c r="H1907" s="312">
        <v>1827</v>
      </c>
      <c r="I1907" s="312" t="s">
        <v>107</v>
      </c>
      <c r="J1907" s="312">
        <v>1913</v>
      </c>
      <c r="K1907" s="312" t="s">
        <v>109</v>
      </c>
    </row>
    <row r="1908" spans="1:11">
      <c r="A1908" s="312" t="s">
        <v>3000</v>
      </c>
      <c r="B1908" s="312" t="s">
        <v>3001</v>
      </c>
      <c r="C1908" s="312" t="s">
        <v>105</v>
      </c>
      <c r="D1908" s="312" t="s">
        <v>891</v>
      </c>
      <c r="E1908" s="312" t="s">
        <v>107</v>
      </c>
      <c r="F1908" s="312">
        <v>1825</v>
      </c>
      <c r="G1908" s="312" t="s">
        <v>108</v>
      </c>
      <c r="H1908" s="312">
        <v>1827</v>
      </c>
      <c r="I1908" s="312" t="s">
        <v>107</v>
      </c>
      <c r="J1908" s="312">
        <v>1913</v>
      </c>
      <c r="K1908" s="312" t="s">
        <v>109</v>
      </c>
    </row>
    <row r="1909" spans="1:11">
      <c r="A1909" s="312" t="s">
        <v>3456</v>
      </c>
      <c r="B1909" s="312" t="s">
        <v>3457</v>
      </c>
      <c r="C1909" s="312" t="s">
        <v>105</v>
      </c>
      <c r="D1909" s="312" t="s">
        <v>891</v>
      </c>
      <c r="E1909" s="312" t="s">
        <v>466</v>
      </c>
      <c r="F1909" s="312">
        <v>1796</v>
      </c>
      <c r="G1909" s="312" t="s">
        <v>467</v>
      </c>
      <c r="H1909" s="312">
        <v>1799</v>
      </c>
      <c r="I1909" s="312" t="s">
        <v>466</v>
      </c>
      <c r="J1909" s="312">
        <v>1918</v>
      </c>
      <c r="K1909" s="312" t="s">
        <v>468</v>
      </c>
    </row>
    <row r="1910" spans="1:11">
      <c r="A1910" s="312" t="s">
        <v>3458</v>
      </c>
      <c r="B1910" s="312" t="s">
        <v>3459</v>
      </c>
      <c r="C1910" s="312" t="s">
        <v>105</v>
      </c>
      <c r="D1910" s="312" t="s">
        <v>891</v>
      </c>
      <c r="E1910" s="312" t="s">
        <v>466</v>
      </c>
      <c r="F1910" s="312">
        <v>1796</v>
      </c>
      <c r="G1910" s="312" t="s">
        <v>467</v>
      </c>
      <c r="H1910" s="312">
        <v>1799</v>
      </c>
      <c r="I1910" s="312" t="s">
        <v>466</v>
      </c>
      <c r="J1910" s="312">
        <v>1918</v>
      </c>
      <c r="K1910" s="312" t="s">
        <v>468</v>
      </c>
    </row>
    <row r="1911" spans="1:11">
      <c r="A1911" s="312" t="s">
        <v>3460</v>
      </c>
      <c r="B1911" s="312" t="s">
        <v>3461</v>
      </c>
      <c r="C1911" s="312" t="s">
        <v>105</v>
      </c>
      <c r="D1911" s="312" t="s">
        <v>891</v>
      </c>
      <c r="E1911" s="312" t="s">
        <v>466</v>
      </c>
      <c r="F1911" s="312">
        <v>1796</v>
      </c>
      <c r="G1911" s="312" t="s">
        <v>467</v>
      </c>
      <c r="H1911" s="312">
        <v>1799</v>
      </c>
      <c r="I1911" s="312" t="s">
        <v>466</v>
      </c>
      <c r="J1911" s="312">
        <v>1918</v>
      </c>
      <c r="K1911" s="312" t="s">
        <v>468</v>
      </c>
    </row>
    <row r="1912" spans="1:11">
      <c r="A1912" s="312" t="s">
        <v>3462</v>
      </c>
      <c r="B1912" s="312" t="s">
        <v>3463</v>
      </c>
      <c r="C1912" s="312" t="s">
        <v>105</v>
      </c>
      <c r="D1912" s="312" t="s">
        <v>891</v>
      </c>
      <c r="E1912" s="312" t="s">
        <v>466</v>
      </c>
      <c r="F1912" s="312">
        <v>1796</v>
      </c>
      <c r="G1912" s="312" t="s">
        <v>467</v>
      </c>
      <c r="H1912" s="312">
        <v>1799</v>
      </c>
      <c r="I1912" s="312" t="s">
        <v>466</v>
      </c>
      <c r="J1912" s="312">
        <v>1918</v>
      </c>
      <c r="K1912" s="312" t="s">
        <v>468</v>
      </c>
    </row>
    <row r="1913" spans="1:11">
      <c r="A1913" s="312" t="s">
        <v>3474</v>
      </c>
      <c r="B1913" s="312" t="s">
        <v>3475</v>
      </c>
      <c r="C1913" s="312" t="s">
        <v>105</v>
      </c>
      <c r="D1913" s="312" t="s">
        <v>891</v>
      </c>
      <c r="E1913" s="312" t="s">
        <v>466</v>
      </c>
      <c r="F1913" s="312">
        <v>1796</v>
      </c>
      <c r="G1913" s="312" t="s">
        <v>467</v>
      </c>
      <c r="H1913" s="312">
        <v>1799</v>
      </c>
      <c r="I1913" s="312" t="s">
        <v>466</v>
      </c>
      <c r="J1913" s="312">
        <v>1918</v>
      </c>
      <c r="K1913" s="312" t="s">
        <v>468</v>
      </c>
    </row>
    <row r="1914" spans="1:11">
      <c r="A1914" s="312" t="s">
        <v>3476</v>
      </c>
      <c r="B1914" s="312" t="s">
        <v>3477</v>
      </c>
      <c r="C1914" s="312" t="s">
        <v>105</v>
      </c>
      <c r="D1914" s="312" t="s">
        <v>891</v>
      </c>
      <c r="E1914" s="312" t="s">
        <v>466</v>
      </c>
      <c r="F1914" s="312">
        <v>1796</v>
      </c>
      <c r="G1914" s="312" t="s">
        <v>467</v>
      </c>
      <c r="H1914" s="312">
        <v>1799</v>
      </c>
      <c r="I1914" s="312" t="s">
        <v>466</v>
      </c>
      <c r="J1914" s="312">
        <v>1918</v>
      </c>
      <c r="K1914" s="312" t="s">
        <v>468</v>
      </c>
    </row>
    <row r="1915" spans="1:11">
      <c r="A1915" s="312" t="s">
        <v>3977</v>
      </c>
      <c r="B1915" s="312" t="s">
        <v>3978</v>
      </c>
      <c r="C1915" s="312" t="s">
        <v>105</v>
      </c>
      <c r="D1915" s="312" t="s">
        <v>891</v>
      </c>
      <c r="E1915" s="312" t="s">
        <v>466</v>
      </c>
      <c r="F1915" s="312">
        <v>1796</v>
      </c>
      <c r="G1915" s="312" t="s">
        <v>467</v>
      </c>
      <c r="H1915" s="312">
        <v>1799</v>
      </c>
      <c r="I1915" s="312" t="s">
        <v>466</v>
      </c>
      <c r="J1915" s="312">
        <v>1918</v>
      </c>
      <c r="K1915" s="312" t="s">
        <v>468</v>
      </c>
    </row>
    <row r="1916" spans="1:11">
      <c r="A1916" s="312" t="s">
        <v>3979</v>
      </c>
      <c r="B1916" s="312" t="s">
        <v>3980</v>
      </c>
      <c r="C1916" s="312" t="s">
        <v>105</v>
      </c>
      <c r="D1916" s="312" t="s">
        <v>891</v>
      </c>
      <c r="E1916" s="312" t="s">
        <v>466</v>
      </c>
      <c r="F1916" s="312">
        <v>1796</v>
      </c>
      <c r="G1916" s="312" t="s">
        <v>467</v>
      </c>
      <c r="H1916" s="312">
        <v>1799</v>
      </c>
      <c r="I1916" s="312" t="s">
        <v>466</v>
      </c>
      <c r="J1916" s="312">
        <v>1918</v>
      </c>
      <c r="K1916" s="312" t="s">
        <v>468</v>
      </c>
    </row>
    <row r="1917" spans="1:11">
      <c r="A1917" s="312" t="s">
        <v>3981</v>
      </c>
      <c r="B1917" s="312" t="s">
        <v>3982</v>
      </c>
      <c r="C1917" s="312" t="s">
        <v>105</v>
      </c>
      <c r="D1917" s="312" t="s">
        <v>891</v>
      </c>
      <c r="E1917" s="312" t="s">
        <v>466</v>
      </c>
      <c r="F1917" s="312">
        <v>1796</v>
      </c>
      <c r="G1917" s="312" t="s">
        <v>467</v>
      </c>
      <c r="H1917" s="312">
        <v>1799</v>
      </c>
      <c r="I1917" s="312" t="s">
        <v>466</v>
      </c>
      <c r="J1917" s="312">
        <v>1918</v>
      </c>
      <c r="K1917" s="312" t="s">
        <v>468</v>
      </c>
    </row>
    <row r="1918" spans="1:11">
      <c r="A1918" s="312" t="s">
        <v>3996</v>
      </c>
      <c r="B1918" s="312" t="s">
        <v>3997</v>
      </c>
      <c r="C1918" s="312" t="s">
        <v>105</v>
      </c>
      <c r="D1918" s="312" t="s">
        <v>891</v>
      </c>
      <c r="E1918" s="312" t="s">
        <v>466</v>
      </c>
      <c r="F1918" s="312">
        <v>1796</v>
      </c>
      <c r="G1918" s="312" t="s">
        <v>467</v>
      </c>
      <c r="H1918" s="312">
        <v>1799</v>
      </c>
      <c r="I1918" s="312" t="s">
        <v>466</v>
      </c>
      <c r="J1918" s="312">
        <v>1918</v>
      </c>
      <c r="K1918" s="312" t="s">
        <v>468</v>
      </c>
    </row>
    <row r="1919" spans="1:11">
      <c r="A1919" s="312" t="s">
        <v>3998</v>
      </c>
      <c r="B1919" s="312" t="s">
        <v>3999</v>
      </c>
      <c r="C1919" s="312" t="s">
        <v>105</v>
      </c>
      <c r="D1919" s="312" t="s">
        <v>891</v>
      </c>
      <c r="E1919" s="312" t="s">
        <v>466</v>
      </c>
      <c r="F1919" s="312">
        <v>1796</v>
      </c>
      <c r="G1919" s="312" t="s">
        <v>467</v>
      </c>
      <c r="H1919" s="312">
        <v>1799</v>
      </c>
      <c r="I1919" s="312" t="s">
        <v>466</v>
      </c>
      <c r="J1919" s="312">
        <v>1918</v>
      </c>
      <c r="K1919" s="312" t="s">
        <v>468</v>
      </c>
    </row>
    <row r="1920" spans="1:11">
      <c r="A1920" s="312" t="s">
        <v>4000</v>
      </c>
      <c r="B1920" s="312" t="s">
        <v>4001</v>
      </c>
      <c r="C1920" s="312" t="s">
        <v>105</v>
      </c>
      <c r="D1920" s="312" t="s">
        <v>891</v>
      </c>
      <c r="E1920" s="312" t="s">
        <v>466</v>
      </c>
      <c r="F1920" s="312">
        <v>1796</v>
      </c>
      <c r="G1920" s="312" t="s">
        <v>467</v>
      </c>
      <c r="H1920" s="312">
        <v>1799</v>
      </c>
      <c r="I1920" s="312" t="s">
        <v>466</v>
      </c>
      <c r="J1920" s="312">
        <v>1918</v>
      </c>
      <c r="K1920" s="312" t="s">
        <v>468</v>
      </c>
    </row>
    <row r="1921" spans="1:11">
      <c r="A1921" s="312" t="s">
        <v>4002</v>
      </c>
      <c r="B1921" s="312" t="s">
        <v>4003</v>
      </c>
      <c r="C1921" s="312" t="s">
        <v>105</v>
      </c>
      <c r="D1921" s="312" t="s">
        <v>891</v>
      </c>
      <c r="E1921" s="312" t="s">
        <v>466</v>
      </c>
      <c r="F1921" s="312">
        <v>1796</v>
      </c>
      <c r="G1921" s="312" t="s">
        <v>467</v>
      </c>
      <c r="H1921" s="312">
        <v>1799</v>
      </c>
      <c r="I1921" s="312" t="s">
        <v>466</v>
      </c>
      <c r="J1921" s="312">
        <v>1918</v>
      </c>
      <c r="K1921" s="312" t="s">
        <v>468</v>
      </c>
    </row>
    <row r="1922" spans="1:11">
      <c r="A1922" s="312" t="s">
        <v>4004</v>
      </c>
      <c r="B1922" s="312" t="s">
        <v>4005</v>
      </c>
      <c r="C1922" s="312" t="s">
        <v>105</v>
      </c>
      <c r="D1922" s="312" t="s">
        <v>891</v>
      </c>
      <c r="E1922" s="312" t="s">
        <v>466</v>
      </c>
      <c r="F1922" s="312">
        <v>1796</v>
      </c>
      <c r="G1922" s="312" t="s">
        <v>467</v>
      </c>
      <c r="H1922" s="312">
        <v>1799</v>
      </c>
      <c r="I1922" s="312" t="s">
        <v>466</v>
      </c>
      <c r="J1922" s="312">
        <v>1918</v>
      </c>
      <c r="K1922" s="312" t="s">
        <v>468</v>
      </c>
    </row>
    <row r="1923" spans="1:11">
      <c r="A1923" s="312" t="s">
        <v>4006</v>
      </c>
      <c r="B1923" s="312" t="s">
        <v>4007</v>
      </c>
      <c r="C1923" s="312" t="s">
        <v>105</v>
      </c>
      <c r="D1923" s="312" t="s">
        <v>891</v>
      </c>
      <c r="E1923" s="312" t="s">
        <v>466</v>
      </c>
      <c r="F1923" s="312">
        <v>1796</v>
      </c>
      <c r="G1923" s="312" t="s">
        <v>467</v>
      </c>
      <c r="H1923" s="312">
        <v>1799</v>
      </c>
      <c r="I1923" s="312" t="s">
        <v>466</v>
      </c>
      <c r="J1923" s="312">
        <v>1918</v>
      </c>
      <c r="K1923" s="312" t="s">
        <v>468</v>
      </c>
    </row>
    <row r="1924" spans="1:11">
      <c r="A1924" s="312" t="s">
        <v>4022</v>
      </c>
      <c r="B1924" s="312" t="s">
        <v>4023</v>
      </c>
      <c r="C1924" s="312" t="s">
        <v>105</v>
      </c>
      <c r="D1924" s="312" t="s">
        <v>891</v>
      </c>
      <c r="E1924" s="312" t="s">
        <v>466</v>
      </c>
      <c r="F1924" s="312">
        <v>1796</v>
      </c>
      <c r="G1924" s="312" t="s">
        <v>467</v>
      </c>
      <c r="H1924" s="312">
        <v>1799</v>
      </c>
      <c r="I1924" s="312" t="s">
        <v>466</v>
      </c>
      <c r="J1924" s="312">
        <v>1918</v>
      </c>
      <c r="K1924" s="312" t="s">
        <v>468</v>
      </c>
    </row>
    <row r="1925" spans="1:11">
      <c r="A1925" s="312" t="s">
        <v>4024</v>
      </c>
      <c r="B1925" s="312" t="s">
        <v>4025</v>
      </c>
      <c r="C1925" s="312" t="s">
        <v>105</v>
      </c>
      <c r="D1925" s="312" t="s">
        <v>891</v>
      </c>
      <c r="E1925" s="312" t="s">
        <v>466</v>
      </c>
      <c r="F1925" s="312">
        <v>1796</v>
      </c>
      <c r="G1925" s="312" t="s">
        <v>467</v>
      </c>
      <c r="H1925" s="312">
        <v>1799</v>
      </c>
      <c r="I1925" s="312" t="s">
        <v>466</v>
      </c>
      <c r="J1925" s="312">
        <v>1918</v>
      </c>
      <c r="K1925" s="312" t="s">
        <v>468</v>
      </c>
    </row>
    <row r="1926" spans="1:11">
      <c r="A1926" s="312" t="s">
        <v>4026</v>
      </c>
      <c r="B1926" s="312" t="s">
        <v>4027</v>
      </c>
      <c r="C1926" s="312" t="s">
        <v>105</v>
      </c>
      <c r="D1926" s="312" t="s">
        <v>891</v>
      </c>
      <c r="E1926" s="312" t="s">
        <v>466</v>
      </c>
      <c r="F1926" s="312">
        <v>1796</v>
      </c>
      <c r="G1926" s="312" t="s">
        <v>467</v>
      </c>
      <c r="H1926" s="312">
        <v>1799</v>
      </c>
      <c r="I1926" s="312" t="s">
        <v>466</v>
      </c>
      <c r="J1926" s="312">
        <v>1918</v>
      </c>
      <c r="K1926" s="312" t="s">
        <v>468</v>
      </c>
    </row>
    <row r="1927" spans="1:11">
      <c r="A1927" s="312" t="s">
        <v>4028</v>
      </c>
      <c r="B1927" s="312" t="s">
        <v>4029</v>
      </c>
      <c r="C1927" s="312" t="s">
        <v>105</v>
      </c>
      <c r="D1927" s="312" t="s">
        <v>891</v>
      </c>
      <c r="E1927" s="312" t="s">
        <v>466</v>
      </c>
      <c r="F1927" s="312">
        <v>1796</v>
      </c>
      <c r="G1927" s="312" t="s">
        <v>467</v>
      </c>
      <c r="H1927" s="312">
        <v>1799</v>
      </c>
      <c r="I1927" s="312" t="s">
        <v>466</v>
      </c>
      <c r="J1927" s="312">
        <v>1918</v>
      </c>
      <c r="K1927" s="312" t="s">
        <v>468</v>
      </c>
    </row>
    <row r="1928" spans="1:11">
      <c r="A1928" s="312" t="s">
        <v>4030</v>
      </c>
      <c r="B1928" s="312" t="s">
        <v>4031</v>
      </c>
      <c r="C1928" s="312" t="s">
        <v>105</v>
      </c>
      <c r="D1928" s="312" t="s">
        <v>891</v>
      </c>
      <c r="E1928" s="312" t="s">
        <v>466</v>
      </c>
      <c r="F1928" s="312">
        <v>1796</v>
      </c>
      <c r="G1928" s="312" t="s">
        <v>467</v>
      </c>
      <c r="H1928" s="312">
        <v>1799</v>
      </c>
      <c r="I1928" s="312" t="s">
        <v>466</v>
      </c>
      <c r="J1928" s="312">
        <v>1918</v>
      </c>
      <c r="K1928" s="312" t="s">
        <v>468</v>
      </c>
    </row>
    <row r="1929" spans="1:11">
      <c r="A1929" s="312" t="s">
        <v>4121</v>
      </c>
      <c r="B1929" s="312" t="s">
        <v>4122</v>
      </c>
      <c r="C1929" s="312" t="s">
        <v>105</v>
      </c>
      <c r="D1929" s="312" t="s">
        <v>891</v>
      </c>
      <c r="E1929" s="312" t="s">
        <v>167</v>
      </c>
      <c r="F1929" s="312">
        <v>1705</v>
      </c>
      <c r="G1929" s="312" t="s">
        <v>168</v>
      </c>
      <c r="H1929" s="312">
        <v>1707</v>
      </c>
      <c r="I1929" s="312" t="s">
        <v>167</v>
      </c>
      <c r="J1929" s="312">
        <v>1899</v>
      </c>
      <c r="K1929" s="312" t="s">
        <v>169</v>
      </c>
    </row>
    <row r="1930" spans="1:11">
      <c r="A1930" s="312" t="s">
        <v>4123</v>
      </c>
      <c r="B1930" s="312" t="s">
        <v>4124</v>
      </c>
      <c r="C1930" s="312" t="s">
        <v>105</v>
      </c>
      <c r="D1930" s="312" t="s">
        <v>891</v>
      </c>
      <c r="E1930" s="312" t="s">
        <v>167</v>
      </c>
      <c r="F1930" s="312">
        <v>1705</v>
      </c>
      <c r="G1930" s="312" t="s">
        <v>168</v>
      </c>
      <c r="H1930" s="312">
        <v>1707</v>
      </c>
      <c r="I1930" s="312" t="s">
        <v>167</v>
      </c>
      <c r="J1930" s="312">
        <v>1899</v>
      </c>
      <c r="K1930" s="312" t="s">
        <v>169</v>
      </c>
    </row>
    <row r="1931" spans="1:11">
      <c r="A1931" s="312" t="s">
        <v>4125</v>
      </c>
      <c r="B1931" s="312" t="s">
        <v>4126</v>
      </c>
      <c r="C1931" s="312" t="s">
        <v>105</v>
      </c>
      <c r="D1931" s="312" t="s">
        <v>891</v>
      </c>
      <c r="E1931" s="312" t="s">
        <v>167</v>
      </c>
      <c r="F1931" s="312">
        <v>1705</v>
      </c>
      <c r="G1931" s="312" t="s">
        <v>168</v>
      </c>
      <c r="H1931" s="312">
        <v>1707</v>
      </c>
      <c r="I1931" s="312" t="s">
        <v>167</v>
      </c>
      <c r="J1931" s="312">
        <v>1899</v>
      </c>
      <c r="K1931" s="312" t="s">
        <v>169</v>
      </c>
    </row>
    <row r="1932" spans="1:11">
      <c r="A1932" s="312" t="s">
        <v>4137</v>
      </c>
      <c r="B1932" s="312" t="s">
        <v>4138</v>
      </c>
      <c r="C1932" s="312" t="s">
        <v>105</v>
      </c>
      <c r="D1932" s="312" t="s">
        <v>891</v>
      </c>
      <c r="E1932" s="312" t="s">
        <v>107</v>
      </c>
      <c r="F1932" s="312">
        <v>1825</v>
      </c>
      <c r="G1932" s="312" t="s">
        <v>108</v>
      </c>
      <c r="H1932" s="312">
        <v>1827</v>
      </c>
      <c r="I1932" s="312" t="s">
        <v>107</v>
      </c>
      <c r="J1932" s="312">
        <v>1913</v>
      </c>
      <c r="K1932" s="312" t="s">
        <v>109</v>
      </c>
    </row>
    <row r="1933" spans="1:11">
      <c r="A1933" s="312" t="s">
        <v>4293</v>
      </c>
      <c r="B1933" s="312" t="s">
        <v>4294</v>
      </c>
      <c r="C1933" s="312" t="s">
        <v>105</v>
      </c>
      <c r="D1933" s="312" t="s">
        <v>891</v>
      </c>
      <c r="E1933" s="312" t="s">
        <v>107</v>
      </c>
      <c r="F1933" s="312">
        <v>1825</v>
      </c>
      <c r="G1933" s="312" t="s">
        <v>108</v>
      </c>
      <c r="H1933" s="312">
        <v>1827</v>
      </c>
      <c r="I1933" s="312" t="s">
        <v>107</v>
      </c>
      <c r="J1933" s="312">
        <v>1913</v>
      </c>
      <c r="K1933" s="312" t="s">
        <v>109</v>
      </c>
    </row>
    <row r="1934" spans="1:11">
      <c r="A1934" s="312" t="s">
        <v>4347</v>
      </c>
      <c r="B1934" s="312" t="s">
        <v>4348</v>
      </c>
      <c r="C1934" s="312" t="s">
        <v>105</v>
      </c>
      <c r="D1934" s="312" t="s">
        <v>891</v>
      </c>
      <c r="E1934" s="312" t="s">
        <v>107</v>
      </c>
      <c r="F1934" s="312">
        <v>1825</v>
      </c>
      <c r="G1934" s="312" t="s">
        <v>108</v>
      </c>
      <c r="H1934" s="312">
        <v>1827</v>
      </c>
      <c r="I1934" s="312" t="s">
        <v>107</v>
      </c>
      <c r="J1934" s="312">
        <v>1913</v>
      </c>
      <c r="K1934" s="312" t="s">
        <v>109</v>
      </c>
    </row>
    <row r="1935" spans="1:11">
      <c r="A1935" s="312" t="s">
        <v>4349</v>
      </c>
      <c r="B1935" s="312" t="s">
        <v>4350</v>
      </c>
      <c r="C1935" s="312" t="s">
        <v>105</v>
      </c>
      <c r="D1935" s="312" t="s">
        <v>891</v>
      </c>
      <c r="E1935" s="312" t="s">
        <v>107</v>
      </c>
      <c r="F1935" s="312">
        <v>1825</v>
      </c>
      <c r="G1935" s="312" t="s">
        <v>108</v>
      </c>
      <c r="H1935" s="312">
        <v>1827</v>
      </c>
      <c r="I1935" s="312" t="s">
        <v>107</v>
      </c>
      <c r="J1935" s="312">
        <v>1913</v>
      </c>
      <c r="K1935" s="312" t="s">
        <v>109</v>
      </c>
    </row>
    <row r="1936" spans="1:11">
      <c r="A1936" s="312" t="s">
        <v>4351</v>
      </c>
      <c r="B1936" s="312" t="s">
        <v>4352</v>
      </c>
      <c r="C1936" s="312" t="s">
        <v>105</v>
      </c>
      <c r="D1936" s="312" t="s">
        <v>891</v>
      </c>
      <c r="E1936" s="312" t="s">
        <v>466</v>
      </c>
      <c r="F1936" s="312">
        <v>1796</v>
      </c>
      <c r="G1936" s="312" t="s">
        <v>467</v>
      </c>
      <c r="H1936" s="312">
        <v>1799</v>
      </c>
      <c r="I1936" s="312" t="s">
        <v>466</v>
      </c>
      <c r="J1936" s="312">
        <v>1918</v>
      </c>
      <c r="K1936" s="312" t="s">
        <v>468</v>
      </c>
    </row>
    <row r="1937" spans="1:11">
      <c r="A1937" s="312" t="s">
        <v>4353</v>
      </c>
      <c r="B1937" s="312" t="s">
        <v>4354</v>
      </c>
      <c r="C1937" s="312" t="s">
        <v>105</v>
      </c>
      <c r="D1937" s="312" t="s">
        <v>891</v>
      </c>
      <c r="E1937" s="312" t="s">
        <v>466</v>
      </c>
      <c r="F1937" s="312">
        <v>1796</v>
      </c>
      <c r="G1937" s="312" t="s">
        <v>467</v>
      </c>
      <c r="H1937" s="312">
        <v>1799</v>
      </c>
      <c r="I1937" s="312" t="s">
        <v>466</v>
      </c>
      <c r="J1937" s="312">
        <v>1918</v>
      </c>
      <c r="K1937" s="312" t="s">
        <v>468</v>
      </c>
    </row>
    <row r="1938" spans="1:11">
      <c r="A1938" s="312" t="s">
        <v>4355</v>
      </c>
      <c r="B1938" s="312" t="s">
        <v>4356</v>
      </c>
      <c r="C1938" s="312" t="s">
        <v>105</v>
      </c>
      <c r="D1938" s="312" t="s">
        <v>891</v>
      </c>
      <c r="E1938" s="312" t="s">
        <v>466</v>
      </c>
      <c r="F1938" s="312">
        <v>1796</v>
      </c>
      <c r="G1938" s="312" t="s">
        <v>467</v>
      </c>
      <c r="H1938" s="312">
        <v>1799</v>
      </c>
      <c r="I1938" s="312" t="s">
        <v>466</v>
      </c>
      <c r="J1938" s="312">
        <v>1918</v>
      </c>
      <c r="K1938" s="312" t="s">
        <v>468</v>
      </c>
    </row>
    <row r="1939" spans="1:11">
      <c r="A1939" s="312" t="s">
        <v>4357</v>
      </c>
      <c r="B1939" s="312" t="s">
        <v>4358</v>
      </c>
      <c r="C1939" s="312" t="s">
        <v>105</v>
      </c>
      <c r="D1939" s="312" t="s">
        <v>891</v>
      </c>
      <c r="E1939" s="312" t="s">
        <v>466</v>
      </c>
      <c r="F1939" s="312">
        <v>1796</v>
      </c>
      <c r="G1939" s="312" t="s">
        <v>467</v>
      </c>
      <c r="H1939" s="312">
        <v>1799</v>
      </c>
      <c r="I1939" s="312" t="s">
        <v>466</v>
      </c>
      <c r="J1939" s="312">
        <v>1918</v>
      </c>
      <c r="K1939" s="312" t="s">
        <v>468</v>
      </c>
    </row>
    <row r="1940" spans="1:11">
      <c r="A1940" s="312" t="s">
        <v>4359</v>
      </c>
      <c r="B1940" s="312" t="s">
        <v>4360</v>
      </c>
      <c r="C1940" s="312" t="s">
        <v>105</v>
      </c>
      <c r="D1940" s="312" t="s">
        <v>891</v>
      </c>
      <c r="E1940" s="312" t="s">
        <v>107</v>
      </c>
      <c r="F1940" s="312">
        <v>1825</v>
      </c>
      <c r="G1940" s="312" t="s">
        <v>108</v>
      </c>
      <c r="H1940" s="312">
        <v>1827</v>
      </c>
      <c r="I1940" s="312" t="s">
        <v>107</v>
      </c>
      <c r="J1940" s="312">
        <v>1913</v>
      </c>
      <c r="K1940" s="312" t="s">
        <v>109</v>
      </c>
    </row>
    <row r="1941" spans="1:11">
      <c r="A1941" s="312" t="s">
        <v>4361</v>
      </c>
      <c r="B1941" s="312" t="s">
        <v>4362</v>
      </c>
      <c r="C1941" s="312" t="s">
        <v>105</v>
      </c>
      <c r="D1941" s="312" t="s">
        <v>891</v>
      </c>
      <c r="E1941" s="312" t="s">
        <v>107</v>
      </c>
      <c r="F1941" s="312">
        <v>1825</v>
      </c>
      <c r="G1941" s="312" t="s">
        <v>108</v>
      </c>
      <c r="H1941" s="312">
        <v>1827</v>
      </c>
      <c r="I1941" s="312" t="s">
        <v>107</v>
      </c>
      <c r="J1941" s="312">
        <v>1913</v>
      </c>
      <c r="K1941" s="312" t="s">
        <v>109</v>
      </c>
    </row>
    <row r="1942" spans="1:11">
      <c r="A1942" s="312" t="s">
        <v>4363</v>
      </c>
      <c r="B1942" s="312" t="s">
        <v>4364</v>
      </c>
      <c r="C1942" s="312" t="s">
        <v>105</v>
      </c>
      <c r="D1942" s="312" t="s">
        <v>891</v>
      </c>
      <c r="E1942" s="312" t="s">
        <v>107</v>
      </c>
      <c r="F1942" s="312">
        <v>1825</v>
      </c>
      <c r="G1942" s="312" t="s">
        <v>108</v>
      </c>
      <c r="H1942" s="312">
        <v>1827</v>
      </c>
      <c r="I1942" s="312" t="s">
        <v>107</v>
      </c>
      <c r="J1942" s="312">
        <v>1913</v>
      </c>
      <c r="K1942" s="312" t="s">
        <v>109</v>
      </c>
    </row>
    <row r="1943" spans="1:11">
      <c r="A1943" s="312" t="s">
        <v>4365</v>
      </c>
      <c r="B1943" s="312" t="s">
        <v>4366</v>
      </c>
      <c r="C1943" s="312" t="s">
        <v>105</v>
      </c>
      <c r="D1943" s="312" t="s">
        <v>891</v>
      </c>
      <c r="E1943" s="312" t="s">
        <v>107</v>
      </c>
      <c r="F1943" s="312">
        <v>1825</v>
      </c>
      <c r="G1943" s="312" t="s">
        <v>108</v>
      </c>
      <c r="H1943" s="312">
        <v>1827</v>
      </c>
      <c r="I1943" s="312" t="s">
        <v>107</v>
      </c>
      <c r="J1943" s="312">
        <v>1913</v>
      </c>
      <c r="K1943" s="312" t="s">
        <v>109</v>
      </c>
    </row>
    <row r="1944" spans="1:11">
      <c r="A1944" s="312" t="s">
        <v>4367</v>
      </c>
      <c r="B1944" s="312" t="s">
        <v>4368</v>
      </c>
      <c r="C1944" s="312" t="s">
        <v>105</v>
      </c>
      <c r="D1944" s="312" t="s">
        <v>891</v>
      </c>
      <c r="E1944" s="312" t="s">
        <v>466</v>
      </c>
      <c r="F1944" s="312">
        <v>1796</v>
      </c>
      <c r="G1944" s="312" t="s">
        <v>467</v>
      </c>
      <c r="H1944" s="312">
        <v>1799</v>
      </c>
      <c r="I1944" s="312" t="s">
        <v>466</v>
      </c>
      <c r="J1944" s="312">
        <v>1918</v>
      </c>
      <c r="K1944" s="312" t="s">
        <v>468</v>
      </c>
    </row>
    <row r="1945" spans="1:11">
      <c r="A1945" s="312" t="s">
        <v>4369</v>
      </c>
      <c r="B1945" s="312" t="s">
        <v>4370</v>
      </c>
      <c r="C1945" s="312" t="s">
        <v>105</v>
      </c>
      <c r="D1945" s="312" t="s">
        <v>891</v>
      </c>
      <c r="E1945" s="312" t="s">
        <v>107</v>
      </c>
      <c r="F1945" s="312">
        <v>1825</v>
      </c>
      <c r="G1945" s="312" t="s">
        <v>108</v>
      </c>
      <c r="H1945" s="312">
        <v>1827</v>
      </c>
      <c r="I1945" s="312" t="s">
        <v>107</v>
      </c>
      <c r="J1945" s="312">
        <v>1913</v>
      </c>
      <c r="K1945" s="312" t="s">
        <v>109</v>
      </c>
    </row>
    <row r="1946" spans="1:11">
      <c r="A1946" s="312" t="s">
        <v>4371</v>
      </c>
      <c r="B1946" s="312" t="s">
        <v>4372</v>
      </c>
      <c r="C1946" s="312" t="s">
        <v>105</v>
      </c>
      <c r="D1946" s="312" t="s">
        <v>891</v>
      </c>
      <c r="E1946" s="312" t="s">
        <v>107</v>
      </c>
      <c r="F1946" s="312">
        <v>1825</v>
      </c>
      <c r="G1946" s="312" t="s">
        <v>108</v>
      </c>
      <c r="H1946" s="312">
        <v>1827</v>
      </c>
      <c r="I1946" s="312" t="s">
        <v>107</v>
      </c>
      <c r="J1946" s="312">
        <v>1913</v>
      </c>
      <c r="K1946" s="312" t="s">
        <v>109</v>
      </c>
    </row>
    <row r="1947" spans="1:11">
      <c r="A1947" s="312" t="s">
        <v>4373</v>
      </c>
      <c r="B1947" s="312" t="s">
        <v>4374</v>
      </c>
      <c r="C1947" s="312" t="s">
        <v>105</v>
      </c>
      <c r="D1947" s="312" t="s">
        <v>891</v>
      </c>
      <c r="E1947" s="312" t="s">
        <v>107</v>
      </c>
      <c r="F1947" s="312">
        <v>1825</v>
      </c>
      <c r="G1947" s="312" t="s">
        <v>108</v>
      </c>
      <c r="H1947" s="312">
        <v>1827</v>
      </c>
      <c r="I1947" s="312" t="s">
        <v>107</v>
      </c>
      <c r="J1947" s="312">
        <v>1913</v>
      </c>
      <c r="K1947" s="312" t="s">
        <v>109</v>
      </c>
    </row>
    <row r="1948" spans="1:11">
      <c r="A1948" s="312" t="s">
        <v>4375</v>
      </c>
      <c r="B1948" s="312" t="s">
        <v>4376</v>
      </c>
      <c r="C1948" s="312" t="s">
        <v>105</v>
      </c>
      <c r="D1948" s="312" t="s">
        <v>891</v>
      </c>
      <c r="E1948" s="312" t="s">
        <v>107</v>
      </c>
      <c r="F1948" s="312">
        <v>1825</v>
      </c>
      <c r="G1948" s="312" t="s">
        <v>108</v>
      </c>
      <c r="H1948" s="312">
        <v>1827</v>
      </c>
      <c r="I1948" s="312" t="s">
        <v>107</v>
      </c>
      <c r="J1948" s="312">
        <v>1913</v>
      </c>
      <c r="K1948" s="312" t="s">
        <v>109</v>
      </c>
    </row>
    <row r="1949" spans="1:11">
      <c r="A1949" s="312" t="s">
        <v>4563</v>
      </c>
      <c r="B1949" s="312" t="s">
        <v>4564</v>
      </c>
      <c r="C1949" s="312" t="s">
        <v>105</v>
      </c>
      <c r="D1949" s="312" t="s">
        <v>891</v>
      </c>
      <c r="E1949" s="312" t="s">
        <v>107</v>
      </c>
      <c r="F1949" s="312">
        <v>1825</v>
      </c>
      <c r="G1949" s="312" t="s">
        <v>108</v>
      </c>
      <c r="H1949" s="312">
        <v>1827</v>
      </c>
      <c r="I1949" s="312" t="s">
        <v>107</v>
      </c>
      <c r="J1949" s="312">
        <v>1913</v>
      </c>
      <c r="K1949" s="312" t="s">
        <v>109</v>
      </c>
    </row>
    <row r="1950" spans="1:11">
      <c r="A1950" s="312" t="s">
        <v>4565</v>
      </c>
      <c r="B1950" s="312" t="s">
        <v>4566</v>
      </c>
      <c r="C1950" s="312" t="s">
        <v>105</v>
      </c>
      <c r="D1950" s="312" t="s">
        <v>891</v>
      </c>
      <c r="E1950" s="312" t="s">
        <v>107</v>
      </c>
      <c r="F1950" s="312">
        <v>1825</v>
      </c>
      <c r="G1950" s="312" t="s">
        <v>108</v>
      </c>
      <c r="H1950" s="312">
        <v>1827</v>
      </c>
      <c r="I1950" s="312" t="s">
        <v>107</v>
      </c>
      <c r="J1950" s="312">
        <v>1913</v>
      </c>
      <c r="K1950" s="312" t="s">
        <v>109</v>
      </c>
    </row>
    <row r="1951" spans="1:11">
      <c r="A1951" s="312" t="s">
        <v>4567</v>
      </c>
      <c r="B1951" s="312" t="s">
        <v>4568</v>
      </c>
      <c r="C1951" s="312" t="s">
        <v>105</v>
      </c>
      <c r="D1951" s="312" t="s">
        <v>891</v>
      </c>
      <c r="E1951" s="312" t="s">
        <v>107</v>
      </c>
      <c r="F1951" s="312">
        <v>1825</v>
      </c>
      <c r="G1951" s="312" t="s">
        <v>108</v>
      </c>
      <c r="H1951" s="312">
        <v>1827</v>
      </c>
      <c r="I1951" s="312" t="s">
        <v>107</v>
      </c>
      <c r="J1951" s="312">
        <v>1913</v>
      </c>
      <c r="K1951" s="312" t="s">
        <v>109</v>
      </c>
    </row>
    <row r="1952" spans="1:11">
      <c r="A1952" s="312" t="s">
        <v>4569</v>
      </c>
      <c r="B1952" s="312" t="s">
        <v>4570</v>
      </c>
      <c r="C1952" s="312" t="s">
        <v>105</v>
      </c>
      <c r="D1952" s="312" t="s">
        <v>891</v>
      </c>
      <c r="E1952" s="312" t="s">
        <v>107</v>
      </c>
      <c r="F1952" s="312">
        <v>1825</v>
      </c>
      <c r="G1952" s="312" t="s">
        <v>108</v>
      </c>
      <c r="H1952" s="312">
        <v>1827</v>
      </c>
      <c r="I1952" s="312" t="s">
        <v>107</v>
      </c>
      <c r="J1952" s="312">
        <v>1913</v>
      </c>
      <c r="K1952" s="312" t="s">
        <v>109</v>
      </c>
    </row>
    <row r="1953" spans="1:11">
      <c r="A1953" s="312" t="s">
        <v>4855</v>
      </c>
      <c r="B1953" s="1" t="s">
        <v>4856</v>
      </c>
      <c r="C1953" s="312" t="s">
        <v>105</v>
      </c>
      <c r="D1953" s="312" t="s">
        <v>891</v>
      </c>
      <c r="E1953" s="312" t="s">
        <v>466</v>
      </c>
      <c r="F1953" s="312">
        <v>1796</v>
      </c>
      <c r="G1953" s="312" t="s">
        <v>467</v>
      </c>
      <c r="H1953" s="312">
        <v>1799</v>
      </c>
      <c r="I1953" s="312" t="s">
        <v>466</v>
      </c>
      <c r="J1953" s="312">
        <v>1918</v>
      </c>
      <c r="K1953" s="312" t="s">
        <v>468</v>
      </c>
    </row>
    <row r="1954" spans="1:11">
      <c r="A1954" s="312" t="s">
        <v>4857</v>
      </c>
      <c r="B1954" s="312" t="s">
        <v>4858</v>
      </c>
      <c r="C1954" s="312" t="s">
        <v>105</v>
      </c>
      <c r="D1954" s="312" t="s">
        <v>891</v>
      </c>
      <c r="E1954" s="312" t="s">
        <v>466</v>
      </c>
      <c r="F1954" s="312">
        <v>1796</v>
      </c>
      <c r="G1954" s="312" t="s">
        <v>467</v>
      </c>
      <c r="H1954" s="312">
        <v>1799</v>
      </c>
      <c r="I1954" s="312" t="s">
        <v>466</v>
      </c>
      <c r="J1954" s="312">
        <v>1918</v>
      </c>
      <c r="K1954" s="312" t="s">
        <v>468</v>
      </c>
    </row>
    <row r="1955" spans="1:11">
      <c r="A1955" s="312" t="s">
        <v>5236</v>
      </c>
      <c r="B1955" s="312" t="s">
        <v>5237</v>
      </c>
      <c r="C1955" s="312" t="s">
        <v>105</v>
      </c>
      <c r="D1955" s="312" t="s">
        <v>891</v>
      </c>
      <c r="E1955" s="312" t="s">
        <v>107</v>
      </c>
      <c r="F1955" s="312">
        <v>1825</v>
      </c>
      <c r="G1955" s="312" t="s">
        <v>108</v>
      </c>
      <c r="H1955" s="312">
        <v>1827</v>
      </c>
      <c r="I1955" s="312" t="s">
        <v>107</v>
      </c>
      <c r="J1955" s="312">
        <v>1913</v>
      </c>
      <c r="K1955" s="312" t="s">
        <v>109</v>
      </c>
    </row>
    <row r="1956" spans="1:11">
      <c r="A1956" s="312" t="s">
        <v>5426</v>
      </c>
      <c r="B1956" s="312" t="s">
        <v>5427</v>
      </c>
      <c r="C1956" s="312" t="s">
        <v>105</v>
      </c>
      <c r="D1956" s="312" t="s">
        <v>891</v>
      </c>
      <c r="E1956" s="312" t="s">
        <v>107</v>
      </c>
      <c r="F1956" s="312">
        <v>1825</v>
      </c>
      <c r="G1956" s="312" t="s">
        <v>108</v>
      </c>
      <c r="H1956" s="312">
        <v>1827</v>
      </c>
      <c r="I1956" s="312" t="s">
        <v>107</v>
      </c>
      <c r="J1956" s="312">
        <v>1913</v>
      </c>
      <c r="K1956" s="312" t="s">
        <v>109</v>
      </c>
    </row>
    <row r="1957" spans="1:11">
      <c r="A1957" s="312" t="s">
        <v>5428</v>
      </c>
      <c r="B1957" s="312" t="s">
        <v>5429</v>
      </c>
      <c r="C1957" s="312" t="s">
        <v>105</v>
      </c>
      <c r="D1957" s="312" t="s">
        <v>891</v>
      </c>
      <c r="E1957" s="312" t="s">
        <v>107</v>
      </c>
      <c r="F1957" s="312">
        <v>1825</v>
      </c>
      <c r="G1957" s="312" t="s">
        <v>108</v>
      </c>
      <c r="H1957" s="312">
        <v>1827</v>
      </c>
      <c r="I1957" s="312" t="s">
        <v>107</v>
      </c>
      <c r="J1957" s="312">
        <v>1913</v>
      </c>
      <c r="K1957" s="312" t="s">
        <v>109</v>
      </c>
    </row>
    <row r="1958" spans="1:11">
      <c r="A1958" s="312" t="s">
        <v>5430</v>
      </c>
      <c r="B1958" s="312" t="s">
        <v>5431</v>
      </c>
      <c r="C1958" s="312" t="s">
        <v>105</v>
      </c>
      <c r="D1958" s="312" t="s">
        <v>891</v>
      </c>
      <c r="E1958" s="312" t="s">
        <v>107</v>
      </c>
      <c r="F1958" s="312">
        <v>1825</v>
      </c>
      <c r="G1958" s="312" t="s">
        <v>108</v>
      </c>
      <c r="H1958" s="312">
        <v>1827</v>
      </c>
      <c r="I1958" s="312" t="s">
        <v>107</v>
      </c>
      <c r="J1958" s="312">
        <v>1913</v>
      </c>
      <c r="K1958" s="312" t="s">
        <v>109</v>
      </c>
    </row>
    <row r="1959" spans="1:11">
      <c r="A1959" s="312" t="s">
        <v>5432</v>
      </c>
      <c r="B1959" s="312" t="s">
        <v>5433</v>
      </c>
      <c r="C1959" s="312" t="s">
        <v>105</v>
      </c>
      <c r="D1959" s="312" t="s">
        <v>891</v>
      </c>
      <c r="E1959" s="312" t="s">
        <v>107</v>
      </c>
      <c r="F1959" s="312">
        <v>1825</v>
      </c>
      <c r="G1959" s="312" t="s">
        <v>108</v>
      </c>
      <c r="H1959" s="312">
        <v>1827</v>
      </c>
      <c r="I1959" s="312" t="s">
        <v>107</v>
      </c>
      <c r="J1959" s="312">
        <v>1913</v>
      </c>
      <c r="K1959" s="312" t="s">
        <v>109</v>
      </c>
    </row>
    <row r="1960" spans="1:11">
      <c r="A1960" s="312" t="s">
        <v>5939</v>
      </c>
      <c r="B1960" s="312" t="s">
        <v>5940</v>
      </c>
      <c r="C1960" s="312" t="s">
        <v>105</v>
      </c>
      <c r="D1960" s="312" t="s">
        <v>891</v>
      </c>
      <c r="E1960" s="312" t="s">
        <v>466</v>
      </c>
      <c r="F1960" s="312">
        <v>1796</v>
      </c>
      <c r="G1960" s="312" t="s">
        <v>467</v>
      </c>
      <c r="H1960" s="312">
        <v>1799</v>
      </c>
      <c r="I1960" s="312" t="s">
        <v>466</v>
      </c>
      <c r="J1960" s="312">
        <v>1918</v>
      </c>
      <c r="K1960" s="312" t="s">
        <v>468</v>
      </c>
    </row>
    <row r="1961" spans="1:11">
      <c r="A1961" s="312" t="s">
        <v>510</v>
      </c>
      <c r="B1961" s="312" t="s">
        <v>511</v>
      </c>
      <c r="C1961" s="312" t="s">
        <v>105</v>
      </c>
      <c r="D1961" s="312" t="s">
        <v>512</v>
      </c>
      <c r="E1961" s="312" t="s">
        <v>107</v>
      </c>
      <c r="F1961" s="312">
        <v>1825</v>
      </c>
      <c r="G1961" s="312" t="s">
        <v>108</v>
      </c>
      <c r="H1961" s="312">
        <v>1827</v>
      </c>
      <c r="I1961" s="312" t="s">
        <v>107</v>
      </c>
      <c r="J1961" s="312">
        <v>1913</v>
      </c>
      <c r="K1961" s="312" t="s">
        <v>109</v>
      </c>
    </row>
    <row r="1962" spans="1:11">
      <c r="A1962" s="312" t="s">
        <v>527</v>
      </c>
      <c r="B1962" s="312" t="s">
        <v>528</v>
      </c>
      <c r="C1962" s="312" t="s">
        <v>105</v>
      </c>
      <c r="D1962" s="312" t="s">
        <v>512</v>
      </c>
      <c r="E1962" s="312" t="s">
        <v>107</v>
      </c>
      <c r="F1962" s="312">
        <v>1825</v>
      </c>
      <c r="G1962" s="312" t="s">
        <v>108</v>
      </c>
      <c r="H1962" s="312">
        <v>1827</v>
      </c>
      <c r="I1962" s="312" t="s">
        <v>107</v>
      </c>
      <c r="J1962" s="312">
        <v>1913</v>
      </c>
      <c r="K1962" s="312" t="s">
        <v>109</v>
      </c>
    </row>
    <row r="1963" spans="1:11">
      <c r="A1963" s="312" t="s">
        <v>1041</v>
      </c>
      <c r="B1963" s="312" t="s">
        <v>1042</v>
      </c>
      <c r="C1963" s="312" t="s">
        <v>105</v>
      </c>
      <c r="D1963" s="312" t="s">
        <v>512</v>
      </c>
      <c r="E1963" s="312" t="s">
        <v>107</v>
      </c>
      <c r="F1963" s="312">
        <v>1825</v>
      </c>
      <c r="G1963" s="312" t="s">
        <v>108</v>
      </c>
      <c r="H1963" s="312">
        <v>1827</v>
      </c>
      <c r="I1963" s="312" t="s">
        <v>107</v>
      </c>
      <c r="J1963" s="312">
        <v>1913</v>
      </c>
      <c r="K1963" s="312" t="s">
        <v>109</v>
      </c>
    </row>
    <row r="1964" spans="1:11">
      <c r="A1964" s="312" t="s">
        <v>1333</v>
      </c>
      <c r="B1964" s="312" t="s">
        <v>1334</v>
      </c>
      <c r="C1964" s="312" t="s">
        <v>105</v>
      </c>
      <c r="D1964" s="312" t="s">
        <v>512</v>
      </c>
      <c r="E1964" s="312" t="s">
        <v>167</v>
      </c>
      <c r="F1964" s="312">
        <v>1705</v>
      </c>
      <c r="G1964" s="312" t="s">
        <v>168</v>
      </c>
      <c r="H1964" s="312">
        <v>1707</v>
      </c>
      <c r="I1964" s="312" t="s">
        <v>167</v>
      </c>
      <c r="J1964" s="312">
        <v>1899</v>
      </c>
      <c r="K1964" s="312" t="s">
        <v>169</v>
      </c>
    </row>
    <row r="1965" spans="1:11">
      <c r="A1965" s="312" t="s">
        <v>1335</v>
      </c>
      <c r="B1965" s="312" t="s">
        <v>1336</v>
      </c>
      <c r="C1965" s="312" t="s">
        <v>105</v>
      </c>
      <c r="D1965" s="312" t="s">
        <v>512</v>
      </c>
      <c r="E1965" s="312" t="s">
        <v>167</v>
      </c>
      <c r="F1965" s="312">
        <v>1705</v>
      </c>
      <c r="G1965" s="312" t="s">
        <v>168</v>
      </c>
      <c r="H1965" s="312">
        <v>1707</v>
      </c>
      <c r="I1965" s="312" t="s">
        <v>167</v>
      </c>
      <c r="J1965" s="312">
        <v>1899</v>
      </c>
      <c r="K1965" s="312" t="s">
        <v>169</v>
      </c>
    </row>
    <row r="1966" spans="1:11">
      <c r="A1966" s="312" t="s">
        <v>1622</v>
      </c>
      <c r="B1966" s="312" t="s">
        <v>1623</v>
      </c>
      <c r="C1966" s="312" t="s">
        <v>105</v>
      </c>
      <c r="D1966" s="312" t="s">
        <v>512</v>
      </c>
      <c r="E1966" s="312" t="s">
        <v>167</v>
      </c>
      <c r="F1966" s="312">
        <v>1705</v>
      </c>
      <c r="G1966" s="312" t="s">
        <v>168</v>
      </c>
      <c r="H1966" s="312">
        <v>1707</v>
      </c>
      <c r="I1966" s="312" t="s">
        <v>167</v>
      </c>
      <c r="J1966" s="312">
        <v>1899</v>
      </c>
      <c r="K1966" s="312" t="s">
        <v>169</v>
      </c>
    </row>
    <row r="1967" spans="1:11">
      <c r="A1967" s="312" t="s">
        <v>1624</v>
      </c>
      <c r="B1967" s="312" t="s">
        <v>1625</v>
      </c>
      <c r="C1967" s="312" t="s">
        <v>105</v>
      </c>
      <c r="D1967" s="312" t="s">
        <v>512</v>
      </c>
      <c r="E1967" s="312" t="s">
        <v>167</v>
      </c>
      <c r="F1967" s="312">
        <v>1705</v>
      </c>
      <c r="G1967" s="312" t="s">
        <v>168</v>
      </c>
      <c r="H1967" s="312">
        <v>1707</v>
      </c>
      <c r="I1967" s="312" t="s">
        <v>167</v>
      </c>
      <c r="J1967" s="312">
        <v>1899</v>
      </c>
      <c r="K1967" s="312" t="s">
        <v>169</v>
      </c>
    </row>
    <row r="1968" spans="1:11">
      <c r="A1968" s="312" t="s">
        <v>1628</v>
      </c>
      <c r="B1968" s="312" t="s">
        <v>1629</v>
      </c>
      <c r="C1968" s="312" t="s">
        <v>105</v>
      </c>
      <c r="D1968" s="312" t="s">
        <v>512</v>
      </c>
      <c r="E1968" s="312" t="s">
        <v>167</v>
      </c>
      <c r="F1968" s="312">
        <v>1705</v>
      </c>
      <c r="G1968" s="312" t="s">
        <v>168</v>
      </c>
      <c r="H1968" s="312">
        <v>1707</v>
      </c>
      <c r="I1968" s="312" t="s">
        <v>167</v>
      </c>
      <c r="J1968" s="312">
        <v>1899</v>
      </c>
      <c r="K1968" s="312" t="s">
        <v>169</v>
      </c>
    </row>
    <row r="1969" spans="1:11">
      <c r="A1969" s="312" t="s">
        <v>1630</v>
      </c>
      <c r="B1969" s="312" t="s">
        <v>1631</v>
      </c>
      <c r="C1969" s="312" t="s">
        <v>105</v>
      </c>
      <c r="D1969" s="312" t="s">
        <v>512</v>
      </c>
      <c r="E1969" s="312" t="s">
        <v>167</v>
      </c>
      <c r="F1969" s="312">
        <v>1705</v>
      </c>
      <c r="G1969" s="312" t="s">
        <v>168</v>
      </c>
      <c r="H1969" s="312">
        <v>1707</v>
      </c>
      <c r="I1969" s="312" t="s">
        <v>167</v>
      </c>
      <c r="J1969" s="312">
        <v>1899</v>
      </c>
      <c r="K1969" s="312" t="s">
        <v>169</v>
      </c>
    </row>
    <row r="1970" spans="1:11">
      <c r="A1970" s="312" t="s">
        <v>2401</v>
      </c>
      <c r="B1970" s="312" t="s">
        <v>2402</v>
      </c>
      <c r="C1970" s="312" t="s">
        <v>105</v>
      </c>
      <c r="D1970" s="312" t="s">
        <v>512</v>
      </c>
      <c r="E1970" s="312" t="s">
        <v>167</v>
      </c>
      <c r="F1970" s="312">
        <v>1705</v>
      </c>
      <c r="G1970" s="312" t="s">
        <v>168</v>
      </c>
      <c r="H1970" s="312">
        <v>1707</v>
      </c>
      <c r="I1970" s="312" t="s">
        <v>167</v>
      </c>
      <c r="J1970" s="312">
        <v>1899</v>
      </c>
      <c r="K1970" s="312" t="s">
        <v>169</v>
      </c>
    </row>
    <row r="1971" spans="1:11">
      <c r="A1971" s="312" t="s">
        <v>2403</v>
      </c>
      <c r="B1971" s="312" t="s">
        <v>2404</v>
      </c>
      <c r="C1971" s="312" t="s">
        <v>105</v>
      </c>
      <c r="D1971" s="312" t="s">
        <v>512</v>
      </c>
      <c r="E1971" s="312" t="s">
        <v>167</v>
      </c>
      <c r="F1971" s="312">
        <v>1705</v>
      </c>
      <c r="G1971" s="312" t="s">
        <v>168</v>
      </c>
      <c r="H1971" s="312">
        <v>1707</v>
      </c>
      <c r="I1971" s="312" t="s">
        <v>167</v>
      </c>
      <c r="J1971" s="312">
        <v>1899</v>
      </c>
      <c r="K1971" s="312" t="s">
        <v>169</v>
      </c>
    </row>
    <row r="1972" spans="1:11">
      <c r="A1972" s="312" t="s">
        <v>2838</v>
      </c>
      <c r="B1972" s="312" t="s">
        <v>2839</v>
      </c>
      <c r="C1972" s="312" t="s">
        <v>105</v>
      </c>
      <c r="D1972" s="312" t="s">
        <v>512</v>
      </c>
      <c r="E1972" s="312" t="s">
        <v>167</v>
      </c>
      <c r="F1972" s="312">
        <v>1705</v>
      </c>
      <c r="G1972" s="312" t="s">
        <v>168</v>
      </c>
      <c r="H1972" s="312">
        <v>1707</v>
      </c>
      <c r="I1972" s="312" t="s">
        <v>167</v>
      </c>
      <c r="J1972" s="312">
        <v>1899</v>
      </c>
      <c r="K1972" s="312" t="s">
        <v>169</v>
      </c>
    </row>
    <row r="1973" spans="1:11">
      <c r="A1973" s="312" t="s">
        <v>2996</v>
      </c>
      <c r="B1973" s="312" t="s">
        <v>2997</v>
      </c>
      <c r="C1973" s="312" t="s">
        <v>105</v>
      </c>
      <c r="D1973" s="312" t="s">
        <v>512</v>
      </c>
      <c r="E1973" s="312" t="s">
        <v>107</v>
      </c>
      <c r="F1973" s="312">
        <v>1825</v>
      </c>
      <c r="G1973" s="312" t="s">
        <v>108</v>
      </c>
      <c r="H1973" s="312">
        <v>1827</v>
      </c>
      <c r="I1973" s="312" t="s">
        <v>107</v>
      </c>
      <c r="J1973" s="312">
        <v>1913</v>
      </c>
      <c r="K1973" s="312" t="s">
        <v>109</v>
      </c>
    </row>
    <row r="1974" spans="1:11">
      <c r="A1974" s="312" t="s">
        <v>4133</v>
      </c>
      <c r="B1974" s="312" t="s">
        <v>4134</v>
      </c>
      <c r="C1974" s="312" t="s">
        <v>105</v>
      </c>
      <c r="D1974" s="312" t="s">
        <v>512</v>
      </c>
      <c r="E1974" s="312" t="s">
        <v>167</v>
      </c>
      <c r="F1974" s="312">
        <v>1705</v>
      </c>
      <c r="G1974" s="312" t="s">
        <v>168</v>
      </c>
      <c r="H1974" s="312">
        <v>1707</v>
      </c>
      <c r="I1974" s="312" t="s">
        <v>167</v>
      </c>
      <c r="J1974" s="312">
        <v>1899</v>
      </c>
      <c r="K1974" s="312" t="s">
        <v>169</v>
      </c>
    </row>
    <row r="1975" spans="1:11">
      <c r="A1975" s="312" t="s">
        <v>4377</v>
      </c>
      <c r="B1975" s="312" t="s">
        <v>4378</v>
      </c>
      <c r="C1975" s="312" t="s">
        <v>105</v>
      </c>
      <c r="D1975" s="312" t="s">
        <v>512</v>
      </c>
      <c r="E1975" s="312" t="s">
        <v>167</v>
      </c>
      <c r="F1975" s="312">
        <v>1705</v>
      </c>
      <c r="G1975" s="312" t="s">
        <v>168</v>
      </c>
      <c r="H1975" s="312">
        <v>1707</v>
      </c>
      <c r="I1975" s="312" t="s">
        <v>167</v>
      </c>
      <c r="J1975" s="312">
        <v>1899</v>
      </c>
      <c r="K1975" s="312" t="s">
        <v>169</v>
      </c>
    </row>
    <row r="1976" spans="1:11">
      <c r="A1976" s="312" t="s">
        <v>4379</v>
      </c>
      <c r="B1976" s="312" t="s">
        <v>4380</v>
      </c>
      <c r="C1976" s="312" t="s">
        <v>105</v>
      </c>
      <c r="D1976" s="312" t="s">
        <v>512</v>
      </c>
      <c r="E1976" s="312" t="s">
        <v>167</v>
      </c>
      <c r="F1976" s="312">
        <v>1705</v>
      </c>
      <c r="G1976" s="312" t="s">
        <v>168</v>
      </c>
      <c r="H1976" s="312">
        <v>1707</v>
      </c>
      <c r="I1976" s="312" t="s">
        <v>167</v>
      </c>
      <c r="J1976" s="312">
        <v>1899</v>
      </c>
      <c r="K1976" s="312" t="s">
        <v>169</v>
      </c>
    </row>
    <row r="1977" spans="1:11">
      <c r="A1977" s="312" t="s">
        <v>1140</v>
      </c>
      <c r="B1977" s="312" t="s">
        <v>1141</v>
      </c>
      <c r="C1977" s="312" t="s">
        <v>105</v>
      </c>
      <c r="D1977" s="312" t="s">
        <v>1142</v>
      </c>
      <c r="E1977" s="312" t="s">
        <v>107</v>
      </c>
      <c r="F1977" s="312">
        <v>1825</v>
      </c>
      <c r="G1977" s="312" t="s">
        <v>108</v>
      </c>
      <c r="H1977" s="312">
        <v>1827</v>
      </c>
      <c r="I1977" s="312" t="s">
        <v>107</v>
      </c>
      <c r="J1977" s="312">
        <v>1913</v>
      </c>
      <c r="K1977" s="312" t="s">
        <v>109</v>
      </c>
    </row>
    <row r="1978" spans="1:11">
      <c r="A1978" s="312" t="s">
        <v>1379</v>
      </c>
      <c r="B1978" s="312" t="s">
        <v>1380</v>
      </c>
      <c r="C1978" s="312" t="s">
        <v>105</v>
      </c>
      <c r="D1978" s="312" t="s">
        <v>1142</v>
      </c>
      <c r="E1978" s="312" t="s">
        <v>167</v>
      </c>
      <c r="F1978" s="312">
        <v>1705</v>
      </c>
      <c r="G1978" s="312" t="s">
        <v>168</v>
      </c>
      <c r="H1978" s="312">
        <v>1707</v>
      </c>
      <c r="I1978" s="312" t="s">
        <v>167</v>
      </c>
      <c r="J1978" s="312">
        <v>1899</v>
      </c>
      <c r="K1978" s="312" t="s">
        <v>169</v>
      </c>
    </row>
    <row r="1979" spans="1:11">
      <c r="A1979" s="312" t="s">
        <v>2756</v>
      </c>
      <c r="B1979" s="312" t="s">
        <v>2757</v>
      </c>
      <c r="C1979" s="312" t="s">
        <v>105</v>
      </c>
      <c r="D1979" s="312" t="s">
        <v>1142</v>
      </c>
      <c r="E1979" s="312" t="s">
        <v>167</v>
      </c>
      <c r="F1979" s="312">
        <v>1705</v>
      </c>
      <c r="G1979" s="312" t="s">
        <v>168</v>
      </c>
      <c r="H1979" s="312">
        <v>1707</v>
      </c>
      <c r="I1979" s="312" t="s">
        <v>167</v>
      </c>
      <c r="J1979" s="312">
        <v>1899</v>
      </c>
      <c r="K1979" s="312" t="s">
        <v>169</v>
      </c>
    </row>
    <row r="1980" spans="1:11">
      <c r="A1980" s="312" t="s">
        <v>4600</v>
      </c>
      <c r="B1980" s="312" t="s">
        <v>4601</v>
      </c>
      <c r="C1980" s="312" t="s">
        <v>105</v>
      </c>
      <c r="D1980" s="312" t="s">
        <v>1142</v>
      </c>
      <c r="E1980" s="312" t="s">
        <v>167</v>
      </c>
      <c r="F1980" s="312">
        <v>1705</v>
      </c>
      <c r="G1980" s="312" t="s">
        <v>168</v>
      </c>
      <c r="H1980" s="312">
        <v>1707</v>
      </c>
      <c r="I1980" s="312" t="s">
        <v>167</v>
      </c>
      <c r="J1980" s="312">
        <v>1899</v>
      </c>
      <c r="K1980" s="312" t="s">
        <v>169</v>
      </c>
    </row>
    <row r="1981" spans="1:11">
      <c r="A1981" s="312" t="s">
        <v>1381</v>
      </c>
      <c r="B1981" s="312" t="s">
        <v>1382</v>
      </c>
      <c r="C1981" s="312" t="s">
        <v>105</v>
      </c>
      <c r="D1981" s="312" t="s">
        <v>1383</v>
      </c>
      <c r="E1981" s="312" t="s">
        <v>167</v>
      </c>
      <c r="F1981" s="312">
        <v>1705</v>
      </c>
      <c r="G1981" s="312" t="s">
        <v>168</v>
      </c>
      <c r="H1981" s="312">
        <v>1707</v>
      </c>
      <c r="I1981" s="312" t="s">
        <v>167</v>
      </c>
      <c r="J1981" s="312">
        <v>1899</v>
      </c>
      <c r="K1981" s="312" t="s">
        <v>169</v>
      </c>
    </row>
    <row r="1982" spans="1:11">
      <c r="A1982" s="312" t="s">
        <v>5266</v>
      </c>
      <c r="B1982" s="312" t="s">
        <v>5267</v>
      </c>
      <c r="C1982" s="312" t="s">
        <v>105</v>
      </c>
      <c r="D1982" s="312" t="s">
        <v>1383</v>
      </c>
      <c r="E1982" s="312" t="s">
        <v>167</v>
      </c>
      <c r="F1982" s="312">
        <v>1705</v>
      </c>
      <c r="G1982" s="312" t="s">
        <v>168</v>
      </c>
      <c r="H1982" s="312">
        <v>1707</v>
      </c>
      <c r="I1982" s="312" t="s">
        <v>167</v>
      </c>
      <c r="J1982" s="312">
        <v>1899</v>
      </c>
      <c r="K1982" s="312" t="s">
        <v>169</v>
      </c>
    </row>
    <row r="1983" spans="1:11">
      <c r="A1983" s="312" t="s">
        <v>5888</v>
      </c>
      <c r="B1983" s="312" t="s">
        <v>5889</v>
      </c>
      <c r="C1983" s="312" t="s">
        <v>105</v>
      </c>
      <c r="D1983" s="312" t="s">
        <v>5890</v>
      </c>
      <c r="E1983" s="312" t="s">
        <v>167</v>
      </c>
      <c r="F1983" s="312">
        <v>1705</v>
      </c>
      <c r="G1983" s="312" t="s">
        <v>168</v>
      </c>
      <c r="H1983" s="312">
        <v>1707</v>
      </c>
      <c r="I1983" s="312" t="s">
        <v>167</v>
      </c>
      <c r="J1983" s="312">
        <v>1899</v>
      </c>
      <c r="K1983" s="312" t="s">
        <v>169</v>
      </c>
    </row>
    <row r="1984" spans="1:11">
      <c r="A1984" s="312" t="s">
        <v>5891</v>
      </c>
      <c r="B1984" s="312" t="s">
        <v>5892</v>
      </c>
      <c r="C1984" s="312" t="s">
        <v>105</v>
      </c>
      <c r="D1984" s="312" t="s">
        <v>5890</v>
      </c>
      <c r="E1984" s="312" t="s">
        <v>167</v>
      </c>
      <c r="F1984" s="312">
        <v>1705</v>
      </c>
      <c r="G1984" s="312" t="s">
        <v>168</v>
      </c>
      <c r="H1984" s="312">
        <v>1707</v>
      </c>
      <c r="I1984" s="312" t="s">
        <v>167</v>
      </c>
      <c r="J1984" s="312">
        <v>1899</v>
      </c>
      <c r="K1984" s="312" t="s">
        <v>169</v>
      </c>
    </row>
    <row r="1985" spans="1:11">
      <c r="A1985" s="312" t="s">
        <v>1400</v>
      </c>
      <c r="B1985" s="312" t="s">
        <v>1401</v>
      </c>
      <c r="C1985" s="312" t="s">
        <v>105</v>
      </c>
      <c r="D1985" s="312" t="s">
        <v>1402</v>
      </c>
      <c r="E1985" s="312" t="s">
        <v>107</v>
      </c>
      <c r="F1985" s="312">
        <v>1825</v>
      </c>
      <c r="G1985" s="312" t="s">
        <v>108</v>
      </c>
      <c r="H1985" s="312">
        <v>1827</v>
      </c>
      <c r="I1985" s="312" t="s">
        <v>107</v>
      </c>
      <c r="J1985" s="312">
        <v>1913</v>
      </c>
      <c r="K1985" s="312" t="s">
        <v>109</v>
      </c>
    </row>
    <row r="1986" spans="1:11">
      <c r="A1986" s="312" t="s">
        <v>1562</v>
      </c>
      <c r="B1986" s="312" t="s">
        <v>1563</v>
      </c>
      <c r="C1986" s="312" t="s">
        <v>105</v>
      </c>
      <c r="D1986" s="312" t="s">
        <v>1402</v>
      </c>
      <c r="E1986" s="312" t="s">
        <v>167</v>
      </c>
      <c r="F1986" s="312">
        <v>1705</v>
      </c>
      <c r="G1986" s="312" t="s">
        <v>168</v>
      </c>
      <c r="H1986" s="312">
        <v>1707</v>
      </c>
      <c r="I1986" s="312" t="s">
        <v>167</v>
      </c>
      <c r="J1986" s="312">
        <v>1899</v>
      </c>
      <c r="K1986" s="312" t="s">
        <v>169</v>
      </c>
    </row>
    <row r="1987" spans="1:11">
      <c r="A1987" s="312" t="s">
        <v>1564</v>
      </c>
      <c r="B1987" s="312" t="s">
        <v>1565</v>
      </c>
      <c r="C1987" s="312" t="s">
        <v>105</v>
      </c>
      <c r="D1987" s="312" t="s">
        <v>1402</v>
      </c>
      <c r="E1987" s="312" t="s">
        <v>167</v>
      </c>
      <c r="F1987" s="312">
        <v>1705</v>
      </c>
      <c r="G1987" s="312" t="s">
        <v>168</v>
      </c>
      <c r="H1987" s="312">
        <v>1707</v>
      </c>
      <c r="I1987" s="312" t="s">
        <v>167</v>
      </c>
      <c r="J1987" s="312">
        <v>1899</v>
      </c>
      <c r="K1987" s="312" t="s">
        <v>169</v>
      </c>
    </row>
    <row r="1988" spans="1:11">
      <c r="A1988" s="312" t="s">
        <v>1710</v>
      </c>
      <c r="B1988" s="312" t="s">
        <v>1711</v>
      </c>
      <c r="C1988" s="312" t="s">
        <v>105</v>
      </c>
      <c r="D1988" s="312" t="s">
        <v>1402</v>
      </c>
      <c r="E1988" s="312" t="s">
        <v>107</v>
      </c>
      <c r="F1988" s="312">
        <v>1825</v>
      </c>
      <c r="G1988" s="312" t="s">
        <v>108</v>
      </c>
      <c r="H1988" s="312">
        <v>1827</v>
      </c>
      <c r="I1988" s="312" t="s">
        <v>107</v>
      </c>
      <c r="J1988" s="312">
        <v>1913</v>
      </c>
      <c r="K1988" s="312" t="s">
        <v>109</v>
      </c>
    </row>
    <row r="1989" spans="1:11">
      <c r="A1989" s="312" t="s">
        <v>1712</v>
      </c>
      <c r="B1989" s="312" t="s">
        <v>1713</v>
      </c>
      <c r="C1989" s="312" t="s">
        <v>105</v>
      </c>
      <c r="D1989" s="312" t="s">
        <v>1402</v>
      </c>
      <c r="E1989" s="312" t="s">
        <v>107</v>
      </c>
      <c r="F1989" s="312">
        <v>1825</v>
      </c>
      <c r="G1989" s="312" t="s">
        <v>108</v>
      </c>
      <c r="H1989" s="312">
        <v>1827</v>
      </c>
      <c r="I1989" s="312" t="s">
        <v>107</v>
      </c>
      <c r="J1989" s="312">
        <v>1913</v>
      </c>
      <c r="K1989" s="312" t="s">
        <v>109</v>
      </c>
    </row>
    <row r="1990" spans="1:11">
      <c r="A1990" s="312" t="s">
        <v>1714</v>
      </c>
      <c r="B1990" s="312" t="s">
        <v>1715</v>
      </c>
      <c r="C1990" s="312" t="s">
        <v>105</v>
      </c>
      <c r="D1990" s="312" t="s">
        <v>1402</v>
      </c>
      <c r="E1990" s="312" t="s">
        <v>107</v>
      </c>
      <c r="F1990" s="312">
        <v>1825</v>
      </c>
      <c r="G1990" s="312" t="s">
        <v>108</v>
      </c>
      <c r="H1990" s="312">
        <v>1827</v>
      </c>
      <c r="I1990" s="312" t="s">
        <v>107</v>
      </c>
      <c r="J1990" s="312">
        <v>1913</v>
      </c>
      <c r="K1990" s="312" t="s">
        <v>109</v>
      </c>
    </row>
    <row r="1991" spans="1:11">
      <c r="A1991" s="312" t="s">
        <v>1716</v>
      </c>
      <c r="B1991" s="1" t="s">
        <v>1717</v>
      </c>
      <c r="C1991" s="312" t="s">
        <v>105</v>
      </c>
      <c r="D1991" s="312" t="s">
        <v>1402</v>
      </c>
      <c r="E1991" s="312" t="s">
        <v>167</v>
      </c>
      <c r="F1991" s="312">
        <v>1705</v>
      </c>
      <c r="G1991" s="312" t="s">
        <v>168</v>
      </c>
      <c r="H1991" s="312">
        <v>1707</v>
      </c>
      <c r="I1991" s="312" t="s">
        <v>167</v>
      </c>
      <c r="J1991" s="312">
        <v>1899</v>
      </c>
      <c r="K1991" s="312" t="s">
        <v>169</v>
      </c>
    </row>
    <row r="1992" spans="1:11">
      <c r="A1992" s="312" t="s">
        <v>1718</v>
      </c>
      <c r="B1992" s="312" t="s">
        <v>1719</v>
      </c>
      <c r="C1992" s="312" t="s">
        <v>105</v>
      </c>
      <c r="D1992" s="312" t="s">
        <v>1402</v>
      </c>
      <c r="E1992" s="312" t="s">
        <v>167</v>
      </c>
      <c r="F1992" s="312">
        <v>1705</v>
      </c>
      <c r="G1992" s="312" t="s">
        <v>168</v>
      </c>
      <c r="H1992" s="312">
        <v>1707</v>
      </c>
      <c r="I1992" s="312" t="s">
        <v>167</v>
      </c>
      <c r="J1992" s="312">
        <v>1899</v>
      </c>
      <c r="K1992" s="312" t="s">
        <v>169</v>
      </c>
    </row>
    <row r="1993" spans="1:11">
      <c r="A1993" s="6" t="s">
        <v>1780</v>
      </c>
      <c r="B1993" s="312" t="s">
        <v>1781</v>
      </c>
      <c r="C1993" s="312" t="s">
        <v>105</v>
      </c>
      <c r="D1993" s="312" t="s">
        <v>1402</v>
      </c>
      <c r="E1993" s="312" t="s">
        <v>107</v>
      </c>
      <c r="F1993" s="312">
        <v>1825</v>
      </c>
      <c r="G1993" s="312" t="s">
        <v>108</v>
      </c>
      <c r="H1993" s="312">
        <v>1827</v>
      </c>
      <c r="I1993" s="312" t="s">
        <v>107</v>
      </c>
      <c r="J1993" s="312">
        <v>1913</v>
      </c>
      <c r="K1993" s="312" t="s">
        <v>109</v>
      </c>
    </row>
    <row r="1994" spans="1:11">
      <c r="A1994" s="312" t="s">
        <v>2226</v>
      </c>
      <c r="B1994" s="312" t="s">
        <v>2227</v>
      </c>
      <c r="C1994" s="312" t="s">
        <v>105</v>
      </c>
      <c r="D1994" s="312" t="s">
        <v>1402</v>
      </c>
      <c r="E1994" s="312" t="s">
        <v>167</v>
      </c>
      <c r="F1994" s="312">
        <v>1705</v>
      </c>
      <c r="G1994" s="312" t="s">
        <v>168</v>
      </c>
      <c r="H1994" s="312">
        <v>1707</v>
      </c>
      <c r="I1994" s="312" t="s">
        <v>167</v>
      </c>
      <c r="J1994" s="312">
        <v>1899</v>
      </c>
      <c r="K1994" s="312" t="s">
        <v>169</v>
      </c>
    </row>
    <row r="1995" spans="1:11">
      <c r="A1995" s="312" t="s">
        <v>2228</v>
      </c>
      <c r="B1995" s="312" t="s">
        <v>2229</v>
      </c>
      <c r="C1995" s="312" t="s">
        <v>105</v>
      </c>
      <c r="D1995" s="312" t="s">
        <v>1402</v>
      </c>
      <c r="E1995" s="312" t="s">
        <v>167</v>
      </c>
      <c r="F1995" s="312">
        <v>1705</v>
      </c>
      <c r="G1995" s="312" t="s">
        <v>168</v>
      </c>
      <c r="H1995" s="312">
        <v>1707</v>
      </c>
      <c r="I1995" s="312" t="s">
        <v>167</v>
      </c>
      <c r="J1995" s="312">
        <v>1899</v>
      </c>
      <c r="K1995" s="312" t="s">
        <v>169</v>
      </c>
    </row>
    <row r="1996" spans="1:11">
      <c r="A1996" s="312" t="s">
        <v>2240</v>
      </c>
      <c r="B1996" s="312" t="s">
        <v>2241</v>
      </c>
      <c r="C1996" s="312" t="s">
        <v>105</v>
      </c>
      <c r="D1996" s="312" t="s">
        <v>1402</v>
      </c>
      <c r="E1996" s="312" t="s">
        <v>167</v>
      </c>
      <c r="F1996" s="312">
        <v>1705</v>
      </c>
      <c r="G1996" s="312" t="s">
        <v>168</v>
      </c>
      <c r="H1996" s="312">
        <v>1707</v>
      </c>
      <c r="I1996" s="312" t="s">
        <v>167</v>
      </c>
      <c r="J1996" s="312">
        <v>1899</v>
      </c>
      <c r="K1996" s="312" t="s">
        <v>169</v>
      </c>
    </row>
    <row r="1997" spans="1:11">
      <c r="A1997" s="312" t="s">
        <v>2242</v>
      </c>
      <c r="B1997" s="312" t="s">
        <v>2243</v>
      </c>
      <c r="C1997" s="312" t="s">
        <v>105</v>
      </c>
      <c r="D1997" s="312" t="s">
        <v>1402</v>
      </c>
      <c r="E1997" s="312" t="s">
        <v>167</v>
      </c>
      <c r="F1997" s="312">
        <v>1705</v>
      </c>
      <c r="G1997" s="312" t="s">
        <v>168</v>
      </c>
      <c r="H1997" s="312">
        <v>1707</v>
      </c>
      <c r="I1997" s="312" t="s">
        <v>167</v>
      </c>
      <c r="J1997" s="312">
        <v>1899</v>
      </c>
      <c r="K1997" s="312" t="s">
        <v>169</v>
      </c>
    </row>
    <row r="1998" spans="1:11">
      <c r="A1998" s="312" t="s">
        <v>3416</v>
      </c>
      <c r="B1998" s="312" t="s">
        <v>3417</v>
      </c>
      <c r="C1998" s="312" t="s">
        <v>105</v>
      </c>
      <c r="D1998" s="312" t="s">
        <v>1402</v>
      </c>
      <c r="E1998" s="312" t="s">
        <v>167</v>
      </c>
      <c r="F1998" s="312">
        <v>1705</v>
      </c>
      <c r="G1998" s="312" t="s">
        <v>168</v>
      </c>
      <c r="H1998" s="312">
        <v>1707</v>
      </c>
      <c r="I1998" s="312" t="s">
        <v>167</v>
      </c>
      <c r="J1998" s="312">
        <v>1899</v>
      </c>
      <c r="K1998" s="312" t="s">
        <v>169</v>
      </c>
    </row>
    <row r="1999" spans="1:11">
      <c r="A1999" s="312" t="s">
        <v>4303</v>
      </c>
      <c r="B1999" s="312" t="s">
        <v>4304</v>
      </c>
      <c r="C1999" s="312" t="s">
        <v>105</v>
      </c>
      <c r="D1999" s="312" t="s">
        <v>1402</v>
      </c>
      <c r="E1999" s="312" t="s">
        <v>167</v>
      </c>
      <c r="F1999" s="312">
        <v>1705</v>
      </c>
      <c r="G1999" s="312" t="s">
        <v>168</v>
      </c>
      <c r="H1999" s="312">
        <v>1707</v>
      </c>
      <c r="I1999" s="312" t="s">
        <v>167</v>
      </c>
      <c r="J1999" s="312">
        <v>1899</v>
      </c>
      <c r="K1999" s="312" t="s">
        <v>169</v>
      </c>
    </row>
    <row r="2000" spans="1:11">
      <c r="A2000" s="312" t="s">
        <v>4305</v>
      </c>
      <c r="B2000" s="312" t="s">
        <v>4306</v>
      </c>
      <c r="C2000" s="312" t="s">
        <v>105</v>
      </c>
      <c r="D2000" s="312" t="s">
        <v>1402</v>
      </c>
      <c r="E2000" s="312" t="s">
        <v>167</v>
      </c>
      <c r="F2000" s="312">
        <v>1705</v>
      </c>
      <c r="G2000" s="312" t="s">
        <v>168</v>
      </c>
      <c r="H2000" s="312">
        <v>1707</v>
      </c>
      <c r="I2000" s="312" t="s">
        <v>167</v>
      </c>
      <c r="J2000" s="312">
        <v>1899</v>
      </c>
      <c r="K2000" s="312" t="s">
        <v>169</v>
      </c>
    </row>
    <row r="2001" spans="1:11">
      <c r="A2001" s="312" t="s">
        <v>4311</v>
      </c>
      <c r="B2001" s="312" t="s">
        <v>4312</v>
      </c>
      <c r="C2001" s="312" t="s">
        <v>105</v>
      </c>
      <c r="D2001" s="312" t="s">
        <v>1402</v>
      </c>
      <c r="E2001" s="312" t="s">
        <v>107</v>
      </c>
      <c r="F2001" s="312">
        <v>1825</v>
      </c>
      <c r="G2001" s="312" t="s">
        <v>108</v>
      </c>
      <c r="H2001" s="312">
        <v>1827</v>
      </c>
      <c r="I2001" s="312" t="s">
        <v>107</v>
      </c>
      <c r="J2001" s="312">
        <v>1913</v>
      </c>
      <c r="K2001" s="312" t="s">
        <v>109</v>
      </c>
    </row>
    <row r="2002" spans="1:11">
      <c r="A2002" s="312" t="s">
        <v>4322</v>
      </c>
      <c r="B2002" s="312" t="s">
        <v>4323</v>
      </c>
      <c r="C2002" s="312" t="s">
        <v>105</v>
      </c>
      <c r="D2002" s="312" t="s">
        <v>1402</v>
      </c>
      <c r="E2002" s="312" t="s">
        <v>167</v>
      </c>
      <c r="F2002" s="312">
        <v>1705</v>
      </c>
      <c r="G2002" s="312" t="s">
        <v>168</v>
      </c>
      <c r="H2002" s="312">
        <v>1707</v>
      </c>
      <c r="I2002" s="312" t="s">
        <v>167</v>
      </c>
      <c r="J2002" s="312">
        <v>1899</v>
      </c>
      <c r="K2002" s="312" t="s">
        <v>169</v>
      </c>
    </row>
    <row r="2003" spans="1:11">
      <c r="A2003" s="312" t="s">
        <v>4324</v>
      </c>
      <c r="B2003" s="312" t="s">
        <v>4325</v>
      </c>
      <c r="C2003" s="312" t="s">
        <v>105</v>
      </c>
      <c r="D2003" s="312" t="s">
        <v>1402</v>
      </c>
      <c r="E2003" s="312" t="s">
        <v>107</v>
      </c>
      <c r="F2003" s="312">
        <v>1825</v>
      </c>
      <c r="G2003" s="312" t="s">
        <v>108</v>
      </c>
      <c r="H2003" s="312">
        <v>1827</v>
      </c>
      <c r="I2003" s="312" t="s">
        <v>107</v>
      </c>
      <c r="J2003" s="312">
        <v>1913</v>
      </c>
      <c r="K2003" s="312" t="s">
        <v>109</v>
      </c>
    </row>
    <row r="2004" spans="1:11">
      <c r="A2004" s="312" t="s">
        <v>4326</v>
      </c>
      <c r="B2004" s="312" t="s">
        <v>4327</v>
      </c>
      <c r="C2004" s="312" t="s">
        <v>105</v>
      </c>
      <c r="D2004" s="312" t="s">
        <v>1402</v>
      </c>
      <c r="E2004" s="312" t="s">
        <v>107</v>
      </c>
      <c r="F2004" s="312">
        <v>1825</v>
      </c>
      <c r="G2004" s="312" t="s">
        <v>108</v>
      </c>
      <c r="H2004" s="312">
        <v>1827</v>
      </c>
      <c r="I2004" s="312" t="s">
        <v>107</v>
      </c>
      <c r="J2004" s="312">
        <v>1913</v>
      </c>
      <c r="K2004" s="312" t="s">
        <v>109</v>
      </c>
    </row>
    <row r="2005" spans="1:11">
      <c r="A2005" s="312" t="s">
        <v>5422</v>
      </c>
      <c r="B2005" s="312" t="s">
        <v>5423</v>
      </c>
      <c r="C2005" s="312" t="s">
        <v>105</v>
      </c>
      <c r="D2005" s="312" t="s">
        <v>1402</v>
      </c>
      <c r="E2005" s="312" t="s">
        <v>107</v>
      </c>
      <c r="F2005" s="312">
        <v>1825</v>
      </c>
      <c r="G2005" s="312" t="s">
        <v>108</v>
      </c>
      <c r="H2005" s="312">
        <v>1827</v>
      </c>
      <c r="I2005" s="312" t="s">
        <v>107</v>
      </c>
      <c r="J2005" s="312">
        <v>1913</v>
      </c>
      <c r="K2005" s="312" t="s">
        <v>109</v>
      </c>
    </row>
    <row r="2006" spans="1:11">
      <c r="A2006" s="312" t="s">
        <v>5424</v>
      </c>
      <c r="B2006" s="312" t="s">
        <v>5425</v>
      </c>
      <c r="C2006" s="312" t="s">
        <v>105</v>
      </c>
      <c r="D2006" s="312" t="s">
        <v>1402</v>
      </c>
      <c r="E2006" s="312" t="s">
        <v>107</v>
      </c>
      <c r="F2006" s="312">
        <v>1825</v>
      </c>
      <c r="G2006" s="312" t="s">
        <v>108</v>
      </c>
      <c r="H2006" s="312">
        <v>1827</v>
      </c>
      <c r="I2006" s="312" t="s">
        <v>107</v>
      </c>
      <c r="J2006" s="312">
        <v>1913</v>
      </c>
      <c r="K2006" s="312" t="s">
        <v>109</v>
      </c>
    </row>
    <row r="2007" spans="1:11">
      <c r="A2007" s="312" t="s">
        <v>453</v>
      </c>
      <c r="B2007" s="312" t="s">
        <v>454</v>
      </c>
      <c r="C2007" s="312" t="s">
        <v>105</v>
      </c>
      <c r="D2007" s="312" t="s">
        <v>455</v>
      </c>
      <c r="E2007" s="312" t="s">
        <v>107</v>
      </c>
      <c r="F2007" s="312">
        <v>1825</v>
      </c>
      <c r="G2007" s="312" t="s">
        <v>108</v>
      </c>
      <c r="H2007" s="312">
        <v>1827</v>
      </c>
      <c r="I2007" s="312" t="s">
        <v>107</v>
      </c>
      <c r="J2007" s="312">
        <v>1913</v>
      </c>
      <c r="K2007" s="312" t="s">
        <v>109</v>
      </c>
    </row>
    <row r="2008" spans="1:11">
      <c r="A2008" s="312" t="s">
        <v>462</v>
      </c>
      <c r="B2008" s="312" t="s">
        <v>463</v>
      </c>
      <c r="C2008" s="312" t="s">
        <v>105</v>
      </c>
      <c r="D2008" s="312" t="s">
        <v>455</v>
      </c>
      <c r="E2008" s="312" t="s">
        <v>107</v>
      </c>
      <c r="F2008" s="312">
        <v>1825</v>
      </c>
      <c r="G2008" s="312" t="s">
        <v>108</v>
      </c>
      <c r="H2008" s="312">
        <v>1827</v>
      </c>
      <c r="I2008" s="312" t="s">
        <v>107</v>
      </c>
      <c r="J2008" s="312">
        <v>1913</v>
      </c>
      <c r="K2008" s="312" t="s">
        <v>109</v>
      </c>
    </row>
    <row r="2009" spans="1:11">
      <c r="A2009" s="312" t="s">
        <v>611</v>
      </c>
      <c r="B2009" s="312" t="s">
        <v>612</v>
      </c>
      <c r="C2009" s="312" t="s">
        <v>105</v>
      </c>
      <c r="D2009" s="312" t="s">
        <v>455</v>
      </c>
      <c r="E2009" s="312" t="s">
        <v>107</v>
      </c>
      <c r="F2009" s="312">
        <v>1825</v>
      </c>
      <c r="G2009" s="312" t="s">
        <v>108</v>
      </c>
      <c r="H2009" s="312">
        <v>1827</v>
      </c>
      <c r="I2009" s="312" t="s">
        <v>107</v>
      </c>
      <c r="J2009" s="312">
        <v>1913</v>
      </c>
      <c r="K2009" s="312" t="s">
        <v>109</v>
      </c>
    </row>
    <row r="2010" spans="1:11">
      <c r="A2010" s="312" t="s">
        <v>613</v>
      </c>
      <c r="B2010" s="312" t="s">
        <v>614</v>
      </c>
      <c r="C2010" s="312" t="s">
        <v>105</v>
      </c>
      <c r="D2010" s="312" t="s">
        <v>455</v>
      </c>
      <c r="E2010" s="312" t="s">
        <v>107</v>
      </c>
      <c r="F2010" s="312">
        <v>1825</v>
      </c>
      <c r="G2010" s="312" t="s">
        <v>108</v>
      </c>
      <c r="H2010" s="312">
        <v>1827</v>
      </c>
      <c r="I2010" s="312" t="s">
        <v>107</v>
      </c>
      <c r="J2010" s="312">
        <v>1913</v>
      </c>
      <c r="K2010" s="312" t="s">
        <v>109</v>
      </c>
    </row>
    <row r="2011" spans="1:11">
      <c r="A2011" s="312" t="s">
        <v>615</v>
      </c>
      <c r="B2011" s="312" t="s">
        <v>616</v>
      </c>
      <c r="C2011" s="312" t="s">
        <v>105</v>
      </c>
      <c r="D2011" s="312" t="s">
        <v>455</v>
      </c>
      <c r="E2011" s="312" t="s">
        <v>107</v>
      </c>
      <c r="F2011" s="312">
        <v>1825</v>
      </c>
      <c r="G2011" s="312" t="s">
        <v>108</v>
      </c>
      <c r="H2011" s="312">
        <v>1827</v>
      </c>
      <c r="I2011" s="312" t="s">
        <v>107</v>
      </c>
      <c r="J2011" s="312">
        <v>1913</v>
      </c>
      <c r="K2011" s="312" t="s">
        <v>109</v>
      </c>
    </row>
    <row r="2012" spans="1:11">
      <c r="A2012" s="312" t="s">
        <v>617</v>
      </c>
      <c r="B2012" s="312" t="s">
        <v>618</v>
      </c>
      <c r="C2012" s="312" t="s">
        <v>105</v>
      </c>
      <c r="D2012" s="312" t="s">
        <v>455</v>
      </c>
      <c r="E2012" s="312" t="s">
        <v>107</v>
      </c>
      <c r="F2012" s="312">
        <v>1825</v>
      </c>
      <c r="G2012" s="312" t="s">
        <v>108</v>
      </c>
      <c r="H2012" s="312">
        <v>1827</v>
      </c>
      <c r="I2012" s="312" t="s">
        <v>107</v>
      </c>
      <c r="J2012" s="312">
        <v>1913</v>
      </c>
      <c r="K2012" s="312" t="s">
        <v>109</v>
      </c>
    </row>
    <row r="2013" spans="1:11">
      <c r="A2013" s="312" t="s">
        <v>619</v>
      </c>
      <c r="B2013" s="312" t="s">
        <v>620</v>
      </c>
      <c r="C2013" s="312" t="s">
        <v>105</v>
      </c>
      <c r="D2013" s="312" t="s">
        <v>455</v>
      </c>
      <c r="E2013" s="312" t="s">
        <v>107</v>
      </c>
      <c r="F2013" s="312">
        <v>1825</v>
      </c>
      <c r="G2013" s="312" t="s">
        <v>108</v>
      </c>
      <c r="H2013" s="312">
        <v>1827</v>
      </c>
      <c r="I2013" s="312" t="s">
        <v>107</v>
      </c>
      <c r="J2013" s="312">
        <v>1913</v>
      </c>
      <c r="K2013" s="312" t="s">
        <v>109</v>
      </c>
    </row>
    <row r="2014" spans="1:11">
      <c r="A2014" s="312" t="s">
        <v>621</v>
      </c>
      <c r="B2014" s="312" t="s">
        <v>622</v>
      </c>
      <c r="C2014" s="312" t="s">
        <v>105</v>
      </c>
      <c r="D2014" s="312" t="s">
        <v>455</v>
      </c>
      <c r="E2014" s="312" t="s">
        <v>107</v>
      </c>
      <c r="F2014" s="312">
        <v>1825</v>
      </c>
      <c r="G2014" s="312" t="s">
        <v>108</v>
      </c>
      <c r="H2014" s="312">
        <v>1827</v>
      </c>
      <c r="I2014" s="312" t="s">
        <v>107</v>
      </c>
      <c r="J2014" s="312">
        <v>1913</v>
      </c>
      <c r="K2014" s="312" t="s">
        <v>109</v>
      </c>
    </row>
    <row r="2015" spans="1:11">
      <c r="A2015" s="312" t="s">
        <v>623</v>
      </c>
      <c r="B2015" s="312" t="s">
        <v>624</v>
      </c>
      <c r="C2015" s="312" t="s">
        <v>105</v>
      </c>
      <c r="D2015" s="312" t="s">
        <v>455</v>
      </c>
      <c r="E2015" s="312" t="s">
        <v>107</v>
      </c>
      <c r="F2015" s="312">
        <v>1825</v>
      </c>
      <c r="G2015" s="312" t="s">
        <v>108</v>
      </c>
      <c r="H2015" s="312">
        <v>1827</v>
      </c>
      <c r="I2015" s="312" t="s">
        <v>107</v>
      </c>
      <c r="J2015" s="312">
        <v>1913</v>
      </c>
      <c r="K2015" s="312" t="s">
        <v>109</v>
      </c>
    </row>
    <row r="2016" spans="1:11">
      <c r="A2016" s="312" t="s">
        <v>625</v>
      </c>
      <c r="B2016" s="312" t="s">
        <v>626</v>
      </c>
      <c r="C2016" s="312" t="s">
        <v>105</v>
      </c>
      <c r="D2016" s="312" t="s">
        <v>455</v>
      </c>
      <c r="E2016" s="312" t="s">
        <v>107</v>
      </c>
      <c r="F2016" s="312">
        <v>1825</v>
      </c>
      <c r="G2016" s="312" t="s">
        <v>108</v>
      </c>
      <c r="H2016" s="312">
        <v>1827</v>
      </c>
      <c r="I2016" s="312" t="s">
        <v>107</v>
      </c>
      <c r="J2016" s="312">
        <v>1913</v>
      </c>
      <c r="K2016" s="312" t="s">
        <v>109</v>
      </c>
    </row>
    <row r="2017" spans="1:11">
      <c r="A2017" s="312" t="s">
        <v>627</v>
      </c>
      <c r="B2017" s="312" t="s">
        <v>628</v>
      </c>
      <c r="C2017" s="312" t="s">
        <v>105</v>
      </c>
      <c r="D2017" s="312" t="s">
        <v>455</v>
      </c>
      <c r="E2017" s="312" t="s">
        <v>107</v>
      </c>
      <c r="F2017" s="312">
        <v>1825</v>
      </c>
      <c r="G2017" s="312" t="s">
        <v>108</v>
      </c>
      <c r="H2017" s="312">
        <v>1827</v>
      </c>
      <c r="I2017" s="312" t="s">
        <v>107</v>
      </c>
      <c r="J2017" s="312">
        <v>1913</v>
      </c>
      <c r="K2017" s="312" t="s">
        <v>109</v>
      </c>
    </row>
    <row r="2018" spans="1:11">
      <c r="A2018" s="312" t="s">
        <v>629</v>
      </c>
      <c r="B2018" s="312" t="s">
        <v>630</v>
      </c>
      <c r="C2018" s="312" t="s">
        <v>105</v>
      </c>
      <c r="D2018" s="312" t="s">
        <v>455</v>
      </c>
      <c r="E2018" s="312" t="s">
        <v>107</v>
      </c>
      <c r="F2018" s="312">
        <v>1825</v>
      </c>
      <c r="G2018" s="312" t="s">
        <v>108</v>
      </c>
      <c r="H2018" s="312">
        <v>1827</v>
      </c>
      <c r="I2018" s="312" t="s">
        <v>107</v>
      </c>
      <c r="J2018" s="312">
        <v>1913</v>
      </c>
      <c r="K2018" s="312" t="s">
        <v>109</v>
      </c>
    </row>
    <row r="2019" spans="1:11">
      <c r="A2019" s="312" t="s">
        <v>631</v>
      </c>
      <c r="B2019" s="312" t="s">
        <v>632</v>
      </c>
      <c r="C2019" s="312" t="s">
        <v>105</v>
      </c>
      <c r="D2019" s="312" t="s">
        <v>455</v>
      </c>
      <c r="E2019" s="312" t="s">
        <v>107</v>
      </c>
      <c r="F2019" s="312">
        <v>1825</v>
      </c>
      <c r="G2019" s="312" t="s">
        <v>108</v>
      </c>
      <c r="H2019" s="312">
        <v>1827</v>
      </c>
      <c r="I2019" s="312" t="s">
        <v>107</v>
      </c>
      <c r="J2019" s="312">
        <v>1913</v>
      </c>
      <c r="K2019" s="312" t="s">
        <v>109</v>
      </c>
    </row>
    <row r="2020" spans="1:11">
      <c r="A2020" s="312" t="s">
        <v>633</v>
      </c>
      <c r="B2020" s="312" t="s">
        <v>634</v>
      </c>
      <c r="C2020" s="312" t="s">
        <v>105</v>
      </c>
      <c r="D2020" s="312" t="s">
        <v>455</v>
      </c>
      <c r="E2020" s="312" t="s">
        <v>107</v>
      </c>
      <c r="F2020" s="312">
        <v>1825</v>
      </c>
      <c r="G2020" s="312" t="s">
        <v>108</v>
      </c>
      <c r="H2020" s="312">
        <v>1827</v>
      </c>
      <c r="I2020" s="312" t="s">
        <v>107</v>
      </c>
      <c r="J2020" s="312">
        <v>1913</v>
      </c>
      <c r="K2020" s="312" t="s">
        <v>109</v>
      </c>
    </row>
    <row r="2021" spans="1:11">
      <c r="A2021" s="312" t="s">
        <v>635</v>
      </c>
      <c r="B2021" s="312" t="s">
        <v>636</v>
      </c>
      <c r="C2021" s="312" t="s">
        <v>105</v>
      </c>
      <c r="D2021" s="312" t="s">
        <v>455</v>
      </c>
      <c r="E2021" s="312" t="s">
        <v>107</v>
      </c>
      <c r="F2021" s="312">
        <v>1825</v>
      </c>
      <c r="G2021" s="312" t="s">
        <v>108</v>
      </c>
      <c r="H2021" s="312">
        <v>1827</v>
      </c>
      <c r="I2021" s="312" t="s">
        <v>107</v>
      </c>
      <c r="J2021" s="312">
        <v>1913</v>
      </c>
      <c r="K2021" s="312" t="s">
        <v>109</v>
      </c>
    </row>
    <row r="2022" spans="1:11">
      <c r="A2022" s="312" t="s">
        <v>637</v>
      </c>
      <c r="B2022" s="312" t="s">
        <v>638</v>
      </c>
      <c r="C2022" s="312" t="s">
        <v>105</v>
      </c>
      <c r="D2022" s="312" t="s">
        <v>455</v>
      </c>
      <c r="E2022" s="312" t="s">
        <v>107</v>
      </c>
      <c r="F2022" s="312">
        <v>1825</v>
      </c>
      <c r="G2022" s="312" t="s">
        <v>108</v>
      </c>
      <c r="H2022" s="312">
        <v>1827</v>
      </c>
      <c r="I2022" s="312" t="s">
        <v>107</v>
      </c>
      <c r="J2022" s="312">
        <v>1913</v>
      </c>
      <c r="K2022" s="312" t="s">
        <v>109</v>
      </c>
    </row>
    <row r="2023" spans="1:11">
      <c r="A2023" s="312" t="s">
        <v>1033</v>
      </c>
      <c r="B2023" s="312" t="s">
        <v>1034</v>
      </c>
      <c r="C2023" s="312" t="s">
        <v>105</v>
      </c>
      <c r="D2023" s="312" t="s">
        <v>455</v>
      </c>
      <c r="E2023" s="312" t="s">
        <v>107</v>
      </c>
      <c r="F2023" s="312">
        <v>1825</v>
      </c>
      <c r="G2023" s="312" t="s">
        <v>108</v>
      </c>
      <c r="H2023" s="312">
        <v>1827</v>
      </c>
      <c r="I2023" s="312" t="s">
        <v>107</v>
      </c>
      <c r="J2023" s="312">
        <v>1913</v>
      </c>
      <c r="K2023" s="312" t="s">
        <v>109</v>
      </c>
    </row>
    <row r="2024" spans="1:11">
      <c r="A2024" s="312" t="s">
        <v>1035</v>
      </c>
      <c r="B2024" s="312" t="s">
        <v>1036</v>
      </c>
      <c r="C2024" s="312" t="s">
        <v>105</v>
      </c>
      <c r="D2024" s="312" t="s">
        <v>455</v>
      </c>
      <c r="E2024" s="312" t="s">
        <v>107</v>
      </c>
      <c r="F2024" s="312">
        <v>1825</v>
      </c>
      <c r="G2024" s="312" t="s">
        <v>108</v>
      </c>
      <c r="H2024" s="312">
        <v>1827</v>
      </c>
      <c r="I2024" s="312" t="s">
        <v>107</v>
      </c>
      <c r="J2024" s="312">
        <v>1913</v>
      </c>
      <c r="K2024" s="312" t="s">
        <v>109</v>
      </c>
    </row>
    <row r="2025" spans="1:11">
      <c r="A2025" s="312" t="s">
        <v>1037</v>
      </c>
      <c r="B2025" s="312" t="s">
        <v>1038</v>
      </c>
      <c r="C2025" s="312" t="s">
        <v>105</v>
      </c>
      <c r="D2025" s="312" t="s">
        <v>455</v>
      </c>
      <c r="E2025" s="312" t="s">
        <v>107</v>
      </c>
      <c r="F2025" s="312">
        <v>1825</v>
      </c>
      <c r="G2025" s="312" t="s">
        <v>108</v>
      </c>
      <c r="H2025" s="312">
        <v>1827</v>
      </c>
      <c r="I2025" s="312" t="s">
        <v>107</v>
      </c>
      <c r="J2025" s="312">
        <v>1913</v>
      </c>
      <c r="K2025" s="312" t="s">
        <v>109</v>
      </c>
    </row>
    <row r="2026" spans="1:11">
      <c r="A2026" s="312" t="s">
        <v>1039</v>
      </c>
      <c r="B2026" s="312" t="s">
        <v>1040</v>
      </c>
      <c r="C2026" s="312" t="s">
        <v>105</v>
      </c>
      <c r="D2026" s="312" t="s">
        <v>455</v>
      </c>
      <c r="E2026" s="312" t="s">
        <v>107</v>
      </c>
      <c r="F2026" s="312">
        <v>1825</v>
      </c>
      <c r="G2026" s="312" t="s">
        <v>108</v>
      </c>
      <c r="H2026" s="312">
        <v>1827</v>
      </c>
      <c r="I2026" s="312" t="s">
        <v>107</v>
      </c>
      <c r="J2026" s="312">
        <v>1913</v>
      </c>
      <c r="K2026" s="312" t="s">
        <v>109</v>
      </c>
    </row>
    <row r="2027" spans="1:11">
      <c r="A2027" s="312" t="s">
        <v>1748</v>
      </c>
      <c r="B2027" s="312" t="s">
        <v>1749</v>
      </c>
      <c r="C2027" s="312" t="s">
        <v>105</v>
      </c>
      <c r="D2027" s="312" t="s">
        <v>455</v>
      </c>
      <c r="E2027" s="312" t="s">
        <v>107</v>
      </c>
      <c r="F2027" s="312">
        <v>1825</v>
      </c>
      <c r="G2027" s="312" t="s">
        <v>108</v>
      </c>
      <c r="H2027" s="312">
        <v>1827</v>
      </c>
      <c r="I2027" s="312" t="s">
        <v>107</v>
      </c>
      <c r="J2027" s="312">
        <v>1913</v>
      </c>
      <c r="K2027" s="312" t="s">
        <v>109</v>
      </c>
    </row>
    <row r="2028" spans="1:11">
      <c r="A2028" s="312" t="s">
        <v>1750</v>
      </c>
      <c r="B2028" s="312" t="s">
        <v>1751</v>
      </c>
      <c r="C2028" s="312" t="s">
        <v>105</v>
      </c>
      <c r="D2028" s="312" t="s">
        <v>455</v>
      </c>
      <c r="E2028" s="312" t="s">
        <v>107</v>
      </c>
      <c r="F2028" s="312">
        <v>1825</v>
      </c>
      <c r="G2028" s="312" t="s">
        <v>108</v>
      </c>
      <c r="H2028" s="312">
        <v>1827</v>
      </c>
      <c r="I2028" s="312" t="s">
        <v>107</v>
      </c>
      <c r="J2028" s="312">
        <v>1913</v>
      </c>
      <c r="K2028" s="312" t="s">
        <v>109</v>
      </c>
    </row>
    <row r="2029" spans="1:11">
      <c r="A2029" s="312" t="s">
        <v>1752</v>
      </c>
      <c r="B2029" s="312" t="s">
        <v>1753</v>
      </c>
      <c r="C2029" s="312" t="s">
        <v>105</v>
      </c>
      <c r="D2029" s="312" t="s">
        <v>455</v>
      </c>
      <c r="E2029" s="312" t="s">
        <v>107</v>
      </c>
      <c r="F2029" s="312">
        <v>1825</v>
      </c>
      <c r="G2029" s="312" t="s">
        <v>108</v>
      </c>
      <c r="H2029" s="312">
        <v>1827</v>
      </c>
      <c r="I2029" s="312" t="s">
        <v>107</v>
      </c>
      <c r="J2029" s="312">
        <v>1913</v>
      </c>
      <c r="K2029" s="312" t="s">
        <v>109</v>
      </c>
    </row>
    <row r="2030" spans="1:11">
      <c r="A2030" s="312" t="s">
        <v>1759</v>
      </c>
      <c r="B2030" s="312" t="s">
        <v>1760</v>
      </c>
      <c r="C2030" s="312" t="s">
        <v>105</v>
      </c>
      <c r="D2030" s="312" t="s">
        <v>455</v>
      </c>
      <c r="E2030" s="312" t="s">
        <v>107</v>
      </c>
      <c r="F2030" s="312">
        <v>1825</v>
      </c>
      <c r="G2030" s="312" t="s">
        <v>108</v>
      </c>
      <c r="H2030" s="312">
        <v>1827</v>
      </c>
      <c r="I2030" s="312" t="s">
        <v>107</v>
      </c>
      <c r="J2030" s="312">
        <v>1913</v>
      </c>
      <c r="K2030" s="312" t="s">
        <v>109</v>
      </c>
    </row>
    <row r="2031" spans="1:11">
      <c r="A2031" s="312" t="s">
        <v>2568</v>
      </c>
      <c r="B2031" s="312" t="s">
        <v>2569</v>
      </c>
      <c r="C2031" s="312" t="s">
        <v>105</v>
      </c>
      <c r="D2031" s="312" t="s">
        <v>455</v>
      </c>
      <c r="E2031" s="312" t="s">
        <v>107</v>
      </c>
      <c r="F2031" s="312">
        <v>1825</v>
      </c>
      <c r="G2031" s="312" t="s">
        <v>108</v>
      </c>
      <c r="H2031" s="312">
        <v>1827</v>
      </c>
      <c r="I2031" s="312" t="s">
        <v>107</v>
      </c>
      <c r="J2031" s="312">
        <v>1913</v>
      </c>
      <c r="K2031" s="312" t="s">
        <v>109</v>
      </c>
    </row>
    <row r="2032" spans="1:11">
      <c r="A2032" s="312" t="s">
        <v>2739</v>
      </c>
      <c r="B2032" s="312" t="s">
        <v>2740</v>
      </c>
      <c r="C2032" s="312" t="s">
        <v>105</v>
      </c>
      <c r="D2032" s="312" t="s">
        <v>455</v>
      </c>
      <c r="E2032" s="312" t="s">
        <v>107</v>
      </c>
      <c r="F2032" s="312">
        <v>1825</v>
      </c>
      <c r="G2032" s="312" t="s">
        <v>108</v>
      </c>
      <c r="H2032" s="312">
        <v>1827</v>
      </c>
      <c r="I2032" s="312" t="s">
        <v>107</v>
      </c>
      <c r="J2032" s="312">
        <v>1913</v>
      </c>
      <c r="K2032" s="312" t="s">
        <v>109</v>
      </c>
    </row>
    <row r="2033" spans="1:11">
      <c r="A2033" s="312" t="s">
        <v>3046</v>
      </c>
      <c r="B2033" s="312" t="s">
        <v>3047</v>
      </c>
      <c r="C2033" s="312" t="s">
        <v>105</v>
      </c>
      <c r="D2033" s="312" t="s">
        <v>455</v>
      </c>
      <c r="E2033" s="312" t="s">
        <v>107</v>
      </c>
      <c r="F2033" s="312">
        <v>1825</v>
      </c>
      <c r="G2033" s="312" t="s">
        <v>108</v>
      </c>
      <c r="H2033" s="312">
        <v>1827</v>
      </c>
      <c r="I2033" s="312" t="s">
        <v>107</v>
      </c>
      <c r="J2033" s="312">
        <v>1913</v>
      </c>
      <c r="K2033" s="312" t="s">
        <v>109</v>
      </c>
    </row>
    <row r="2034" spans="1:11">
      <c r="A2034" s="312" t="s">
        <v>900</v>
      </c>
      <c r="B2034" s="312" t="s">
        <v>901</v>
      </c>
      <c r="C2034" s="312" t="s">
        <v>105</v>
      </c>
      <c r="D2034" s="312" t="s">
        <v>902</v>
      </c>
      <c r="E2034" s="312" t="s">
        <v>320</v>
      </c>
      <c r="F2034" s="312">
        <v>1716</v>
      </c>
      <c r="G2034" s="312" t="s">
        <v>321</v>
      </c>
      <c r="H2034" s="312">
        <v>1725</v>
      </c>
      <c r="I2034" s="312" t="s">
        <v>320</v>
      </c>
      <c r="J2034" s="312">
        <v>1910</v>
      </c>
      <c r="K2034" s="312" t="s">
        <v>322</v>
      </c>
    </row>
    <row r="2035" spans="1:11">
      <c r="A2035" s="312" t="s">
        <v>903</v>
      </c>
      <c r="B2035" s="312" t="s">
        <v>904</v>
      </c>
      <c r="C2035" s="312" t="s">
        <v>105</v>
      </c>
      <c r="D2035" s="312" t="s">
        <v>902</v>
      </c>
      <c r="E2035" s="312" t="s">
        <v>107</v>
      </c>
      <c r="F2035" s="312">
        <v>1825</v>
      </c>
      <c r="G2035" s="312" t="s">
        <v>108</v>
      </c>
      <c r="H2035" s="312">
        <v>1827</v>
      </c>
      <c r="I2035" s="312" t="s">
        <v>107</v>
      </c>
      <c r="J2035" s="312">
        <v>1913</v>
      </c>
      <c r="K2035" s="312" t="s">
        <v>109</v>
      </c>
    </row>
    <row r="2036" spans="1:11">
      <c r="A2036" s="312" t="s">
        <v>1312</v>
      </c>
      <c r="B2036" s="312" t="s">
        <v>1313</v>
      </c>
      <c r="C2036" s="312" t="s">
        <v>105</v>
      </c>
      <c r="D2036" s="312" t="s">
        <v>1314</v>
      </c>
      <c r="E2036" s="312" t="s">
        <v>167</v>
      </c>
      <c r="F2036" s="312">
        <v>1705</v>
      </c>
      <c r="G2036" s="312" t="s">
        <v>168</v>
      </c>
      <c r="H2036" s="312">
        <v>1707</v>
      </c>
      <c r="I2036" s="312" t="s">
        <v>167</v>
      </c>
      <c r="J2036" s="312">
        <v>1899</v>
      </c>
      <c r="K2036" s="312" t="s">
        <v>169</v>
      </c>
    </row>
    <row r="2037" spans="1:11">
      <c r="A2037" s="312" t="s">
        <v>5816</v>
      </c>
      <c r="B2037" s="312" t="s">
        <v>5817</v>
      </c>
      <c r="C2037" s="312" t="s">
        <v>105</v>
      </c>
      <c r="D2037" s="312" t="s">
        <v>1314</v>
      </c>
      <c r="E2037" s="312" t="s">
        <v>167</v>
      </c>
      <c r="F2037" s="312">
        <v>1705</v>
      </c>
      <c r="G2037" s="312" t="s">
        <v>168</v>
      </c>
      <c r="H2037" s="312">
        <v>1707</v>
      </c>
      <c r="I2037" s="312" t="s">
        <v>167</v>
      </c>
      <c r="J2037" s="312">
        <v>1899</v>
      </c>
      <c r="K2037" s="312" t="s">
        <v>169</v>
      </c>
    </row>
    <row r="2038" spans="1:11">
      <c r="A2038" s="312" t="s">
        <v>1298</v>
      </c>
      <c r="B2038" s="312" t="s">
        <v>1299</v>
      </c>
      <c r="C2038" s="312" t="s">
        <v>105</v>
      </c>
      <c r="D2038" s="312" t="s">
        <v>1300</v>
      </c>
      <c r="E2038" s="312" t="s">
        <v>167</v>
      </c>
      <c r="F2038" s="312">
        <v>1705</v>
      </c>
      <c r="G2038" s="312" t="s">
        <v>168</v>
      </c>
      <c r="H2038" s="312">
        <v>1707</v>
      </c>
      <c r="I2038" s="312" t="s">
        <v>167</v>
      </c>
      <c r="J2038" s="312">
        <v>1899</v>
      </c>
      <c r="K2038" s="312" t="s">
        <v>169</v>
      </c>
    </row>
    <row r="2039" spans="1:11">
      <c r="A2039" s="312" t="s">
        <v>1408</v>
      </c>
      <c r="B2039" s="312" t="s">
        <v>1409</v>
      </c>
      <c r="C2039" s="312" t="s">
        <v>105</v>
      </c>
      <c r="D2039" s="312" t="s">
        <v>1300</v>
      </c>
      <c r="E2039" s="312" t="s">
        <v>167</v>
      </c>
      <c r="F2039" s="312">
        <v>1705</v>
      </c>
      <c r="G2039" s="312" t="s">
        <v>168</v>
      </c>
      <c r="H2039" s="312">
        <v>1707</v>
      </c>
      <c r="I2039" s="312" t="s">
        <v>167</v>
      </c>
      <c r="J2039" s="312">
        <v>1899</v>
      </c>
      <c r="K2039" s="312" t="s">
        <v>169</v>
      </c>
    </row>
    <row r="2040" spans="1:11">
      <c r="A2040" s="312" t="s">
        <v>1620</v>
      </c>
      <c r="B2040" s="312" t="s">
        <v>1621</v>
      </c>
      <c r="C2040" s="312" t="s">
        <v>105</v>
      </c>
      <c r="D2040" s="312" t="s">
        <v>1300</v>
      </c>
      <c r="E2040" s="312" t="s">
        <v>167</v>
      </c>
      <c r="F2040" s="312">
        <v>1705</v>
      </c>
      <c r="G2040" s="312" t="s">
        <v>168</v>
      </c>
      <c r="H2040" s="312">
        <v>1707</v>
      </c>
      <c r="I2040" s="312" t="s">
        <v>167</v>
      </c>
      <c r="J2040" s="312">
        <v>1899</v>
      </c>
      <c r="K2040" s="312" t="s">
        <v>169</v>
      </c>
    </row>
    <row r="2041" spans="1:11">
      <c r="A2041" s="312" t="s">
        <v>1661</v>
      </c>
      <c r="B2041" s="312" t="s">
        <v>1662</v>
      </c>
      <c r="C2041" s="312" t="s">
        <v>105</v>
      </c>
      <c r="D2041" s="312" t="s">
        <v>1300</v>
      </c>
      <c r="E2041" s="312" t="s">
        <v>167</v>
      </c>
      <c r="F2041" s="312">
        <v>1705</v>
      </c>
      <c r="G2041" s="312" t="s">
        <v>168</v>
      </c>
      <c r="H2041" s="312">
        <v>1707</v>
      </c>
      <c r="I2041" s="312" t="s">
        <v>167</v>
      </c>
      <c r="J2041" s="312">
        <v>1899</v>
      </c>
      <c r="K2041" s="312" t="s">
        <v>169</v>
      </c>
    </row>
    <row r="2042" spans="1:11">
      <c r="A2042" s="312" t="s">
        <v>1708</v>
      </c>
      <c r="B2042" s="312" t="s">
        <v>1709</v>
      </c>
      <c r="C2042" s="312" t="s">
        <v>105</v>
      </c>
      <c r="D2042" s="312" t="s">
        <v>1300</v>
      </c>
      <c r="E2042" s="312" t="s">
        <v>167</v>
      </c>
      <c r="F2042" s="312">
        <v>1705</v>
      </c>
      <c r="G2042" s="312" t="s">
        <v>168</v>
      </c>
      <c r="H2042" s="312">
        <v>1707</v>
      </c>
      <c r="I2042" s="312" t="s">
        <v>167</v>
      </c>
      <c r="J2042" s="312">
        <v>1899</v>
      </c>
      <c r="K2042" s="312" t="s">
        <v>169</v>
      </c>
    </row>
    <row r="2043" spans="1:11">
      <c r="A2043" s="312" t="s">
        <v>2382</v>
      </c>
      <c r="B2043" s="312" t="s">
        <v>2383</v>
      </c>
      <c r="C2043" s="312" t="s">
        <v>105</v>
      </c>
      <c r="D2043" s="312" t="s">
        <v>1300</v>
      </c>
      <c r="E2043" s="312" t="s">
        <v>167</v>
      </c>
      <c r="F2043" s="312">
        <v>1705</v>
      </c>
      <c r="G2043" s="312" t="s">
        <v>168</v>
      </c>
      <c r="H2043" s="312">
        <v>1707</v>
      </c>
      <c r="I2043" s="312" t="s">
        <v>167</v>
      </c>
      <c r="J2043" s="312">
        <v>1899</v>
      </c>
      <c r="K2043" s="312" t="s">
        <v>169</v>
      </c>
    </row>
    <row r="2044" spans="1:11">
      <c r="A2044" s="312" t="s">
        <v>3364</v>
      </c>
      <c r="B2044" s="312" t="s">
        <v>3365</v>
      </c>
      <c r="C2044" s="312" t="s">
        <v>105</v>
      </c>
      <c r="D2044" s="312" t="s">
        <v>1300</v>
      </c>
      <c r="E2044" s="312" t="s">
        <v>167</v>
      </c>
      <c r="F2044" s="312">
        <v>1705</v>
      </c>
      <c r="G2044" s="312" t="s">
        <v>168</v>
      </c>
      <c r="H2044" s="312">
        <v>1707</v>
      </c>
      <c r="I2044" s="312" t="s">
        <v>167</v>
      </c>
      <c r="J2044" s="312">
        <v>1899</v>
      </c>
      <c r="K2044" s="312" t="s">
        <v>169</v>
      </c>
    </row>
    <row r="2045" spans="1:11">
      <c r="A2045" s="312" t="s">
        <v>4549</v>
      </c>
      <c r="B2045" s="312" t="s">
        <v>4550</v>
      </c>
      <c r="C2045" s="312" t="s">
        <v>105</v>
      </c>
      <c r="D2045" s="312" t="s">
        <v>1300</v>
      </c>
      <c r="E2045" s="312" t="s">
        <v>167</v>
      </c>
      <c r="F2045" s="312">
        <v>1705</v>
      </c>
      <c r="G2045" s="312" t="s">
        <v>168</v>
      </c>
      <c r="H2045" s="312">
        <v>1707</v>
      </c>
      <c r="I2045" s="312" t="s">
        <v>167</v>
      </c>
      <c r="J2045" s="312">
        <v>1899</v>
      </c>
      <c r="K2045" s="312" t="s">
        <v>169</v>
      </c>
    </row>
    <row r="2046" spans="1:11">
      <c r="A2046" s="312" t="s">
        <v>5874</v>
      </c>
      <c r="B2046" s="312" t="s">
        <v>5875</v>
      </c>
      <c r="C2046" s="312" t="s">
        <v>105</v>
      </c>
      <c r="D2046" s="312" t="s">
        <v>1300</v>
      </c>
      <c r="E2046" s="312" t="s">
        <v>167</v>
      </c>
      <c r="F2046" s="312">
        <v>1705</v>
      </c>
      <c r="G2046" s="312" t="s">
        <v>168</v>
      </c>
      <c r="H2046" s="312">
        <v>1707</v>
      </c>
      <c r="I2046" s="312" t="s">
        <v>167</v>
      </c>
      <c r="J2046" s="312">
        <v>1899</v>
      </c>
      <c r="K2046" s="312" t="s">
        <v>169</v>
      </c>
    </row>
    <row r="2047" spans="1:11">
      <c r="A2047" s="312" t="s">
        <v>5941</v>
      </c>
      <c r="B2047" s="312" t="s">
        <v>5942</v>
      </c>
      <c r="C2047" s="312" t="s">
        <v>105</v>
      </c>
      <c r="D2047" s="312" t="s">
        <v>1300</v>
      </c>
      <c r="E2047" s="312" t="s">
        <v>167</v>
      </c>
      <c r="F2047" s="312">
        <v>1705</v>
      </c>
      <c r="G2047" s="312" t="s">
        <v>168</v>
      </c>
      <c r="H2047" s="312">
        <v>1707</v>
      </c>
      <c r="I2047" s="312" t="s">
        <v>167</v>
      </c>
      <c r="J2047" s="312">
        <v>1899</v>
      </c>
      <c r="K2047" s="312" t="s">
        <v>169</v>
      </c>
    </row>
    <row r="2048" spans="1:11">
      <c r="A2048" s="312" t="s">
        <v>330</v>
      </c>
      <c r="B2048" s="312" t="s">
        <v>331</v>
      </c>
      <c r="C2048" s="312" t="s">
        <v>105</v>
      </c>
      <c r="D2048" s="312" t="s">
        <v>332</v>
      </c>
      <c r="E2048" s="312" t="s">
        <v>107</v>
      </c>
      <c r="F2048" s="312">
        <v>1825</v>
      </c>
      <c r="G2048" s="312" t="s">
        <v>108</v>
      </c>
      <c r="H2048" s="312">
        <v>1827</v>
      </c>
      <c r="I2048" s="312" t="s">
        <v>107</v>
      </c>
      <c r="J2048" s="312">
        <v>1913</v>
      </c>
      <c r="K2048" s="312" t="s">
        <v>109</v>
      </c>
    </row>
    <row r="2049" spans="1:11">
      <c r="A2049" s="312" t="s">
        <v>451</v>
      </c>
      <c r="B2049" s="1" t="s">
        <v>452</v>
      </c>
      <c r="C2049" s="312" t="s">
        <v>105</v>
      </c>
      <c r="D2049" s="312" t="s">
        <v>332</v>
      </c>
      <c r="E2049" s="312" t="s">
        <v>107</v>
      </c>
      <c r="F2049" s="312">
        <v>1825</v>
      </c>
      <c r="G2049" s="312" t="s">
        <v>108</v>
      </c>
      <c r="H2049" s="312">
        <v>1827</v>
      </c>
      <c r="I2049" s="312" t="s">
        <v>107</v>
      </c>
      <c r="J2049" s="312">
        <v>1913</v>
      </c>
      <c r="K2049" s="312" t="s">
        <v>109</v>
      </c>
    </row>
    <row r="2050" spans="1:11">
      <c r="A2050" s="312" t="s">
        <v>456</v>
      </c>
      <c r="B2050" s="312" t="s">
        <v>457</v>
      </c>
      <c r="C2050" s="312" t="s">
        <v>105</v>
      </c>
      <c r="D2050" s="312" t="s">
        <v>332</v>
      </c>
      <c r="E2050" s="312" t="s">
        <v>107</v>
      </c>
      <c r="F2050" s="312">
        <v>1825</v>
      </c>
      <c r="G2050" s="312" t="s">
        <v>108</v>
      </c>
      <c r="H2050" s="312">
        <v>1827</v>
      </c>
      <c r="I2050" s="312" t="s">
        <v>107</v>
      </c>
      <c r="J2050" s="312">
        <v>1913</v>
      </c>
      <c r="K2050" s="312" t="s">
        <v>109</v>
      </c>
    </row>
    <row r="2051" spans="1:11">
      <c r="A2051" s="312" t="s">
        <v>458</v>
      </c>
      <c r="B2051" s="312" t="s">
        <v>459</v>
      </c>
      <c r="C2051" s="312" t="s">
        <v>105</v>
      </c>
      <c r="D2051" s="312" t="s">
        <v>332</v>
      </c>
      <c r="E2051" s="312" t="s">
        <v>107</v>
      </c>
      <c r="F2051" s="312">
        <v>1825</v>
      </c>
      <c r="G2051" s="312" t="s">
        <v>108</v>
      </c>
      <c r="H2051" s="312">
        <v>1827</v>
      </c>
      <c r="I2051" s="312" t="s">
        <v>107</v>
      </c>
      <c r="J2051" s="312">
        <v>1913</v>
      </c>
      <c r="K2051" s="312" t="s">
        <v>109</v>
      </c>
    </row>
    <row r="2052" spans="1:11">
      <c r="A2052" s="312" t="s">
        <v>460</v>
      </c>
      <c r="B2052" s="312" t="s">
        <v>461</v>
      </c>
      <c r="C2052" s="312" t="s">
        <v>105</v>
      </c>
      <c r="D2052" s="312" t="s">
        <v>332</v>
      </c>
      <c r="E2052" s="312" t="s">
        <v>107</v>
      </c>
      <c r="F2052" s="312">
        <v>1825</v>
      </c>
      <c r="G2052" s="312" t="s">
        <v>108</v>
      </c>
      <c r="H2052" s="312">
        <v>1827</v>
      </c>
      <c r="I2052" s="312" t="s">
        <v>107</v>
      </c>
      <c r="J2052" s="312">
        <v>1913</v>
      </c>
      <c r="K2052" s="312" t="s">
        <v>109</v>
      </c>
    </row>
    <row r="2053" spans="1:11">
      <c r="A2053" s="312" t="s">
        <v>1031</v>
      </c>
      <c r="B2053" s="312" t="s">
        <v>1032</v>
      </c>
      <c r="C2053" s="312" t="s">
        <v>105</v>
      </c>
      <c r="D2053" s="312" t="s">
        <v>332</v>
      </c>
      <c r="E2053" s="312" t="s">
        <v>107</v>
      </c>
      <c r="F2053" s="312">
        <v>1825</v>
      </c>
      <c r="G2053" s="312" t="s">
        <v>108</v>
      </c>
      <c r="H2053" s="312">
        <v>1827</v>
      </c>
      <c r="I2053" s="312" t="s">
        <v>107</v>
      </c>
      <c r="J2053" s="312">
        <v>1913</v>
      </c>
      <c r="K2053" s="312" t="s">
        <v>109</v>
      </c>
    </row>
    <row r="2054" spans="1:11">
      <c r="A2054" s="312" t="s">
        <v>1136</v>
      </c>
      <c r="B2054" s="312" t="s">
        <v>1137</v>
      </c>
      <c r="C2054" s="312" t="s">
        <v>105</v>
      </c>
      <c r="D2054" s="312" t="s">
        <v>332</v>
      </c>
      <c r="E2054" s="312" t="s">
        <v>107</v>
      </c>
      <c r="F2054" s="312">
        <v>1825</v>
      </c>
      <c r="G2054" s="312" t="s">
        <v>108</v>
      </c>
      <c r="H2054" s="312">
        <v>1827</v>
      </c>
      <c r="I2054" s="312" t="s">
        <v>107</v>
      </c>
      <c r="J2054" s="312">
        <v>1913</v>
      </c>
      <c r="K2054" s="312" t="s">
        <v>109</v>
      </c>
    </row>
    <row r="2055" spans="1:11">
      <c r="A2055" s="312" t="s">
        <v>1138</v>
      </c>
      <c r="B2055" s="312" t="s">
        <v>1139</v>
      </c>
      <c r="C2055" s="312" t="s">
        <v>105</v>
      </c>
      <c r="D2055" s="312" t="s">
        <v>332</v>
      </c>
      <c r="E2055" s="312" t="s">
        <v>107</v>
      </c>
      <c r="F2055" s="312">
        <v>1825</v>
      </c>
      <c r="G2055" s="312" t="s">
        <v>108</v>
      </c>
      <c r="H2055" s="312">
        <v>1827</v>
      </c>
      <c r="I2055" s="312" t="s">
        <v>107</v>
      </c>
      <c r="J2055" s="312">
        <v>1913</v>
      </c>
      <c r="K2055" s="312" t="s">
        <v>109</v>
      </c>
    </row>
    <row r="2056" spans="1:11">
      <c r="A2056" s="312" t="s">
        <v>1417</v>
      </c>
      <c r="B2056" s="312" t="s">
        <v>1418</v>
      </c>
      <c r="C2056" s="312" t="s">
        <v>105</v>
      </c>
      <c r="D2056" s="312" t="s">
        <v>332</v>
      </c>
      <c r="E2056" s="312" t="s">
        <v>107</v>
      </c>
      <c r="F2056" s="312">
        <v>1825</v>
      </c>
      <c r="G2056" s="312" t="s">
        <v>108</v>
      </c>
      <c r="H2056" s="312">
        <v>1827</v>
      </c>
      <c r="I2056" s="312" t="s">
        <v>107</v>
      </c>
      <c r="J2056" s="312">
        <v>1913</v>
      </c>
      <c r="K2056" s="312" t="s">
        <v>109</v>
      </c>
    </row>
    <row r="2057" spans="1:11">
      <c r="A2057" s="312" t="s">
        <v>2139</v>
      </c>
      <c r="B2057" s="312" t="s">
        <v>2140</v>
      </c>
      <c r="C2057" s="312" t="s">
        <v>105</v>
      </c>
      <c r="D2057" s="312" t="s">
        <v>332</v>
      </c>
      <c r="E2057" s="312" t="s">
        <v>167</v>
      </c>
      <c r="F2057" s="312">
        <v>1705</v>
      </c>
      <c r="G2057" s="312" t="s">
        <v>168</v>
      </c>
      <c r="H2057" s="312">
        <v>1707</v>
      </c>
      <c r="I2057" s="312" t="s">
        <v>167</v>
      </c>
      <c r="J2057" s="312">
        <v>1899</v>
      </c>
      <c r="K2057" s="312" t="s">
        <v>169</v>
      </c>
    </row>
    <row r="2058" spans="1:11">
      <c r="A2058" s="312" t="s">
        <v>2141</v>
      </c>
      <c r="B2058" s="312" t="s">
        <v>2142</v>
      </c>
      <c r="C2058" s="312" t="s">
        <v>105</v>
      </c>
      <c r="D2058" s="312" t="s">
        <v>332</v>
      </c>
      <c r="E2058" s="312" t="s">
        <v>167</v>
      </c>
      <c r="F2058" s="312">
        <v>1705</v>
      </c>
      <c r="G2058" s="312" t="s">
        <v>168</v>
      </c>
      <c r="H2058" s="312">
        <v>1707</v>
      </c>
      <c r="I2058" s="312" t="s">
        <v>167</v>
      </c>
      <c r="J2058" s="312">
        <v>1899</v>
      </c>
      <c r="K2058" s="312" t="s">
        <v>169</v>
      </c>
    </row>
    <row r="2059" spans="1:11">
      <c r="A2059" s="312" t="s">
        <v>2143</v>
      </c>
      <c r="B2059" s="312" t="s">
        <v>2144</v>
      </c>
      <c r="C2059" s="312" t="s">
        <v>105</v>
      </c>
      <c r="D2059" s="312" t="s">
        <v>332</v>
      </c>
      <c r="E2059" s="312" t="s">
        <v>167</v>
      </c>
      <c r="F2059" s="312">
        <v>1705</v>
      </c>
      <c r="G2059" s="312" t="s">
        <v>168</v>
      </c>
      <c r="H2059" s="312">
        <v>1707</v>
      </c>
      <c r="I2059" s="312" t="s">
        <v>167</v>
      </c>
      <c r="J2059" s="312">
        <v>1899</v>
      </c>
      <c r="K2059" s="312" t="s">
        <v>169</v>
      </c>
    </row>
    <row r="2060" spans="1:11">
      <c r="A2060" s="312" t="s">
        <v>2145</v>
      </c>
      <c r="B2060" s="312" t="s">
        <v>2146</v>
      </c>
      <c r="C2060" s="312" t="s">
        <v>105</v>
      </c>
      <c r="D2060" s="312" t="s">
        <v>332</v>
      </c>
      <c r="E2060" s="312" t="s">
        <v>167</v>
      </c>
      <c r="F2060" s="312">
        <v>1705</v>
      </c>
      <c r="G2060" s="312" t="s">
        <v>168</v>
      </c>
      <c r="H2060" s="312">
        <v>1707</v>
      </c>
      <c r="I2060" s="312" t="s">
        <v>167</v>
      </c>
      <c r="J2060" s="312">
        <v>1899</v>
      </c>
      <c r="K2060" s="312" t="s">
        <v>169</v>
      </c>
    </row>
    <row r="2061" spans="1:11">
      <c r="A2061" s="312" t="s">
        <v>2147</v>
      </c>
      <c r="B2061" s="312" t="s">
        <v>2148</v>
      </c>
      <c r="C2061" s="312" t="s">
        <v>105</v>
      </c>
      <c r="D2061" s="312" t="s">
        <v>332</v>
      </c>
      <c r="E2061" s="312" t="s">
        <v>167</v>
      </c>
      <c r="F2061" s="312">
        <v>1705</v>
      </c>
      <c r="G2061" s="312" t="s">
        <v>168</v>
      </c>
      <c r="H2061" s="312">
        <v>1707</v>
      </c>
      <c r="I2061" s="312" t="s">
        <v>167</v>
      </c>
      <c r="J2061" s="312">
        <v>1899</v>
      </c>
      <c r="K2061" s="312" t="s">
        <v>169</v>
      </c>
    </row>
    <row r="2062" spans="1:11">
      <c r="A2062" s="5" t="s">
        <v>2765</v>
      </c>
      <c r="B2062" s="312" t="s">
        <v>2766</v>
      </c>
      <c r="C2062" s="312" t="s">
        <v>105</v>
      </c>
      <c r="D2062" s="312" t="s">
        <v>332</v>
      </c>
      <c r="E2062" s="312" t="s">
        <v>167</v>
      </c>
      <c r="F2062" s="312">
        <v>1705</v>
      </c>
      <c r="G2062" s="312" t="s">
        <v>168</v>
      </c>
      <c r="H2062" s="312">
        <v>1707</v>
      </c>
      <c r="I2062" s="312" t="s">
        <v>167</v>
      </c>
      <c r="J2062" s="312">
        <v>1899</v>
      </c>
      <c r="K2062" s="312" t="s">
        <v>169</v>
      </c>
    </row>
    <row r="2063" spans="1:11">
      <c r="A2063" s="312" t="s">
        <v>2767</v>
      </c>
      <c r="B2063" s="312" t="s">
        <v>2768</v>
      </c>
      <c r="C2063" s="312" t="s">
        <v>105</v>
      </c>
      <c r="D2063" s="312" t="s">
        <v>332</v>
      </c>
      <c r="E2063" s="312" t="s">
        <v>167</v>
      </c>
      <c r="F2063" s="312">
        <v>1705</v>
      </c>
      <c r="G2063" s="312" t="s">
        <v>168</v>
      </c>
      <c r="H2063" s="312">
        <v>1707</v>
      </c>
      <c r="I2063" s="312" t="s">
        <v>167</v>
      </c>
      <c r="J2063" s="312">
        <v>1899</v>
      </c>
      <c r="K2063" s="312" t="s">
        <v>169</v>
      </c>
    </row>
    <row r="2064" spans="1:11">
      <c r="A2064" s="312" t="s">
        <v>2769</v>
      </c>
      <c r="B2064" s="312" t="s">
        <v>2770</v>
      </c>
      <c r="C2064" s="312" t="s">
        <v>105</v>
      </c>
      <c r="D2064" s="312" t="s">
        <v>332</v>
      </c>
      <c r="E2064" s="312" t="s">
        <v>167</v>
      </c>
      <c r="F2064" s="312">
        <v>1705</v>
      </c>
      <c r="G2064" s="312" t="s">
        <v>168</v>
      </c>
      <c r="H2064" s="312">
        <v>1707</v>
      </c>
      <c r="I2064" s="312" t="s">
        <v>167</v>
      </c>
      <c r="J2064" s="312">
        <v>1899</v>
      </c>
      <c r="K2064" s="312" t="s">
        <v>169</v>
      </c>
    </row>
    <row r="2065" spans="1:11">
      <c r="A2065" s="312" t="s">
        <v>2771</v>
      </c>
      <c r="B2065" s="312" t="s">
        <v>2772</v>
      </c>
      <c r="C2065" s="312" t="s">
        <v>105</v>
      </c>
      <c r="D2065" s="312" t="s">
        <v>332</v>
      </c>
      <c r="E2065" s="312" t="s">
        <v>107</v>
      </c>
      <c r="F2065" s="312">
        <v>1825</v>
      </c>
      <c r="G2065" s="312" t="s">
        <v>108</v>
      </c>
      <c r="H2065" s="312">
        <v>1827</v>
      </c>
      <c r="I2065" s="312" t="s">
        <v>107</v>
      </c>
      <c r="J2065" s="312">
        <v>1913</v>
      </c>
      <c r="K2065" s="312" t="s">
        <v>109</v>
      </c>
    </row>
    <row r="2066" spans="1:11">
      <c r="A2066" s="312" t="s">
        <v>505</v>
      </c>
      <c r="B2066" s="312" t="s">
        <v>506</v>
      </c>
      <c r="C2066" s="312" t="s">
        <v>105</v>
      </c>
      <c r="D2066" s="312" t="s">
        <v>507</v>
      </c>
      <c r="E2066" s="312" t="s">
        <v>167</v>
      </c>
      <c r="F2066" s="312">
        <v>1705</v>
      </c>
      <c r="G2066" s="312" t="s">
        <v>168</v>
      </c>
      <c r="H2066" s="312">
        <v>1707</v>
      </c>
      <c r="I2066" s="312" t="s">
        <v>167</v>
      </c>
      <c r="J2066" s="312">
        <v>1899</v>
      </c>
      <c r="K2066" s="312" t="s">
        <v>169</v>
      </c>
    </row>
    <row r="2067" spans="1:11">
      <c r="A2067" s="312" t="s">
        <v>508</v>
      </c>
      <c r="B2067" s="312" t="s">
        <v>509</v>
      </c>
      <c r="C2067" s="312" t="s">
        <v>105</v>
      </c>
      <c r="D2067" s="312" t="s">
        <v>507</v>
      </c>
      <c r="E2067" s="312" t="s">
        <v>167</v>
      </c>
      <c r="F2067" s="312">
        <v>1705</v>
      </c>
      <c r="G2067" s="312" t="s">
        <v>168</v>
      </c>
      <c r="H2067" s="312">
        <v>1707</v>
      </c>
      <c r="I2067" s="312" t="s">
        <v>167</v>
      </c>
      <c r="J2067" s="312">
        <v>1899</v>
      </c>
      <c r="K2067" s="312" t="s">
        <v>169</v>
      </c>
    </row>
    <row r="2068" spans="1:11">
      <c r="A2068" s="312" t="s">
        <v>1377</v>
      </c>
      <c r="B2068" s="312" t="s">
        <v>1378</v>
      </c>
      <c r="C2068" s="312" t="s">
        <v>105</v>
      </c>
      <c r="D2068" s="312" t="s">
        <v>507</v>
      </c>
      <c r="E2068" s="312" t="s">
        <v>167</v>
      </c>
      <c r="F2068" s="312">
        <v>1705</v>
      </c>
      <c r="G2068" s="312" t="s">
        <v>168</v>
      </c>
      <c r="H2068" s="312">
        <v>1707</v>
      </c>
      <c r="I2068" s="312" t="s">
        <v>167</v>
      </c>
      <c r="J2068" s="312">
        <v>1899</v>
      </c>
      <c r="K2068" s="312" t="s">
        <v>169</v>
      </c>
    </row>
    <row r="2069" spans="1:11">
      <c r="A2069" s="312" t="s">
        <v>1398</v>
      </c>
      <c r="B2069" s="312" t="s">
        <v>1399</v>
      </c>
      <c r="C2069" s="312" t="s">
        <v>105</v>
      </c>
      <c r="D2069" s="312" t="s">
        <v>507</v>
      </c>
      <c r="E2069" s="312" t="s">
        <v>167</v>
      </c>
      <c r="F2069" s="312">
        <v>1705</v>
      </c>
      <c r="G2069" s="312" t="s">
        <v>168</v>
      </c>
      <c r="H2069" s="312">
        <v>1707</v>
      </c>
      <c r="I2069" s="312" t="s">
        <v>167</v>
      </c>
      <c r="J2069" s="312">
        <v>1899</v>
      </c>
      <c r="K2069" s="312" t="s">
        <v>169</v>
      </c>
    </row>
    <row r="2070" spans="1:11">
      <c r="A2070" s="312" t="s">
        <v>1795</v>
      </c>
      <c r="B2070" s="312" t="s">
        <v>1796</v>
      </c>
      <c r="C2070" s="312" t="s">
        <v>105</v>
      </c>
      <c r="D2070" s="312" t="s">
        <v>507</v>
      </c>
      <c r="E2070" s="312" t="s">
        <v>167</v>
      </c>
      <c r="F2070" s="312">
        <v>1705</v>
      </c>
      <c r="G2070" s="312" t="s">
        <v>168</v>
      </c>
      <c r="H2070" s="312">
        <v>1707</v>
      </c>
      <c r="I2070" s="312" t="s">
        <v>167</v>
      </c>
      <c r="J2070" s="312">
        <v>1899</v>
      </c>
      <c r="K2070" s="312" t="s">
        <v>169</v>
      </c>
    </row>
    <row r="2071" spans="1:11">
      <c r="A2071" s="312" t="s">
        <v>2236</v>
      </c>
      <c r="B2071" s="312" t="s">
        <v>2237</v>
      </c>
      <c r="C2071" s="312" t="s">
        <v>105</v>
      </c>
      <c r="D2071" s="312" t="s">
        <v>507</v>
      </c>
      <c r="E2071" s="312" t="s">
        <v>167</v>
      </c>
      <c r="F2071" s="312">
        <v>1705</v>
      </c>
      <c r="G2071" s="312" t="s">
        <v>168</v>
      </c>
      <c r="H2071" s="312">
        <v>1707</v>
      </c>
      <c r="I2071" s="312" t="s">
        <v>167</v>
      </c>
      <c r="J2071" s="312">
        <v>1899</v>
      </c>
      <c r="K2071" s="312" t="s">
        <v>169</v>
      </c>
    </row>
    <row r="2072" spans="1:11">
      <c r="A2072" s="312" t="s">
        <v>2238</v>
      </c>
      <c r="B2072" s="312" t="s">
        <v>2239</v>
      </c>
      <c r="C2072" s="312" t="s">
        <v>105</v>
      </c>
      <c r="D2072" s="312" t="s">
        <v>507</v>
      </c>
      <c r="E2072" s="312" t="s">
        <v>167</v>
      </c>
      <c r="F2072" s="312">
        <v>1705</v>
      </c>
      <c r="G2072" s="312" t="s">
        <v>168</v>
      </c>
      <c r="H2072" s="312">
        <v>1707</v>
      </c>
      <c r="I2072" s="312" t="s">
        <v>167</v>
      </c>
      <c r="J2072" s="312">
        <v>1899</v>
      </c>
      <c r="K2072" s="312" t="s">
        <v>169</v>
      </c>
    </row>
    <row r="2073" spans="1:11">
      <c r="A2073" s="312" t="s">
        <v>3261</v>
      </c>
      <c r="B2073" s="312" t="s">
        <v>3262</v>
      </c>
      <c r="C2073" s="312" t="s">
        <v>105</v>
      </c>
      <c r="D2073" s="312" t="s">
        <v>507</v>
      </c>
      <c r="E2073" s="312" t="s">
        <v>167</v>
      </c>
      <c r="F2073" s="312">
        <v>1705</v>
      </c>
      <c r="G2073" s="312" t="s">
        <v>168</v>
      </c>
      <c r="H2073" s="312">
        <v>1707</v>
      </c>
      <c r="I2073" s="312" t="s">
        <v>167</v>
      </c>
      <c r="J2073" s="312">
        <v>1899</v>
      </c>
      <c r="K2073" s="312" t="s">
        <v>169</v>
      </c>
    </row>
    <row r="2074" spans="1:11">
      <c r="A2074" s="312" t="s">
        <v>3362</v>
      </c>
      <c r="B2074" s="312" t="s">
        <v>3363</v>
      </c>
      <c r="C2074" s="312" t="s">
        <v>105</v>
      </c>
      <c r="D2074" s="312" t="s">
        <v>507</v>
      </c>
      <c r="E2074" s="312" t="s">
        <v>167</v>
      </c>
      <c r="F2074" s="312">
        <v>1705</v>
      </c>
      <c r="G2074" s="312" t="s">
        <v>168</v>
      </c>
      <c r="H2074" s="312">
        <v>1707</v>
      </c>
      <c r="I2074" s="312" t="s">
        <v>167</v>
      </c>
      <c r="J2074" s="312">
        <v>1899</v>
      </c>
      <c r="K2074" s="312" t="s">
        <v>169</v>
      </c>
    </row>
    <row r="2075" spans="1:11">
      <c r="A2075" s="312" t="s">
        <v>3418</v>
      </c>
      <c r="B2075" s="312" t="s">
        <v>3419</v>
      </c>
      <c r="C2075" s="312" t="s">
        <v>105</v>
      </c>
      <c r="D2075" s="312" t="s">
        <v>507</v>
      </c>
      <c r="E2075" s="312" t="s">
        <v>167</v>
      </c>
      <c r="F2075" s="312">
        <v>1705</v>
      </c>
      <c r="G2075" s="312" t="s">
        <v>168</v>
      </c>
      <c r="H2075" s="312">
        <v>1707</v>
      </c>
      <c r="I2075" s="312" t="s">
        <v>167</v>
      </c>
      <c r="J2075" s="312">
        <v>1899</v>
      </c>
      <c r="K2075" s="312" t="s">
        <v>169</v>
      </c>
    </row>
    <row r="2076" spans="1:11">
      <c r="A2076" s="312" t="s">
        <v>6072</v>
      </c>
      <c r="B2076" s="312" t="s">
        <v>6073</v>
      </c>
      <c r="C2076" s="312" t="s">
        <v>105</v>
      </c>
      <c r="D2076" s="312" t="s">
        <v>507</v>
      </c>
      <c r="E2076" s="312" t="s">
        <v>167</v>
      </c>
      <c r="F2076" s="312">
        <v>1705</v>
      </c>
      <c r="G2076" s="312" t="s">
        <v>168</v>
      </c>
      <c r="H2076" s="312">
        <v>1707</v>
      </c>
      <c r="I2076" s="312" t="s">
        <v>167</v>
      </c>
      <c r="J2076" s="312">
        <v>1899</v>
      </c>
      <c r="K2076" s="312" t="s">
        <v>169</v>
      </c>
    </row>
    <row r="2077" spans="1:11">
      <c r="A2077" s="312" t="s">
        <v>6074</v>
      </c>
      <c r="B2077" s="312" t="s">
        <v>6075</v>
      </c>
      <c r="C2077" s="312" t="s">
        <v>105</v>
      </c>
      <c r="D2077" s="312" t="s">
        <v>507</v>
      </c>
      <c r="E2077" s="312" t="s">
        <v>167</v>
      </c>
      <c r="F2077" s="312">
        <v>1705</v>
      </c>
      <c r="G2077" s="312" t="s">
        <v>168</v>
      </c>
      <c r="H2077" s="312">
        <v>1707</v>
      </c>
      <c r="I2077" s="312" t="s">
        <v>167</v>
      </c>
      <c r="J2077" s="312">
        <v>1899</v>
      </c>
      <c r="K2077" s="312" t="s">
        <v>169</v>
      </c>
    </row>
    <row r="2078" spans="1:11">
      <c r="A2078" s="312" t="s">
        <v>6076</v>
      </c>
      <c r="B2078" s="312" t="s">
        <v>6077</v>
      </c>
      <c r="C2078" s="312" t="s">
        <v>105</v>
      </c>
      <c r="D2078" s="312" t="s">
        <v>507</v>
      </c>
      <c r="E2078" s="312" t="s">
        <v>167</v>
      </c>
      <c r="F2078" s="312">
        <v>1705</v>
      </c>
      <c r="G2078" s="312" t="s">
        <v>168</v>
      </c>
      <c r="H2078" s="312">
        <v>1707</v>
      </c>
      <c r="I2078" s="312" t="s">
        <v>167</v>
      </c>
      <c r="J2078" s="312">
        <v>1899</v>
      </c>
      <c r="K2078" s="312" t="s">
        <v>169</v>
      </c>
    </row>
    <row r="2079" spans="1:11">
      <c r="A2079" s="312" t="s">
        <v>6078</v>
      </c>
      <c r="B2079" s="312" t="s">
        <v>6079</v>
      </c>
      <c r="C2079" s="312" t="s">
        <v>105</v>
      </c>
      <c r="D2079" s="312" t="s">
        <v>507</v>
      </c>
      <c r="E2079" s="312" t="s">
        <v>167</v>
      </c>
      <c r="F2079" s="312">
        <v>1705</v>
      </c>
      <c r="G2079" s="312" t="s">
        <v>168</v>
      </c>
      <c r="H2079" s="312">
        <v>1707</v>
      </c>
      <c r="I2079" s="312" t="s">
        <v>167</v>
      </c>
      <c r="J2079" s="312">
        <v>1899</v>
      </c>
      <c r="K2079" s="312" t="s">
        <v>169</v>
      </c>
    </row>
    <row r="2080" spans="1:11">
      <c r="A2080" s="312" t="s">
        <v>6080</v>
      </c>
      <c r="B2080" s="312" t="s">
        <v>6081</v>
      </c>
      <c r="C2080" s="312" t="s">
        <v>105</v>
      </c>
      <c r="D2080" s="312" t="s">
        <v>507</v>
      </c>
      <c r="E2080" s="312" t="s">
        <v>167</v>
      </c>
      <c r="F2080" s="312">
        <v>1705</v>
      </c>
      <c r="G2080" s="312" t="s">
        <v>168</v>
      </c>
      <c r="H2080" s="312">
        <v>1707</v>
      </c>
      <c r="I2080" s="312" t="s">
        <v>167</v>
      </c>
      <c r="J2080" s="312">
        <v>1899</v>
      </c>
      <c r="K2080" s="312" t="s">
        <v>169</v>
      </c>
    </row>
    <row r="2081" spans="1:11">
      <c r="A2081" s="312" t="s">
        <v>6082</v>
      </c>
      <c r="B2081" s="312" t="s">
        <v>6083</v>
      </c>
      <c r="C2081" s="312" t="s">
        <v>105</v>
      </c>
      <c r="D2081" s="312" t="s">
        <v>507</v>
      </c>
      <c r="E2081" s="312" t="s">
        <v>167</v>
      </c>
      <c r="F2081" s="312">
        <v>1705</v>
      </c>
      <c r="G2081" s="312" t="s">
        <v>168</v>
      </c>
      <c r="H2081" s="312">
        <v>1707</v>
      </c>
      <c r="I2081" s="312" t="s">
        <v>167</v>
      </c>
      <c r="J2081" s="312">
        <v>1899</v>
      </c>
      <c r="K2081" s="312" t="s">
        <v>169</v>
      </c>
    </row>
    <row r="2082" spans="1:11">
      <c r="A2082" s="312" t="s">
        <v>6084</v>
      </c>
      <c r="B2082" s="312" t="s">
        <v>6085</v>
      </c>
      <c r="C2082" s="312" t="s">
        <v>105</v>
      </c>
      <c r="D2082" s="312" t="s">
        <v>507</v>
      </c>
      <c r="E2082" s="312" t="s">
        <v>167</v>
      </c>
      <c r="F2082" s="312">
        <v>1705</v>
      </c>
      <c r="G2082" s="312" t="s">
        <v>168</v>
      </c>
      <c r="H2082" s="312">
        <v>1707</v>
      </c>
      <c r="I2082" s="312" t="s">
        <v>167</v>
      </c>
      <c r="J2082" s="312">
        <v>1899</v>
      </c>
      <c r="K2082" s="312" t="s">
        <v>169</v>
      </c>
    </row>
    <row r="2083" spans="1:11">
      <c r="A2083" s="312" t="s">
        <v>4442</v>
      </c>
      <c r="B2083" s="312" t="s">
        <v>4443</v>
      </c>
      <c r="C2083" s="312" t="s">
        <v>105</v>
      </c>
      <c r="D2083" s="312" t="s">
        <v>4444</v>
      </c>
      <c r="E2083" s="312" t="s">
        <v>167</v>
      </c>
      <c r="F2083" s="312">
        <v>1705</v>
      </c>
      <c r="G2083" s="312" t="s">
        <v>168</v>
      </c>
      <c r="H2083" s="312">
        <v>1707</v>
      </c>
      <c r="I2083" s="312" t="s">
        <v>167</v>
      </c>
      <c r="J2083" s="312">
        <v>1899</v>
      </c>
      <c r="K2083" s="312" t="s">
        <v>169</v>
      </c>
    </row>
    <row r="2084" spans="1:11">
      <c r="A2084" s="312" t="s">
        <v>5994</v>
      </c>
      <c r="B2084" s="312" t="s">
        <v>5995</v>
      </c>
      <c r="C2084" s="312" t="s">
        <v>105</v>
      </c>
      <c r="D2084" s="312" t="s">
        <v>4444</v>
      </c>
      <c r="E2084" s="312" t="s">
        <v>167</v>
      </c>
      <c r="F2084" s="312">
        <v>1705</v>
      </c>
      <c r="G2084" s="312" t="s">
        <v>168</v>
      </c>
      <c r="H2084" s="312">
        <v>1707</v>
      </c>
      <c r="I2084" s="312" t="s">
        <v>167</v>
      </c>
      <c r="J2084" s="312">
        <v>1899</v>
      </c>
      <c r="K2084" s="312" t="s">
        <v>169</v>
      </c>
    </row>
    <row r="2085" spans="1:11">
      <c r="A2085" s="312" t="s">
        <v>233</v>
      </c>
      <c r="B2085" s="312" t="s">
        <v>234</v>
      </c>
      <c r="C2085" s="312" t="s">
        <v>105</v>
      </c>
      <c r="D2085" s="312" t="s">
        <v>235</v>
      </c>
      <c r="E2085" s="312" t="s">
        <v>167</v>
      </c>
      <c r="F2085" s="312">
        <v>1705</v>
      </c>
      <c r="G2085" s="312" t="s">
        <v>168</v>
      </c>
      <c r="H2085" s="312">
        <v>1707</v>
      </c>
      <c r="I2085" s="312" t="s">
        <v>167</v>
      </c>
      <c r="J2085" s="312">
        <v>1899</v>
      </c>
      <c r="K2085" s="312" t="s">
        <v>169</v>
      </c>
    </row>
    <row r="2086" spans="1:11">
      <c r="A2086" s="312" t="s">
        <v>236</v>
      </c>
      <c r="B2086" s="312" t="s">
        <v>237</v>
      </c>
      <c r="C2086" s="312" t="s">
        <v>105</v>
      </c>
      <c r="D2086" s="312" t="s">
        <v>235</v>
      </c>
      <c r="E2086" s="312" t="s">
        <v>167</v>
      </c>
      <c r="F2086" s="312">
        <v>1705</v>
      </c>
      <c r="G2086" s="312" t="s">
        <v>168</v>
      </c>
      <c r="H2086" s="312">
        <v>1707</v>
      </c>
      <c r="I2086" s="312" t="s">
        <v>167</v>
      </c>
      <c r="J2086" s="312">
        <v>1899</v>
      </c>
      <c r="K2086" s="312" t="s">
        <v>169</v>
      </c>
    </row>
    <row r="2087" spans="1:11">
      <c r="A2087" s="312" t="s">
        <v>248</v>
      </c>
      <c r="B2087" s="312" t="s">
        <v>249</v>
      </c>
      <c r="C2087" s="312" t="s">
        <v>105</v>
      </c>
      <c r="D2087" s="312" t="s">
        <v>235</v>
      </c>
      <c r="E2087" s="312" t="s">
        <v>167</v>
      </c>
      <c r="F2087" s="312">
        <v>1705</v>
      </c>
      <c r="G2087" s="312" t="s">
        <v>168</v>
      </c>
      <c r="H2087" s="312">
        <v>1707</v>
      </c>
      <c r="I2087" s="312" t="s">
        <v>167</v>
      </c>
      <c r="J2087" s="312">
        <v>1899</v>
      </c>
      <c r="K2087" s="312" t="s">
        <v>169</v>
      </c>
    </row>
    <row r="2088" spans="1:11">
      <c r="A2088" s="312" t="s">
        <v>341</v>
      </c>
      <c r="B2088" s="312" t="s">
        <v>342</v>
      </c>
      <c r="C2088" s="312" t="s">
        <v>105</v>
      </c>
      <c r="D2088" s="312" t="s">
        <v>343</v>
      </c>
      <c r="E2088" s="312" t="s">
        <v>167</v>
      </c>
      <c r="F2088" s="312">
        <v>1705</v>
      </c>
      <c r="G2088" s="312" t="s">
        <v>168</v>
      </c>
      <c r="H2088" s="312">
        <v>1707</v>
      </c>
      <c r="I2088" s="312" t="s">
        <v>167</v>
      </c>
      <c r="J2088" s="312">
        <v>1899</v>
      </c>
      <c r="K2088" s="312" t="s">
        <v>169</v>
      </c>
    </row>
    <row r="2089" spans="1:11">
      <c r="A2089" s="312" t="s">
        <v>520</v>
      </c>
      <c r="B2089" s="312" t="s">
        <v>521</v>
      </c>
      <c r="C2089" s="312" t="s">
        <v>105</v>
      </c>
      <c r="D2089" s="312" t="s">
        <v>343</v>
      </c>
      <c r="E2089" s="312" t="s">
        <v>167</v>
      </c>
      <c r="F2089" s="312">
        <v>1705</v>
      </c>
      <c r="G2089" s="312" t="s">
        <v>168</v>
      </c>
      <c r="H2089" s="312">
        <v>1707</v>
      </c>
      <c r="I2089" s="312" t="s">
        <v>167</v>
      </c>
      <c r="J2089" s="312">
        <v>1899</v>
      </c>
      <c r="K2089" s="312" t="s">
        <v>169</v>
      </c>
    </row>
    <row r="2090" spans="1:11">
      <c r="A2090" s="312" t="s">
        <v>724</v>
      </c>
      <c r="B2090" s="312" t="s">
        <v>725</v>
      </c>
      <c r="C2090" s="312" t="s">
        <v>105</v>
      </c>
      <c r="D2090" s="312" t="s">
        <v>343</v>
      </c>
      <c r="E2090" s="312" t="s">
        <v>167</v>
      </c>
      <c r="F2090" s="312">
        <v>1705</v>
      </c>
      <c r="G2090" s="312" t="s">
        <v>168</v>
      </c>
      <c r="H2090" s="312">
        <v>1707</v>
      </c>
      <c r="I2090" s="312" t="s">
        <v>167</v>
      </c>
      <c r="J2090" s="312">
        <v>1899</v>
      </c>
      <c r="K2090" s="312" t="s">
        <v>169</v>
      </c>
    </row>
    <row r="2091" spans="1:11">
      <c r="A2091" s="312" t="s">
        <v>735</v>
      </c>
      <c r="B2091" s="312" t="s">
        <v>736</v>
      </c>
      <c r="C2091" s="312" t="s">
        <v>105</v>
      </c>
      <c r="D2091" s="312" t="s">
        <v>343</v>
      </c>
      <c r="E2091" s="312" t="s">
        <v>167</v>
      </c>
      <c r="F2091" s="312">
        <v>1705</v>
      </c>
      <c r="G2091" s="312" t="s">
        <v>168</v>
      </c>
      <c r="H2091" s="312">
        <v>1707</v>
      </c>
      <c r="I2091" s="312" t="s">
        <v>167</v>
      </c>
      <c r="J2091" s="312">
        <v>1899</v>
      </c>
      <c r="K2091" s="312" t="s">
        <v>169</v>
      </c>
    </row>
    <row r="2092" spans="1:11">
      <c r="A2092" s="312" t="s">
        <v>1259</v>
      </c>
      <c r="B2092" s="312" t="s">
        <v>1260</v>
      </c>
      <c r="C2092" s="312" t="s">
        <v>105</v>
      </c>
      <c r="D2092" s="312" t="s">
        <v>343</v>
      </c>
      <c r="E2092" s="312" t="s">
        <v>167</v>
      </c>
      <c r="F2092" s="312">
        <v>1705</v>
      </c>
      <c r="G2092" s="312" t="s">
        <v>168</v>
      </c>
      <c r="H2092" s="312">
        <v>1707</v>
      </c>
      <c r="I2092" s="312" t="s">
        <v>167</v>
      </c>
      <c r="J2092" s="312">
        <v>1899</v>
      </c>
      <c r="K2092" s="312" t="s">
        <v>169</v>
      </c>
    </row>
    <row r="2093" spans="1:11">
      <c r="A2093" s="312" t="s">
        <v>1693</v>
      </c>
      <c r="B2093" s="312" t="s">
        <v>1694</v>
      </c>
      <c r="C2093" s="312" t="s">
        <v>105</v>
      </c>
      <c r="D2093" s="312" t="s">
        <v>343</v>
      </c>
      <c r="E2093" s="312" t="s">
        <v>167</v>
      </c>
      <c r="F2093" s="312">
        <v>1705</v>
      </c>
      <c r="G2093" s="312" t="s">
        <v>168</v>
      </c>
      <c r="H2093" s="312">
        <v>1707</v>
      </c>
      <c r="I2093" s="312" t="s">
        <v>167</v>
      </c>
      <c r="J2093" s="312">
        <v>1899</v>
      </c>
      <c r="K2093" s="312" t="s">
        <v>169</v>
      </c>
    </row>
    <row r="2094" spans="1:11">
      <c r="A2094" s="312" t="s">
        <v>1888</v>
      </c>
      <c r="B2094" s="312" t="s">
        <v>1889</v>
      </c>
      <c r="C2094" s="312" t="s">
        <v>105</v>
      </c>
      <c r="D2094" s="312" t="s">
        <v>343</v>
      </c>
      <c r="E2094" s="312" t="s">
        <v>466</v>
      </c>
      <c r="F2094" s="312">
        <v>1796</v>
      </c>
      <c r="G2094" s="312" t="s">
        <v>467</v>
      </c>
      <c r="H2094" s="312">
        <v>1799</v>
      </c>
      <c r="I2094" s="312" t="s">
        <v>466</v>
      </c>
      <c r="J2094" s="312">
        <v>1918</v>
      </c>
      <c r="K2094" s="312" t="s">
        <v>468</v>
      </c>
    </row>
    <row r="2095" spans="1:11">
      <c r="A2095" s="312" t="s">
        <v>2057</v>
      </c>
      <c r="B2095" s="312" t="s">
        <v>2058</v>
      </c>
      <c r="C2095" s="312" t="s">
        <v>105</v>
      </c>
      <c r="D2095" s="312" t="s">
        <v>343</v>
      </c>
      <c r="E2095" s="312" t="s">
        <v>466</v>
      </c>
      <c r="F2095" s="312">
        <v>1796</v>
      </c>
      <c r="G2095" s="312" t="s">
        <v>467</v>
      </c>
      <c r="H2095" s="312">
        <v>1799</v>
      </c>
      <c r="I2095" s="312" t="s">
        <v>466</v>
      </c>
      <c r="J2095" s="312">
        <v>1918</v>
      </c>
      <c r="K2095" s="312" t="s">
        <v>468</v>
      </c>
    </row>
    <row r="2096" spans="1:11">
      <c r="A2096" s="312" t="s">
        <v>2151</v>
      </c>
      <c r="B2096" s="312" t="s">
        <v>2152</v>
      </c>
      <c r="C2096" s="312" t="s">
        <v>105</v>
      </c>
      <c r="D2096" s="312" t="s">
        <v>343</v>
      </c>
      <c r="E2096" s="312" t="s">
        <v>167</v>
      </c>
      <c r="F2096" s="312">
        <v>1705</v>
      </c>
      <c r="G2096" s="312" t="s">
        <v>168</v>
      </c>
      <c r="H2096" s="312">
        <v>1707</v>
      </c>
      <c r="I2096" s="312" t="s">
        <v>167</v>
      </c>
      <c r="J2096" s="312">
        <v>1899</v>
      </c>
      <c r="K2096" s="312" t="s">
        <v>169</v>
      </c>
    </row>
    <row r="2097" spans="1:11">
      <c r="A2097" s="312" t="s">
        <v>2153</v>
      </c>
      <c r="B2097" s="312" t="s">
        <v>2154</v>
      </c>
      <c r="C2097" s="312" t="s">
        <v>105</v>
      </c>
      <c r="D2097" s="312" t="s">
        <v>343</v>
      </c>
      <c r="E2097" s="312" t="s">
        <v>167</v>
      </c>
      <c r="F2097" s="312">
        <v>1705</v>
      </c>
      <c r="G2097" s="312" t="s">
        <v>168</v>
      </c>
      <c r="H2097" s="312">
        <v>1707</v>
      </c>
      <c r="I2097" s="312" t="s">
        <v>167</v>
      </c>
      <c r="J2097" s="312">
        <v>1899</v>
      </c>
      <c r="K2097" s="312" t="s">
        <v>169</v>
      </c>
    </row>
    <row r="2098" spans="1:11">
      <c r="A2098" s="312" t="s">
        <v>2155</v>
      </c>
      <c r="B2098" s="312" t="s">
        <v>2156</v>
      </c>
      <c r="C2098" s="312" t="s">
        <v>105</v>
      </c>
      <c r="D2098" s="312" t="s">
        <v>343</v>
      </c>
      <c r="E2098" s="312" t="s">
        <v>167</v>
      </c>
      <c r="F2098" s="312">
        <v>1705</v>
      </c>
      <c r="G2098" s="312" t="s">
        <v>168</v>
      </c>
      <c r="H2098" s="312">
        <v>1707</v>
      </c>
      <c r="I2098" s="312" t="s">
        <v>167</v>
      </c>
      <c r="J2098" s="312">
        <v>1899</v>
      </c>
      <c r="K2098" s="312" t="s">
        <v>169</v>
      </c>
    </row>
    <row r="2099" spans="1:11">
      <c r="A2099" s="312" t="s">
        <v>2157</v>
      </c>
      <c r="B2099" s="312" t="s">
        <v>2158</v>
      </c>
      <c r="C2099" s="312" t="s">
        <v>105</v>
      </c>
      <c r="D2099" s="312" t="s">
        <v>343</v>
      </c>
      <c r="E2099" s="312" t="s">
        <v>167</v>
      </c>
      <c r="F2099" s="312">
        <v>1705</v>
      </c>
      <c r="G2099" s="312" t="s">
        <v>168</v>
      </c>
      <c r="H2099" s="312">
        <v>1707</v>
      </c>
      <c r="I2099" s="312" t="s">
        <v>167</v>
      </c>
      <c r="J2099" s="312">
        <v>1899</v>
      </c>
      <c r="K2099" s="312" t="s">
        <v>169</v>
      </c>
    </row>
    <row r="2100" spans="1:11">
      <c r="A2100" s="312" t="s">
        <v>2159</v>
      </c>
      <c r="B2100" s="312" t="s">
        <v>2160</v>
      </c>
      <c r="C2100" s="312" t="s">
        <v>105</v>
      </c>
      <c r="D2100" s="312" t="s">
        <v>343</v>
      </c>
      <c r="E2100" s="312" t="s">
        <v>167</v>
      </c>
      <c r="F2100" s="312">
        <v>1705</v>
      </c>
      <c r="G2100" s="312" t="s">
        <v>168</v>
      </c>
      <c r="H2100" s="312">
        <v>1707</v>
      </c>
      <c r="I2100" s="312" t="s">
        <v>167</v>
      </c>
      <c r="J2100" s="312">
        <v>1899</v>
      </c>
      <c r="K2100" s="312" t="s">
        <v>169</v>
      </c>
    </row>
    <row r="2101" spans="1:11">
      <c r="A2101" s="312" t="s">
        <v>2161</v>
      </c>
      <c r="B2101" s="312" t="s">
        <v>2162</v>
      </c>
      <c r="C2101" s="312" t="s">
        <v>105</v>
      </c>
      <c r="D2101" s="312" t="s">
        <v>343</v>
      </c>
      <c r="E2101" s="312" t="s">
        <v>167</v>
      </c>
      <c r="F2101" s="312">
        <v>1705</v>
      </c>
      <c r="G2101" s="312" t="s">
        <v>168</v>
      </c>
      <c r="H2101" s="312">
        <v>1707</v>
      </c>
      <c r="I2101" s="312" t="s">
        <v>167</v>
      </c>
      <c r="J2101" s="312">
        <v>1899</v>
      </c>
      <c r="K2101" s="312" t="s">
        <v>169</v>
      </c>
    </row>
    <row r="2102" spans="1:11">
      <c r="A2102" s="312" t="s">
        <v>2163</v>
      </c>
      <c r="B2102" s="312" t="s">
        <v>2164</v>
      </c>
      <c r="C2102" s="312" t="s">
        <v>105</v>
      </c>
      <c r="D2102" s="312" t="s">
        <v>343</v>
      </c>
      <c r="E2102" s="312" t="s">
        <v>167</v>
      </c>
      <c r="F2102" s="312">
        <v>1705</v>
      </c>
      <c r="G2102" s="312" t="s">
        <v>168</v>
      </c>
      <c r="H2102" s="312">
        <v>1707</v>
      </c>
      <c r="I2102" s="312" t="s">
        <v>167</v>
      </c>
      <c r="J2102" s="312">
        <v>1899</v>
      </c>
      <c r="K2102" s="312" t="s">
        <v>169</v>
      </c>
    </row>
    <row r="2103" spans="1:11">
      <c r="A2103" s="312" t="s">
        <v>2165</v>
      </c>
      <c r="B2103" s="312" t="s">
        <v>2166</v>
      </c>
      <c r="C2103" s="312" t="s">
        <v>105</v>
      </c>
      <c r="D2103" s="312" t="s">
        <v>343</v>
      </c>
      <c r="E2103" s="312" t="s">
        <v>167</v>
      </c>
      <c r="F2103" s="312">
        <v>1705</v>
      </c>
      <c r="G2103" s="312" t="s">
        <v>168</v>
      </c>
      <c r="H2103" s="312">
        <v>1707</v>
      </c>
      <c r="I2103" s="312" t="s">
        <v>167</v>
      </c>
      <c r="J2103" s="312">
        <v>1899</v>
      </c>
      <c r="K2103" s="312" t="s">
        <v>169</v>
      </c>
    </row>
    <row r="2104" spans="1:11">
      <c r="A2104" s="312" t="s">
        <v>2167</v>
      </c>
      <c r="B2104" s="312" t="s">
        <v>2168</v>
      </c>
      <c r="C2104" s="312" t="s">
        <v>105</v>
      </c>
      <c r="D2104" s="312" t="s">
        <v>343</v>
      </c>
      <c r="E2104" s="312" t="s">
        <v>167</v>
      </c>
      <c r="F2104" s="312">
        <v>1705</v>
      </c>
      <c r="G2104" s="312" t="s">
        <v>168</v>
      </c>
      <c r="H2104" s="312">
        <v>1707</v>
      </c>
      <c r="I2104" s="312" t="s">
        <v>167</v>
      </c>
      <c r="J2104" s="312">
        <v>1899</v>
      </c>
      <c r="K2104" s="312" t="s">
        <v>169</v>
      </c>
    </row>
    <row r="2105" spans="1:11">
      <c r="A2105" s="312" t="s">
        <v>2169</v>
      </c>
      <c r="B2105" s="312" t="s">
        <v>2170</v>
      </c>
      <c r="C2105" s="312" t="s">
        <v>105</v>
      </c>
      <c r="D2105" s="312" t="s">
        <v>343</v>
      </c>
      <c r="E2105" s="312" t="s">
        <v>167</v>
      </c>
      <c r="F2105" s="312">
        <v>1705</v>
      </c>
      <c r="G2105" s="312" t="s">
        <v>168</v>
      </c>
      <c r="H2105" s="312">
        <v>1707</v>
      </c>
      <c r="I2105" s="312" t="s">
        <v>167</v>
      </c>
      <c r="J2105" s="312">
        <v>1899</v>
      </c>
      <c r="K2105" s="312" t="s">
        <v>169</v>
      </c>
    </row>
    <row r="2106" spans="1:11">
      <c r="A2106" s="312" t="s">
        <v>2171</v>
      </c>
      <c r="B2106" s="312" t="s">
        <v>2172</v>
      </c>
      <c r="C2106" s="312" t="s">
        <v>105</v>
      </c>
      <c r="D2106" s="312" t="s">
        <v>343</v>
      </c>
      <c r="E2106" s="312" t="s">
        <v>167</v>
      </c>
      <c r="F2106" s="312">
        <v>1705</v>
      </c>
      <c r="G2106" s="312" t="s">
        <v>168</v>
      </c>
      <c r="H2106" s="312">
        <v>1707</v>
      </c>
      <c r="I2106" s="312" t="s">
        <v>167</v>
      </c>
      <c r="J2106" s="312">
        <v>1899</v>
      </c>
      <c r="K2106" s="312" t="s">
        <v>169</v>
      </c>
    </row>
    <row r="2107" spans="1:11">
      <c r="A2107" s="312" t="s">
        <v>2173</v>
      </c>
      <c r="B2107" s="312" t="s">
        <v>2174</v>
      </c>
      <c r="C2107" s="312" t="s">
        <v>105</v>
      </c>
      <c r="D2107" s="312" t="s">
        <v>343</v>
      </c>
      <c r="E2107" s="312" t="s">
        <v>167</v>
      </c>
      <c r="F2107" s="312">
        <v>1705</v>
      </c>
      <c r="G2107" s="312" t="s">
        <v>168</v>
      </c>
      <c r="H2107" s="312">
        <v>1707</v>
      </c>
      <c r="I2107" s="312" t="s">
        <v>167</v>
      </c>
      <c r="J2107" s="312">
        <v>1899</v>
      </c>
      <c r="K2107" s="312" t="s">
        <v>169</v>
      </c>
    </row>
    <row r="2108" spans="1:11">
      <c r="A2108" s="312" t="s">
        <v>2175</v>
      </c>
      <c r="B2108" s="312" t="s">
        <v>2176</v>
      </c>
      <c r="C2108" s="312" t="s">
        <v>105</v>
      </c>
      <c r="D2108" s="312" t="s">
        <v>343</v>
      </c>
      <c r="E2108" s="312" t="s">
        <v>167</v>
      </c>
      <c r="F2108" s="312">
        <v>1705</v>
      </c>
      <c r="G2108" s="312" t="s">
        <v>168</v>
      </c>
      <c r="H2108" s="312">
        <v>1707</v>
      </c>
      <c r="I2108" s="312" t="s">
        <v>167</v>
      </c>
      <c r="J2108" s="312">
        <v>1899</v>
      </c>
      <c r="K2108" s="312" t="s">
        <v>169</v>
      </c>
    </row>
    <row r="2109" spans="1:11">
      <c r="A2109" s="312" t="s">
        <v>2177</v>
      </c>
      <c r="B2109" s="312" t="s">
        <v>2178</v>
      </c>
      <c r="C2109" s="312" t="s">
        <v>105</v>
      </c>
      <c r="D2109" s="312" t="s">
        <v>343</v>
      </c>
      <c r="E2109" s="312" t="s">
        <v>167</v>
      </c>
      <c r="F2109" s="312">
        <v>1705</v>
      </c>
      <c r="G2109" s="312" t="s">
        <v>168</v>
      </c>
      <c r="H2109" s="312">
        <v>1707</v>
      </c>
      <c r="I2109" s="312" t="s">
        <v>167</v>
      </c>
      <c r="J2109" s="312">
        <v>1899</v>
      </c>
      <c r="K2109" s="312" t="s">
        <v>169</v>
      </c>
    </row>
    <row r="2110" spans="1:11">
      <c r="A2110" s="312" t="s">
        <v>2179</v>
      </c>
      <c r="B2110" s="312" t="s">
        <v>2180</v>
      </c>
      <c r="C2110" s="312" t="s">
        <v>105</v>
      </c>
      <c r="D2110" s="312" t="s">
        <v>343</v>
      </c>
      <c r="E2110" s="312" t="s">
        <v>167</v>
      </c>
      <c r="F2110" s="312">
        <v>1705</v>
      </c>
      <c r="G2110" s="312" t="s">
        <v>168</v>
      </c>
      <c r="H2110" s="312">
        <v>1707</v>
      </c>
      <c r="I2110" s="312" t="s">
        <v>167</v>
      </c>
      <c r="J2110" s="312">
        <v>1899</v>
      </c>
      <c r="K2110" s="312" t="s">
        <v>169</v>
      </c>
    </row>
    <row r="2111" spans="1:11">
      <c r="A2111" s="312" t="s">
        <v>2181</v>
      </c>
      <c r="B2111" s="312" t="s">
        <v>2182</v>
      </c>
      <c r="C2111" s="312" t="s">
        <v>105</v>
      </c>
      <c r="D2111" s="312" t="s">
        <v>343</v>
      </c>
      <c r="E2111" s="312" t="s">
        <v>167</v>
      </c>
      <c r="F2111" s="312">
        <v>1705</v>
      </c>
      <c r="G2111" s="312" t="s">
        <v>168</v>
      </c>
      <c r="H2111" s="312">
        <v>1707</v>
      </c>
      <c r="I2111" s="312" t="s">
        <v>167</v>
      </c>
      <c r="J2111" s="312">
        <v>1899</v>
      </c>
      <c r="K2111" s="312" t="s">
        <v>169</v>
      </c>
    </row>
    <row r="2112" spans="1:11">
      <c r="A2112" s="312" t="s">
        <v>2183</v>
      </c>
      <c r="B2112" s="312" t="s">
        <v>2184</v>
      </c>
      <c r="C2112" s="312" t="s">
        <v>105</v>
      </c>
      <c r="D2112" s="312" t="s">
        <v>343</v>
      </c>
      <c r="E2112" s="312" t="s">
        <v>167</v>
      </c>
      <c r="F2112" s="312">
        <v>1705</v>
      </c>
      <c r="G2112" s="312" t="s">
        <v>168</v>
      </c>
      <c r="H2112" s="312">
        <v>1707</v>
      </c>
      <c r="I2112" s="312" t="s">
        <v>167</v>
      </c>
      <c r="J2112" s="312">
        <v>1899</v>
      </c>
      <c r="K2112" s="312" t="s">
        <v>169</v>
      </c>
    </row>
    <row r="2113" spans="1:11">
      <c r="A2113" s="312" t="s">
        <v>2185</v>
      </c>
      <c r="B2113" s="312" t="s">
        <v>2186</v>
      </c>
      <c r="C2113" s="312" t="s">
        <v>105</v>
      </c>
      <c r="D2113" s="312" t="s">
        <v>343</v>
      </c>
      <c r="E2113" s="312" t="s">
        <v>167</v>
      </c>
      <c r="F2113" s="312">
        <v>1705</v>
      </c>
      <c r="G2113" s="312" t="s">
        <v>168</v>
      </c>
      <c r="H2113" s="312">
        <v>1707</v>
      </c>
      <c r="I2113" s="312" t="s">
        <v>167</v>
      </c>
      <c r="J2113" s="312">
        <v>1899</v>
      </c>
      <c r="K2113" s="312" t="s">
        <v>169</v>
      </c>
    </row>
    <row r="2114" spans="1:11">
      <c r="A2114" s="312" t="s">
        <v>2187</v>
      </c>
      <c r="B2114" s="312" t="s">
        <v>2188</v>
      </c>
      <c r="C2114" s="312" t="s">
        <v>105</v>
      </c>
      <c r="D2114" s="312" t="s">
        <v>343</v>
      </c>
      <c r="E2114" s="312" t="s">
        <v>167</v>
      </c>
      <c r="F2114" s="312">
        <v>1705</v>
      </c>
      <c r="G2114" s="312" t="s">
        <v>168</v>
      </c>
      <c r="H2114" s="312">
        <v>1707</v>
      </c>
      <c r="I2114" s="312" t="s">
        <v>167</v>
      </c>
      <c r="J2114" s="312">
        <v>1899</v>
      </c>
      <c r="K2114" s="312" t="s">
        <v>169</v>
      </c>
    </row>
    <row r="2115" spans="1:11">
      <c r="A2115" s="312" t="s">
        <v>2189</v>
      </c>
      <c r="B2115" s="312" t="s">
        <v>2190</v>
      </c>
      <c r="C2115" s="312" t="s">
        <v>105</v>
      </c>
      <c r="D2115" s="312" t="s">
        <v>343</v>
      </c>
      <c r="E2115" s="312" t="s">
        <v>167</v>
      </c>
      <c r="F2115" s="312">
        <v>1705</v>
      </c>
      <c r="G2115" s="312" t="s">
        <v>168</v>
      </c>
      <c r="H2115" s="312">
        <v>1707</v>
      </c>
      <c r="I2115" s="312" t="s">
        <v>167</v>
      </c>
      <c r="J2115" s="312">
        <v>1899</v>
      </c>
      <c r="K2115" s="312" t="s">
        <v>169</v>
      </c>
    </row>
    <row r="2116" spans="1:11">
      <c r="A2116" s="312" t="s">
        <v>2191</v>
      </c>
      <c r="B2116" s="312" t="s">
        <v>2192</v>
      </c>
      <c r="C2116" s="312" t="s">
        <v>105</v>
      </c>
      <c r="D2116" s="312" t="s">
        <v>343</v>
      </c>
      <c r="E2116" s="312" t="s">
        <v>167</v>
      </c>
      <c r="F2116" s="312">
        <v>1705</v>
      </c>
      <c r="G2116" s="312" t="s">
        <v>168</v>
      </c>
      <c r="H2116" s="312">
        <v>1707</v>
      </c>
      <c r="I2116" s="312" t="s">
        <v>167</v>
      </c>
      <c r="J2116" s="312">
        <v>1899</v>
      </c>
      <c r="K2116" s="312" t="s">
        <v>169</v>
      </c>
    </row>
    <row r="2117" spans="1:11">
      <c r="A2117" s="312" t="s">
        <v>2193</v>
      </c>
      <c r="B2117" s="312" t="s">
        <v>2194</v>
      </c>
      <c r="C2117" s="312" t="s">
        <v>105</v>
      </c>
      <c r="D2117" s="312" t="s">
        <v>343</v>
      </c>
      <c r="E2117" s="312" t="s">
        <v>167</v>
      </c>
      <c r="F2117" s="312">
        <v>1705</v>
      </c>
      <c r="G2117" s="312" t="s">
        <v>168</v>
      </c>
      <c r="H2117" s="312">
        <v>1707</v>
      </c>
      <c r="I2117" s="312" t="s">
        <v>167</v>
      </c>
      <c r="J2117" s="312">
        <v>1899</v>
      </c>
      <c r="K2117" s="312" t="s">
        <v>169</v>
      </c>
    </row>
    <row r="2118" spans="1:11">
      <c r="A2118" s="312" t="s">
        <v>2195</v>
      </c>
      <c r="B2118" s="312" t="s">
        <v>2196</v>
      </c>
      <c r="C2118" s="312" t="s">
        <v>105</v>
      </c>
      <c r="D2118" s="312" t="s">
        <v>343</v>
      </c>
      <c r="E2118" s="312" t="s">
        <v>167</v>
      </c>
      <c r="F2118" s="312">
        <v>1705</v>
      </c>
      <c r="G2118" s="312" t="s">
        <v>168</v>
      </c>
      <c r="H2118" s="312">
        <v>1707</v>
      </c>
      <c r="I2118" s="312" t="s">
        <v>167</v>
      </c>
      <c r="J2118" s="312">
        <v>1899</v>
      </c>
      <c r="K2118" s="312" t="s">
        <v>169</v>
      </c>
    </row>
    <row r="2119" spans="1:11">
      <c r="A2119" s="312" t="s">
        <v>2197</v>
      </c>
      <c r="B2119" s="312" t="s">
        <v>2198</v>
      </c>
      <c r="C2119" s="312" t="s">
        <v>105</v>
      </c>
      <c r="D2119" s="312" t="s">
        <v>343</v>
      </c>
      <c r="E2119" s="312" t="s">
        <v>167</v>
      </c>
      <c r="F2119" s="312">
        <v>1705</v>
      </c>
      <c r="G2119" s="312" t="s">
        <v>168</v>
      </c>
      <c r="H2119" s="312">
        <v>1707</v>
      </c>
      <c r="I2119" s="312" t="s">
        <v>167</v>
      </c>
      <c r="J2119" s="312">
        <v>1899</v>
      </c>
      <c r="K2119" s="312" t="s">
        <v>169</v>
      </c>
    </row>
    <row r="2120" spans="1:11">
      <c r="A2120" s="312" t="s">
        <v>2199</v>
      </c>
      <c r="B2120" s="312" t="s">
        <v>2200</v>
      </c>
      <c r="C2120" s="312" t="s">
        <v>105</v>
      </c>
      <c r="D2120" s="312" t="s">
        <v>343</v>
      </c>
      <c r="E2120" s="312" t="s">
        <v>167</v>
      </c>
      <c r="F2120" s="312">
        <v>1705</v>
      </c>
      <c r="G2120" s="312" t="s">
        <v>168</v>
      </c>
      <c r="H2120" s="312">
        <v>1707</v>
      </c>
      <c r="I2120" s="312" t="s">
        <v>167</v>
      </c>
      <c r="J2120" s="312">
        <v>1899</v>
      </c>
      <c r="K2120" s="312" t="s">
        <v>169</v>
      </c>
    </row>
    <row r="2121" spans="1:11">
      <c r="A2121" s="312" t="s">
        <v>2201</v>
      </c>
      <c r="B2121" s="312" t="s">
        <v>2202</v>
      </c>
      <c r="C2121" s="312" t="s">
        <v>105</v>
      </c>
      <c r="D2121" s="312" t="s">
        <v>343</v>
      </c>
      <c r="E2121" s="312" t="s">
        <v>167</v>
      </c>
      <c r="F2121" s="312">
        <v>1705</v>
      </c>
      <c r="G2121" s="312" t="s">
        <v>168</v>
      </c>
      <c r="H2121" s="312">
        <v>1707</v>
      </c>
      <c r="I2121" s="312" t="s">
        <v>167</v>
      </c>
      <c r="J2121" s="312">
        <v>1899</v>
      </c>
      <c r="K2121" s="312" t="s">
        <v>169</v>
      </c>
    </row>
    <row r="2122" spans="1:11">
      <c r="A2122" s="312" t="s">
        <v>2203</v>
      </c>
      <c r="B2122" s="312" t="s">
        <v>2204</v>
      </c>
      <c r="C2122" s="312" t="s">
        <v>105</v>
      </c>
      <c r="D2122" s="312" t="s">
        <v>343</v>
      </c>
      <c r="E2122" s="312" t="s">
        <v>167</v>
      </c>
      <c r="F2122" s="312">
        <v>1705</v>
      </c>
      <c r="G2122" s="312" t="s">
        <v>168</v>
      </c>
      <c r="H2122" s="312">
        <v>1707</v>
      </c>
      <c r="I2122" s="312" t="s">
        <v>167</v>
      </c>
      <c r="J2122" s="312">
        <v>1899</v>
      </c>
      <c r="K2122" s="312" t="s">
        <v>169</v>
      </c>
    </row>
    <row r="2123" spans="1:11">
      <c r="A2123" s="312" t="s">
        <v>2205</v>
      </c>
      <c r="B2123" s="312" t="s">
        <v>2206</v>
      </c>
      <c r="C2123" s="312" t="s">
        <v>105</v>
      </c>
      <c r="D2123" s="312" t="s">
        <v>343</v>
      </c>
      <c r="E2123" s="312" t="s">
        <v>167</v>
      </c>
      <c r="F2123" s="312">
        <v>1705</v>
      </c>
      <c r="G2123" s="312" t="s">
        <v>168</v>
      </c>
      <c r="H2123" s="312">
        <v>1707</v>
      </c>
      <c r="I2123" s="312" t="s">
        <v>167</v>
      </c>
      <c r="J2123" s="312">
        <v>1899</v>
      </c>
      <c r="K2123" s="312" t="s">
        <v>169</v>
      </c>
    </row>
    <row r="2124" spans="1:11">
      <c r="A2124" s="312" t="s">
        <v>2207</v>
      </c>
      <c r="B2124" s="312" t="s">
        <v>2208</v>
      </c>
      <c r="C2124" s="312" t="s">
        <v>105</v>
      </c>
      <c r="D2124" s="312" t="s">
        <v>343</v>
      </c>
      <c r="E2124" s="312" t="s">
        <v>167</v>
      </c>
      <c r="F2124" s="312">
        <v>1705</v>
      </c>
      <c r="G2124" s="312" t="s">
        <v>168</v>
      </c>
      <c r="H2124" s="312">
        <v>1707</v>
      </c>
      <c r="I2124" s="312" t="s">
        <v>167</v>
      </c>
      <c r="J2124" s="312">
        <v>1899</v>
      </c>
      <c r="K2124" s="312" t="s">
        <v>169</v>
      </c>
    </row>
    <row r="2125" spans="1:11">
      <c r="A2125" s="312" t="s">
        <v>2224</v>
      </c>
      <c r="B2125" s="312" t="s">
        <v>2225</v>
      </c>
      <c r="C2125" s="312" t="s">
        <v>105</v>
      </c>
      <c r="D2125" s="312" t="s">
        <v>343</v>
      </c>
      <c r="E2125" s="312" t="s">
        <v>167</v>
      </c>
      <c r="F2125" s="312">
        <v>1705</v>
      </c>
      <c r="G2125" s="312" t="s">
        <v>168</v>
      </c>
      <c r="H2125" s="312">
        <v>1707</v>
      </c>
      <c r="I2125" s="312" t="s">
        <v>167</v>
      </c>
      <c r="J2125" s="312">
        <v>1899</v>
      </c>
      <c r="K2125" s="312" t="s">
        <v>169</v>
      </c>
    </row>
    <row r="2126" spans="1:11">
      <c r="A2126" s="312" t="s">
        <v>2487</v>
      </c>
      <c r="B2126" s="312" t="s">
        <v>2488</v>
      </c>
      <c r="C2126" s="312" t="s">
        <v>105</v>
      </c>
      <c r="D2126" s="312" t="s">
        <v>343</v>
      </c>
      <c r="E2126" s="312" t="s">
        <v>167</v>
      </c>
      <c r="F2126" s="312">
        <v>1705</v>
      </c>
      <c r="G2126" s="312" t="s">
        <v>168</v>
      </c>
      <c r="H2126" s="312">
        <v>1707</v>
      </c>
      <c r="I2126" s="312" t="s">
        <v>167</v>
      </c>
      <c r="J2126" s="312">
        <v>1899</v>
      </c>
      <c r="K2126" s="312" t="s">
        <v>169</v>
      </c>
    </row>
    <row r="2127" spans="1:11">
      <c r="A2127" s="312" t="s">
        <v>2489</v>
      </c>
      <c r="B2127" s="312" t="s">
        <v>2490</v>
      </c>
      <c r="C2127" s="312" t="s">
        <v>105</v>
      </c>
      <c r="D2127" s="312" t="s">
        <v>343</v>
      </c>
      <c r="E2127" s="312" t="s">
        <v>167</v>
      </c>
      <c r="F2127" s="312">
        <v>1705</v>
      </c>
      <c r="G2127" s="312" t="s">
        <v>168</v>
      </c>
      <c r="H2127" s="312">
        <v>1707</v>
      </c>
      <c r="I2127" s="312" t="s">
        <v>167</v>
      </c>
      <c r="J2127" s="312">
        <v>1899</v>
      </c>
      <c r="K2127" s="312" t="s">
        <v>169</v>
      </c>
    </row>
    <row r="2128" spans="1:11">
      <c r="A2128" s="312" t="s">
        <v>2491</v>
      </c>
      <c r="B2128" s="312" t="s">
        <v>2492</v>
      </c>
      <c r="C2128" s="312" t="s">
        <v>105</v>
      </c>
      <c r="D2128" s="312" t="s">
        <v>343</v>
      </c>
      <c r="E2128" s="312" t="s">
        <v>167</v>
      </c>
      <c r="F2128" s="312">
        <v>1705</v>
      </c>
      <c r="G2128" s="312" t="s">
        <v>168</v>
      </c>
      <c r="H2128" s="312">
        <v>1707</v>
      </c>
      <c r="I2128" s="312" t="s">
        <v>167</v>
      </c>
      <c r="J2128" s="312">
        <v>1899</v>
      </c>
      <c r="K2128" s="312" t="s">
        <v>169</v>
      </c>
    </row>
    <row r="2129" spans="1:11">
      <c r="A2129" s="312" t="s">
        <v>2493</v>
      </c>
      <c r="B2129" s="312" t="s">
        <v>2494</v>
      </c>
      <c r="C2129" s="312" t="s">
        <v>105</v>
      </c>
      <c r="D2129" s="312" t="s">
        <v>343</v>
      </c>
      <c r="E2129" s="312" t="s">
        <v>167</v>
      </c>
      <c r="F2129" s="312">
        <v>1705</v>
      </c>
      <c r="G2129" s="312" t="s">
        <v>168</v>
      </c>
      <c r="H2129" s="312">
        <v>1707</v>
      </c>
      <c r="I2129" s="312" t="s">
        <v>167</v>
      </c>
      <c r="J2129" s="312">
        <v>1899</v>
      </c>
      <c r="K2129" s="312" t="s">
        <v>169</v>
      </c>
    </row>
    <row r="2130" spans="1:11">
      <c r="A2130" s="312" t="s">
        <v>2495</v>
      </c>
      <c r="B2130" s="312" t="s">
        <v>2496</v>
      </c>
      <c r="C2130" s="312" t="s">
        <v>105</v>
      </c>
      <c r="D2130" s="312" t="s">
        <v>343</v>
      </c>
      <c r="E2130" s="312" t="s">
        <v>167</v>
      </c>
      <c r="F2130" s="312">
        <v>1705</v>
      </c>
      <c r="G2130" s="312" t="s">
        <v>168</v>
      </c>
      <c r="H2130" s="312">
        <v>1707</v>
      </c>
      <c r="I2130" s="312" t="s">
        <v>167</v>
      </c>
      <c r="J2130" s="312">
        <v>1899</v>
      </c>
      <c r="K2130" s="312" t="s">
        <v>169</v>
      </c>
    </row>
    <row r="2131" spans="1:11">
      <c r="A2131" s="312" t="s">
        <v>2497</v>
      </c>
      <c r="B2131" s="312" t="s">
        <v>2498</v>
      </c>
      <c r="C2131" s="312" t="s">
        <v>105</v>
      </c>
      <c r="D2131" s="312" t="s">
        <v>343</v>
      </c>
      <c r="E2131" s="312" t="s">
        <v>167</v>
      </c>
      <c r="F2131" s="312">
        <v>1705</v>
      </c>
      <c r="G2131" s="312" t="s">
        <v>168</v>
      </c>
      <c r="H2131" s="312">
        <v>1707</v>
      </c>
      <c r="I2131" s="312" t="s">
        <v>167</v>
      </c>
      <c r="J2131" s="312">
        <v>1899</v>
      </c>
      <c r="K2131" s="312" t="s">
        <v>169</v>
      </c>
    </row>
    <row r="2132" spans="1:11">
      <c r="A2132" s="312" t="s">
        <v>2711</v>
      </c>
      <c r="B2132" s="312" t="s">
        <v>2712</v>
      </c>
      <c r="C2132" s="312" t="s">
        <v>105</v>
      </c>
      <c r="D2132" s="312" t="s">
        <v>343</v>
      </c>
      <c r="E2132" s="312" t="s">
        <v>167</v>
      </c>
      <c r="F2132" s="312">
        <v>1705</v>
      </c>
      <c r="G2132" s="312" t="s">
        <v>168</v>
      </c>
      <c r="H2132" s="312">
        <v>1707</v>
      </c>
      <c r="I2132" s="312" t="s">
        <v>167</v>
      </c>
      <c r="J2132" s="312">
        <v>1899</v>
      </c>
      <c r="K2132" s="312" t="s">
        <v>169</v>
      </c>
    </row>
    <row r="2133" spans="1:11">
      <c r="A2133" s="312" t="s">
        <v>2713</v>
      </c>
      <c r="B2133" s="312" t="s">
        <v>2714</v>
      </c>
      <c r="C2133" s="312" t="s">
        <v>105</v>
      </c>
      <c r="D2133" s="312" t="s">
        <v>343</v>
      </c>
      <c r="E2133" s="312" t="s">
        <v>167</v>
      </c>
      <c r="F2133" s="312">
        <v>1705</v>
      </c>
      <c r="G2133" s="312" t="s">
        <v>168</v>
      </c>
      <c r="H2133" s="312">
        <v>1707</v>
      </c>
      <c r="I2133" s="312" t="s">
        <v>167</v>
      </c>
      <c r="J2133" s="312">
        <v>1899</v>
      </c>
      <c r="K2133" s="312" t="s">
        <v>169</v>
      </c>
    </row>
    <row r="2134" spans="1:11">
      <c r="A2134" s="312" t="s">
        <v>2715</v>
      </c>
      <c r="B2134" s="312" t="s">
        <v>2716</v>
      </c>
      <c r="C2134" s="312" t="s">
        <v>105</v>
      </c>
      <c r="D2134" s="312" t="s">
        <v>343</v>
      </c>
      <c r="E2134" s="312" t="s">
        <v>167</v>
      </c>
      <c r="F2134" s="312">
        <v>1705</v>
      </c>
      <c r="G2134" s="312" t="s">
        <v>168</v>
      </c>
      <c r="H2134" s="312">
        <v>1707</v>
      </c>
      <c r="I2134" s="312" t="s">
        <v>167</v>
      </c>
      <c r="J2134" s="312">
        <v>1899</v>
      </c>
      <c r="K2134" s="312" t="s">
        <v>169</v>
      </c>
    </row>
    <row r="2135" spans="1:11">
      <c r="A2135" s="312" t="s">
        <v>3653</v>
      </c>
      <c r="B2135" s="312" t="s">
        <v>3654</v>
      </c>
      <c r="C2135" s="312" t="s">
        <v>105</v>
      </c>
      <c r="D2135" s="312" t="s">
        <v>343</v>
      </c>
      <c r="E2135" s="312" t="s">
        <v>167</v>
      </c>
      <c r="F2135" s="312">
        <v>1705</v>
      </c>
      <c r="G2135" s="312" t="s">
        <v>168</v>
      </c>
      <c r="H2135" s="312">
        <v>1707</v>
      </c>
      <c r="I2135" s="312" t="s">
        <v>167</v>
      </c>
      <c r="J2135" s="312">
        <v>1899</v>
      </c>
      <c r="K2135" s="312" t="s">
        <v>169</v>
      </c>
    </row>
    <row r="2136" spans="1:11">
      <c r="A2136" s="312" t="s">
        <v>3655</v>
      </c>
      <c r="B2136" s="312" t="s">
        <v>3656</v>
      </c>
      <c r="C2136" s="312" t="s">
        <v>105</v>
      </c>
      <c r="D2136" s="312" t="s">
        <v>343</v>
      </c>
      <c r="E2136" s="312" t="s">
        <v>167</v>
      </c>
      <c r="F2136" s="312">
        <v>1705</v>
      </c>
      <c r="G2136" s="312" t="s">
        <v>168</v>
      </c>
      <c r="H2136" s="312">
        <v>1707</v>
      </c>
      <c r="I2136" s="312" t="s">
        <v>167</v>
      </c>
      <c r="J2136" s="312">
        <v>1899</v>
      </c>
      <c r="K2136" s="312" t="s">
        <v>169</v>
      </c>
    </row>
    <row r="2137" spans="1:11">
      <c r="A2137" s="312" t="s">
        <v>1405</v>
      </c>
      <c r="B2137" s="312" t="s">
        <v>1406</v>
      </c>
      <c r="C2137" s="312" t="s">
        <v>105</v>
      </c>
      <c r="D2137" s="312" t="s">
        <v>1407</v>
      </c>
      <c r="E2137" s="312" t="s">
        <v>320</v>
      </c>
      <c r="F2137" s="312">
        <v>1716</v>
      </c>
      <c r="G2137" s="312" t="s">
        <v>321</v>
      </c>
      <c r="H2137" s="312">
        <v>1725</v>
      </c>
      <c r="I2137" s="312" t="s">
        <v>320</v>
      </c>
      <c r="J2137" s="312">
        <v>1910</v>
      </c>
      <c r="K2137" s="312" t="s">
        <v>322</v>
      </c>
    </row>
    <row r="2138" spans="1:11">
      <c r="A2138" s="312" t="s">
        <v>1784</v>
      </c>
      <c r="B2138" s="312" t="s">
        <v>1785</v>
      </c>
      <c r="C2138" s="312" t="s">
        <v>105</v>
      </c>
      <c r="D2138" s="312" t="s">
        <v>1407</v>
      </c>
      <c r="E2138" s="312" t="s">
        <v>167</v>
      </c>
      <c r="F2138" s="312">
        <v>1705</v>
      </c>
      <c r="G2138" s="312" t="s">
        <v>168</v>
      </c>
      <c r="H2138" s="312">
        <v>1707</v>
      </c>
      <c r="I2138" s="312" t="s">
        <v>167</v>
      </c>
      <c r="J2138" s="312">
        <v>1899</v>
      </c>
      <c r="K2138" s="312" t="s">
        <v>169</v>
      </c>
    </row>
    <row r="2139" spans="1:11">
      <c r="A2139" s="312" t="s">
        <v>5399</v>
      </c>
      <c r="B2139" s="312" t="s">
        <v>5400</v>
      </c>
      <c r="C2139" s="312" t="s">
        <v>105</v>
      </c>
      <c r="D2139" s="312" t="s">
        <v>5401</v>
      </c>
      <c r="E2139" s="312" t="s">
        <v>167</v>
      </c>
      <c r="F2139" s="312">
        <v>1705</v>
      </c>
      <c r="G2139" s="312" t="s">
        <v>168</v>
      </c>
      <c r="H2139" s="312">
        <v>1707</v>
      </c>
      <c r="I2139" s="312" t="s">
        <v>167</v>
      </c>
      <c r="J2139" s="312">
        <v>1899</v>
      </c>
      <c r="K2139" s="312" t="s">
        <v>169</v>
      </c>
    </row>
    <row r="2140" spans="1:11">
      <c r="A2140" s="312" t="s">
        <v>5402</v>
      </c>
      <c r="B2140" s="312" t="s">
        <v>5403</v>
      </c>
      <c r="C2140" s="312" t="s">
        <v>105</v>
      </c>
      <c r="D2140" s="312" t="s">
        <v>5401</v>
      </c>
      <c r="E2140" s="312" t="s">
        <v>167</v>
      </c>
      <c r="F2140" s="312">
        <v>1705</v>
      </c>
      <c r="G2140" s="312" t="s">
        <v>168</v>
      </c>
      <c r="H2140" s="312">
        <v>1707</v>
      </c>
      <c r="I2140" s="312" t="s">
        <v>167</v>
      </c>
      <c r="J2140" s="312">
        <v>1899</v>
      </c>
      <c r="K2140" s="312" t="s">
        <v>169</v>
      </c>
    </row>
    <row r="2141" spans="1:11">
      <c r="A2141" s="312" t="s">
        <v>5866</v>
      </c>
      <c r="B2141" s="312" t="s">
        <v>5867</v>
      </c>
      <c r="C2141" s="312" t="s">
        <v>105</v>
      </c>
      <c r="D2141" s="312" t="s">
        <v>5401</v>
      </c>
      <c r="E2141" s="312" t="s">
        <v>107</v>
      </c>
      <c r="F2141" s="312">
        <v>1825</v>
      </c>
      <c r="G2141" s="312" t="s">
        <v>108</v>
      </c>
      <c r="H2141" s="312">
        <v>1827</v>
      </c>
      <c r="I2141" s="312" t="s">
        <v>107</v>
      </c>
      <c r="J2141" s="312">
        <v>1913</v>
      </c>
      <c r="K2141" s="312" t="s">
        <v>109</v>
      </c>
    </row>
    <row r="2142" spans="1:11">
      <c r="A2142" s="312" t="s">
        <v>4313</v>
      </c>
      <c r="B2142" s="312" t="s">
        <v>4314</v>
      </c>
      <c r="C2142" s="312" t="s">
        <v>105</v>
      </c>
      <c r="D2142" s="312" t="s">
        <v>4315</v>
      </c>
      <c r="E2142" s="312" t="s">
        <v>167</v>
      </c>
      <c r="F2142" s="312">
        <v>1705</v>
      </c>
      <c r="G2142" s="312" t="s">
        <v>168</v>
      </c>
      <c r="H2142" s="312">
        <v>1707</v>
      </c>
      <c r="I2142" s="312" t="s">
        <v>167</v>
      </c>
      <c r="J2142" s="312">
        <v>1899</v>
      </c>
      <c r="K2142" s="312" t="s">
        <v>169</v>
      </c>
    </row>
    <row r="2143" spans="1:11">
      <c r="A2143" s="312" t="s">
        <v>4316</v>
      </c>
      <c r="B2143" s="1" t="s">
        <v>4317</v>
      </c>
      <c r="C2143" s="312" t="s">
        <v>105</v>
      </c>
      <c r="D2143" s="312" t="s">
        <v>4315</v>
      </c>
      <c r="E2143" s="312" t="s">
        <v>167</v>
      </c>
      <c r="F2143" s="312">
        <v>1705</v>
      </c>
      <c r="G2143" s="312" t="s">
        <v>168</v>
      </c>
      <c r="H2143" s="312">
        <v>1707</v>
      </c>
      <c r="I2143" s="312" t="s">
        <v>167</v>
      </c>
      <c r="J2143" s="312">
        <v>1899</v>
      </c>
      <c r="K2143" s="312" t="s">
        <v>169</v>
      </c>
    </row>
    <row r="2144" spans="1:11">
      <c r="A2144" s="312" t="s">
        <v>164</v>
      </c>
      <c r="B2144" s="312" t="s">
        <v>165</v>
      </c>
      <c r="C2144" s="312" t="s">
        <v>105</v>
      </c>
      <c r="D2144" s="312" t="s">
        <v>166</v>
      </c>
      <c r="E2144" s="312" t="s">
        <v>167</v>
      </c>
      <c r="F2144" s="312">
        <v>1705</v>
      </c>
      <c r="G2144" s="312" t="s">
        <v>168</v>
      </c>
      <c r="H2144" s="312">
        <v>1707</v>
      </c>
      <c r="I2144" s="312" t="s">
        <v>167</v>
      </c>
      <c r="J2144" s="312">
        <v>1899</v>
      </c>
      <c r="K2144" s="312" t="s">
        <v>169</v>
      </c>
    </row>
    <row r="2145" spans="1:11">
      <c r="A2145" s="312" t="s">
        <v>238</v>
      </c>
      <c r="B2145" s="312" t="s">
        <v>239</v>
      </c>
      <c r="C2145" s="312" t="s">
        <v>105</v>
      </c>
      <c r="D2145" s="312" t="s">
        <v>166</v>
      </c>
      <c r="E2145" s="312" t="s">
        <v>167</v>
      </c>
      <c r="F2145" s="312">
        <v>1705</v>
      </c>
      <c r="G2145" s="312" t="s">
        <v>168</v>
      </c>
      <c r="H2145" s="312">
        <v>1707</v>
      </c>
      <c r="I2145" s="312" t="s">
        <v>167</v>
      </c>
      <c r="J2145" s="312">
        <v>1899</v>
      </c>
      <c r="K2145" s="312" t="s">
        <v>169</v>
      </c>
    </row>
    <row r="2146" spans="1:11">
      <c r="A2146" s="312" t="s">
        <v>240</v>
      </c>
      <c r="B2146" s="312" t="s">
        <v>241</v>
      </c>
      <c r="C2146" s="312" t="s">
        <v>105</v>
      </c>
      <c r="D2146" s="312" t="s">
        <v>166</v>
      </c>
      <c r="E2146" s="312" t="s">
        <v>167</v>
      </c>
      <c r="F2146" s="312">
        <v>1705</v>
      </c>
      <c r="G2146" s="312" t="s">
        <v>168</v>
      </c>
      <c r="H2146" s="312">
        <v>1707</v>
      </c>
      <c r="I2146" s="312" t="s">
        <v>167</v>
      </c>
      <c r="J2146" s="312">
        <v>1899</v>
      </c>
      <c r="K2146" s="312" t="s">
        <v>169</v>
      </c>
    </row>
    <row r="2147" spans="1:11">
      <c r="A2147" s="312" t="s">
        <v>242</v>
      </c>
      <c r="B2147" s="312" t="s">
        <v>243</v>
      </c>
      <c r="C2147" s="312" t="s">
        <v>105</v>
      </c>
      <c r="D2147" s="312" t="s">
        <v>166</v>
      </c>
      <c r="E2147" s="312" t="s">
        <v>167</v>
      </c>
      <c r="F2147" s="312">
        <v>1705</v>
      </c>
      <c r="G2147" s="312" t="s">
        <v>168</v>
      </c>
      <c r="H2147" s="312">
        <v>1707</v>
      </c>
      <c r="I2147" s="312" t="s">
        <v>167</v>
      </c>
      <c r="J2147" s="312">
        <v>1899</v>
      </c>
      <c r="K2147" s="312" t="s">
        <v>169</v>
      </c>
    </row>
    <row r="2148" spans="1:11">
      <c r="A2148" s="312" t="s">
        <v>244</v>
      </c>
      <c r="B2148" s="312" t="s">
        <v>245</v>
      </c>
      <c r="C2148" s="312" t="s">
        <v>105</v>
      </c>
      <c r="D2148" s="312" t="s">
        <v>166</v>
      </c>
      <c r="E2148" s="312" t="s">
        <v>167</v>
      </c>
      <c r="F2148" s="312">
        <v>1705</v>
      </c>
      <c r="G2148" s="312" t="s">
        <v>168</v>
      </c>
      <c r="H2148" s="312">
        <v>1707</v>
      </c>
      <c r="I2148" s="312" t="s">
        <v>167</v>
      </c>
      <c r="J2148" s="312">
        <v>1899</v>
      </c>
      <c r="K2148" s="312" t="s">
        <v>169</v>
      </c>
    </row>
    <row r="2149" spans="1:11">
      <c r="A2149" s="312" t="s">
        <v>246</v>
      </c>
      <c r="B2149" s="312" t="s">
        <v>247</v>
      </c>
      <c r="C2149" s="312" t="s">
        <v>105</v>
      </c>
      <c r="D2149" s="312" t="s">
        <v>166</v>
      </c>
      <c r="E2149" s="312" t="s">
        <v>167</v>
      </c>
      <c r="F2149" s="312">
        <v>1705</v>
      </c>
      <c r="G2149" s="312" t="s">
        <v>168</v>
      </c>
      <c r="H2149" s="312">
        <v>1707</v>
      </c>
      <c r="I2149" s="312" t="s">
        <v>167</v>
      </c>
      <c r="J2149" s="312">
        <v>1899</v>
      </c>
      <c r="K2149" s="312" t="s">
        <v>169</v>
      </c>
    </row>
    <row r="2150" spans="1:11">
      <c r="A2150" s="312" t="s">
        <v>747</v>
      </c>
      <c r="B2150" s="312" t="s">
        <v>748</v>
      </c>
      <c r="C2150" s="312" t="s">
        <v>105</v>
      </c>
      <c r="D2150" s="312" t="s">
        <v>166</v>
      </c>
      <c r="E2150" s="312" t="s">
        <v>167</v>
      </c>
      <c r="F2150" s="312">
        <v>1705</v>
      </c>
      <c r="G2150" s="312" t="s">
        <v>168</v>
      </c>
      <c r="H2150" s="312">
        <v>1707</v>
      </c>
      <c r="I2150" s="312" t="s">
        <v>167</v>
      </c>
      <c r="J2150" s="312">
        <v>1899</v>
      </c>
      <c r="K2150" s="312" t="s">
        <v>169</v>
      </c>
    </row>
    <row r="2151" spans="1:11">
      <c r="A2151" s="312" t="s">
        <v>749</v>
      </c>
      <c r="B2151" s="312" t="s">
        <v>750</v>
      </c>
      <c r="C2151" s="312" t="s">
        <v>105</v>
      </c>
      <c r="D2151" s="312" t="s">
        <v>166</v>
      </c>
      <c r="E2151" s="312" t="s">
        <v>167</v>
      </c>
      <c r="F2151" s="312">
        <v>1705</v>
      </c>
      <c r="G2151" s="312" t="s">
        <v>168</v>
      </c>
      <c r="H2151" s="312">
        <v>1707</v>
      </c>
      <c r="I2151" s="312" t="s">
        <v>167</v>
      </c>
      <c r="J2151" s="312">
        <v>1899</v>
      </c>
      <c r="K2151" s="312" t="s">
        <v>169</v>
      </c>
    </row>
    <row r="2152" spans="1:11">
      <c r="A2152" s="312" t="s">
        <v>751</v>
      </c>
      <c r="B2152" s="312" t="s">
        <v>752</v>
      </c>
      <c r="C2152" s="312" t="s">
        <v>105</v>
      </c>
      <c r="D2152" s="312" t="s">
        <v>166</v>
      </c>
      <c r="E2152" s="312" t="s">
        <v>167</v>
      </c>
      <c r="F2152" s="312">
        <v>1705</v>
      </c>
      <c r="G2152" s="312" t="s">
        <v>168</v>
      </c>
      <c r="H2152" s="312">
        <v>1707</v>
      </c>
      <c r="I2152" s="312" t="s">
        <v>167</v>
      </c>
      <c r="J2152" s="312">
        <v>1899</v>
      </c>
      <c r="K2152" s="312" t="s">
        <v>169</v>
      </c>
    </row>
    <row r="2153" spans="1:11">
      <c r="A2153" s="312" t="s">
        <v>753</v>
      </c>
      <c r="B2153" s="312" t="s">
        <v>754</v>
      </c>
      <c r="C2153" s="312" t="s">
        <v>105</v>
      </c>
      <c r="D2153" s="312" t="s">
        <v>166</v>
      </c>
      <c r="E2153" s="312" t="s">
        <v>167</v>
      </c>
      <c r="F2153" s="312">
        <v>1705</v>
      </c>
      <c r="G2153" s="312" t="s">
        <v>168</v>
      </c>
      <c r="H2153" s="312">
        <v>1707</v>
      </c>
      <c r="I2153" s="312" t="s">
        <v>167</v>
      </c>
      <c r="J2153" s="312">
        <v>1899</v>
      </c>
      <c r="K2153" s="312" t="s">
        <v>169</v>
      </c>
    </row>
    <row r="2154" spans="1:11">
      <c r="A2154" s="312" t="s">
        <v>755</v>
      </c>
      <c r="B2154" s="312" t="s">
        <v>756</v>
      </c>
      <c r="C2154" s="312" t="s">
        <v>105</v>
      </c>
      <c r="D2154" s="312" t="s">
        <v>166</v>
      </c>
      <c r="E2154" s="312" t="s">
        <v>167</v>
      </c>
      <c r="F2154" s="312">
        <v>1705</v>
      </c>
      <c r="G2154" s="312" t="s">
        <v>168</v>
      </c>
      <c r="H2154" s="312">
        <v>1707</v>
      </c>
      <c r="I2154" s="312" t="s">
        <v>167</v>
      </c>
      <c r="J2154" s="312">
        <v>1899</v>
      </c>
      <c r="K2154" s="312" t="s">
        <v>169</v>
      </c>
    </row>
    <row r="2155" spans="1:11">
      <c r="A2155" s="312" t="s">
        <v>757</v>
      </c>
      <c r="B2155" s="312" t="s">
        <v>758</v>
      </c>
      <c r="C2155" s="312" t="s">
        <v>105</v>
      </c>
      <c r="D2155" s="312" t="s">
        <v>166</v>
      </c>
      <c r="E2155" s="312" t="s">
        <v>167</v>
      </c>
      <c r="F2155" s="312">
        <v>1705</v>
      </c>
      <c r="G2155" s="312" t="s">
        <v>168</v>
      </c>
      <c r="H2155" s="312">
        <v>1707</v>
      </c>
      <c r="I2155" s="312" t="s">
        <v>167</v>
      </c>
      <c r="J2155" s="312">
        <v>1899</v>
      </c>
      <c r="K2155" s="312" t="s">
        <v>169</v>
      </c>
    </row>
    <row r="2156" spans="1:11">
      <c r="A2156" s="312" t="s">
        <v>759</v>
      </c>
      <c r="B2156" s="312" t="s">
        <v>760</v>
      </c>
      <c r="C2156" s="312" t="s">
        <v>105</v>
      </c>
      <c r="D2156" s="312" t="s">
        <v>166</v>
      </c>
      <c r="E2156" s="312" t="s">
        <v>167</v>
      </c>
      <c r="F2156" s="312">
        <v>1705</v>
      </c>
      <c r="G2156" s="312" t="s">
        <v>168</v>
      </c>
      <c r="H2156" s="312">
        <v>1707</v>
      </c>
      <c r="I2156" s="312" t="s">
        <v>167</v>
      </c>
      <c r="J2156" s="312">
        <v>1899</v>
      </c>
      <c r="K2156" s="312" t="s">
        <v>169</v>
      </c>
    </row>
    <row r="2157" spans="1:11">
      <c r="A2157" s="312" t="s">
        <v>761</v>
      </c>
      <c r="B2157" s="1" t="s">
        <v>762</v>
      </c>
      <c r="C2157" s="312" t="s">
        <v>105</v>
      </c>
      <c r="D2157" s="312" t="s">
        <v>166</v>
      </c>
      <c r="E2157" s="312" t="s">
        <v>167</v>
      </c>
      <c r="F2157" s="312">
        <v>1705</v>
      </c>
      <c r="G2157" s="312" t="s">
        <v>168</v>
      </c>
      <c r="H2157" s="312">
        <v>1707</v>
      </c>
      <c r="I2157" s="312" t="s">
        <v>167</v>
      </c>
      <c r="J2157" s="312">
        <v>1899</v>
      </c>
      <c r="K2157" s="312" t="s">
        <v>169</v>
      </c>
    </row>
    <row r="2158" spans="1:11">
      <c r="A2158" s="312" t="s">
        <v>765</v>
      </c>
      <c r="B2158" s="312" t="s">
        <v>766</v>
      </c>
      <c r="C2158" s="312" t="s">
        <v>105</v>
      </c>
      <c r="D2158" s="312" t="s">
        <v>166</v>
      </c>
      <c r="E2158" s="312" t="s">
        <v>167</v>
      </c>
      <c r="F2158" s="312">
        <v>1705</v>
      </c>
      <c r="G2158" s="312" t="s">
        <v>168</v>
      </c>
      <c r="H2158" s="312">
        <v>1707</v>
      </c>
      <c r="I2158" s="312" t="s">
        <v>167</v>
      </c>
      <c r="J2158" s="312">
        <v>1899</v>
      </c>
      <c r="K2158" s="312" t="s">
        <v>169</v>
      </c>
    </row>
    <row r="2159" spans="1:11">
      <c r="A2159" s="312" t="s">
        <v>1683</v>
      </c>
      <c r="B2159" s="312" t="s">
        <v>1684</v>
      </c>
      <c r="C2159" s="312" t="s">
        <v>105</v>
      </c>
      <c r="D2159" s="312" t="s">
        <v>166</v>
      </c>
      <c r="E2159" s="312" t="s">
        <v>167</v>
      </c>
      <c r="F2159" s="312">
        <v>1705</v>
      </c>
      <c r="G2159" s="312" t="s">
        <v>168</v>
      </c>
      <c r="H2159" s="312">
        <v>1707</v>
      </c>
      <c r="I2159" s="312" t="s">
        <v>167</v>
      </c>
      <c r="J2159" s="312">
        <v>1899</v>
      </c>
      <c r="K2159" s="312" t="s">
        <v>169</v>
      </c>
    </row>
    <row r="2160" spans="1:11">
      <c r="A2160" s="312" t="s">
        <v>1685</v>
      </c>
      <c r="B2160" s="312" t="s">
        <v>1686</v>
      </c>
      <c r="C2160" s="312" t="s">
        <v>105</v>
      </c>
      <c r="D2160" s="312" t="s">
        <v>166</v>
      </c>
      <c r="E2160" s="312" t="s">
        <v>167</v>
      </c>
      <c r="F2160" s="312">
        <v>1705</v>
      </c>
      <c r="G2160" s="312" t="s">
        <v>168</v>
      </c>
      <c r="H2160" s="312">
        <v>1707</v>
      </c>
      <c r="I2160" s="312" t="s">
        <v>167</v>
      </c>
      <c r="J2160" s="312">
        <v>1899</v>
      </c>
      <c r="K2160" s="312" t="s">
        <v>169</v>
      </c>
    </row>
    <row r="2161" spans="1:11">
      <c r="A2161" s="312" t="s">
        <v>1687</v>
      </c>
      <c r="B2161" s="312" t="s">
        <v>1688</v>
      </c>
      <c r="C2161" s="312" t="s">
        <v>105</v>
      </c>
      <c r="D2161" s="312" t="s">
        <v>166</v>
      </c>
      <c r="E2161" s="312" t="s">
        <v>167</v>
      </c>
      <c r="F2161" s="312">
        <v>1705</v>
      </c>
      <c r="G2161" s="312" t="s">
        <v>168</v>
      </c>
      <c r="H2161" s="312">
        <v>1707</v>
      </c>
      <c r="I2161" s="312" t="s">
        <v>167</v>
      </c>
      <c r="J2161" s="312">
        <v>1899</v>
      </c>
      <c r="K2161" s="312" t="s">
        <v>169</v>
      </c>
    </row>
    <row r="2162" spans="1:11">
      <c r="A2162" s="312" t="s">
        <v>1896</v>
      </c>
      <c r="B2162" s="312" t="s">
        <v>1897</v>
      </c>
      <c r="C2162" s="312" t="s">
        <v>105</v>
      </c>
      <c r="D2162" s="312" t="s">
        <v>166</v>
      </c>
      <c r="E2162" s="312" t="s">
        <v>167</v>
      </c>
      <c r="F2162" s="312">
        <v>1705</v>
      </c>
      <c r="G2162" s="312" t="s">
        <v>168</v>
      </c>
      <c r="H2162" s="312">
        <v>1707</v>
      </c>
      <c r="I2162" s="312" t="s">
        <v>167</v>
      </c>
      <c r="J2162" s="312">
        <v>1899</v>
      </c>
      <c r="K2162" s="312" t="s">
        <v>169</v>
      </c>
    </row>
    <row r="2163" spans="1:11">
      <c r="A2163" s="312" t="s">
        <v>1898</v>
      </c>
      <c r="B2163" s="312" t="s">
        <v>1899</v>
      </c>
      <c r="C2163" s="312" t="s">
        <v>105</v>
      </c>
      <c r="D2163" s="312" t="s">
        <v>166</v>
      </c>
      <c r="E2163" s="312" t="s">
        <v>167</v>
      </c>
      <c r="F2163" s="312">
        <v>1705</v>
      </c>
      <c r="G2163" s="312" t="s">
        <v>168</v>
      </c>
      <c r="H2163" s="312">
        <v>1707</v>
      </c>
      <c r="I2163" s="312" t="s">
        <v>167</v>
      </c>
      <c r="J2163" s="312">
        <v>1899</v>
      </c>
      <c r="K2163" s="312" t="s">
        <v>169</v>
      </c>
    </row>
    <row r="2164" spans="1:11">
      <c r="A2164" s="312" t="s">
        <v>1900</v>
      </c>
      <c r="B2164" s="312" t="s">
        <v>1901</v>
      </c>
      <c r="C2164" s="312" t="s">
        <v>105</v>
      </c>
      <c r="D2164" s="312" t="s">
        <v>166</v>
      </c>
      <c r="E2164" s="312" t="s">
        <v>167</v>
      </c>
      <c r="F2164" s="312">
        <v>1705</v>
      </c>
      <c r="G2164" s="312" t="s">
        <v>168</v>
      </c>
      <c r="H2164" s="312">
        <v>1707</v>
      </c>
      <c r="I2164" s="312" t="s">
        <v>167</v>
      </c>
      <c r="J2164" s="312">
        <v>1899</v>
      </c>
      <c r="K2164" s="312" t="s">
        <v>169</v>
      </c>
    </row>
    <row r="2165" spans="1:11">
      <c r="A2165" s="312" t="s">
        <v>2069</v>
      </c>
      <c r="B2165" s="312" t="s">
        <v>2070</v>
      </c>
      <c r="C2165" s="312" t="s">
        <v>105</v>
      </c>
      <c r="D2165" s="312" t="s">
        <v>166</v>
      </c>
      <c r="E2165" s="312" t="s">
        <v>320</v>
      </c>
      <c r="F2165" s="312">
        <v>1716</v>
      </c>
      <c r="G2165" s="312" t="s">
        <v>321</v>
      </c>
      <c r="H2165" s="312">
        <v>1725</v>
      </c>
      <c r="I2165" s="312" t="s">
        <v>320</v>
      </c>
      <c r="J2165" s="312">
        <v>1910</v>
      </c>
      <c r="K2165" s="312" t="s">
        <v>322</v>
      </c>
    </row>
    <row r="2166" spans="1:11">
      <c r="A2166" s="312" t="s">
        <v>2737</v>
      </c>
      <c r="B2166" s="312" t="s">
        <v>2738</v>
      </c>
      <c r="C2166" s="312" t="s">
        <v>105</v>
      </c>
      <c r="D2166" s="312" t="s">
        <v>166</v>
      </c>
      <c r="E2166" s="312" t="s">
        <v>320</v>
      </c>
      <c r="F2166" s="312">
        <v>1716</v>
      </c>
      <c r="G2166" s="312" t="s">
        <v>321</v>
      </c>
      <c r="H2166" s="312">
        <v>1725</v>
      </c>
      <c r="I2166" s="312" t="s">
        <v>320</v>
      </c>
      <c r="J2166" s="312">
        <v>1910</v>
      </c>
      <c r="K2166" s="312" t="s">
        <v>322</v>
      </c>
    </row>
    <row r="2167" spans="1:11">
      <c r="A2167" s="312" t="s">
        <v>3779</v>
      </c>
      <c r="B2167" s="312" t="s">
        <v>3780</v>
      </c>
      <c r="C2167" s="312" t="s">
        <v>105</v>
      </c>
      <c r="D2167" s="312" t="s">
        <v>166</v>
      </c>
      <c r="E2167" s="312" t="s">
        <v>167</v>
      </c>
      <c r="F2167" s="312">
        <v>1705</v>
      </c>
      <c r="G2167" s="312" t="s">
        <v>168</v>
      </c>
      <c r="H2167" s="312">
        <v>1707</v>
      </c>
      <c r="I2167" s="312" t="s">
        <v>167</v>
      </c>
      <c r="J2167" s="312">
        <v>1899</v>
      </c>
      <c r="K2167" s="312" t="s">
        <v>169</v>
      </c>
    </row>
    <row r="2168" spans="1:11">
      <c r="A2168" s="312" t="s">
        <v>4155</v>
      </c>
      <c r="B2168" s="312" t="s">
        <v>4156</v>
      </c>
      <c r="C2168" s="312" t="s">
        <v>105</v>
      </c>
      <c r="D2168" s="312" t="s">
        <v>166</v>
      </c>
      <c r="E2168" s="312" t="s">
        <v>320</v>
      </c>
      <c r="F2168" s="312">
        <v>1716</v>
      </c>
      <c r="G2168" s="312" t="s">
        <v>321</v>
      </c>
      <c r="H2168" s="312">
        <v>1725</v>
      </c>
      <c r="I2168" s="312" t="s">
        <v>320</v>
      </c>
      <c r="J2168" s="312">
        <v>1910</v>
      </c>
      <c r="K2168" s="312" t="s">
        <v>322</v>
      </c>
    </row>
    <row r="2169" spans="1:11">
      <c r="A2169" s="312" t="s">
        <v>4157</v>
      </c>
      <c r="B2169" s="312" t="s">
        <v>4158</v>
      </c>
      <c r="C2169" s="312" t="s">
        <v>105</v>
      </c>
      <c r="D2169" s="312" t="s">
        <v>166</v>
      </c>
      <c r="E2169" s="312" t="s">
        <v>320</v>
      </c>
      <c r="F2169" s="312">
        <v>1716</v>
      </c>
      <c r="G2169" s="312" t="s">
        <v>321</v>
      </c>
      <c r="H2169" s="312">
        <v>1725</v>
      </c>
      <c r="I2169" s="312" t="s">
        <v>320</v>
      </c>
      <c r="J2169" s="312">
        <v>1910</v>
      </c>
      <c r="K2169" s="312" t="s">
        <v>322</v>
      </c>
    </row>
    <row r="2170" spans="1:11">
      <c r="A2170" s="312" t="s">
        <v>4596</v>
      </c>
      <c r="B2170" s="312" t="s">
        <v>4597</v>
      </c>
      <c r="C2170" s="312" t="s">
        <v>105</v>
      </c>
      <c r="D2170" s="312" t="s">
        <v>166</v>
      </c>
      <c r="E2170" s="312" t="s">
        <v>167</v>
      </c>
      <c r="F2170" s="312">
        <v>1705</v>
      </c>
      <c r="G2170" s="312" t="s">
        <v>168</v>
      </c>
      <c r="H2170" s="312">
        <v>1707</v>
      </c>
      <c r="I2170" s="312" t="s">
        <v>167</v>
      </c>
      <c r="J2170" s="312">
        <v>1899</v>
      </c>
      <c r="K2170" s="312" t="s">
        <v>169</v>
      </c>
    </row>
    <row r="2171" spans="1:11">
      <c r="A2171" s="312" t="s">
        <v>4817</v>
      </c>
      <c r="B2171" s="312" t="s">
        <v>4818</v>
      </c>
      <c r="C2171" s="312" t="s">
        <v>105</v>
      </c>
      <c r="D2171" s="312" t="s">
        <v>166</v>
      </c>
      <c r="E2171" s="312" t="s">
        <v>167</v>
      </c>
      <c r="F2171" s="312">
        <v>1705</v>
      </c>
      <c r="G2171" s="312" t="s">
        <v>168</v>
      </c>
      <c r="H2171" s="312">
        <v>1707</v>
      </c>
      <c r="I2171" s="312" t="s">
        <v>167</v>
      </c>
      <c r="J2171" s="312">
        <v>1899</v>
      </c>
      <c r="K2171" s="312" t="s">
        <v>169</v>
      </c>
    </row>
    <row r="2172" spans="1:11">
      <c r="A2172" s="312" t="s">
        <v>4819</v>
      </c>
      <c r="B2172" s="312" t="s">
        <v>4820</v>
      </c>
      <c r="C2172" s="312" t="s">
        <v>105</v>
      </c>
      <c r="D2172" s="312" t="s">
        <v>166</v>
      </c>
      <c r="E2172" s="312" t="s">
        <v>167</v>
      </c>
      <c r="F2172" s="312">
        <v>1705</v>
      </c>
      <c r="G2172" s="312" t="s">
        <v>168</v>
      </c>
      <c r="H2172" s="312">
        <v>1707</v>
      </c>
      <c r="I2172" s="312" t="s">
        <v>167</v>
      </c>
      <c r="J2172" s="312">
        <v>1899</v>
      </c>
      <c r="K2172" s="312" t="s">
        <v>169</v>
      </c>
    </row>
    <row r="2173" spans="1:11">
      <c r="A2173" s="312" t="s">
        <v>5049</v>
      </c>
      <c r="B2173" s="312" t="s">
        <v>5050</v>
      </c>
      <c r="C2173" s="312" t="s">
        <v>105</v>
      </c>
      <c r="D2173" s="312" t="s">
        <v>166</v>
      </c>
      <c r="E2173" s="312" t="s">
        <v>320</v>
      </c>
      <c r="F2173" s="312">
        <v>1716</v>
      </c>
      <c r="G2173" s="312" t="s">
        <v>321</v>
      </c>
      <c r="H2173" s="312">
        <v>1725</v>
      </c>
      <c r="I2173" s="312" t="s">
        <v>320</v>
      </c>
      <c r="J2173" s="312">
        <v>1910</v>
      </c>
      <c r="K2173" s="312" t="s">
        <v>322</v>
      </c>
    </row>
    <row r="2174" spans="1:11">
      <c r="A2174" s="312" t="s">
        <v>5051</v>
      </c>
      <c r="B2174" s="312" t="s">
        <v>5052</v>
      </c>
      <c r="C2174" s="312" t="s">
        <v>105</v>
      </c>
      <c r="D2174" s="312" t="s">
        <v>166</v>
      </c>
      <c r="E2174" s="312" t="s">
        <v>320</v>
      </c>
      <c r="F2174" s="312">
        <v>1716</v>
      </c>
      <c r="G2174" s="312" t="s">
        <v>321</v>
      </c>
      <c r="H2174" s="312">
        <v>1725</v>
      </c>
      <c r="I2174" s="312" t="s">
        <v>320</v>
      </c>
      <c r="J2174" s="312">
        <v>1910</v>
      </c>
      <c r="K2174" s="312" t="s">
        <v>322</v>
      </c>
    </row>
    <row r="2175" spans="1:11">
      <c r="A2175" s="312" t="s">
        <v>5220</v>
      </c>
      <c r="B2175" s="312" t="s">
        <v>5221</v>
      </c>
      <c r="C2175" s="312" t="s">
        <v>105</v>
      </c>
      <c r="D2175" s="312" t="s">
        <v>166</v>
      </c>
      <c r="E2175" s="312" t="s">
        <v>167</v>
      </c>
      <c r="F2175" s="312">
        <v>1705</v>
      </c>
      <c r="G2175" s="312" t="s">
        <v>168</v>
      </c>
      <c r="H2175" s="312">
        <v>1707</v>
      </c>
      <c r="I2175" s="312" t="s">
        <v>167</v>
      </c>
      <c r="J2175" s="312">
        <v>1899</v>
      </c>
      <c r="K2175" s="312" t="s">
        <v>169</v>
      </c>
    </row>
    <row r="2176" spans="1:11">
      <c r="A2176" s="312" t="s">
        <v>5893</v>
      </c>
      <c r="B2176" s="312" t="s">
        <v>5894</v>
      </c>
      <c r="C2176" s="312" t="s">
        <v>105</v>
      </c>
      <c r="D2176" s="312" t="s">
        <v>166</v>
      </c>
      <c r="E2176" s="312" t="s">
        <v>167</v>
      </c>
      <c r="F2176" s="312">
        <v>1705</v>
      </c>
      <c r="G2176" s="312" t="s">
        <v>168</v>
      </c>
      <c r="H2176" s="312">
        <v>1707</v>
      </c>
      <c r="I2176" s="312" t="s">
        <v>167</v>
      </c>
      <c r="J2176" s="312">
        <v>1899</v>
      </c>
      <c r="K2176" s="312" t="s">
        <v>169</v>
      </c>
    </row>
    <row r="2177" spans="1:11">
      <c r="A2177" s="312" t="s">
        <v>5895</v>
      </c>
      <c r="B2177" s="312" t="s">
        <v>5896</v>
      </c>
      <c r="C2177" s="312" t="s">
        <v>105</v>
      </c>
      <c r="D2177" s="312" t="s">
        <v>166</v>
      </c>
      <c r="E2177" s="312" t="s">
        <v>167</v>
      </c>
      <c r="F2177" s="312">
        <v>1705</v>
      </c>
      <c r="G2177" s="312" t="s">
        <v>168</v>
      </c>
      <c r="H2177" s="312">
        <v>1707</v>
      </c>
      <c r="I2177" s="312" t="s">
        <v>167</v>
      </c>
      <c r="J2177" s="312">
        <v>1899</v>
      </c>
      <c r="K2177" s="312" t="s">
        <v>169</v>
      </c>
    </row>
    <row r="2178" spans="1:11">
      <c r="A2178" s="312" t="s">
        <v>5897</v>
      </c>
      <c r="B2178" s="312" t="s">
        <v>5898</v>
      </c>
      <c r="C2178" s="312" t="s">
        <v>105</v>
      </c>
      <c r="D2178" s="312" t="s">
        <v>166</v>
      </c>
      <c r="E2178" s="312" t="s">
        <v>320</v>
      </c>
      <c r="F2178" s="312">
        <v>1716</v>
      </c>
      <c r="G2178" s="312" t="s">
        <v>321</v>
      </c>
      <c r="H2178" s="312">
        <v>1725</v>
      </c>
      <c r="I2178" s="312" t="s">
        <v>320</v>
      </c>
      <c r="J2178" s="312">
        <v>1910</v>
      </c>
      <c r="K2178" s="312" t="s">
        <v>322</v>
      </c>
    </row>
    <row r="2179" spans="1:11">
      <c r="A2179" s="312" t="s">
        <v>226</v>
      </c>
      <c r="B2179" s="312" t="s">
        <v>227</v>
      </c>
      <c r="C2179" s="312" t="s">
        <v>105</v>
      </c>
      <c r="D2179" s="312" t="s">
        <v>228</v>
      </c>
      <c r="E2179" s="312" t="s">
        <v>107</v>
      </c>
      <c r="F2179" s="312">
        <v>1825</v>
      </c>
      <c r="G2179" s="312" t="s">
        <v>108</v>
      </c>
      <c r="H2179" s="312">
        <v>1827</v>
      </c>
      <c r="I2179" s="312" t="s">
        <v>107</v>
      </c>
      <c r="J2179" s="312">
        <v>1913</v>
      </c>
      <c r="K2179" s="312" t="s">
        <v>109</v>
      </c>
    </row>
    <row r="2180" spans="1:11">
      <c r="A2180" s="312" t="s">
        <v>229</v>
      </c>
      <c r="B2180" s="312" t="s">
        <v>230</v>
      </c>
      <c r="C2180" s="312" t="s">
        <v>105</v>
      </c>
      <c r="D2180" s="312" t="s">
        <v>228</v>
      </c>
      <c r="E2180" s="312" t="s">
        <v>107</v>
      </c>
      <c r="F2180" s="312">
        <v>1825</v>
      </c>
      <c r="G2180" s="312" t="s">
        <v>108</v>
      </c>
      <c r="H2180" s="312">
        <v>1827</v>
      </c>
      <c r="I2180" s="312" t="s">
        <v>107</v>
      </c>
      <c r="J2180" s="312">
        <v>1913</v>
      </c>
      <c r="K2180" s="312" t="s">
        <v>109</v>
      </c>
    </row>
    <row r="2181" spans="1:11">
      <c r="A2181" s="312" t="s">
        <v>231</v>
      </c>
      <c r="B2181" s="312" t="s">
        <v>232</v>
      </c>
      <c r="C2181" s="312" t="s">
        <v>105</v>
      </c>
      <c r="D2181" s="312" t="s">
        <v>228</v>
      </c>
      <c r="E2181" s="312" t="s">
        <v>107</v>
      </c>
      <c r="F2181" s="312">
        <v>1825</v>
      </c>
      <c r="G2181" s="312" t="s">
        <v>108</v>
      </c>
      <c r="H2181" s="312">
        <v>1827</v>
      </c>
      <c r="I2181" s="312" t="s">
        <v>107</v>
      </c>
      <c r="J2181" s="312">
        <v>1913</v>
      </c>
      <c r="K2181" s="312" t="s">
        <v>109</v>
      </c>
    </row>
    <row r="2182" spans="1:11">
      <c r="A2182" s="312" t="s">
        <v>882</v>
      </c>
      <c r="B2182" s="312" t="s">
        <v>883</v>
      </c>
      <c r="C2182" s="312" t="s">
        <v>105</v>
      </c>
      <c r="D2182" s="312" t="s">
        <v>228</v>
      </c>
      <c r="E2182" s="312" t="s">
        <v>167</v>
      </c>
      <c r="F2182" s="312">
        <v>1705</v>
      </c>
      <c r="G2182" s="312" t="s">
        <v>168</v>
      </c>
      <c r="H2182" s="312">
        <v>1707</v>
      </c>
      <c r="I2182" s="312" t="s">
        <v>167</v>
      </c>
      <c r="J2182" s="312">
        <v>1899</v>
      </c>
      <c r="K2182" s="312" t="s">
        <v>169</v>
      </c>
    </row>
    <row r="2183" spans="1:11">
      <c r="A2183" s="312" t="s">
        <v>1167</v>
      </c>
      <c r="B2183" s="312" t="s">
        <v>1168</v>
      </c>
      <c r="C2183" s="312" t="s">
        <v>105</v>
      </c>
      <c r="D2183" s="312" t="s">
        <v>228</v>
      </c>
      <c r="E2183" s="312" t="s">
        <v>167</v>
      </c>
      <c r="F2183" s="312">
        <v>1705</v>
      </c>
      <c r="G2183" s="312" t="s">
        <v>168</v>
      </c>
      <c r="H2183" s="312">
        <v>1707</v>
      </c>
      <c r="I2183" s="312" t="s">
        <v>167</v>
      </c>
      <c r="J2183" s="312">
        <v>1899</v>
      </c>
      <c r="K2183" s="312" t="s">
        <v>169</v>
      </c>
    </row>
    <row r="2184" spans="1:11">
      <c r="A2184" s="312" t="s">
        <v>1169</v>
      </c>
      <c r="B2184" s="312" t="s">
        <v>1170</v>
      </c>
      <c r="C2184" s="312" t="s">
        <v>105</v>
      </c>
      <c r="D2184" s="312" t="s">
        <v>228</v>
      </c>
      <c r="E2184" s="312" t="s">
        <v>167</v>
      </c>
      <c r="F2184" s="312">
        <v>1705</v>
      </c>
      <c r="G2184" s="312" t="s">
        <v>168</v>
      </c>
      <c r="H2184" s="312">
        <v>1707</v>
      </c>
      <c r="I2184" s="312" t="s">
        <v>167</v>
      </c>
      <c r="J2184" s="312">
        <v>1899</v>
      </c>
      <c r="K2184" s="312" t="s">
        <v>169</v>
      </c>
    </row>
    <row r="2185" spans="1:11">
      <c r="A2185" s="312" t="s">
        <v>1805</v>
      </c>
      <c r="B2185" s="312" t="s">
        <v>1806</v>
      </c>
      <c r="C2185" s="312" t="s">
        <v>105</v>
      </c>
      <c r="D2185" s="312" t="s">
        <v>228</v>
      </c>
      <c r="E2185" s="312" t="s">
        <v>167</v>
      </c>
      <c r="F2185" s="312">
        <v>1705</v>
      </c>
      <c r="G2185" s="312" t="s">
        <v>168</v>
      </c>
      <c r="H2185" s="312">
        <v>1707</v>
      </c>
      <c r="I2185" s="312" t="s">
        <v>167</v>
      </c>
      <c r="J2185" s="312">
        <v>1899</v>
      </c>
      <c r="K2185" s="312" t="s">
        <v>169</v>
      </c>
    </row>
    <row r="2186" spans="1:11">
      <c r="A2186" s="312" t="s">
        <v>2110</v>
      </c>
      <c r="B2186" s="312" t="s">
        <v>2111</v>
      </c>
      <c r="C2186" s="312" t="s">
        <v>105</v>
      </c>
      <c r="D2186" s="312" t="s">
        <v>228</v>
      </c>
      <c r="E2186" s="312" t="s">
        <v>167</v>
      </c>
      <c r="F2186" s="312">
        <v>1705</v>
      </c>
      <c r="G2186" s="312" t="s">
        <v>168</v>
      </c>
      <c r="H2186" s="312">
        <v>1707</v>
      </c>
      <c r="I2186" s="312" t="s">
        <v>167</v>
      </c>
      <c r="J2186" s="312">
        <v>1899</v>
      </c>
      <c r="K2186" s="312" t="s">
        <v>169</v>
      </c>
    </row>
    <row r="2187" spans="1:11">
      <c r="A2187" s="312" t="s">
        <v>2118</v>
      </c>
      <c r="B2187" s="312" t="s">
        <v>2119</v>
      </c>
      <c r="C2187" s="312" t="s">
        <v>105</v>
      </c>
      <c r="D2187" s="312" t="s">
        <v>228</v>
      </c>
      <c r="E2187" s="312" t="s">
        <v>167</v>
      </c>
      <c r="F2187" s="312">
        <v>1705</v>
      </c>
      <c r="G2187" s="312" t="s">
        <v>168</v>
      </c>
      <c r="H2187" s="312">
        <v>1707</v>
      </c>
      <c r="I2187" s="312" t="s">
        <v>167</v>
      </c>
      <c r="J2187" s="312">
        <v>1899</v>
      </c>
      <c r="K2187" s="312" t="s">
        <v>169</v>
      </c>
    </row>
    <row r="2188" spans="1:11">
      <c r="A2188" s="312" t="s">
        <v>2405</v>
      </c>
      <c r="B2188" s="312" t="s">
        <v>2406</v>
      </c>
      <c r="C2188" s="312" t="s">
        <v>105</v>
      </c>
      <c r="D2188" s="312" t="s">
        <v>228</v>
      </c>
      <c r="E2188" s="312" t="s">
        <v>107</v>
      </c>
      <c r="F2188" s="312">
        <v>1825</v>
      </c>
      <c r="G2188" s="312" t="s">
        <v>108</v>
      </c>
      <c r="H2188" s="312">
        <v>1827</v>
      </c>
      <c r="I2188" s="312" t="s">
        <v>107</v>
      </c>
      <c r="J2188" s="312">
        <v>1913</v>
      </c>
      <c r="K2188" s="312" t="s">
        <v>109</v>
      </c>
    </row>
    <row r="2189" spans="1:11">
      <c r="A2189" s="312" t="s">
        <v>3006</v>
      </c>
      <c r="B2189" s="312" t="s">
        <v>3007</v>
      </c>
      <c r="C2189" s="312" t="s">
        <v>105</v>
      </c>
      <c r="D2189" s="312" t="s">
        <v>228</v>
      </c>
      <c r="E2189" s="312" t="s">
        <v>107</v>
      </c>
      <c r="F2189" s="312">
        <v>1825</v>
      </c>
      <c r="G2189" s="312" t="s">
        <v>108</v>
      </c>
      <c r="H2189" s="312">
        <v>1827</v>
      </c>
      <c r="I2189" s="312" t="s">
        <v>107</v>
      </c>
      <c r="J2189" s="312">
        <v>1913</v>
      </c>
      <c r="K2189" s="312" t="s">
        <v>109</v>
      </c>
    </row>
    <row r="2190" spans="1:11">
      <c r="A2190" s="312" t="s">
        <v>3432</v>
      </c>
      <c r="B2190" s="312" t="s">
        <v>3433</v>
      </c>
      <c r="C2190" s="312" t="s">
        <v>105</v>
      </c>
      <c r="D2190" s="312" t="s">
        <v>228</v>
      </c>
      <c r="E2190" s="312" t="s">
        <v>167</v>
      </c>
      <c r="F2190" s="312">
        <v>1705</v>
      </c>
      <c r="G2190" s="312" t="s">
        <v>168</v>
      </c>
      <c r="H2190" s="312">
        <v>1707</v>
      </c>
      <c r="I2190" s="312" t="s">
        <v>167</v>
      </c>
      <c r="J2190" s="312">
        <v>1899</v>
      </c>
      <c r="K2190" s="312" t="s">
        <v>169</v>
      </c>
    </row>
    <row r="2191" spans="1:11">
      <c r="A2191" s="312" t="s">
        <v>3434</v>
      </c>
      <c r="B2191" s="312" t="s">
        <v>3435</v>
      </c>
      <c r="C2191" s="312" t="s">
        <v>105</v>
      </c>
      <c r="D2191" s="312" t="s">
        <v>228</v>
      </c>
      <c r="E2191" s="312" t="s">
        <v>167</v>
      </c>
      <c r="F2191" s="312">
        <v>1705</v>
      </c>
      <c r="G2191" s="312" t="s">
        <v>168</v>
      </c>
      <c r="H2191" s="312">
        <v>1707</v>
      </c>
      <c r="I2191" s="312" t="s">
        <v>167</v>
      </c>
      <c r="J2191" s="312">
        <v>1899</v>
      </c>
      <c r="K2191" s="312" t="s">
        <v>169</v>
      </c>
    </row>
    <row r="2192" spans="1:11">
      <c r="A2192" s="312" t="s">
        <v>4859</v>
      </c>
      <c r="B2192" s="312" t="s">
        <v>4860</v>
      </c>
      <c r="C2192" s="312" t="s">
        <v>105</v>
      </c>
      <c r="D2192" s="312" t="s">
        <v>228</v>
      </c>
      <c r="E2192" s="312" t="s">
        <v>167</v>
      </c>
      <c r="F2192" s="312">
        <v>1705</v>
      </c>
      <c r="G2192" s="312" t="s">
        <v>168</v>
      </c>
      <c r="H2192" s="312">
        <v>1707</v>
      </c>
      <c r="I2192" s="312" t="s">
        <v>167</v>
      </c>
      <c r="J2192" s="312">
        <v>1899</v>
      </c>
      <c r="K2192" s="312" t="s">
        <v>169</v>
      </c>
    </row>
    <row r="2193" spans="1:11">
      <c r="A2193" s="312" t="s">
        <v>5276</v>
      </c>
      <c r="B2193" s="312" t="s">
        <v>5277</v>
      </c>
      <c r="C2193" s="312" t="s">
        <v>105</v>
      </c>
      <c r="D2193" s="312" t="s">
        <v>228</v>
      </c>
      <c r="E2193" s="312" t="s">
        <v>167</v>
      </c>
      <c r="F2193" s="312">
        <v>1705</v>
      </c>
      <c r="G2193" s="312" t="s">
        <v>168</v>
      </c>
      <c r="H2193" s="312">
        <v>1707</v>
      </c>
      <c r="I2193" s="312" t="s">
        <v>167</v>
      </c>
      <c r="J2193" s="312">
        <v>1899</v>
      </c>
      <c r="K2193" s="312" t="s">
        <v>169</v>
      </c>
    </row>
    <row r="2194" spans="1:11">
      <c r="A2194" s="312" t="s">
        <v>5410</v>
      </c>
      <c r="B2194" s="1" t="s">
        <v>5411</v>
      </c>
      <c r="C2194" s="312" t="s">
        <v>105</v>
      </c>
      <c r="D2194" s="312" t="s">
        <v>228</v>
      </c>
      <c r="E2194" s="312" t="s">
        <v>107</v>
      </c>
      <c r="F2194" s="312">
        <v>1825</v>
      </c>
      <c r="G2194" s="312" t="s">
        <v>108</v>
      </c>
      <c r="H2194" s="312">
        <v>1827</v>
      </c>
      <c r="I2194" s="312" t="s">
        <v>107</v>
      </c>
      <c r="J2194" s="312">
        <v>1913</v>
      </c>
      <c r="K2194" s="312" t="s">
        <v>109</v>
      </c>
    </row>
    <row r="2195" spans="1:11">
      <c r="A2195" s="312" t="s">
        <v>3297</v>
      </c>
      <c r="B2195" s="312" t="s">
        <v>3298</v>
      </c>
      <c r="C2195" s="312" t="s">
        <v>105</v>
      </c>
      <c r="D2195" s="312" t="s">
        <v>3299</v>
      </c>
      <c r="E2195" s="312" t="s">
        <v>107</v>
      </c>
      <c r="F2195" s="312">
        <v>1825</v>
      </c>
      <c r="G2195" s="312" t="s">
        <v>108</v>
      </c>
      <c r="H2195" s="312">
        <v>1827</v>
      </c>
      <c r="I2195" s="312" t="s">
        <v>107</v>
      </c>
      <c r="J2195" s="312">
        <v>1913</v>
      </c>
      <c r="K2195" s="312" t="s">
        <v>109</v>
      </c>
    </row>
    <row r="2196" spans="1:11">
      <c r="A2196" s="312" t="s">
        <v>4090</v>
      </c>
      <c r="B2196" s="312" t="s">
        <v>4091</v>
      </c>
      <c r="C2196" s="312" t="s">
        <v>105</v>
      </c>
      <c r="D2196" s="312" t="s">
        <v>3299</v>
      </c>
      <c r="E2196" s="312" t="s">
        <v>167</v>
      </c>
      <c r="F2196" s="312">
        <v>1705</v>
      </c>
      <c r="G2196" s="312" t="s">
        <v>168</v>
      </c>
      <c r="H2196" s="312">
        <v>1707</v>
      </c>
      <c r="I2196" s="312" t="s">
        <v>167</v>
      </c>
      <c r="J2196" s="312">
        <v>1899</v>
      </c>
      <c r="K2196" s="312" t="s">
        <v>169</v>
      </c>
    </row>
    <row r="2197" spans="1:11">
      <c r="A2197" s="312" t="s">
        <v>6115</v>
      </c>
      <c r="B2197" s="312" t="s">
        <v>6116</v>
      </c>
      <c r="C2197" s="312" t="s">
        <v>105</v>
      </c>
      <c r="D2197" s="312" t="s">
        <v>3299</v>
      </c>
      <c r="E2197" s="312" t="s">
        <v>167</v>
      </c>
      <c r="F2197" s="312">
        <v>1705</v>
      </c>
      <c r="G2197" s="312" t="s">
        <v>168</v>
      </c>
      <c r="H2197" s="312">
        <v>1707</v>
      </c>
      <c r="I2197" s="312" t="s">
        <v>167</v>
      </c>
      <c r="J2197" s="312">
        <v>1899</v>
      </c>
      <c r="K2197" s="312" t="s">
        <v>169</v>
      </c>
    </row>
    <row r="2198" spans="1:11">
      <c r="A2198" s="312" t="s">
        <v>3575</v>
      </c>
      <c r="B2198" s="312" t="s">
        <v>3576</v>
      </c>
      <c r="C2198" s="312" t="s">
        <v>105</v>
      </c>
      <c r="D2198" s="312" t="s">
        <v>3577</v>
      </c>
      <c r="E2198" s="312" t="s">
        <v>167</v>
      </c>
      <c r="F2198" s="312">
        <v>1705</v>
      </c>
      <c r="G2198" s="312" t="s">
        <v>168</v>
      </c>
      <c r="H2198" s="312">
        <v>1707</v>
      </c>
      <c r="I2198" s="312" t="s">
        <v>167</v>
      </c>
      <c r="J2198" s="312">
        <v>1899</v>
      </c>
      <c r="K2198" s="312" t="s">
        <v>169</v>
      </c>
    </row>
    <row r="2199" spans="1:11">
      <c r="A2199" s="312" t="s">
        <v>4592</v>
      </c>
      <c r="B2199" s="312" t="s">
        <v>4593</v>
      </c>
      <c r="C2199" s="312" t="s">
        <v>105</v>
      </c>
      <c r="D2199" s="312" t="s">
        <v>3577</v>
      </c>
      <c r="E2199" s="312" t="s">
        <v>167</v>
      </c>
      <c r="F2199" s="312">
        <v>1705</v>
      </c>
      <c r="G2199" s="312" t="s">
        <v>168</v>
      </c>
      <c r="H2199" s="312">
        <v>1707</v>
      </c>
      <c r="I2199" s="312" t="s">
        <v>167</v>
      </c>
      <c r="J2199" s="312">
        <v>1899</v>
      </c>
      <c r="K2199" s="312" t="s">
        <v>169</v>
      </c>
    </row>
    <row r="2200" spans="1:11">
      <c r="A2200" s="312" t="s">
        <v>811</v>
      </c>
      <c r="B2200" s="312" t="s">
        <v>812</v>
      </c>
      <c r="C2200" s="312" t="s">
        <v>105</v>
      </c>
      <c r="D2200" s="312" t="s">
        <v>813</v>
      </c>
      <c r="E2200" s="312" t="s">
        <v>167</v>
      </c>
      <c r="F2200" s="312">
        <v>1705</v>
      </c>
      <c r="G2200" s="312" t="s">
        <v>168</v>
      </c>
      <c r="H2200" s="312">
        <v>1707</v>
      </c>
      <c r="I2200" s="312" t="s">
        <v>167</v>
      </c>
      <c r="J2200" s="312">
        <v>1899</v>
      </c>
      <c r="K2200" s="312" t="s">
        <v>169</v>
      </c>
    </row>
    <row r="2201" spans="1:11">
      <c r="A2201" s="312" t="s">
        <v>2593</v>
      </c>
      <c r="B2201" s="312" t="s">
        <v>2594</v>
      </c>
      <c r="C2201" s="312" t="s">
        <v>105</v>
      </c>
      <c r="D2201" s="312" t="s">
        <v>813</v>
      </c>
      <c r="E2201" s="312" t="s">
        <v>167</v>
      </c>
      <c r="F2201" s="312">
        <v>1705</v>
      </c>
      <c r="G2201" s="312" t="s">
        <v>168</v>
      </c>
      <c r="H2201" s="312">
        <v>1707</v>
      </c>
      <c r="I2201" s="312" t="s">
        <v>167</v>
      </c>
      <c r="J2201" s="312">
        <v>1899</v>
      </c>
      <c r="K2201" s="312" t="s">
        <v>169</v>
      </c>
    </row>
    <row r="2202" spans="1:11">
      <c r="A2202" s="312" t="s">
        <v>2717</v>
      </c>
      <c r="B2202" s="312" t="s">
        <v>2718</v>
      </c>
      <c r="C2202" s="312" t="s">
        <v>105</v>
      </c>
      <c r="D2202" s="312" t="s">
        <v>813</v>
      </c>
      <c r="E2202" s="312" t="s">
        <v>107</v>
      </c>
      <c r="F2202" s="312">
        <v>1825</v>
      </c>
      <c r="G2202" s="312" t="s">
        <v>108</v>
      </c>
      <c r="H2202" s="312">
        <v>1827</v>
      </c>
      <c r="I2202" s="312" t="s">
        <v>107</v>
      </c>
      <c r="J2202" s="312">
        <v>1913</v>
      </c>
      <c r="K2202" s="312" t="s">
        <v>109</v>
      </c>
    </row>
    <row r="2203" spans="1:11">
      <c r="A2203" s="312" t="s">
        <v>4590</v>
      </c>
      <c r="B2203" s="312" t="s">
        <v>4591</v>
      </c>
      <c r="C2203" s="312" t="s">
        <v>105</v>
      </c>
      <c r="D2203" s="312" t="s">
        <v>813</v>
      </c>
      <c r="E2203" s="312" t="s">
        <v>107</v>
      </c>
      <c r="F2203" s="312">
        <v>1825</v>
      </c>
      <c r="G2203" s="312" t="s">
        <v>108</v>
      </c>
      <c r="H2203" s="312">
        <v>1827</v>
      </c>
      <c r="I2203" s="312" t="s">
        <v>107</v>
      </c>
      <c r="J2203" s="312">
        <v>1913</v>
      </c>
      <c r="K2203" s="312" t="s">
        <v>109</v>
      </c>
    </row>
    <row r="2204" spans="1:11">
      <c r="A2204" s="6" t="s">
        <v>1769</v>
      </c>
      <c r="B2204" s="312" t="s">
        <v>1770</v>
      </c>
      <c r="C2204" s="312" t="s">
        <v>105</v>
      </c>
      <c r="D2204" s="312" t="s">
        <v>1771</v>
      </c>
      <c r="E2204" s="312" t="s">
        <v>167</v>
      </c>
      <c r="F2204" s="312">
        <v>1705</v>
      </c>
      <c r="G2204" s="312" t="s">
        <v>168</v>
      </c>
      <c r="H2204" s="312">
        <v>1707</v>
      </c>
      <c r="I2204" s="312" t="s">
        <v>167</v>
      </c>
      <c r="J2204" s="312">
        <v>1899</v>
      </c>
      <c r="K2204" s="312" t="s">
        <v>169</v>
      </c>
    </row>
    <row r="2205" spans="1:11">
      <c r="A2205" s="312" t="s">
        <v>3841</v>
      </c>
      <c r="B2205" s="312" t="s">
        <v>3842</v>
      </c>
      <c r="C2205" s="312" t="s">
        <v>105</v>
      </c>
      <c r="D2205" s="312" t="s">
        <v>1771</v>
      </c>
      <c r="E2205" s="312" t="s">
        <v>167</v>
      </c>
      <c r="F2205" s="312">
        <v>1705</v>
      </c>
      <c r="G2205" s="312" t="s">
        <v>168</v>
      </c>
      <c r="H2205" s="312">
        <v>1707</v>
      </c>
      <c r="I2205" s="312" t="s">
        <v>167</v>
      </c>
      <c r="J2205" s="312">
        <v>1899</v>
      </c>
      <c r="K2205" s="312" t="s">
        <v>169</v>
      </c>
    </row>
    <row r="2206" spans="1:11">
      <c r="A2206" s="312" t="s">
        <v>851</v>
      </c>
      <c r="B2206" s="312" t="s">
        <v>852</v>
      </c>
      <c r="C2206" s="312" t="s">
        <v>105</v>
      </c>
      <c r="D2206" s="312" t="s">
        <v>853</v>
      </c>
      <c r="E2206" s="312" t="s">
        <v>167</v>
      </c>
      <c r="F2206" s="312">
        <v>1705</v>
      </c>
      <c r="G2206" s="312" t="s">
        <v>168</v>
      </c>
      <c r="H2206" s="312">
        <v>1707</v>
      </c>
      <c r="I2206" s="312" t="s">
        <v>167</v>
      </c>
      <c r="J2206" s="312">
        <v>1899</v>
      </c>
      <c r="K2206" s="312" t="s">
        <v>169</v>
      </c>
    </row>
    <row r="2207" spans="1:11">
      <c r="A2207" s="312" t="s">
        <v>2281</v>
      </c>
      <c r="B2207" s="312" t="s">
        <v>2282</v>
      </c>
      <c r="C2207" s="312" t="s">
        <v>105</v>
      </c>
      <c r="D2207" s="312" t="s">
        <v>853</v>
      </c>
      <c r="E2207" s="312" t="s">
        <v>107</v>
      </c>
      <c r="F2207" s="312">
        <v>1825</v>
      </c>
      <c r="G2207" s="312" t="s">
        <v>108</v>
      </c>
      <c r="H2207" s="312">
        <v>1827</v>
      </c>
      <c r="I2207" s="312" t="s">
        <v>107</v>
      </c>
      <c r="J2207" s="312">
        <v>1913</v>
      </c>
      <c r="K2207" s="312" t="s">
        <v>109</v>
      </c>
    </row>
    <row r="2208" spans="1:11">
      <c r="A2208" s="312" t="s">
        <v>2754</v>
      </c>
      <c r="B2208" s="312" t="s">
        <v>2755</v>
      </c>
      <c r="C2208" s="312" t="s">
        <v>105</v>
      </c>
      <c r="D2208" s="312" t="s">
        <v>853</v>
      </c>
      <c r="E2208" s="312" t="s">
        <v>107</v>
      </c>
      <c r="F2208" s="312">
        <v>1825</v>
      </c>
      <c r="G2208" s="312" t="s">
        <v>108</v>
      </c>
      <c r="H2208" s="312">
        <v>1827</v>
      </c>
      <c r="I2208" s="312" t="s">
        <v>107</v>
      </c>
      <c r="J2208" s="312">
        <v>1913</v>
      </c>
      <c r="K2208" s="312" t="s">
        <v>109</v>
      </c>
    </row>
    <row r="2209" spans="1:11">
      <c r="A2209" s="312" t="s">
        <v>2937</v>
      </c>
      <c r="B2209" s="312" t="s">
        <v>2938</v>
      </c>
      <c r="C2209" s="312" t="s">
        <v>105</v>
      </c>
      <c r="D2209" s="312" t="s">
        <v>853</v>
      </c>
      <c r="E2209" s="312" t="s">
        <v>167</v>
      </c>
      <c r="F2209" s="312">
        <v>1705</v>
      </c>
      <c r="G2209" s="312" t="s">
        <v>168</v>
      </c>
      <c r="H2209" s="312">
        <v>1707</v>
      </c>
      <c r="I2209" s="312" t="s">
        <v>167</v>
      </c>
      <c r="J2209" s="312">
        <v>1899</v>
      </c>
      <c r="K2209" s="312" t="s">
        <v>169</v>
      </c>
    </row>
    <row r="2210" spans="1:11">
      <c r="A2210" s="312" t="s">
        <v>3036</v>
      </c>
      <c r="B2210" s="312" t="s">
        <v>3037</v>
      </c>
      <c r="C2210" s="312" t="s">
        <v>105</v>
      </c>
      <c r="D2210" s="312" t="s">
        <v>853</v>
      </c>
      <c r="E2210" s="312" t="s">
        <v>167</v>
      </c>
      <c r="F2210" s="312">
        <v>1705</v>
      </c>
      <c r="G2210" s="312" t="s">
        <v>168</v>
      </c>
      <c r="H2210" s="312">
        <v>1707</v>
      </c>
      <c r="I2210" s="312" t="s">
        <v>167</v>
      </c>
      <c r="J2210" s="312">
        <v>1899</v>
      </c>
      <c r="K2210" s="312" t="s">
        <v>169</v>
      </c>
    </row>
    <row r="2211" spans="1:11">
      <c r="A2211" s="312" t="s">
        <v>3038</v>
      </c>
      <c r="B2211" s="312" t="s">
        <v>3039</v>
      </c>
      <c r="C2211" s="312" t="s">
        <v>105</v>
      </c>
      <c r="D2211" s="312" t="s">
        <v>853</v>
      </c>
      <c r="E2211" s="312" t="s">
        <v>167</v>
      </c>
      <c r="F2211" s="312">
        <v>1705</v>
      </c>
      <c r="G2211" s="312" t="s">
        <v>168</v>
      </c>
      <c r="H2211" s="312">
        <v>1707</v>
      </c>
      <c r="I2211" s="312" t="s">
        <v>167</v>
      </c>
      <c r="J2211" s="312">
        <v>1899</v>
      </c>
      <c r="K2211" s="312" t="s">
        <v>169</v>
      </c>
    </row>
    <row r="2212" spans="1:11">
      <c r="A2212" s="312" t="s">
        <v>3040</v>
      </c>
      <c r="B2212" s="312" t="s">
        <v>3041</v>
      </c>
      <c r="C2212" s="312" t="s">
        <v>105</v>
      </c>
      <c r="D2212" s="312" t="s">
        <v>853</v>
      </c>
      <c r="E2212" s="312" t="s">
        <v>167</v>
      </c>
      <c r="F2212" s="312">
        <v>1705</v>
      </c>
      <c r="G2212" s="312" t="s">
        <v>168</v>
      </c>
      <c r="H2212" s="312">
        <v>1707</v>
      </c>
      <c r="I2212" s="312" t="s">
        <v>167</v>
      </c>
      <c r="J2212" s="312">
        <v>1899</v>
      </c>
      <c r="K2212" s="312" t="s">
        <v>169</v>
      </c>
    </row>
    <row r="2213" spans="1:11">
      <c r="A2213" s="312" t="s">
        <v>3042</v>
      </c>
      <c r="B2213" s="312" t="s">
        <v>3043</v>
      </c>
      <c r="C2213" s="312" t="s">
        <v>105</v>
      </c>
      <c r="D2213" s="312" t="s">
        <v>853</v>
      </c>
      <c r="E2213" s="312" t="s">
        <v>167</v>
      </c>
      <c r="F2213" s="312">
        <v>1705</v>
      </c>
      <c r="G2213" s="312" t="s">
        <v>168</v>
      </c>
      <c r="H2213" s="312">
        <v>1707</v>
      </c>
      <c r="I2213" s="312" t="s">
        <v>167</v>
      </c>
      <c r="J2213" s="312">
        <v>1899</v>
      </c>
      <c r="K2213" s="312" t="s">
        <v>169</v>
      </c>
    </row>
    <row r="2214" spans="1:11">
      <c r="A2214" s="312" t="s">
        <v>3044</v>
      </c>
      <c r="B2214" s="312" t="s">
        <v>3045</v>
      </c>
      <c r="C2214" s="312" t="s">
        <v>105</v>
      </c>
      <c r="D2214" s="312" t="s">
        <v>853</v>
      </c>
      <c r="E2214" s="312" t="s">
        <v>167</v>
      </c>
      <c r="F2214" s="312">
        <v>1705</v>
      </c>
      <c r="G2214" s="312" t="s">
        <v>168</v>
      </c>
      <c r="H2214" s="312">
        <v>1707</v>
      </c>
      <c r="I2214" s="312" t="s">
        <v>167</v>
      </c>
      <c r="J2214" s="312">
        <v>1899</v>
      </c>
      <c r="K2214" s="312" t="s">
        <v>169</v>
      </c>
    </row>
    <row r="2215" spans="1:11">
      <c r="A2215" s="312" t="s">
        <v>3873</v>
      </c>
      <c r="B2215" s="312" t="s">
        <v>3874</v>
      </c>
      <c r="C2215" s="312" t="s">
        <v>105</v>
      </c>
      <c r="D2215" s="312" t="s">
        <v>853</v>
      </c>
      <c r="E2215" s="312" t="s">
        <v>107</v>
      </c>
      <c r="F2215" s="312">
        <v>1825</v>
      </c>
      <c r="G2215" s="312" t="s">
        <v>108</v>
      </c>
      <c r="H2215" s="312">
        <v>1827</v>
      </c>
      <c r="I2215" s="312" t="s">
        <v>107</v>
      </c>
      <c r="J2215" s="312">
        <v>1913</v>
      </c>
      <c r="K2215" s="312" t="s">
        <v>109</v>
      </c>
    </row>
    <row r="2216" spans="1:11">
      <c r="A2216" s="312" t="s">
        <v>3875</v>
      </c>
      <c r="B2216" s="312" t="s">
        <v>3876</v>
      </c>
      <c r="C2216" s="312" t="s">
        <v>105</v>
      </c>
      <c r="D2216" s="312" t="s">
        <v>853</v>
      </c>
      <c r="E2216" s="312" t="s">
        <v>107</v>
      </c>
      <c r="F2216" s="312">
        <v>1825</v>
      </c>
      <c r="G2216" s="312" t="s">
        <v>108</v>
      </c>
      <c r="H2216" s="312">
        <v>1827</v>
      </c>
      <c r="I2216" s="312" t="s">
        <v>107</v>
      </c>
      <c r="J2216" s="312">
        <v>1913</v>
      </c>
      <c r="K2216" s="312" t="s">
        <v>109</v>
      </c>
    </row>
    <row r="2217" spans="1:11">
      <c r="A2217" s="312" t="s">
        <v>3877</v>
      </c>
      <c r="B2217" s="312" t="s">
        <v>3878</v>
      </c>
      <c r="C2217" s="312" t="s">
        <v>105</v>
      </c>
      <c r="D2217" s="312" t="s">
        <v>853</v>
      </c>
      <c r="E2217" s="312" t="s">
        <v>107</v>
      </c>
      <c r="F2217" s="312">
        <v>1825</v>
      </c>
      <c r="G2217" s="312" t="s">
        <v>108</v>
      </c>
      <c r="H2217" s="312">
        <v>1827</v>
      </c>
      <c r="I2217" s="312" t="s">
        <v>107</v>
      </c>
      <c r="J2217" s="312">
        <v>1913</v>
      </c>
      <c r="K2217" s="312" t="s">
        <v>109</v>
      </c>
    </row>
    <row r="2218" spans="1:11">
      <c r="A2218" s="312" t="s">
        <v>5946</v>
      </c>
      <c r="B2218" s="312" t="s">
        <v>5947</v>
      </c>
      <c r="C2218" s="312" t="s">
        <v>105</v>
      </c>
      <c r="D2218" s="312" t="s">
        <v>853</v>
      </c>
      <c r="E2218" s="312" t="s">
        <v>167</v>
      </c>
      <c r="F2218" s="312">
        <v>1705</v>
      </c>
      <c r="G2218" s="312" t="s">
        <v>168</v>
      </c>
      <c r="H2218" s="312">
        <v>1707</v>
      </c>
      <c r="I2218" s="312" t="s">
        <v>167</v>
      </c>
      <c r="J2218" s="312">
        <v>1899</v>
      </c>
      <c r="K2218" s="312" t="s">
        <v>169</v>
      </c>
    </row>
    <row r="2219" spans="1:11">
      <c r="A2219" s="312" t="s">
        <v>2745</v>
      </c>
      <c r="B2219" s="1" t="s">
        <v>2746</v>
      </c>
      <c r="C2219" s="312" t="s">
        <v>105</v>
      </c>
      <c r="D2219" s="312" t="s">
        <v>2747</v>
      </c>
      <c r="E2219" s="312" t="s">
        <v>167</v>
      </c>
      <c r="F2219" s="312">
        <v>1705</v>
      </c>
      <c r="G2219" s="312" t="s">
        <v>168</v>
      </c>
      <c r="H2219" s="312">
        <v>1707</v>
      </c>
      <c r="I2219" s="312" t="s">
        <v>167</v>
      </c>
      <c r="J2219" s="312">
        <v>1899</v>
      </c>
      <c r="K2219" s="312" t="s">
        <v>169</v>
      </c>
    </row>
    <row r="2220" spans="1:11">
      <c r="A2220" s="312" t="s">
        <v>2748</v>
      </c>
      <c r="B2220" s="312" t="s">
        <v>2749</v>
      </c>
      <c r="C2220" s="312" t="s">
        <v>105</v>
      </c>
      <c r="D2220" s="312" t="s">
        <v>2747</v>
      </c>
      <c r="E2220" s="312" t="s">
        <v>167</v>
      </c>
      <c r="F2220" s="312">
        <v>1705</v>
      </c>
      <c r="G2220" s="312" t="s">
        <v>168</v>
      </c>
      <c r="H2220" s="312">
        <v>1707</v>
      </c>
      <c r="I2220" s="312" t="s">
        <v>167</v>
      </c>
      <c r="J2220" s="312">
        <v>1899</v>
      </c>
      <c r="K2220" s="312" t="s">
        <v>169</v>
      </c>
    </row>
    <row r="2221" spans="1:11">
      <c r="A2221" s="312" t="s">
        <v>2750</v>
      </c>
      <c r="B2221" s="312" t="s">
        <v>2751</v>
      </c>
      <c r="C2221" s="312" t="s">
        <v>105</v>
      </c>
      <c r="D2221" s="312" t="s">
        <v>2747</v>
      </c>
      <c r="E2221" s="312" t="s">
        <v>167</v>
      </c>
      <c r="F2221" s="312">
        <v>1705</v>
      </c>
      <c r="G2221" s="312" t="s">
        <v>168</v>
      </c>
      <c r="H2221" s="312">
        <v>1707</v>
      </c>
      <c r="I2221" s="312" t="s">
        <v>167</v>
      </c>
      <c r="J2221" s="312">
        <v>1899</v>
      </c>
      <c r="K2221" s="312" t="s">
        <v>169</v>
      </c>
    </row>
    <row r="2222" spans="1:11">
      <c r="A2222" s="312" t="s">
        <v>2752</v>
      </c>
      <c r="B2222" s="312" t="s">
        <v>2753</v>
      </c>
      <c r="C2222" s="312" t="s">
        <v>105</v>
      </c>
      <c r="D2222" s="312" t="s">
        <v>2747</v>
      </c>
      <c r="E2222" s="312" t="s">
        <v>167</v>
      </c>
      <c r="F2222" s="312">
        <v>1705</v>
      </c>
      <c r="G2222" s="312" t="s">
        <v>168</v>
      </c>
      <c r="H2222" s="312">
        <v>1707</v>
      </c>
      <c r="I2222" s="312" t="s">
        <v>167</v>
      </c>
      <c r="J2222" s="312">
        <v>1899</v>
      </c>
      <c r="K2222" s="312" t="s">
        <v>169</v>
      </c>
    </row>
    <row r="2223" spans="1:11">
      <c r="A2223" s="312" t="s">
        <v>4524</v>
      </c>
      <c r="B2223" s="312" t="s">
        <v>4525</v>
      </c>
      <c r="C2223" s="312" t="s">
        <v>105</v>
      </c>
      <c r="D2223" s="312" t="s">
        <v>2747</v>
      </c>
      <c r="E2223" s="312" t="s">
        <v>167</v>
      </c>
      <c r="F2223" s="312">
        <v>1705</v>
      </c>
      <c r="G2223" s="312" t="s">
        <v>168</v>
      </c>
      <c r="H2223" s="312">
        <v>1707</v>
      </c>
      <c r="I2223" s="312" t="s">
        <v>167</v>
      </c>
      <c r="J2223" s="312">
        <v>1899</v>
      </c>
      <c r="K2223" s="312" t="s">
        <v>169</v>
      </c>
    </row>
    <row r="2224" spans="1:11">
      <c r="A2224" s="312" t="s">
        <v>4526</v>
      </c>
      <c r="B2224" s="312" t="s">
        <v>4527</v>
      </c>
      <c r="C2224" s="312" t="s">
        <v>105</v>
      </c>
      <c r="D2224" s="312" t="s">
        <v>2747</v>
      </c>
      <c r="E2224" s="312" t="s">
        <v>167</v>
      </c>
      <c r="F2224" s="312">
        <v>1705</v>
      </c>
      <c r="G2224" s="312" t="s">
        <v>168</v>
      </c>
      <c r="H2224" s="312">
        <v>1707</v>
      </c>
      <c r="I2224" s="312" t="s">
        <v>167</v>
      </c>
      <c r="J2224" s="312">
        <v>1899</v>
      </c>
      <c r="K2224" s="312" t="s">
        <v>169</v>
      </c>
    </row>
    <row r="2225" spans="1:11">
      <c r="A2225" s="312" t="s">
        <v>4545</v>
      </c>
      <c r="B2225" s="312" t="s">
        <v>4546</v>
      </c>
      <c r="C2225" s="312" t="s">
        <v>105</v>
      </c>
      <c r="D2225" s="312" t="s">
        <v>2747</v>
      </c>
      <c r="E2225" s="312" t="s">
        <v>167</v>
      </c>
      <c r="F2225" s="312">
        <v>1705</v>
      </c>
      <c r="G2225" s="312" t="s">
        <v>168</v>
      </c>
      <c r="H2225" s="312">
        <v>1707</v>
      </c>
      <c r="I2225" s="312" t="s">
        <v>167</v>
      </c>
      <c r="J2225" s="312">
        <v>1899</v>
      </c>
      <c r="K2225" s="312" t="s">
        <v>169</v>
      </c>
    </row>
    <row r="2226" spans="1:11">
      <c r="A2226" s="312" t="s">
        <v>4547</v>
      </c>
      <c r="B2226" s="312" t="s">
        <v>4548</v>
      </c>
      <c r="C2226" s="312" t="s">
        <v>105</v>
      </c>
      <c r="D2226" s="312" t="s">
        <v>2747</v>
      </c>
      <c r="E2226" s="312" t="s">
        <v>167</v>
      </c>
      <c r="F2226" s="312">
        <v>1705</v>
      </c>
      <c r="G2226" s="312" t="s">
        <v>168</v>
      </c>
      <c r="H2226" s="312">
        <v>1707</v>
      </c>
      <c r="I2226" s="312" t="s">
        <v>167</v>
      </c>
      <c r="J2226" s="312">
        <v>1899</v>
      </c>
      <c r="K2226" s="312" t="s">
        <v>169</v>
      </c>
    </row>
    <row r="2227" spans="1:11">
      <c r="A2227" s="312" t="s">
        <v>1022</v>
      </c>
      <c r="B2227" s="312" t="s">
        <v>1023</v>
      </c>
      <c r="C2227" s="312" t="s">
        <v>105</v>
      </c>
      <c r="D2227" s="312" t="s">
        <v>1024</v>
      </c>
      <c r="E2227" s="312" t="s">
        <v>167</v>
      </c>
      <c r="F2227" s="312">
        <v>1705</v>
      </c>
      <c r="G2227" s="312" t="s">
        <v>168</v>
      </c>
      <c r="H2227" s="312">
        <v>1707</v>
      </c>
      <c r="I2227" s="312" t="s">
        <v>167</v>
      </c>
      <c r="J2227" s="312">
        <v>1899</v>
      </c>
      <c r="K2227" s="312" t="s">
        <v>169</v>
      </c>
    </row>
    <row r="2228" spans="1:11">
      <c r="A2228" s="312" t="s">
        <v>1025</v>
      </c>
      <c r="B2228" s="312" t="s">
        <v>1026</v>
      </c>
      <c r="C2228" s="312" t="s">
        <v>105</v>
      </c>
      <c r="D2228" s="312" t="s">
        <v>1024</v>
      </c>
      <c r="E2228" s="312" t="s">
        <v>167</v>
      </c>
      <c r="F2228" s="312">
        <v>1705</v>
      </c>
      <c r="G2228" s="312" t="s">
        <v>168</v>
      </c>
      <c r="H2228" s="312">
        <v>1707</v>
      </c>
      <c r="I2228" s="312" t="s">
        <v>167</v>
      </c>
      <c r="J2228" s="312">
        <v>1899</v>
      </c>
      <c r="K2228" s="312" t="s">
        <v>169</v>
      </c>
    </row>
    <row r="2229" spans="1:11">
      <c r="A2229" s="312" t="s">
        <v>1027</v>
      </c>
      <c r="B2229" s="312" t="s">
        <v>1028</v>
      </c>
      <c r="C2229" s="312" t="s">
        <v>105</v>
      </c>
      <c r="D2229" s="312" t="s">
        <v>1024</v>
      </c>
      <c r="E2229" s="312" t="s">
        <v>167</v>
      </c>
      <c r="F2229" s="312">
        <v>1705</v>
      </c>
      <c r="G2229" s="312" t="s">
        <v>168</v>
      </c>
      <c r="H2229" s="312">
        <v>1707</v>
      </c>
      <c r="I2229" s="312" t="s">
        <v>167</v>
      </c>
      <c r="J2229" s="312">
        <v>1899</v>
      </c>
      <c r="K2229" s="312" t="s">
        <v>169</v>
      </c>
    </row>
    <row r="2230" spans="1:11">
      <c r="A2230" s="312" t="s">
        <v>1029</v>
      </c>
      <c r="B2230" s="312" t="s">
        <v>1030</v>
      </c>
      <c r="C2230" s="312" t="s">
        <v>105</v>
      </c>
      <c r="D2230" s="312" t="s">
        <v>1024</v>
      </c>
      <c r="E2230" s="312" t="s">
        <v>167</v>
      </c>
      <c r="F2230" s="312">
        <v>1705</v>
      </c>
      <c r="G2230" s="312" t="s">
        <v>168</v>
      </c>
      <c r="H2230" s="312">
        <v>1707</v>
      </c>
      <c r="I2230" s="312" t="s">
        <v>167</v>
      </c>
      <c r="J2230" s="312">
        <v>1899</v>
      </c>
      <c r="K2230" s="312" t="s">
        <v>169</v>
      </c>
    </row>
    <row r="2231" spans="1:11">
      <c r="A2231" s="312" t="s">
        <v>1403</v>
      </c>
      <c r="B2231" s="312" t="s">
        <v>1404</v>
      </c>
      <c r="C2231" s="312" t="s">
        <v>105</v>
      </c>
      <c r="D2231" s="312" t="s">
        <v>1024</v>
      </c>
      <c r="E2231" s="312" t="s">
        <v>107</v>
      </c>
      <c r="F2231" s="312">
        <v>1825</v>
      </c>
      <c r="G2231" s="312" t="s">
        <v>108</v>
      </c>
      <c r="H2231" s="312">
        <v>1827</v>
      </c>
      <c r="I2231" s="312" t="s">
        <v>107</v>
      </c>
      <c r="J2231" s="312">
        <v>1913</v>
      </c>
      <c r="K2231" s="312" t="s">
        <v>109</v>
      </c>
    </row>
    <row r="2232" spans="1:11">
      <c r="A2232" s="312" t="s">
        <v>549</v>
      </c>
      <c r="B2232" s="312" t="s">
        <v>550</v>
      </c>
      <c r="C2232" s="312" t="s">
        <v>105</v>
      </c>
      <c r="D2232" s="312" t="s">
        <v>551</v>
      </c>
      <c r="E2232" s="312" t="s">
        <v>167</v>
      </c>
      <c r="F2232" s="312">
        <v>1705</v>
      </c>
      <c r="G2232" s="312" t="s">
        <v>168</v>
      </c>
      <c r="H2232" s="312">
        <v>1707</v>
      </c>
      <c r="I2232" s="312" t="s">
        <v>167</v>
      </c>
      <c r="J2232" s="312">
        <v>1899</v>
      </c>
      <c r="K2232" s="312" t="s">
        <v>169</v>
      </c>
    </row>
    <row r="2233" spans="1:11">
      <c r="A2233" s="312" t="s">
        <v>552</v>
      </c>
      <c r="B2233" s="312" t="s">
        <v>553</v>
      </c>
      <c r="C2233" s="312" t="s">
        <v>105</v>
      </c>
      <c r="D2233" s="312" t="s">
        <v>551</v>
      </c>
      <c r="E2233" s="312" t="s">
        <v>167</v>
      </c>
      <c r="F2233" s="312">
        <v>1705</v>
      </c>
      <c r="G2233" s="312" t="s">
        <v>168</v>
      </c>
      <c r="H2233" s="312">
        <v>1707</v>
      </c>
      <c r="I2233" s="312" t="s">
        <v>167</v>
      </c>
      <c r="J2233" s="312">
        <v>1899</v>
      </c>
      <c r="K2233" s="312" t="s">
        <v>169</v>
      </c>
    </row>
    <row r="2234" spans="1:11">
      <c r="A2234" s="312" t="s">
        <v>842</v>
      </c>
      <c r="B2234" s="312" t="s">
        <v>843</v>
      </c>
      <c r="C2234" s="312" t="s">
        <v>105</v>
      </c>
      <c r="D2234" s="312" t="s">
        <v>551</v>
      </c>
      <c r="E2234" s="312" t="s">
        <v>167</v>
      </c>
      <c r="F2234" s="312">
        <v>1705</v>
      </c>
      <c r="G2234" s="312" t="s">
        <v>168</v>
      </c>
      <c r="H2234" s="312">
        <v>1707</v>
      </c>
      <c r="I2234" s="312" t="s">
        <v>167</v>
      </c>
      <c r="J2234" s="312">
        <v>1899</v>
      </c>
      <c r="K2234" s="312" t="s">
        <v>169</v>
      </c>
    </row>
    <row r="2235" spans="1:11">
      <c r="A2235" s="312" t="s">
        <v>1384</v>
      </c>
      <c r="B2235" s="312" t="s">
        <v>1385</v>
      </c>
      <c r="C2235" s="312" t="s">
        <v>105</v>
      </c>
      <c r="D2235" s="312" t="s">
        <v>551</v>
      </c>
      <c r="E2235" s="312" t="s">
        <v>167</v>
      </c>
      <c r="F2235" s="312">
        <v>1705</v>
      </c>
      <c r="G2235" s="312" t="s">
        <v>168</v>
      </c>
      <c r="H2235" s="312">
        <v>1707</v>
      </c>
      <c r="I2235" s="312" t="s">
        <v>167</v>
      </c>
      <c r="J2235" s="312">
        <v>1899</v>
      </c>
      <c r="K2235" s="312" t="s">
        <v>169</v>
      </c>
    </row>
    <row r="2236" spans="1:11">
      <c r="A2236" s="312" t="s">
        <v>1968</v>
      </c>
      <c r="B2236" s="312" t="s">
        <v>1969</v>
      </c>
      <c r="C2236" s="312" t="s">
        <v>105</v>
      </c>
      <c r="D2236" s="312" t="s">
        <v>551</v>
      </c>
      <c r="E2236" s="312" t="s">
        <v>167</v>
      </c>
      <c r="F2236" s="312">
        <v>1705</v>
      </c>
      <c r="G2236" s="312" t="s">
        <v>168</v>
      </c>
      <c r="H2236" s="312">
        <v>1707</v>
      </c>
      <c r="I2236" s="312" t="s">
        <v>167</v>
      </c>
      <c r="J2236" s="312">
        <v>1899</v>
      </c>
      <c r="K2236" s="312" t="s">
        <v>169</v>
      </c>
    </row>
    <row r="2237" spans="1:11">
      <c r="A2237" s="312" t="s">
        <v>3646</v>
      </c>
      <c r="B2237" s="312" t="s">
        <v>3647</v>
      </c>
      <c r="C2237" s="312" t="s">
        <v>105</v>
      </c>
      <c r="D2237" s="312" t="s">
        <v>551</v>
      </c>
      <c r="E2237" s="312" t="s">
        <v>167</v>
      </c>
      <c r="F2237" s="312">
        <v>1705</v>
      </c>
      <c r="G2237" s="312" t="s">
        <v>168</v>
      </c>
      <c r="H2237" s="312">
        <v>1707</v>
      </c>
      <c r="I2237" s="312" t="s">
        <v>167</v>
      </c>
      <c r="J2237" s="312">
        <v>1899</v>
      </c>
      <c r="K2237" s="312" t="s">
        <v>169</v>
      </c>
    </row>
    <row r="2238" spans="1:11">
      <c r="A2238" s="312" t="s">
        <v>3648</v>
      </c>
      <c r="B2238" s="312" t="s">
        <v>3649</v>
      </c>
      <c r="C2238" s="312" t="s">
        <v>105</v>
      </c>
      <c r="D2238" s="312" t="s">
        <v>551</v>
      </c>
      <c r="E2238" s="312" t="s">
        <v>167</v>
      </c>
      <c r="F2238" s="312">
        <v>1705</v>
      </c>
      <c r="G2238" s="312" t="s">
        <v>168</v>
      </c>
      <c r="H2238" s="312">
        <v>1707</v>
      </c>
      <c r="I2238" s="312" t="s">
        <v>167</v>
      </c>
      <c r="J2238" s="312">
        <v>1899</v>
      </c>
      <c r="K2238" s="312" t="s">
        <v>169</v>
      </c>
    </row>
    <row r="2239" spans="1:11">
      <c r="A2239" s="312" t="s">
        <v>5250</v>
      </c>
      <c r="B2239" s="312" t="s">
        <v>5251</v>
      </c>
      <c r="C2239" s="312" t="s">
        <v>105</v>
      </c>
      <c r="D2239" s="312" t="s">
        <v>551</v>
      </c>
      <c r="E2239" s="312" t="s">
        <v>167</v>
      </c>
      <c r="F2239" s="312">
        <v>1705</v>
      </c>
      <c r="G2239" s="312" t="s">
        <v>168</v>
      </c>
      <c r="H2239" s="312">
        <v>1707</v>
      </c>
      <c r="I2239" s="312" t="s">
        <v>167</v>
      </c>
      <c r="J2239" s="312">
        <v>1899</v>
      </c>
      <c r="K2239" s="312" t="s">
        <v>169</v>
      </c>
    </row>
    <row r="2240" spans="1:11">
      <c r="A2240" s="312" t="s">
        <v>5252</v>
      </c>
      <c r="B2240" s="312" t="s">
        <v>5253</v>
      </c>
      <c r="C2240" s="312" t="s">
        <v>105</v>
      </c>
      <c r="D2240" s="312" t="s">
        <v>551</v>
      </c>
      <c r="E2240" s="312" t="s">
        <v>167</v>
      </c>
      <c r="F2240" s="312">
        <v>1705</v>
      </c>
      <c r="G2240" s="312" t="s">
        <v>168</v>
      </c>
      <c r="H2240" s="312">
        <v>1707</v>
      </c>
      <c r="I2240" s="312" t="s">
        <v>167</v>
      </c>
      <c r="J2240" s="312">
        <v>1899</v>
      </c>
      <c r="K2240" s="312" t="s">
        <v>169</v>
      </c>
    </row>
    <row r="2241" spans="1:11">
      <c r="A2241" s="312" t="s">
        <v>5254</v>
      </c>
      <c r="B2241" s="312" t="s">
        <v>5255</v>
      </c>
      <c r="C2241" s="312" t="s">
        <v>105</v>
      </c>
      <c r="D2241" s="312" t="s">
        <v>551</v>
      </c>
      <c r="E2241" s="312" t="s">
        <v>167</v>
      </c>
      <c r="F2241" s="312">
        <v>1705</v>
      </c>
      <c r="G2241" s="312" t="s">
        <v>168</v>
      </c>
      <c r="H2241" s="312">
        <v>1707</v>
      </c>
      <c r="I2241" s="312" t="s">
        <v>167</v>
      </c>
      <c r="J2241" s="312">
        <v>1899</v>
      </c>
      <c r="K2241" s="312" t="s">
        <v>169</v>
      </c>
    </row>
    <row r="2242" spans="1:11">
      <c r="A2242" s="312" t="s">
        <v>2312</v>
      </c>
      <c r="B2242" s="312" t="s">
        <v>2313</v>
      </c>
      <c r="C2242" s="312" t="s">
        <v>105</v>
      </c>
      <c r="D2242" s="312" t="s">
        <v>2314</v>
      </c>
      <c r="E2242" s="312" t="s">
        <v>167</v>
      </c>
      <c r="F2242" s="312">
        <v>1705</v>
      </c>
      <c r="G2242" s="312" t="s">
        <v>168</v>
      </c>
      <c r="H2242" s="312">
        <v>1707</v>
      </c>
      <c r="I2242" s="312" t="s">
        <v>167</v>
      </c>
      <c r="J2242" s="312">
        <v>1899</v>
      </c>
      <c r="K2242" s="312" t="s">
        <v>169</v>
      </c>
    </row>
    <row r="2243" spans="1:11">
      <c r="A2243" s="312" t="s">
        <v>3030</v>
      </c>
      <c r="B2243" s="312" t="s">
        <v>3031</v>
      </c>
      <c r="C2243" s="312" t="s">
        <v>105</v>
      </c>
      <c r="D2243" s="312" t="s">
        <v>2314</v>
      </c>
      <c r="E2243" s="312" t="s">
        <v>167</v>
      </c>
      <c r="F2243" s="312">
        <v>1705</v>
      </c>
      <c r="G2243" s="312" t="s">
        <v>168</v>
      </c>
      <c r="H2243" s="312">
        <v>1707</v>
      </c>
      <c r="I2243" s="312" t="s">
        <v>167</v>
      </c>
      <c r="J2243" s="312">
        <v>1899</v>
      </c>
      <c r="K2243" s="312" t="s">
        <v>169</v>
      </c>
    </row>
    <row r="2244" spans="1:11">
      <c r="A2244" s="312" t="s">
        <v>5412</v>
      </c>
      <c r="B2244" s="312" t="s">
        <v>5413</v>
      </c>
      <c r="C2244" s="312" t="s">
        <v>105</v>
      </c>
      <c r="D2244" s="312" t="s">
        <v>2314</v>
      </c>
      <c r="E2244" s="312" t="s">
        <v>167</v>
      </c>
      <c r="F2244" s="312">
        <v>1705</v>
      </c>
      <c r="G2244" s="312" t="s">
        <v>168</v>
      </c>
      <c r="H2244" s="312">
        <v>1707</v>
      </c>
      <c r="I2244" s="312" t="s">
        <v>167</v>
      </c>
      <c r="J2244" s="312">
        <v>1899</v>
      </c>
      <c r="K2244" s="312" t="s">
        <v>169</v>
      </c>
    </row>
    <row r="2245" spans="1:11">
      <c r="A2245" s="312" t="s">
        <v>5414</v>
      </c>
      <c r="B2245" s="312" t="s">
        <v>5415</v>
      </c>
      <c r="C2245" s="312" t="s">
        <v>105</v>
      </c>
      <c r="D2245" s="312" t="s">
        <v>2314</v>
      </c>
      <c r="E2245" s="312" t="s">
        <v>167</v>
      </c>
      <c r="F2245" s="312">
        <v>1705</v>
      </c>
      <c r="G2245" s="312" t="s">
        <v>168</v>
      </c>
      <c r="H2245" s="312">
        <v>1707</v>
      </c>
      <c r="I2245" s="312" t="s">
        <v>167</v>
      </c>
      <c r="J2245" s="312">
        <v>1899</v>
      </c>
      <c r="K2245" s="312" t="s">
        <v>169</v>
      </c>
    </row>
    <row r="2246" spans="1:11">
      <c r="A2246" s="312" t="s">
        <v>5416</v>
      </c>
      <c r="B2246" s="312" t="s">
        <v>5417</v>
      </c>
      <c r="C2246" s="312" t="s">
        <v>105</v>
      </c>
      <c r="D2246" s="312" t="s">
        <v>2314</v>
      </c>
      <c r="E2246" s="312" t="s">
        <v>167</v>
      </c>
      <c r="F2246" s="312">
        <v>1705</v>
      </c>
      <c r="G2246" s="312" t="s">
        <v>168</v>
      </c>
      <c r="H2246" s="312">
        <v>1707</v>
      </c>
      <c r="I2246" s="312" t="s">
        <v>167</v>
      </c>
      <c r="J2246" s="312">
        <v>1899</v>
      </c>
      <c r="K2246" s="312" t="s">
        <v>169</v>
      </c>
    </row>
    <row r="2247" spans="1:11">
      <c r="A2247" s="312" t="s">
        <v>5418</v>
      </c>
      <c r="B2247" s="312" t="s">
        <v>5419</v>
      </c>
      <c r="C2247" s="312" t="s">
        <v>105</v>
      </c>
      <c r="D2247" s="312" t="s">
        <v>2314</v>
      </c>
      <c r="E2247" s="312" t="s">
        <v>167</v>
      </c>
      <c r="F2247" s="312">
        <v>1705</v>
      </c>
      <c r="G2247" s="312" t="s">
        <v>168</v>
      </c>
      <c r="H2247" s="312">
        <v>1707</v>
      </c>
      <c r="I2247" s="312" t="s">
        <v>167</v>
      </c>
      <c r="J2247" s="312">
        <v>1899</v>
      </c>
      <c r="K2247" s="312" t="s">
        <v>169</v>
      </c>
    </row>
    <row r="2248" spans="1:11">
      <c r="A2248" s="312" t="s">
        <v>253</v>
      </c>
      <c r="B2248" s="312" t="s">
        <v>254</v>
      </c>
      <c r="C2248" s="312" t="s">
        <v>105</v>
      </c>
      <c r="D2248" s="312" t="s">
        <v>255</v>
      </c>
      <c r="E2248" s="312" t="s">
        <v>167</v>
      </c>
      <c r="F2248" s="312">
        <v>1705</v>
      </c>
      <c r="G2248" s="312" t="s">
        <v>168</v>
      </c>
      <c r="H2248" s="312">
        <v>1707</v>
      </c>
      <c r="I2248" s="312" t="s">
        <v>167</v>
      </c>
      <c r="J2248" s="312">
        <v>1899</v>
      </c>
      <c r="K2248" s="312" t="s">
        <v>169</v>
      </c>
    </row>
    <row r="2249" spans="1:11">
      <c r="A2249" s="312" t="s">
        <v>256</v>
      </c>
      <c r="B2249" s="312" t="s">
        <v>257</v>
      </c>
      <c r="C2249" s="312" t="s">
        <v>105</v>
      </c>
      <c r="D2249" s="312" t="s">
        <v>255</v>
      </c>
      <c r="E2249" s="312" t="s">
        <v>167</v>
      </c>
      <c r="F2249" s="312">
        <v>1705</v>
      </c>
      <c r="G2249" s="312" t="s">
        <v>168</v>
      </c>
      <c r="H2249" s="312">
        <v>1707</v>
      </c>
      <c r="I2249" s="312" t="s">
        <v>167</v>
      </c>
      <c r="J2249" s="312">
        <v>1899</v>
      </c>
      <c r="K2249" s="312" t="s">
        <v>169</v>
      </c>
    </row>
    <row r="2250" spans="1:11">
      <c r="A2250" s="312" t="s">
        <v>258</v>
      </c>
      <c r="B2250" s="312" t="s">
        <v>259</v>
      </c>
      <c r="C2250" s="312" t="s">
        <v>105</v>
      </c>
      <c r="D2250" s="312" t="s">
        <v>255</v>
      </c>
      <c r="E2250" s="312" t="s">
        <v>167</v>
      </c>
      <c r="F2250" s="312">
        <v>1705</v>
      </c>
      <c r="G2250" s="312" t="s">
        <v>168</v>
      </c>
      <c r="H2250" s="312">
        <v>1707</v>
      </c>
      <c r="I2250" s="312" t="s">
        <v>167</v>
      </c>
      <c r="J2250" s="312">
        <v>1899</v>
      </c>
      <c r="K2250" s="312" t="s">
        <v>169</v>
      </c>
    </row>
    <row r="2251" spans="1:11">
      <c r="A2251" s="312" t="s">
        <v>260</v>
      </c>
      <c r="B2251" s="312" t="s">
        <v>261</v>
      </c>
      <c r="C2251" s="312" t="s">
        <v>105</v>
      </c>
      <c r="D2251" s="312" t="s">
        <v>255</v>
      </c>
      <c r="E2251" s="312" t="s">
        <v>167</v>
      </c>
      <c r="F2251" s="312">
        <v>1705</v>
      </c>
      <c r="G2251" s="312" t="s">
        <v>168</v>
      </c>
      <c r="H2251" s="312">
        <v>1707</v>
      </c>
      <c r="I2251" s="312" t="s">
        <v>167</v>
      </c>
      <c r="J2251" s="312">
        <v>1899</v>
      </c>
      <c r="K2251" s="312" t="s">
        <v>169</v>
      </c>
    </row>
    <row r="2252" spans="1:11">
      <c r="A2252" s="312" t="s">
        <v>262</v>
      </c>
      <c r="B2252" s="312" t="s">
        <v>263</v>
      </c>
      <c r="C2252" s="312" t="s">
        <v>105</v>
      </c>
      <c r="D2252" s="312" t="s">
        <v>255</v>
      </c>
      <c r="E2252" s="312" t="s">
        <v>167</v>
      </c>
      <c r="F2252" s="312">
        <v>1705</v>
      </c>
      <c r="G2252" s="312" t="s">
        <v>168</v>
      </c>
      <c r="H2252" s="312">
        <v>1707</v>
      </c>
      <c r="I2252" s="312" t="s">
        <v>167</v>
      </c>
      <c r="J2252" s="312">
        <v>1899</v>
      </c>
      <c r="K2252" s="312" t="s">
        <v>169</v>
      </c>
    </row>
    <row r="2253" spans="1:11">
      <c r="A2253" s="312" t="s">
        <v>264</v>
      </c>
      <c r="B2253" s="312" t="s">
        <v>265</v>
      </c>
      <c r="C2253" s="312" t="s">
        <v>105</v>
      </c>
      <c r="D2253" s="312" t="s">
        <v>255</v>
      </c>
      <c r="E2253" s="312" t="s">
        <v>167</v>
      </c>
      <c r="F2253" s="312">
        <v>1705</v>
      </c>
      <c r="G2253" s="312" t="s">
        <v>168</v>
      </c>
      <c r="H2253" s="312">
        <v>1707</v>
      </c>
      <c r="I2253" s="312" t="s">
        <v>167</v>
      </c>
      <c r="J2253" s="312">
        <v>1899</v>
      </c>
      <c r="K2253" s="312" t="s">
        <v>169</v>
      </c>
    </row>
    <row r="2254" spans="1:11">
      <c r="A2254" s="312" t="s">
        <v>266</v>
      </c>
      <c r="B2254" s="312" t="s">
        <v>267</v>
      </c>
      <c r="C2254" s="312" t="s">
        <v>105</v>
      </c>
      <c r="D2254" s="312" t="s">
        <v>255</v>
      </c>
      <c r="E2254" s="312" t="s">
        <v>167</v>
      </c>
      <c r="F2254" s="312">
        <v>1705</v>
      </c>
      <c r="G2254" s="312" t="s">
        <v>168</v>
      </c>
      <c r="H2254" s="312">
        <v>1707</v>
      </c>
      <c r="I2254" s="312" t="s">
        <v>167</v>
      </c>
      <c r="J2254" s="312">
        <v>1899</v>
      </c>
      <c r="K2254" s="312" t="s">
        <v>169</v>
      </c>
    </row>
    <row r="2255" spans="1:11">
      <c r="A2255" s="312" t="s">
        <v>268</v>
      </c>
      <c r="B2255" s="312" t="s">
        <v>269</v>
      </c>
      <c r="C2255" s="312" t="s">
        <v>105</v>
      </c>
      <c r="D2255" s="312" t="s">
        <v>255</v>
      </c>
      <c r="E2255" s="312" t="s">
        <v>167</v>
      </c>
      <c r="F2255" s="312">
        <v>1705</v>
      </c>
      <c r="G2255" s="312" t="s">
        <v>168</v>
      </c>
      <c r="H2255" s="312">
        <v>1707</v>
      </c>
      <c r="I2255" s="312" t="s">
        <v>167</v>
      </c>
      <c r="J2255" s="312">
        <v>1899</v>
      </c>
      <c r="K2255" s="312" t="s">
        <v>169</v>
      </c>
    </row>
    <row r="2256" spans="1:11">
      <c r="A2256" s="312" t="s">
        <v>270</v>
      </c>
      <c r="B2256" s="312" t="s">
        <v>271</v>
      </c>
      <c r="C2256" s="312" t="s">
        <v>105</v>
      </c>
      <c r="D2256" s="312" t="s">
        <v>255</v>
      </c>
      <c r="E2256" s="312" t="s">
        <v>167</v>
      </c>
      <c r="F2256" s="312">
        <v>1705</v>
      </c>
      <c r="G2256" s="312" t="s">
        <v>168</v>
      </c>
      <c r="H2256" s="312">
        <v>1707</v>
      </c>
      <c r="I2256" s="312" t="s">
        <v>167</v>
      </c>
      <c r="J2256" s="312">
        <v>1899</v>
      </c>
      <c r="K2256" s="312" t="s">
        <v>169</v>
      </c>
    </row>
    <row r="2257" spans="1:11">
      <c r="A2257" s="312" t="s">
        <v>272</v>
      </c>
      <c r="B2257" s="312" t="s">
        <v>273</v>
      </c>
      <c r="C2257" s="312" t="s">
        <v>105</v>
      </c>
      <c r="D2257" s="312" t="s">
        <v>255</v>
      </c>
      <c r="E2257" s="312" t="s">
        <v>167</v>
      </c>
      <c r="F2257" s="312">
        <v>1705</v>
      </c>
      <c r="G2257" s="312" t="s">
        <v>168</v>
      </c>
      <c r="H2257" s="312">
        <v>1707</v>
      </c>
      <c r="I2257" s="312" t="s">
        <v>167</v>
      </c>
      <c r="J2257" s="312">
        <v>1899</v>
      </c>
      <c r="K2257" s="312" t="s">
        <v>169</v>
      </c>
    </row>
    <row r="2258" spans="1:11">
      <c r="A2258" s="312" t="s">
        <v>274</v>
      </c>
      <c r="B2258" s="312" t="s">
        <v>275</v>
      </c>
      <c r="C2258" s="312" t="s">
        <v>105</v>
      </c>
      <c r="D2258" s="312" t="s">
        <v>255</v>
      </c>
      <c r="E2258" s="312" t="s">
        <v>167</v>
      </c>
      <c r="F2258" s="312">
        <v>1705</v>
      </c>
      <c r="G2258" s="312" t="s">
        <v>168</v>
      </c>
      <c r="H2258" s="312">
        <v>1707</v>
      </c>
      <c r="I2258" s="312" t="s">
        <v>167</v>
      </c>
      <c r="J2258" s="312">
        <v>1899</v>
      </c>
      <c r="K2258" s="312" t="s">
        <v>169</v>
      </c>
    </row>
    <row r="2259" spans="1:11">
      <c r="A2259" s="312" t="s">
        <v>276</v>
      </c>
      <c r="B2259" s="312" t="s">
        <v>277</v>
      </c>
      <c r="C2259" s="312" t="s">
        <v>105</v>
      </c>
      <c r="D2259" s="312" t="s">
        <v>255</v>
      </c>
      <c r="E2259" s="312" t="s">
        <v>167</v>
      </c>
      <c r="F2259" s="312">
        <v>1705</v>
      </c>
      <c r="G2259" s="312" t="s">
        <v>168</v>
      </c>
      <c r="H2259" s="312">
        <v>1707</v>
      </c>
      <c r="I2259" s="312" t="s">
        <v>167</v>
      </c>
      <c r="J2259" s="312">
        <v>1899</v>
      </c>
      <c r="K2259" s="312" t="s">
        <v>169</v>
      </c>
    </row>
    <row r="2260" spans="1:11">
      <c r="A2260" s="312" t="s">
        <v>2552</v>
      </c>
      <c r="B2260" s="312" t="s">
        <v>2553</v>
      </c>
      <c r="C2260" s="312" t="s">
        <v>105</v>
      </c>
      <c r="D2260" s="312" t="s">
        <v>255</v>
      </c>
      <c r="E2260" s="312" t="s">
        <v>167</v>
      </c>
      <c r="F2260" s="312">
        <v>1705</v>
      </c>
      <c r="G2260" s="312" t="s">
        <v>168</v>
      </c>
      <c r="H2260" s="312">
        <v>1707</v>
      </c>
      <c r="I2260" s="312" t="s">
        <v>167</v>
      </c>
      <c r="J2260" s="312">
        <v>1899</v>
      </c>
      <c r="K2260" s="312" t="s">
        <v>169</v>
      </c>
    </row>
    <row r="2261" spans="1:11">
      <c r="A2261" s="312" t="s">
        <v>1699</v>
      </c>
      <c r="B2261" s="312" t="s">
        <v>1700</v>
      </c>
      <c r="C2261" s="312" t="s">
        <v>105</v>
      </c>
      <c r="D2261" s="312" t="s">
        <v>1701</v>
      </c>
      <c r="E2261" s="312" t="s">
        <v>167</v>
      </c>
      <c r="F2261" s="312">
        <v>1705</v>
      </c>
      <c r="G2261" s="312" t="s">
        <v>168</v>
      </c>
      <c r="H2261" s="312">
        <v>1707</v>
      </c>
      <c r="I2261" s="312" t="s">
        <v>167</v>
      </c>
      <c r="J2261" s="312">
        <v>1899</v>
      </c>
      <c r="K2261" s="312" t="s">
        <v>169</v>
      </c>
    </row>
    <row r="2262" spans="1:11">
      <c r="A2262" s="312" t="s">
        <v>1720</v>
      </c>
      <c r="B2262" s="312" t="s">
        <v>1721</v>
      </c>
      <c r="C2262" s="312" t="s">
        <v>105</v>
      </c>
      <c r="D2262" s="312" t="s">
        <v>1701</v>
      </c>
      <c r="E2262" s="312" t="s">
        <v>107</v>
      </c>
      <c r="F2262" s="312">
        <v>1825</v>
      </c>
      <c r="G2262" s="312" t="s">
        <v>108</v>
      </c>
      <c r="H2262" s="312">
        <v>1827</v>
      </c>
      <c r="I2262" s="312" t="s">
        <v>107</v>
      </c>
      <c r="J2262" s="312">
        <v>1913</v>
      </c>
      <c r="K2262" s="312" t="s">
        <v>109</v>
      </c>
    </row>
    <row r="2263" spans="1:11">
      <c r="A2263" s="312" t="s">
        <v>2279</v>
      </c>
      <c r="B2263" s="312" t="s">
        <v>2280</v>
      </c>
      <c r="C2263" s="312" t="s">
        <v>105</v>
      </c>
      <c r="D2263" s="312" t="s">
        <v>1701</v>
      </c>
      <c r="E2263" s="312" t="s">
        <v>107</v>
      </c>
      <c r="F2263" s="312">
        <v>1825</v>
      </c>
      <c r="G2263" s="312" t="s">
        <v>108</v>
      </c>
      <c r="H2263" s="312">
        <v>1827</v>
      </c>
      <c r="I2263" s="312" t="s">
        <v>107</v>
      </c>
      <c r="J2263" s="312">
        <v>1913</v>
      </c>
      <c r="K2263" s="312" t="s">
        <v>109</v>
      </c>
    </row>
    <row r="2264" spans="1:11">
      <c r="A2264" s="312" t="s">
        <v>3454</v>
      </c>
      <c r="B2264" s="312" t="s">
        <v>3455</v>
      </c>
      <c r="C2264" s="312" t="s">
        <v>105</v>
      </c>
      <c r="D2264" s="312" t="s">
        <v>1701</v>
      </c>
      <c r="E2264" s="312" t="s">
        <v>167</v>
      </c>
      <c r="F2264" s="312">
        <v>1705</v>
      </c>
      <c r="G2264" s="312" t="s">
        <v>168</v>
      </c>
      <c r="H2264" s="312">
        <v>1707</v>
      </c>
      <c r="I2264" s="312" t="s">
        <v>167</v>
      </c>
      <c r="J2264" s="312">
        <v>1899</v>
      </c>
      <c r="K2264" s="312" t="s">
        <v>169</v>
      </c>
    </row>
    <row r="2265" spans="1:11">
      <c r="A2265" s="312" t="s">
        <v>679</v>
      </c>
      <c r="B2265" s="312" t="s">
        <v>680</v>
      </c>
      <c r="C2265" s="312" t="s">
        <v>105</v>
      </c>
      <c r="D2265" s="312" t="s">
        <v>681</v>
      </c>
      <c r="E2265" s="312" t="s">
        <v>167</v>
      </c>
      <c r="F2265" s="312">
        <v>1705</v>
      </c>
      <c r="G2265" s="312" t="s">
        <v>168</v>
      </c>
      <c r="H2265" s="312">
        <v>1707</v>
      </c>
      <c r="I2265" s="312" t="s">
        <v>167</v>
      </c>
      <c r="J2265" s="312">
        <v>1899</v>
      </c>
      <c r="K2265" s="312" t="s">
        <v>169</v>
      </c>
    </row>
    <row r="2266" spans="1:11">
      <c r="A2266" s="312" t="s">
        <v>2209</v>
      </c>
      <c r="B2266" s="312" t="s">
        <v>2210</v>
      </c>
      <c r="C2266" s="312" t="s">
        <v>105</v>
      </c>
      <c r="D2266" s="312" t="s">
        <v>2211</v>
      </c>
      <c r="E2266" s="312" t="s">
        <v>107</v>
      </c>
      <c r="F2266" s="312">
        <v>1825</v>
      </c>
      <c r="G2266" s="312" t="s">
        <v>108</v>
      </c>
      <c r="H2266" s="312">
        <v>1827</v>
      </c>
      <c r="I2266" s="312" t="s">
        <v>107</v>
      </c>
      <c r="J2266" s="312">
        <v>1913</v>
      </c>
      <c r="K2266" s="312" t="s">
        <v>109</v>
      </c>
    </row>
    <row r="2267" spans="1:11">
      <c r="A2267" s="312" t="s">
        <v>3267</v>
      </c>
      <c r="B2267" s="312" t="s">
        <v>3268</v>
      </c>
      <c r="C2267" s="312" t="s">
        <v>105</v>
      </c>
      <c r="D2267" s="312" t="s">
        <v>2211</v>
      </c>
      <c r="E2267" s="312" t="s">
        <v>167</v>
      </c>
      <c r="F2267" s="312">
        <v>1705</v>
      </c>
      <c r="G2267" s="312" t="s">
        <v>168</v>
      </c>
      <c r="H2267" s="312">
        <v>1707</v>
      </c>
      <c r="I2267" s="312" t="s">
        <v>167</v>
      </c>
      <c r="J2267" s="312">
        <v>1899</v>
      </c>
      <c r="K2267" s="312" t="s">
        <v>169</v>
      </c>
    </row>
    <row r="2268" spans="1:11">
      <c r="A2268" s="312" t="s">
        <v>3124</v>
      </c>
      <c r="B2268" s="312" t="s">
        <v>3125</v>
      </c>
      <c r="C2268" s="312" t="s">
        <v>105</v>
      </c>
      <c r="D2268" s="312" t="s">
        <v>3126</v>
      </c>
      <c r="E2268" s="312" t="s">
        <v>167</v>
      </c>
      <c r="F2268" s="312">
        <v>1705</v>
      </c>
      <c r="G2268" s="312" t="s">
        <v>168</v>
      </c>
      <c r="H2268" s="312">
        <v>1707</v>
      </c>
      <c r="I2268" s="312" t="s">
        <v>167</v>
      </c>
      <c r="J2268" s="312">
        <v>1899</v>
      </c>
      <c r="K2268" s="312" t="s">
        <v>169</v>
      </c>
    </row>
    <row r="2269" spans="1:11">
      <c r="A2269" s="312" t="s">
        <v>3145</v>
      </c>
      <c r="B2269" s="312" t="s">
        <v>3146</v>
      </c>
      <c r="C2269" s="312" t="s">
        <v>105</v>
      </c>
      <c r="D2269" s="312" t="s">
        <v>3126</v>
      </c>
      <c r="E2269" s="312" t="s">
        <v>167</v>
      </c>
      <c r="F2269" s="312">
        <v>1705</v>
      </c>
      <c r="G2269" s="312" t="s">
        <v>168</v>
      </c>
      <c r="H2269" s="312">
        <v>1707</v>
      </c>
      <c r="I2269" s="312" t="s">
        <v>167</v>
      </c>
      <c r="J2269" s="312">
        <v>1899</v>
      </c>
      <c r="K2269" s="312" t="s">
        <v>169</v>
      </c>
    </row>
    <row r="2270" spans="1:11">
      <c r="A2270" s="312" t="s">
        <v>3147</v>
      </c>
      <c r="B2270" s="312" t="s">
        <v>3148</v>
      </c>
      <c r="C2270" s="312" t="s">
        <v>105</v>
      </c>
      <c r="D2270" s="312" t="s">
        <v>3126</v>
      </c>
      <c r="E2270" s="312" t="s">
        <v>167</v>
      </c>
      <c r="F2270" s="312">
        <v>1705</v>
      </c>
      <c r="G2270" s="312" t="s">
        <v>168</v>
      </c>
      <c r="H2270" s="312">
        <v>1707</v>
      </c>
      <c r="I2270" s="312" t="s">
        <v>167</v>
      </c>
      <c r="J2270" s="312">
        <v>1899</v>
      </c>
      <c r="K2270" s="312" t="s">
        <v>169</v>
      </c>
    </row>
    <row r="2271" spans="1:11">
      <c r="A2271" s="312" t="s">
        <v>3153</v>
      </c>
      <c r="B2271" s="312" t="s">
        <v>3154</v>
      </c>
      <c r="C2271" s="312" t="s">
        <v>105</v>
      </c>
      <c r="D2271" s="312" t="s">
        <v>3126</v>
      </c>
      <c r="E2271" s="312" t="s">
        <v>167</v>
      </c>
      <c r="F2271" s="312">
        <v>1705</v>
      </c>
      <c r="G2271" s="312" t="s">
        <v>168</v>
      </c>
      <c r="H2271" s="312">
        <v>1707</v>
      </c>
      <c r="I2271" s="312" t="s">
        <v>167</v>
      </c>
      <c r="J2271" s="312">
        <v>1899</v>
      </c>
      <c r="K2271" s="312" t="s">
        <v>169</v>
      </c>
    </row>
    <row r="2272" spans="1:11">
      <c r="A2272" s="312" t="s">
        <v>3159</v>
      </c>
      <c r="B2272" s="312" t="s">
        <v>3160</v>
      </c>
      <c r="C2272" s="312" t="s">
        <v>105</v>
      </c>
      <c r="D2272" s="312" t="s">
        <v>3126</v>
      </c>
      <c r="E2272" s="312" t="s">
        <v>167</v>
      </c>
      <c r="F2272" s="312">
        <v>1705</v>
      </c>
      <c r="G2272" s="312" t="s">
        <v>168</v>
      </c>
      <c r="H2272" s="312">
        <v>1707</v>
      </c>
      <c r="I2272" s="312" t="s">
        <v>167</v>
      </c>
      <c r="J2272" s="312">
        <v>1899</v>
      </c>
      <c r="K2272" s="312" t="s">
        <v>169</v>
      </c>
    </row>
    <row r="2273" spans="1:11">
      <c r="A2273" s="312" t="s">
        <v>3161</v>
      </c>
      <c r="B2273" s="312" t="s">
        <v>3162</v>
      </c>
      <c r="C2273" s="312" t="s">
        <v>105</v>
      </c>
      <c r="D2273" s="312" t="s">
        <v>3126</v>
      </c>
      <c r="E2273" s="312" t="s">
        <v>167</v>
      </c>
      <c r="F2273" s="312">
        <v>1705</v>
      </c>
      <c r="G2273" s="312" t="s">
        <v>168</v>
      </c>
      <c r="H2273" s="312">
        <v>1707</v>
      </c>
      <c r="I2273" s="312" t="s">
        <v>167</v>
      </c>
      <c r="J2273" s="312">
        <v>1899</v>
      </c>
      <c r="K2273" s="312" t="s">
        <v>169</v>
      </c>
    </row>
    <row r="2274" spans="1:11">
      <c r="A2274" s="312" t="s">
        <v>3163</v>
      </c>
      <c r="B2274" s="312" t="s">
        <v>3164</v>
      </c>
      <c r="C2274" s="312" t="s">
        <v>105</v>
      </c>
      <c r="D2274" s="312" t="s">
        <v>3126</v>
      </c>
      <c r="E2274" s="312" t="s">
        <v>167</v>
      </c>
      <c r="F2274" s="312">
        <v>1705</v>
      </c>
      <c r="G2274" s="312" t="s">
        <v>168</v>
      </c>
      <c r="H2274" s="312">
        <v>1707</v>
      </c>
      <c r="I2274" s="312" t="s">
        <v>167</v>
      </c>
      <c r="J2274" s="312">
        <v>1899</v>
      </c>
      <c r="K2274" s="312" t="s">
        <v>169</v>
      </c>
    </row>
    <row r="2275" spans="1:11">
      <c r="A2275" s="312" t="s">
        <v>3102</v>
      </c>
      <c r="B2275" s="312" t="s">
        <v>3103</v>
      </c>
      <c r="C2275" s="312" t="s">
        <v>105</v>
      </c>
      <c r="D2275" s="312" t="s">
        <v>3104</v>
      </c>
      <c r="E2275" s="312" t="s">
        <v>167</v>
      </c>
      <c r="F2275" s="312">
        <v>1705</v>
      </c>
      <c r="G2275" s="312" t="s">
        <v>168</v>
      </c>
      <c r="H2275" s="312">
        <v>1707</v>
      </c>
      <c r="I2275" s="312" t="s">
        <v>167</v>
      </c>
      <c r="J2275" s="312">
        <v>1899</v>
      </c>
      <c r="K2275" s="312" t="s">
        <v>169</v>
      </c>
    </row>
    <row r="2276" spans="1:11">
      <c r="A2276" s="312" t="s">
        <v>3108</v>
      </c>
      <c r="B2276" s="312" t="s">
        <v>3109</v>
      </c>
      <c r="C2276" s="312" t="s">
        <v>105</v>
      </c>
      <c r="D2276" s="312" t="s">
        <v>3104</v>
      </c>
      <c r="E2276" s="312" t="s">
        <v>167</v>
      </c>
      <c r="F2276" s="312">
        <v>1705</v>
      </c>
      <c r="G2276" s="312" t="s">
        <v>168</v>
      </c>
      <c r="H2276" s="312">
        <v>1707</v>
      </c>
      <c r="I2276" s="312" t="s">
        <v>167</v>
      </c>
      <c r="J2276" s="312">
        <v>1899</v>
      </c>
      <c r="K2276" s="312" t="s">
        <v>169</v>
      </c>
    </row>
    <row r="2277" spans="1:11">
      <c r="A2277" s="312" t="s">
        <v>3113</v>
      </c>
      <c r="B2277" s="312" t="s">
        <v>3114</v>
      </c>
      <c r="C2277" s="312" t="s">
        <v>105</v>
      </c>
      <c r="D2277" s="312" t="s">
        <v>3104</v>
      </c>
      <c r="E2277" s="312" t="s">
        <v>167</v>
      </c>
      <c r="F2277" s="312">
        <v>1705</v>
      </c>
      <c r="G2277" s="312" t="s">
        <v>168</v>
      </c>
      <c r="H2277" s="312">
        <v>1707</v>
      </c>
      <c r="I2277" s="312" t="s">
        <v>167</v>
      </c>
      <c r="J2277" s="312">
        <v>1899</v>
      </c>
      <c r="K2277" s="312" t="s">
        <v>169</v>
      </c>
    </row>
    <row r="2278" spans="1:11">
      <c r="A2278" s="312" t="s">
        <v>3120</v>
      </c>
      <c r="B2278" s="312" t="s">
        <v>3121</v>
      </c>
      <c r="C2278" s="312" t="s">
        <v>105</v>
      </c>
      <c r="D2278" s="312" t="s">
        <v>3104</v>
      </c>
      <c r="E2278" s="312" t="s">
        <v>167</v>
      </c>
      <c r="F2278" s="312">
        <v>1705</v>
      </c>
      <c r="G2278" s="312" t="s">
        <v>168</v>
      </c>
      <c r="H2278" s="312">
        <v>1707</v>
      </c>
      <c r="I2278" s="312" t="s">
        <v>167</v>
      </c>
      <c r="J2278" s="312">
        <v>1899</v>
      </c>
      <c r="K2278" s="312" t="s">
        <v>169</v>
      </c>
    </row>
    <row r="2279" spans="1:11">
      <c r="A2279" s="312" t="s">
        <v>3122</v>
      </c>
      <c r="B2279" s="312" t="s">
        <v>3123</v>
      </c>
      <c r="C2279" s="312" t="s">
        <v>105</v>
      </c>
      <c r="D2279" s="312" t="s">
        <v>3104</v>
      </c>
      <c r="E2279" s="312" t="s">
        <v>167</v>
      </c>
      <c r="F2279" s="312">
        <v>1705</v>
      </c>
      <c r="G2279" s="312" t="s">
        <v>168</v>
      </c>
      <c r="H2279" s="312">
        <v>1707</v>
      </c>
      <c r="I2279" s="312" t="s">
        <v>167</v>
      </c>
      <c r="J2279" s="312">
        <v>1899</v>
      </c>
      <c r="K2279" s="312" t="s">
        <v>169</v>
      </c>
    </row>
    <row r="2280" spans="1:11">
      <c r="A2280" s="312" t="s">
        <v>3127</v>
      </c>
      <c r="B2280" s="312" t="s">
        <v>3128</v>
      </c>
      <c r="C2280" s="312" t="s">
        <v>105</v>
      </c>
      <c r="D2280" s="312" t="s">
        <v>3104</v>
      </c>
      <c r="E2280" s="312" t="s">
        <v>167</v>
      </c>
      <c r="F2280" s="312">
        <v>1705</v>
      </c>
      <c r="G2280" s="312" t="s">
        <v>168</v>
      </c>
      <c r="H2280" s="312">
        <v>1707</v>
      </c>
      <c r="I2280" s="312" t="s">
        <v>167</v>
      </c>
      <c r="J2280" s="312">
        <v>1899</v>
      </c>
      <c r="K2280" s="312" t="s">
        <v>169</v>
      </c>
    </row>
    <row r="2281" spans="1:11">
      <c r="A2281" s="312" t="s">
        <v>3129</v>
      </c>
      <c r="B2281" s="312" t="s">
        <v>3130</v>
      </c>
      <c r="C2281" s="312" t="s">
        <v>105</v>
      </c>
      <c r="D2281" s="312" t="s">
        <v>3104</v>
      </c>
      <c r="E2281" s="312" t="s">
        <v>167</v>
      </c>
      <c r="F2281" s="312">
        <v>1705</v>
      </c>
      <c r="G2281" s="312" t="s">
        <v>168</v>
      </c>
      <c r="H2281" s="312">
        <v>1707</v>
      </c>
      <c r="I2281" s="312" t="s">
        <v>167</v>
      </c>
      <c r="J2281" s="312">
        <v>1899</v>
      </c>
      <c r="K2281" s="312" t="s">
        <v>169</v>
      </c>
    </row>
    <row r="2282" spans="1:11">
      <c r="A2282" s="312" t="s">
        <v>3131</v>
      </c>
      <c r="B2282" s="312" t="s">
        <v>3132</v>
      </c>
      <c r="C2282" s="312" t="s">
        <v>105</v>
      </c>
      <c r="D2282" s="312" t="s">
        <v>3104</v>
      </c>
      <c r="E2282" s="312" t="s">
        <v>167</v>
      </c>
      <c r="F2282" s="312">
        <v>1705</v>
      </c>
      <c r="G2282" s="312" t="s">
        <v>168</v>
      </c>
      <c r="H2282" s="312">
        <v>1707</v>
      </c>
      <c r="I2282" s="312" t="s">
        <v>167</v>
      </c>
      <c r="J2282" s="312">
        <v>1899</v>
      </c>
      <c r="K2282" s="312" t="s">
        <v>169</v>
      </c>
    </row>
    <row r="2283" spans="1:11">
      <c r="A2283" s="312" t="s">
        <v>3133</v>
      </c>
      <c r="B2283" s="312" t="s">
        <v>3134</v>
      </c>
      <c r="C2283" s="312" t="s">
        <v>105</v>
      </c>
      <c r="D2283" s="312" t="s">
        <v>3104</v>
      </c>
      <c r="E2283" s="312" t="s">
        <v>167</v>
      </c>
      <c r="F2283" s="312">
        <v>1705</v>
      </c>
      <c r="G2283" s="312" t="s">
        <v>168</v>
      </c>
      <c r="H2283" s="312">
        <v>1707</v>
      </c>
      <c r="I2283" s="312" t="s">
        <v>167</v>
      </c>
      <c r="J2283" s="312">
        <v>1899</v>
      </c>
      <c r="K2283" s="312" t="s">
        <v>169</v>
      </c>
    </row>
    <row r="2284" spans="1:11">
      <c r="A2284" s="312" t="s">
        <v>3137</v>
      </c>
      <c r="B2284" s="312" t="s">
        <v>3138</v>
      </c>
      <c r="C2284" s="312" t="s">
        <v>105</v>
      </c>
      <c r="D2284" s="312" t="s">
        <v>3104</v>
      </c>
      <c r="E2284" s="312" t="s">
        <v>167</v>
      </c>
      <c r="F2284" s="312">
        <v>1705</v>
      </c>
      <c r="G2284" s="312" t="s">
        <v>168</v>
      </c>
      <c r="H2284" s="312">
        <v>1707</v>
      </c>
      <c r="I2284" s="312" t="s">
        <v>167</v>
      </c>
      <c r="J2284" s="312">
        <v>1899</v>
      </c>
      <c r="K2284" s="312" t="s">
        <v>169</v>
      </c>
    </row>
    <row r="2285" spans="1:11">
      <c r="A2285" s="312" t="s">
        <v>3155</v>
      </c>
      <c r="B2285" s="312" t="s">
        <v>3156</v>
      </c>
      <c r="C2285" s="312" t="s">
        <v>105</v>
      </c>
      <c r="D2285" s="312" t="s">
        <v>3104</v>
      </c>
      <c r="E2285" s="312" t="s">
        <v>167</v>
      </c>
      <c r="F2285" s="312">
        <v>1705</v>
      </c>
      <c r="G2285" s="312" t="s">
        <v>168</v>
      </c>
      <c r="H2285" s="312">
        <v>1707</v>
      </c>
      <c r="I2285" s="312" t="s">
        <v>167</v>
      </c>
      <c r="J2285" s="312">
        <v>1899</v>
      </c>
      <c r="K2285" s="312" t="s">
        <v>169</v>
      </c>
    </row>
    <row r="2286" spans="1:11">
      <c r="A2286" s="312" t="s">
        <v>3157</v>
      </c>
      <c r="B2286" s="312" t="s">
        <v>3158</v>
      </c>
      <c r="C2286" s="312" t="s">
        <v>105</v>
      </c>
      <c r="D2286" s="312" t="s">
        <v>3104</v>
      </c>
      <c r="E2286" s="312" t="s">
        <v>167</v>
      </c>
      <c r="F2286" s="312">
        <v>1705</v>
      </c>
      <c r="G2286" s="312" t="s">
        <v>168</v>
      </c>
      <c r="H2286" s="312">
        <v>1707</v>
      </c>
      <c r="I2286" s="312" t="s">
        <v>167</v>
      </c>
      <c r="J2286" s="312">
        <v>1899</v>
      </c>
      <c r="K2286" s="312" t="s">
        <v>169</v>
      </c>
    </row>
    <row r="2287" spans="1:11">
      <c r="A2287" s="312" t="s">
        <v>3165</v>
      </c>
      <c r="B2287" s="312" t="s">
        <v>3166</v>
      </c>
      <c r="C2287" s="312" t="s">
        <v>105</v>
      </c>
      <c r="D2287" s="312" t="s">
        <v>3104</v>
      </c>
      <c r="E2287" s="312" t="s">
        <v>167</v>
      </c>
      <c r="F2287" s="312">
        <v>1705</v>
      </c>
      <c r="G2287" s="312" t="s">
        <v>168</v>
      </c>
      <c r="H2287" s="312">
        <v>1707</v>
      </c>
      <c r="I2287" s="312" t="s">
        <v>167</v>
      </c>
      <c r="J2287" s="312">
        <v>1899</v>
      </c>
      <c r="K2287" s="312" t="s">
        <v>169</v>
      </c>
    </row>
    <row r="2288" spans="1:11">
      <c r="A2288" s="312" t="s">
        <v>3167</v>
      </c>
      <c r="B2288" s="312" t="s">
        <v>3168</v>
      </c>
      <c r="C2288" s="312" t="s">
        <v>105</v>
      </c>
      <c r="D2288" s="312" t="s">
        <v>3104</v>
      </c>
      <c r="E2288" s="312" t="s">
        <v>167</v>
      </c>
      <c r="F2288" s="312">
        <v>1705</v>
      </c>
      <c r="G2288" s="312" t="s">
        <v>168</v>
      </c>
      <c r="H2288" s="312">
        <v>1707</v>
      </c>
      <c r="I2288" s="312" t="s">
        <v>167</v>
      </c>
      <c r="J2288" s="312">
        <v>1899</v>
      </c>
      <c r="K2288" s="312" t="s">
        <v>169</v>
      </c>
    </row>
    <row r="2289" spans="1:11">
      <c r="A2289" s="312" t="s">
        <v>3169</v>
      </c>
      <c r="B2289" s="312" t="s">
        <v>3170</v>
      </c>
      <c r="C2289" s="312" t="s">
        <v>105</v>
      </c>
      <c r="D2289" s="312" t="s">
        <v>3104</v>
      </c>
      <c r="E2289" s="312" t="s">
        <v>167</v>
      </c>
      <c r="F2289" s="312">
        <v>1705</v>
      </c>
      <c r="G2289" s="312" t="s">
        <v>168</v>
      </c>
      <c r="H2289" s="312">
        <v>1707</v>
      </c>
      <c r="I2289" s="312" t="s">
        <v>167</v>
      </c>
      <c r="J2289" s="312">
        <v>1899</v>
      </c>
      <c r="K2289" s="312" t="s">
        <v>169</v>
      </c>
    </row>
    <row r="2290" spans="1:11">
      <c r="A2290" s="312" t="s">
        <v>3171</v>
      </c>
      <c r="B2290" s="312" t="s">
        <v>3172</v>
      </c>
      <c r="C2290" s="312" t="s">
        <v>105</v>
      </c>
      <c r="D2290" s="312" t="s">
        <v>3104</v>
      </c>
      <c r="E2290" s="312" t="s">
        <v>167</v>
      </c>
      <c r="F2290" s="312">
        <v>1705</v>
      </c>
      <c r="G2290" s="312" t="s">
        <v>168</v>
      </c>
      <c r="H2290" s="312">
        <v>1707</v>
      </c>
      <c r="I2290" s="312" t="s">
        <v>167</v>
      </c>
      <c r="J2290" s="312">
        <v>1899</v>
      </c>
      <c r="K2290" s="312" t="s">
        <v>169</v>
      </c>
    </row>
    <row r="2291" spans="1:11">
      <c r="A2291" s="312" t="s">
        <v>3173</v>
      </c>
      <c r="B2291" s="312" t="s">
        <v>3174</v>
      </c>
      <c r="C2291" s="312" t="s">
        <v>105</v>
      </c>
      <c r="D2291" s="312" t="s">
        <v>3104</v>
      </c>
      <c r="E2291" s="312" t="s">
        <v>167</v>
      </c>
      <c r="F2291" s="312">
        <v>1705</v>
      </c>
      <c r="G2291" s="312" t="s">
        <v>168</v>
      </c>
      <c r="H2291" s="312">
        <v>1707</v>
      </c>
      <c r="I2291" s="312" t="s">
        <v>167</v>
      </c>
      <c r="J2291" s="312">
        <v>1899</v>
      </c>
      <c r="K2291" s="312" t="s">
        <v>169</v>
      </c>
    </row>
    <row r="2292" spans="1:11">
      <c r="A2292" s="312" t="s">
        <v>3175</v>
      </c>
      <c r="B2292" s="312" t="s">
        <v>3176</v>
      </c>
      <c r="C2292" s="312" t="s">
        <v>105</v>
      </c>
      <c r="D2292" s="312" t="s">
        <v>3104</v>
      </c>
      <c r="E2292" s="312" t="s">
        <v>167</v>
      </c>
      <c r="F2292" s="312">
        <v>1705</v>
      </c>
      <c r="G2292" s="312" t="s">
        <v>168</v>
      </c>
      <c r="H2292" s="312">
        <v>1707</v>
      </c>
      <c r="I2292" s="312" t="s">
        <v>167</v>
      </c>
      <c r="J2292" s="312">
        <v>1899</v>
      </c>
      <c r="K2292" s="312" t="s">
        <v>169</v>
      </c>
    </row>
    <row r="2293" spans="1:11">
      <c r="A2293" s="312" t="s">
        <v>3177</v>
      </c>
      <c r="B2293" s="312" t="s">
        <v>3178</v>
      </c>
      <c r="C2293" s="312" t="s">
        <v>105</v>
      </c>
      <c r="D2293" s="312" t="s">
        <v>3104</v>
      </c>
      <c r="E2293" s="312" t="s">
        <v>167</v>
      </c>
      <c r="F2293" s="312">
        <v>1705</v>
      </c>
      <c r="G2293" s="312" t="s">
        <v>168</v>
      </c>
      <c r="H2293" s="312">
        <v>1707</v>
      </c>
      <c r="I2293" s="312" t="s">
        <v>167</v>
      </c>
      <c r="J2293" s="312">
        <v>1899</v>
      </c>
      <c r="K2293" s="312" t="s">
        <v>169</v>
      </c>
    </row>
    <row r="2294" spans="1:11">
      <c r="A2294" s="312" t="s">
        <v>3983</v>
      </c>
      <c r="B2294" s="312" t="s">
        <v>3984</v>
      </c>
      <c r="C2294" s="312" t="s">
        <v>105</v>
      </c>
      <c r="D2294" s="312" t="s">
        <v>3985</v>
      </c>
      <c r="E2294" s="312" t="s">
        <v>167</v>
      </c>
      <c r="F2294" s="312">
        <v>1705</v>
      </c>
      <c r="G2294" s="312" t="s">
        <v>168</v>
      </c>
      <c r="H2294" s="312">
        <v>1707</v>
      </c>
      <c r="I2294" s="312" t="s">
        <v>167</v>
      </c>
      <c r="J2294" s="312">
        <v>1899</v>
      </c>
      <c r="K2294" s="312" t="s">
        <v>169</v>
      </c>
    </row>
    <row r="2295" spans="1:11">
      <c r="A2295" s="312" t="s">
        <v>3986</v>
      </c>
      <c r="B2295" s="312" t="s">
        <v>3987</v>
      </c>
      <c r="C2295" s="312" t="s">
        <v>105</v>
      </c>
      <c r="D2295" s="312" t="s">
        <v>3985</v>
      </c>
      <c r="E2295" s="312" t="s">
        <v>167</v>
      </c>
      <c r="F2295" s="312">
        <v>1705</v>
      </c>
      <c r="G2295" s="312" t="s">
        <v>168</v>
      </c>
      <c r="H2295" s="312">
        <v>1707</v>
      </c>
      <c r="I2295" s="312" t="s">
        <v>167</v>
      </c>
      <c r="J2295" s="312">
        <v>1899</v>
      </c>
      <c r="K2295" s="312" t="s">
        <v>169</v>
      </c>
    </row>
    <row r="2296" spans="1:11">
      <c r="A2296" s="312" t="s">
        <v>3988</v>
      </c>
      <c r="B2296" s="312" t="s">
        <v>3989</v>
      </c>
      <c r="C2296" s="312" t="s">
        <v>105</v>
      </c>
      <c r="D2296" s="312" t="s">
        <v>3985</v>
      </c>
      <c r="E2296" s="312" t="s">
        <v>167</v>
      </c>
      <c r="F2296" s="312">
        <v>1705</v>
      </c>
      <c r="G2296" s="312" t="s">
        <v>168</v>
      </c>
      <c r="H2296" s="312">
        <v>1707</v>
      </c>
      <c r="I2296" s="312" t="s">
        <v>167</v>
      </c>
      <c r="J2296" s="312">
        <v>1899</v>
      </c>
      <c r="K2296" s="312" t="s">
        <v>169</v>
      </c>
    </row>
    <row r="2297" spans="1:11">
      <c r="A2297" s="312" t="s">
        <v>3990</v>
      </c>
      <c r="B2297" s="312" t="s">
        <v>3991</v>
      </c>
      <c r="C2297" s="312" t="s">
        <v>105</v>
      </c>
      <c r="D2297" s="312" t="s">
        <v>3985</v>
      </c>
      <c r="E2297" s="312" t="s">
        <v>167</v>
      </c>
      <c r="F2297" s="312">
        <v>1705</v>
      </c>
      <c r="G2297" s="312" t="s">
        <v>168</v>
      </c>
      <c r="H2297" s="312">
        <v>1707</v>
      </c>
      <c r="I2297" s="312" t="s">
        <v>167</v>
      </c>
      <c r="J2297" s="312">
        <v>1899</v>
      </c>
      <c r="K2297" s="312" t="s">
        <v>169</v>
      </c>
    </row>
    <row r="2298" spans="1:11">
      <c r="A2298" s="312" t="s">
        <v>3992</v>
      </c>
      <c r="B2298" s="312" t="s">
        <v>3993</v>
      </c>
      <c r="C2298" s="312" t="s">
        <v>105</v>
      </c>
      <c r="D2298" s="312" t="s">
        <v>3985</v>
      </c>
      <c r="E2298" s="312" t="s">
        <v>167</v>
      </c>
      <c r="F2298" s="312">
        <v>1705</v>
      </c>
      <c r="G2298" s="312" t="s">
        <v>168</v>
      </c>
      <c r="H2298" s="312">
        <v>1707</v>
      </c>
      <c r="I2298" s="312" t="s">
        <v>167</v>
      </c>
      <c r="J2298" s="312">
        <v>1899</v>
      </c>
      <c r="K2298" s="312" t="s">
        <v>169</v>
      </c>
    </row>
    <row r="2299" spans="1:11">
      <c r="A2299" s="312" t="s">
        <v>3994</v>
      </c>
      <c r="B2299" s="312" t="s">
        <v>3995</v>
      </c>
      <c r="C2299" s="312" t="s">
        <v>105</v>
      </c>
      <c r="D2299" s="312" t="s">
        <v>3985</v>
      </c>
      <c r="E2299" s="312" t="s">
        <v>167</v>
      </c>
      <c r="F2299" s="312">
        <v>1705</v>
      </c>
      <c r="G2299" s="312" t="s">
        <v>168</v>
      </c>
      <c r="H2299" s="312">
        <v>1707</v>
      </c>
      <c r="I2299" s="312" t="s">
        <v>167</v>
      </c>
      <c r="J2299" s="312">
        <v>1899</v>
      </c>
      <c r="K2299" s="312" t="s">
        <v>169</v>
      </c>
    </row>
    <row r="2300" spans="1:11">
      <c r="A2300" s="312" t="s">
        <v>4034</v>
      </c>
      <c r="B2300" s="1" t="s">
        <v>4035</v>
      </c>
      <c r="C2300" s="312" t="s">
        <v>105</v>
      </c>
      <c r="D2300" s="312" t="s">
        <v>3985</v>
      </c>
      <c r="E2300" s="312" t="s">
        <v>167</v>
      </c>
      <c r="F2300" s="312">
        <v>1705</v>
      </c>
      <c r="G2300" s="312" t="s">
        <v>168</v>
      </c>
      <c r="H2300" s="312">
        <v>1707</v>
      </c>
      <c r="I2300" s="312" t="s">
        <v>167</v>
      </c>
      <c r="J2300" s="312">
        <v>1899</v>
      </c>
      <c r="K2300" s="312" t="s">
        <v>169</v>
      </c>
    </row>
    <row r="2301" spans="1:11">
      <c r="A2301" s="312" t="s">
        <v>4036</v>
      </c>
      <c r="B2301" s="312" t="s">
        <v>4037</v>
      </c>
      <c r="C2301" s="312" t="s">
        <v>105</v>
      </c>
      <c r="D2301" s="312" t="s">
        <v>3985</v>
      </c>
      <c r="E2301" s="312" t="s">
        <v>167</v>
      </c>
      <c r="F2301" s="312">
        <v>1705</v>
      </c>
      <c r="G2301" s="312" t="s">
        <v>168</v>
      </c>
      <c r="H2301" s="312">
        <v>1707</v>
      </c>
      <c r="I2301" s="312" t="s">
        <v>167</v>
      </c>
      <c r="J2301" s="312">
        <v>1899</v>
      </c>
      <c r="K2301" s="312" t="s">
        <v>169</v>
      </c>
    </row>
    <row r="2302" spans="1:11">
      <c r="A2302" s="312" t="s">
        <v>4038</v>
      </c>
      <c r="B2302" s="312" t="s">
        <v>4039</v>
      </c>
      <c r="C2302" s="312" t="s">
        <v>105</v>
      </c>
      <c r="D2302" s="312" t="s">
        <v>3985</v>
      </c>
      <c r="E2302" s="312" t="s">
        <v>167</v>
      </c>
      <c r="F2302" s="312">
        <v>1705</v>
      </c>
      <c r="G2302" s="312" t="s">
        <v>168</v>
      </c>
      <c r="H2302" s="312">
        <v>1707</v>
      </c>
      <c r="I2302" s="312" t="s">
        <v>167</v>
      </c>
      <c r="J2302" s="312">
        <v>1899</v>
      </c>
      <c r="K2302" s="312" t="s">
        <v>169</v>
      </c>
    </row>
    <row r="2303" spans="1:11">
      <c r="A2303" s="312" t="s">
        <v>4040</v>
      </c>
      <c r="B2303" s="312" t="s">
        <v>4041</v>
      </c>
      <c r="C2303" s="312" t="s">
        <v>105</v>
      </c>
      <c r="D2303" s="312" t="s">
        <v>3985</v>
      </c>
      <c r="E2303" s="312" t="s">
        <v>167</v>
      </c>
      <c r="F2303" s="312">
        <v>1705</v>
      </c>
      <c r="G2303" s="312" t="s">
        <v>168</v>
      </c>
      <c r="H2303" s="312">
        <v>1707</v>
      </c>
      <c r="I2303" s="312" t="s">
        <v>167</v>
      </c>
      <c r="J2303" s="312">
        <v>1899</v>
      </c>
      <c r="K2303" s="312" t="s">
        <v>169</v>
      </c>
    </row>
    <row r="2304" spans="1:11">
      <c r="A2304" s="312" t="s">
        <v>4042</v>
      </c>
      <c r="B2304" s="312" t="s">
        <v>4043</v>
      </c>
      <c r="C2304" s="312" t="s">
        <v>105</v>
      </c>
      <c r="D2304" s="312" t="s">
        <v>3985</v>
      </c>
      <c r="E2304" s="312" t="s">
        <v>167</v>
      </c>
      <c r="F2304" s="312">
        <v>1705</v>
      </c>
      <c r="G2304" s="312" t="s">
        <v>168</v>
      </c>
      <c r="H2304" s="312">
        <v>1707</v>
      </c>
      <c r="I2304" s="312" t="s">
        <v>167</v>
      </c>
      <c r="J2304" s="312">
        <v>1899</v>
      </c>
      <c r="K2304" s="312" t="s">
        <v>169</v>
      </c>
    </row>
    <row r="2305" spans="1:11">
      <c r="A2305" s="312" t="s">
        <v>4044</v>
      </c>
      <c r="B2305" s="312" t="s">
        <v>4045</v>
      </c>
      <c r="C2305" s="312" t="s">
        <v>105</v>
      </c>
      <c r="D2305" s="312" t="s">
        <v>3985</v>
      </c>
      <c r="E2305" s="312" t="s">
        <v>167</v>
      </c>
      <c r="F2305" s="312">
        <v>1705</v>
      </c>
      <c r="G2305" s="312" t="s">
        <v>168</v>
      </c>
      <c r="H2305" s="312">
        <v>1707</v>
      </c>
      <c r="I2305" s="312" t="s">
        <v>167</v>
      </c>
      <c r="J2305" s="312">
        <v>1899</v>
      </c>
      <c r="K2305" s="312" t="s">
        <v>169</v>
      </c>
    </row>
    <row r="2306" spans="1:11">
      <c r="A2306" s="312" t="s">
        <v>4046</v>
      </c>
      <c r="B2306" s="312" t="s">
        <v>4047</v>
      </c>
      <c r="C2306" s="312" t="s">
        <v>105</v>
      </c>
      <c r="D2306" s="312" t="s">
        <v>3985</v>
      </c>
      <c r="E2306" s="312" t="s">
        <v>167</v>
      </c>
      <c r="F2306" s="312">
        <v>1705</v>
      </c>
      <c r="G2306" s="312" t="s">
        <v>168</v>
      </c>
      <c r="H2306" s="312">
        <v>1707</v>
      </c>
      <c r="I2306" s="312" t="s">
        <v>167</v>
      </c>
      <c r="J2306" s="312">
        <v>1899</v>
      </c>
      <c r="K2306" s="312" t="s">
        <v>169</v>
      </c>
    </row>
    <row r="2307" spans="1:11">
      <c r="A2307" s="312" t="s">
        <v>4048</v>
      </c>
      <c r="B2307" s="312" t="s">
        <v>4049</v>
      </c>
      <c r="C2307" s="312" t="s">
        <v>105</v>
      </c>
      <c r="D2307" s="312" t="s">
        <v>3985</v>
      </c>
      <c r="E2307" s="312" t="s">
        <v>167</v>
      </c>
      <c r="F2307" s="312">
        <v>1705</v>
      </c>
      <c r="G2307" s="312" t="s">
        <v>168</v>
      </c>
      <c r="H2307" s="312">
        <v>1707</v>
      </c>
      <c r="I2307" s="312" t="s">
        <v>167</v>
      </c>
      <c r="J2307" s="312">
        <v>1899</v>
      </c>
      <c r="K2307" s="312" t="s">
        <v>169</v>
      </c>
    </row>
    <row r="2308" spans="1:11">
      <c r="A2308" s="312" t="s">
        <v>4050</v>
      </c>
      <c r="B2308" s="312" t="s">
        <v>4051</v>
      </c>
      <c r="C2308" s="312" t="s">
        <v>105</v>
      </c>
      <c r="D2308" s="312" t="s">
        <v>3985</v>
      </c>
      <c r="E2308" s="312" t="s">
        <v>167</v>
      </c>
      <c r="F2308" s="312">
        <v>1705</v>
      </c>
      <c r="G2308" s="312" t="s">
        <v>168</v>
      </c>
      <c r="H2308" s="312">
        <v>1707</v>
      </c>
      <c r="I2308" s="312" t="s">
        <v>167</v>
      </c>
      <c r="J2308" s="312">
        <v>1899</v>
      </c>
      <c r="K2308" s="312" t="s">
        <v>169</v>
      </c>
    </row>
    <row r="2309" spans="1:11">
      <c r="A2309" s="312" t="s">
        <v>4052</v>
      </c>
      <c r="B2309" s="312" t="s">
        <v>4053</v>
      </c>
      <c r="C2309" s="312" t="s">
        <v>105</v>
      </c>
      <c r="D2309" s="312" t="s">
        <v>3985</v>
      </c>
      <c r="E2309" s="312" t="s">
        <v>167</v>
      </c>
      <c r="F2309" s="312">
        <v>1705</v>
      </c>
      <c r="G2309" s="312" t="s">
        <v>168</v>
      </c>
      <c r="H2309" s="312">
        <v>1707</v>
      </c>
      <c r="I2309" s="312" t="s">
        <v>167</v>
      </c>
      <c r="J2309" s="312">
        <v>1899</v>
      </c>
      <c r="K2309" s="312" t="s">
        <v>169</v>
      </c>
    </row>
    <row r="2310" spans="1:11">
      <c r="A2310" s="312" t="s">
        <v>2529</v>
      </c>
      <c r="B2310" s="1" t="s">
        <v>2530</v>
      </c>
      <c r="C2310" s="312" t="s">
        <v>105</v>
      </c>
      <c r="D2310" s="312" t="s">
        <v>2531</v>
      </c>
      <c r="E2310" s="312" t="s">
        <v>696</v>
      </c>
      <c r="F2310" s="312">
        <v>1736</v>
      </c>
      <c r="G2310" s="312" t="s">
        <v>697</v>
      </c>
      <c r="H2310" s="312">
        <v>1741</v>
      </c>
      <c r="I2310" s="312" t="s">
        <v>696</v>
      </c>
      <c r="J2310" s="312">
        <v>1929</v>
      </c>
      <c r="K2310" s="312" t="s">
        <v>698</v>
      </c>
    </row>
    <row r="2311" spans="1:11">
      <c r="A2311" s="312" t="s">
        <v>728</v>
      </c>
      <c r="B2311" s="312" t="s">
        <v>729</v>
      </c>
      <c r="C2311" s="312" t="s">
        <v>105</v>
      </c>
      <c r="D2311" s="312" t="s">
        <v>730</v>
      </c>
      <c r="E2311" s="312" t="s">
        <v>696</v>
      </c>
      <c r="F2311" s="312">
        <v>1736</v>
      </c>
      <c r="G2311" s="312" t="s">
        <v>697</v>
      </c>
      <c r="H2311" s="312">
        <v>1741</v>
      </c>
      <c r="I2311" s="312" t="s">
        <v>696</v>
      </c>
      <c r="J2311" s="312">
        <v>1929</v>
      </c>
      <c r="K2311" s="312" t="s">
        <v>698</v>
      </c>
    </row>
    <row r="2312" spans="1:11">
      <c r="A2312" s="312" t="s">
        <v>1554</v>
      </c>
      <c r="B2312" s="312" t="s">
        <v>1555</v>
      </c>
      <c r="C2312" s="312" t="s">
        <v>105</v>
      </c>
      <c r="D2312" s="312" t="s">
        <v>730</v>
      </c>
      <c r="E2312" s="312" t="s">
        <v>696</v>
      </c>
      <c r="F2312" s="312">
        <v>1736</v>
      </c>
      <c r="G2312" s="312" t="s">
        <v>697</v>
      </c>
      <c r="H2312" s="312">
        <v>1741</v>
      </c>
      <c r="I2312" s="312" t="s">
        <v>696</v>
      </c>
      <c r="J2312" s="312">
        <v>1929</v>
      </c>
      <c r="K2312" s="312" t="s">
        <v>698</v>
      </c>
    </row>
    <row r="2313" spans="1:11">
      <c r="A2313" s="312" t="s">
        <v>1556</v>
      </c>
      <c r="B2313" s="312" t="s">
        <v>1557</v>
      </c>
      <c r="C2313" s="312" t="s">
        <v>105</v>
      </c>
      <c r="D2313" s="312" t="s">
        <v>730</v>
      </c>
      <c r="E2313" s="312" t="s">
        <v>696</v>
      </c>
      <c r="F2313" s="312">
        <v>1736</v>
      </c>
      <c r="G2313" s="312" t="s">
        <v>697</v>
      </c>
      <c r="H2313" s="312">
        <v>1741</v>
      </c>
      <c r="I2313" s="312" t="s">
        <v>696</v>
      </c>
      <c r="J2313" s="312">
        <v>1929</v>
      </c>
      <c r="K2313" s="312" t="s">
        <v>698</v>
      </c>
    </row>
    <row r="2314" spans="1:11">
      <c r="A2314" s="5" t="s">
        <v>1724</v>
      </c>
      <c r="B2314" s="312" t="s">
        <v>1725</v>
      </c>
      <c r="C2314" s="312" t="s">
        <v>105</v>
      </c>
      <c r="D2314" s="312" t="s">
        <v>730</v>
      </c>
      <c r="E2314" s="312" t="s">
        <v>696</v>
      </c>
      <c r="F2314" s="312">
        <v>1736</v>
      </c>
      <c r="G2314" s="312" t="s">
        <v>697</v>
      </c>
      <c r="H2314" s="312">
        <v>1741</v>
      </c>
      <c r="I2314" s="312" t="s">
        <v>696</v>
      </c>
      <c r="J2314" s="312">
        <v>1929</v>
      </c>
      <c r="K2314" s="312" t="s">
        <v>698</v>
      </c>
    </row>
    <row r="2315" spans="1:11">
      <c r="A2315" s="5" t="s">
        <v>1726</v>
      </c>
      <c r="B2315" s="312" t="s">
        <v>1727</v>
      </c>
      <c r="C2315" s="312" t="s">
        <v>105</v>
      </c>
      <c r="D2315" s="312" t="s">
        <v>730</v>
      </c>
      <c r="E2315" s="312" t="s">
        <v>696</v>
      </c>
      <c r="F2315" s="312">
        <v>1736</v>
      </c>
      <c r="G2315" s="312" t="s">
        <v>697</v>
      </c>
      <c r="H2315" s="312">
        <v>1741</v>
      </c>
      <c r="I2315" s="312" t="s">
        <v>696</v>
      </c>
      <c r="J2315" s="312">
        <v>1929</v>
      </c>
      <c r="K2315" s="312" t="s">
        <v>698</v>
      </c>
    </row>
    <row r="2316" spans="1:11">
      <c r="A2316" s="5" t="s">
        <v>1728</v>
      </c>
      <c r="B2316" s="312" t="s">
        <v>1729</v>
      </c>
      <c r="C2316" s="312" t="s">
        <v>105</v>
      </c>
      <c r="D2316" s="312" t="s">
        <v>730</v>
      </c>
      <c r="E2316" s="312" t="s">
        <v>696</v>
      </c>
      <c r="F2316" s="312">
        <v>1736</v>
      </c>
      <c r="G2316" s="312" t="s">
        <v>697</v>
      </c>
      <c r="H2316" s="312">
        <v>1741</v>
      </c>
      <c r="I2316" s="312" t="s">
        <v>696</v>
      </c>
      <c r="J2316" s="312">
        <v>1929</v>
      </c>
      <c r="K2316" s="312" t="s">
        <v>698</v>
      </c>
    </row>
    <row r="2317" spans="1:11">
      <c r="A2317" s="5" t="s">
        <v>1730</v>
      </c>
      <c r="B2317" s="312" t="s">
        <v>1731</v>
      </c>
      <c r="C2317" s="312" t="s">
        <v>105</v>
      </c>
      <c r="D2317" s="312" t="s">
        <v>730</v>
      </c>
      <c r="E2317" s="312" t="s">
        <v>696</v>
      </c>
      <c r="F2317" s="312">
        <v>1736</v>
      </c>
      <c r="G2317" s="312" t="s">
        <v>697</v>
      </c>
      <c r="H2317" s="312">
        <v>1741</v>
      </c>
      <c r="I2317" s="312" t="s">
        <v>696</v>
      </c>
      <c r="J2317" s="312">
        <v>1929</v>
      </c>
      <c r="K2317" s="312" t="s">
        <v>698</v>
      </c>
    </row>
    <row r="2318" spans="1:11">
      <c r="A2318" s="5" t="s">
        <v>1732</v>
      </c>
      <c r="B2318" s="312" t="s">
        <v>1733</v>
      </c>
      <c r="C2318" s="312" t="s">
        <v>105</v>
      </c>
      <c r="D2318" s="312" t="s">
        <v>730</v>
      </c>
      <c r="E2318" s="312" t="s">
        <v>696</v>
      </c>
      <c r="F2318" s="312">
        <v>1736</v>
      </c>
      <c r="G2318" s="312" t="s">
        <v>697</v>
      </c>
      <c r="H2318" s="312">
        <v>1741</v>
      </c>
      <c r="I2318" s="312" t="s">
        <v>696</v>
      </c>
      <c r="J2318" s="312">
        <v>1929</v>
      </c>
      <c r="K2318" s="312" t="s">
        <v>698</v>
      </c>
    </row>
    <row r="2319" spans="1:11">
      <c r="A2319" s="5" t="s">
        <v>1734</v>
      </c>
      <c r="B2319" s="312" t="s">
        <v>1735</v>
      </c>
      <c r="C2319" s="312" t="s">
        <v>105</v>
      </c>
      <c r="D2319" s="312" t="s">
        <v>730</v>
      </c>
      <c r="E2319" s="312" t="s">
        <v>696</v>
      </c>
      <c r="F2319" s="312">
        <v>1736</v>
      </c>
      <c r="G2319" s="312" t="s">
        <v>697</v>
      </c>
      <c r="H2319" s="312">
        <v>1741</v>
      </c>
      <c r="I2319" s="312" t="s">
        <v>696</v>
      </c>
      <c r="J2319" s="312">
        <v>1929</v>
      </c>
      <c r="K2319" s="312" t="s">
        <v>698</v>
      </c>
    </row>
    <row r="2320" spans="1:11">
      <c r="A2320" s="5" t="s">
        <v>1736</v>
      </c>
      <c r="B2320" s="312" t="s">
        <v>1737</v>
      </c>
      <c r="C2320" s="312" t="s">
        <v>105</v>
      </c>
      <c r="D2320" s="312" t="s">
        <v>730</v>
      </c>
      <c r="E2320" s="312" t="s">
        <v>696</v>
      </c>
      <c r="F2320" s="312">
        <v>1736</v>
      </c>
      <c r="G2320" s="312" t="s">
        <v>697</v>
      </c>
      <c r="H2320" s="312">
        <v>1741</v>
      </c>
      <c r="I2320" s="312" t="s">
        <v>696</v>
      </c>
      <c r="J2320" s="312">
        <v>1929</v>
      </c>
      <c r="K2320" s="312" t="s">
        <v>698</v>
      </c>
    </row>
    <row r="2321" spans="1:11">
      <c r="A2321" s="5" t="s">
        <v>1738</v>
      </c>
      <c r="B2321" s="312" t="s">
        <v>1739</v>
      </c>
      <c r="C2321" s="312" t="s">
        <v>105</v>
      </c>
      <c r="D2321" s="312" t="s">
        <v>730</v>
      </c>
      <c r="E2321" s="312" t="s">
        <v>696</v>
      </c>
      <c r="F2321" s="312">
        <v>1736</v>
      </c>
      <c r="G2321" s="312" t="s">
        <v>697</v>
      </c>
      <c r="H2321" s="312">
        <v>1741</v>
      </c>
      <c r="I2321" s="312" t="s">
        <v>696</v>
      </c>
      <c r="J2321" s="312">
        <v>1929</v>
      </c>
      <c r="K2321" s="312" t="s">
        <v>698</v>
      </c>
    </row>
    <row r="2322" spans="1:11">
      <c r="A2322" s="5" t="s">
        <v>1740</v>
      </c>
      <c r="B2322" s="312" t="s">
        <v>1741</v>
      </c>
      <c r="C2322" s="312" t="s">
        <v>105</v>
      </c>
      <c r="D2322" s="312" t="s">
        <v>730</v>
      </c>
      <c r="E2322" s="312" t="s">
        <v>696</v>
      </c>
      <c r="F2322" s="312">
        <v>1736</v>
      </c>
      <c r="G2322" s="312" t="s">
        <v>697</v>
      </c>
      <c r="H2322" s="312">
        <v>1741</v>
      </c>
      <c r="I2322" s="312" t="s">
        <v>696</v>
      </c>
      <c r="J2322" s="312">
        <v>1929</v>
      </c>
      <c r="K2322" s="312" t="s">
        <v>698</v>
      </c>
    </row>
    <row r="2323" spans="1:11">
      <c r="A2323" s="5" t="s">
        <v>1742</v>
      </c>
      <c r="B2323" s="312" t="s">
        <v>1743</v>
      </c>
      <c r="C2323" s="312" t="s">
        <v>105</v>
      </c>
      <c r="D2323" s="312" t="s">
        <v>730</v>
      </c>
      <c r="E2323" s="312" t="s">
        <v>696</v>
      </c>
      <c r="F2323" s="312">
        <v>1736</v>
      </c>
      <c r="G2323" s="312" t="s">
        <v>697</v>
      </c>
      <c r="H2323" s="312">
        <v>1741</v>
      </c>
      <c r="I2323" s="312" t="s">
        <v>696</v>
      </c>
      <c r="J2323" s="312">
        <v>1929</v>
      </c>
      <c r="K2323" s="312" t="s">
        <v>698</v>
      </c>
    </row>
    <row r="2324" spans="1:11">
      <c r="A2324" s="5" t="s">
        <v>1744</v>
      </c>
      <c r="B2324" s="312" t="s">
        <v>1745</v>
      </c>
      <c r="C2324" s="312" t="s">
        <v>105</v>
      </c>
      <c r="D2324" s="312" t="s">
        <v>730</v>
      </c>
      <c r="E2324" s="312" t="s">
        <v>696</v>
      </c>
      <c r="F2324" s="312">
        <v>1736</v>
      </c>
      <c r="G2324" s="312" t="s">
        <v>697</v>
      </c>
      <c r="H2324" s="312">
        <v>1741</v>
      </c>
      <c r="I2324" s="312" t="s">
        <v>696</v>
      </c>
      <c r="J2324" s="312">
        <v>1929</v>
      </c>
      <c r="K2324" s="312" t="s">
        <v>698</v>
      </c>
    </row>
    <row r="2325" spans="1:11">
      <c r="A2325" s="5" t="s">
        <v>1746</v>
      </c>
      <c r="B2325" s="312" t="s">
        <v>1747</v>
      </c>
      <c r="C2325" s="312" t="s">
        <v>105</v>
      </c>
      <c r="D2325" s="312" t="s">
        <v>730</v>
      </c>
      <c r="E2325" s="312" t="s">
        <v>696</v>
      </c>
      <c r="F2325" s="312">
        <v>1736</v>
      </c>
      <c r="G2325" s="312" t="s">
        <v>697</v>
      </c>
      <c r="H2325" s="312">
        <v>1741</v>
      </c>
      <c r="I2325" s="312" t="s">
        <v>696</v>
      </c>
      <c r="J2325" s="312">
        <v>1929</v>
      </c>
      <c r="K2325" s="312" t="s">
        <v>698</v>
      </c>
    </row>
    <row r="2326" spans="1:11">
      <c r="A2326" s="312" t="s">
        <v>2521</v>
      </c>
      <c r="B2326" s="1" t="s">
        <v>2522</v>
      </c>
      <c r="C2326" s="312" t="s">
        <v>105</v>
      </c>
      <c r="D2326" s="312" t="s">
        <v>730</v>
      </c>
      <c r="E2326" s="312" t="s">
        <v>696</v>
      </c>
      <c r="F2326" s="312">
        <v>1736</v>
      </c>
      <c r="G2326" s="312" t="s">
        <v>697</v>
      </c>
      <c r="H2326" s="312">
        <v>1741</v>
      </c>
      <c r="I2326" s="312" t="s">
        <v>696</v>
      </c>
      <c r="J2326" s="312">
        <v>1929</v>
      </c>
      <c r="K2326" s="312" t="s">
        <v>698</v>
      </c>
    </row>
    <row r="2327" spans="1:11">
      <c r="A2327" s="312" t="s">
        <v>2523</v>
      </c>
      <c r="B2327" s="312" t="s">
        <v>2524</v>
      </c>
      <c r="C2327" s="312" t="s">
        <v>105</v>
      </c>
      <c r="D2327" s="312" t="s">
        <v>730</v>
      </c>
      <c r="E2327" s="312" t="s">
        <v>696</v>
      </c>
      <c r="F2327" s="312">
        <v>1736</v>
      </c>
      <c r="G2327" s="312" t="s">
        <v>697</v>
      </c>
      <c r="H2327" s="312">
        <v>1741</v>
      </c>
      <c r="I2327" s="312" t="s">
        <v>696</v>
      </c>
      <c r="J2327" s="312">
        <v>1929</v>
      </c>
      <c r="K2327" s="312" t="s">
        <v>698</v>
      </c>
    </row>
    <row r="2328" spans="1:11">
      <c r="A2328" s="312" t="s">
        <v>3052</v>
      </c>
      <c r="B2328" s="312" t="s">
        <v>3053</v>
      </c>
      <c r="C2328" s="312" t="s">
        <v>105</v>
      </c>
      <c r="D2328" s="312" t="s">
        <v>730</v>
      </c>
      <c r="E2328" s="312" t="s">
        <v>886</v>
      </c>
      <c r="F2328" s="312">
        <v>1857</v>
      </c>
      <c r="G2328" s="312" t="s">
        <v>887</v>
      </c>
      <c r="H2328" s="312">
        <v>1858</v>
      </c>
      <c r="I2328" s="312" t="s">
        <v>886</v>
      </c>
      <c r="J2328" s="312">
        <v>1924</v>
      </c>
      <c r="K2328" s="312" t="s">
        <v>888</v>
      </c>
    </row>
    <row r="2329" spans="1:11">
      <c r="A2329" s="312" t="s">
        <v>3062</v>
      </c>
      <c r="B2329" s="312" t="s">
        <v>3063</v>
      </c>
      <c r="C2329" s="312" t="s">
        <v>105</v>
      </c>
      <c r="D2329" s="312" t="s">
        <v>730</v>
      </c>
      <c r="E2329" s="312" t="s">
        <v>886</v>
      </c>
      <c r="F2329" s="312">
        <v>1857</v>
      </c>
      <c r="G2329" s="312" t="s">
        <v>887</v>
      </c>
      <c r="H2329" s="312">
        <v>1858</v>
      </c>
      <c r="I2329" s="312" t="s">
        <v>886</v>
      </c>
      <c r="J2329" s="312">
        <v>1924</v>
      </c>
      <c r="K2329" s="312" t="s">
        <v>888</v>
      </c>
    </row>
    <row r="2330" spans="1:11">
      <c r="A2330" s="312" t="s">
        <v>3072</v>
      </c>
      <c r="B2330" s="312" t="s">
        <v>3073</v>
      </c>
      <c r="C2330" s="312" t="s">
        <v>105</v>
      </c>
      <c r="D2330" s="312" t="s">
        <v>730</v>
      </c>
      <c r="E2330" s="312" t="s">
        <v>886</v>
      </c>
      <c r="F2330" s="312">
        <v>1857</v>
      </c>
      <c r="G2330" s="312" t="s">
        <v>887</v>
      </c>
      <c r="H2330" s="312">
        <v>1858</v>
      </c>
      <c r="I2330" s="312" t="s">
        <v>886</v>
      </c>
      <c r="J2330" s="312">
        <v>1924</v>
      </c>
      <c r="K2330" s="312" t="s">
        <v>888</v>
      </c>
    </row>
    <row r="2331" spans="1:11">
      <c r="A2331" s="312" t="s">
        <v>3080</v>
      </c>
      <c r="B2331" s="1" t="s">
        <v>3081</v>
      </c>
      <c r="C2331" s="312" t="s">
        <v>105</v>
      </c>
      <c r="D2331" s="312" t="s">
        <v>730</v>
      </c>
      <c r="E2331" s="312" t="s">
        <v>886</v>
      </c>
      <c r="F2331" s="312">
        <v>1857</v>
      </c>
      <c r="G2331" s="312" t="s">
        <v>887</v>
      </c>
      <c r="H2331" s="312">
        <v>1858</v>
      </c>
      <c r="I2331" s="312" t="s">
        <v>886</v>
      </c>
      <c r="J2331" s="312">
        <v>1924</v>
      </c>
      <c r="K2331" s="312" t="s">
        <v>888</v>
      </c>
    </row>
    <row r="2332" spans="1:11">
      <c r="A2332" s="312" t="s">
        <v>3501</v>
      </c>
      <c r="B2332" s="312" t="s">
        <v>3502</v>
      </c>
      <c r="C2332" s="312" t="s">
        <v>105</v>
      </c>
      <c r="D2332" s="312" t="s">
        <v>730</v>
      </c>
      <c r="E2332" s="312" t="s">
        <v>696</v>
      </c>
      <c r="F2332" s="312">
        <v>1736</v>
      </c>
      <c r="G2332" s="312" t="s">
        <v>697</v>
      </c>
      <c r="H2332" s="312">
        <v>1741</v>
      </c>
      <c r="I2332" s="312" t="s">
        <v>696</v>
      </c>
      <c r="J2332" s="312">
        <v>1929</v>
      </c>
      <c r="K2332" s="312" t="s">
        <v>698</v>
      </c>
    </row>
    <row r="2333" spans="1:11">
      <c r="A2333" s="312" t="s">
        <v>3580</v>
      </c>
      <c r="B2333" s="312" t="s">
        <v>3581</v>
      </c>
      <c r="C2333" s="312" t="s">
        <v>105</v>
      </c>
      <c r="D2333" s="312" t="s">
        <v>730</v>
      </c>
      <c r="E2333" s="312" t="s">
        <v>107</v>
      </c>
      <c r="F2333" s="312">
        <v>1825</v>
      </c>
      <c r="G2333" s="312" t="s">
        <v>108</v>
      </c>
      <c r="H2333" s="312">
        <v>1827</v>
      </c>
      <c r="I2333" s="312" t="s">
        <v>107</v>
      </c>
      <c r="J2333" s="312">
        <v>1913</v>
      </c>
      <c r="K2333" s="312" t="s">
        <v>109</v>
      </c>
    </row>
    <row r="2334" spans="1:11">
      <c r="A2334" s="312" t="s">
        <v>5015</v>
      </c>
      <c r="B2334" s="312" t="s">
        <v>5016</v>
      </c>
      <c r="C2334" s="312" t="s">
        <v>105</v>
      </c>
      <c r="D2334" s="312" t="s">
        <v>730</v>
      </c>
      <c r="E2334" s="312" t="s">
        <v>696</v>
      </c>
      <c r="F2334" s="312">
        <v>1736</v>
      </c>
      <c r="G2334" s="312" t="s">
        <v>697</v>
      </c>
      <c r="H2334" s="312">
        <v>1741</v>
      </c>
      <c r="I2334" s="312" t="s">
        <v>696</v>
      </c>
      <c r="J2334" s="312">
        <v>1929</v>
      </c>
      <c r="K2334" s="312" t="s">
        <v>698</v>
      </c>
    </row>
    <row r="2335" spans="1:11">
      <c r="A2335" s="312" t="s">
        <v>5019</v>
      </c>
      <c r="B2335" s="312" t="s">
        <v>5020</v>
      </c>
      <c r="C2335" s="312" t="s">
        <v>105</v>
      </c>
      <c r="D2335" s="312" t="s">
        <v>730</v>
      </c>
      <c r="E2335" s="312" t="s">
        <v>107</v>
      </c>
      <c r="F2335" s="312">
        <v>1825</v>
      </c>
      <c r="G2335" s="312" t="s">
        <v>108</v>
      </c>
      <c r="H2335" s="312">
        <v>1827</v>
      </c>
      <c r="I2335" s="312" t="s">
        <v>107</v>
      </c>
      <c r="J2335" s="312">
        <v>1913</v>
      </c>
      <c r="K2335" s="312" t="s">
        <v>109</v>
      </c>
    </row>
    <row r="2336" spans="1:11">
      <c r="A2336" s="312" t="s">
        <v>5021</v>
      </c>
      <c r="B2336" s="312" t="s">
        <v>5022</v>
      </c>
      <c r="C2336" s="312" t="s">
        <v>105</v>
      </c>
      <c r="D2336" s="312" t="s">
        <v>730</v>
      </c>
      <c r="E2336" s="312" t="s">
        <v>107</v>
      </c>
      <c r="F2336" s="312">
        <v>1825</v>
      </c>
      <c r="G2336" s="312" t="s">
        <v>108</v>
      </c>
      <c r="H2336" s="312">
        <v>1827</v>
      </c>
      <c r="I2336" s="312" t="s">
        <v>107</v>
      </c>
      <c r="J2336" s="312">
        <v>1913</v>
      </c>
      <c r="K2336" s="312" t="s">
        <v>109</v>
      </c>
    </row>
    <row r="2337" spans="1:11">
      <c r="A2337" s="312" t="s">
        <v>5226</v>
      </c>
      <c r="B2337" s="312" t="s">
        <v>5227</v>
      </c>
      <c r="C2337" s="312" t="s">
        <v>105</v>
      </c>
      <c r="D2337" s="312" t="s">
        <v>730</v>
      </c>
      <c r="E2337" s="312" t="s">
        <v>696</v>
      </c>
      <c r="F2337" s="312">
        <v>1736</v>
      </c>
      <c r="G2337" s="312" t="s">
        <v>697</v>
      </c>
      <c r="H2337" s="312">
        <v>1741</v>
      </c>
      <c r="I2337" s="312" t="s">
        <v>696</v>
      </c>
      <c r="J2337" s="312">
        <v>1929</v>
      </c>
      <c r="K2337" s="312" t="s">
        <v>698</v>
      </c>
    </row>
    <row r="2338" spans="1:11">
      <c r="A2338" s="312" t="s">
        <v>689</v>
      </c>
      <c r="B2338" s="312" t="s">
        <v>690</v>
      </c>
      <c r="C2338" s="312" t="s">
        <v>105</v>
      </c>
      <c r="D2338" s="312" t="s">
        <v>691</v>
      </c>
      <c r="E2338" s="312" t="s">
        <v>684</v>
      </c>
      <c r="F2338" s="312">
        <v>1750</v>
      </c>
      <c r="G2338" s="312" t="s">
        <v>685</v>
      </c>
      <c r="H2338" s="312">
        <v>1754</v>
      </c>
      <c r="I2338" s="312" t="s">
        <v>684</v>
      </c>
      <c r="J2338" s="312">
        <v>1920</v>
      </c>
      <c r="K2338" s="312" t="s">
        <v>686</v>
      </c>
    </row>
    <row r="2339" spans="1:11">
      <c r="A2339" s="312" t="s">
        <v>692</v>
      </c>
      <c r="B2339" s="312" t="s">
        <v>693</v>
      </c>
      <c r="C2339" s="312" t="s">
        <v>105</v>
      </c>
      <c r="D2339" s="312" t="s">
        <v>691</v>
      </c>
      <c r="E2339" s="312" t="s">
        <v>107</v>
      </c>
      <c r="F2339" s="312">
        <v>1825</v>
      </c>
      <c r="G2339" s="312" t="s">
        <v>108</v>
      </c>
      <c r="H2339" s="312">
        <v>1827</v>
      </c>
      <c r="I2339" s="312" t="s">
        <v>107</v>
      </c>
      <c r="J2339" s="312">
        <v>1913</v>
      </c>
      <c r="K2339" s="312" t="s">
        <v>109</v>
      </c>
    </row>
    <row r="2340" spans="1:11">
      <c r="A2340" s="312" t="s">
        <v>694</v>
      </c>
      <c r="B2340" s="312" t="s">
        <v>695</v>
      </c>
      <c r="C2340" s="312" t="s">
        <v>105</v>
      </c>
      <c r="D2340" s="312" t="s">
        <v>691</v>
      </c>
      <c r="E2340" s="312" t="s">
        <v>696</v>
      </c>
      <c r="F2340" s="312">
        <v>1736</v>
      </c>
      <c r="G2340" s="312" t="s">
        <v>697</v>
      </c>
      <c r="H2340" s="312">
        <v>1741</v>
      </c>
      <c r="I2340" s="312" t="s">
        <v>696</v>
      </c>
      <c r="J2340" s="312">
        <v>1929</v>
      </c>
      <c r="K2340" s="312" t="s">
        <v>698</v>
      </c>
    </row>
    <row r="2341" spans="1:11">
      <c r="A2341" s="312" t="s">
        <v>699</v>
      </c>
      <c r="B2341" s="312" t="s">
        <v>700</v>
      </c>
      <c r="C2341" s="312" t="s">
        <v>105</v>
      </c>
      <c r="D2341" s="312" t="s">
        <v>691</v>
      </c>
      <c r="E2341" s="312" t="s">
        <v>107</v>
      </c>
      <c r="F2341" s="312">
        <v>1825</v>
      </c>
      <c r="G2341" s="312" t="s">
        <v>108</v>
      </c>
      <c r="H2341" s="312">
        <v>1827</v>
      </c>
      <c r="I2341" s="312" t="s">
        <v>107</v>
      </c>
      <c r="J2341" s="312">
        <v>1913</v>
      </c>
      <c r="K2341" s="312" t="s">
        <v>109</v>
      </c>
    </row>
    <row r="2342" spans="1:11">
      <c r="A2342" s="312" t="s">
        <v>701</v>
      </c>
      <c r="B2342" s="312" t="s">
        <v>702</v>
      </c>
      <c r="C2342" s="312" t="s">
        <v>105</v>
      </c>
      <c r="D2342" s="312" t="s">
        <v>691</v>
      </c>
      <c r="E2342" s="312" t="s">
        <v>107</v>
      </c>
      <c r="F2342" s="312">
        <v>1825</v>
      </c>
      <c r="G2342" s="312" t="s">
        <v>108</v>
      </c>
      <c r="H2342" s="312">
        <v>1827</v>
      </c>
      <c r="I2342" s="312" t="s">
        <v>107</v>
      </c>
      <c r="J2342" s="312">
        <v>1913</v>
      </c>
      <c r="K2342" s="312" t="s">
        <v>109</v>
      </c>
    </row>
    <row r="2343" spans="1:11">
      <c r="A2343" s="312" t="s">
        <v>1677</v>
      </c>
      <c r="B2343" s="1" t="s">
        <v>1678</v>
      </c>
      <c r="C2343" s="312" t="s">
        <v>105</v>
      </c>
      <c r="D2343" s="312" t="s">
        <v>691</v>
      </c>
      <c r="E2343" s="312" t="s">
        <v>684</v>
      </c>
      <c r="F2343" s="312">
        <v>1750</v>
      </c>
      <c r="G2343" s="312" t="s">
        <v>685</v>
      </c>
      <c r="H2343" s="312">
        <v>1754</v>
      </c>
      <c r="I2343" s="312" t="s">
        <v>684</v>
      </c>
      <c r="J2343" s="312">
        <v>1920</v>
      </c>
      <c r="K2343" s="312" t="s">
        <v>686</v>
      </c>
    </row>
    <row r="2344" spans="1:11">
      <c r="A2344" s="312" t="s">
        <v>2556</v>
      </c>
      <c r="B2344" s="312" t="s">
        <v>2557</v>
      </c>
      <c r="C2344" s="312" t="s">
        <v>105</v>
      </c>
      <c r="D2344" s="312" t="s">
        <v>691</v>
      </c>
      <c r="E2344" s="312" t="s">
        <v>107</v>
      </c>
      <c r="F2344" s="312">
        <v>1825</v>
      </c>
      <c r="G2344" s="312" t="s">
        <v>108</v>
      </c>
      <c r="H2344" s="312">
        <v>1827</v>
      </c>
      <c r="I2344" s="312" t="s">
        <v>107</v>
      </c>
      <c r="J2344" s="312">
        <v>1913</v>
      </c>
      <c r="K2344" s="312" t="s">
        <v>109</v>
      </c>
    </row>
    <row r="2345" spans="1:11">
      <c r="A2345" s="312" t="s">
        <v>3430</v>
      </c>
      <c r="B2345" s="312" t="s">
        <v>3431</v>
      </c>
      <c r="C2345" s="312" t="s">
        <v>105</v>
      </c>
      <c r="D2345" s="312" t="s">
        <v>691</v>
      </c>
      <c r="E2345" s="312" t="s">
        <v>684</v>
      </c>
      <c r="F2345" s="312">
        <v>1750</v>
      </c>
      <c r="G2345" s="312" t="s">
        <v>685</v>
      </c>
      <c r="H2345" s="312">
        <v>1754</v>
      </c>
      <c r="I2345" s="312" t="s">
        <v>684</v>
      </c>
      <c r="J2345" s="312">
        <v>1920</v>
      </c>
      <c r="K2345" s="312" t="s">
        <v>686</v>
      </c>
    </row>
    <row r="2346" spans="1:11">
      <c r="A2346" s="312" t="s">
        <v>3495</v>
      </c>
      <c r="B2346" s="312" t="s">
        <v>3496</v>
      </c>
      <c r="C2346" s="312" t="s">
        <v>105</v>
      </c>
      <c r="D2346" s="312" t="s">
        <v>691</v>
      </c>
      <c r="E2346" s="312" t="s">
        <v>107</v>
      </c>
      <c r="F2346" s="312">
        <v>1825</v>
      </c>
      <c r="G2346" s="312" t="s">
        <v>108</v>
      </c>
      <c r="H2346" s="312">
        <v>1827</v>
      </c>
      <c r="I2346" s="312" t="s">
        <v>107</v>
      </c>
      <c r="J2346" s="312">
        <v>1913</v>
      </c>
      <c r="K2346" s="312" t="s">
        <v>109</v>
      </c>
    </row>
    <row r="2347" spans="1:11">
      <c r="A2347" s="312" t="s">
        <v>3505</v>
      </c>
      <c r="B2347" s="312" t="s">
        <v>3506</v>
      </c>
      <c r="C2347" s="312" t="s">
        <v>105</v>
      </c>
      <c r="D2347" s="312" t="s">
        <v>691</v>
      </c>
      <c r="E2347" s="312" t="s">
        <v>107</v>
      </c>
      <c r="F2347" s="312">
        <v>1825</v>
      </c>
      <c r="G2347" s="312" t="s">
        <v>108</v>
      </c>
      <c r="H2347" s="312">
        <v>1827</v>
      </c>
      <c r="I2347" s="312" t="s">
        <v>107</v>
      </c>
      <c r="J2347" s="312">
        <v>1913</v>
      </c>
      <c r="K2347" s="312" t="s">
        <v>109</v>
      </c>
    </row>
    <row r="2348" spans="1:11">
      <c r="A2348" s="312" t="s">
        <v>3509</v>
      </c>
      <c r="B2348" s="312" t="s">
        <v>3510</v>
      </c>
      <c r="C2348" s="312" t="s">
        <v>105</v>
      </c>
      <c r="D2348" s="312" t="s">
        <v>691</v>
      </c>
      <c r="E2348" s="312" t="s">
        <v>684</v>
      </c>
      <c r="F2348" s="312">
        <v>1750</v>
      </c>
      <c r="G2348" s="312" t="s">
        <v>685</v>
      </c>
      <c r="H2348" s="312">
        <v>1754</v>
      </c>
      <c r="I2348" s="312" t="s">
        <v>684</v>
      </c>
      <c r="J2348" s="312">
        <v>1920</v>
      </c>
      <c r="K2348" s="312" t="s">
        <v>686</v>
      </c>
    </row>
    <row r="2349" spans="1:11">
      <c r="A2349" s="312" t="s">
        <v>3511</v>
      </c>
      <c r="B2349" s="312" t="s">
        <v>3512</v>
      </c>
      <c r="C2349" s="312" t="s">
        <v>105</v>
      </c>
      <c r="D2349" s="312" t="s">
        <v>691</v>
      </c>
      <c r="E2349" s="312" t="s">
        <v>107</v>
      </c>
      <c r="F2349" s="312">
        <v>1825</v>
      </c>
      <c r="G2349" s="312" t="s">
        <v>108</v>
      </c>
      <c r="H2349" s="312">
        <v>1827</v>
      </c>
      <c r="I2349" s="312" t="s">
        <v>107</v>
      </c>
      <c r="J2349" s="312">
        <v>1913</v>
      </c>
      <c r="K2349" s="312" t="s">
        <v>109</v>
      </c>
    </row>
    <row r="2350" spans="1:11">
      <c r="A2350" s="312" t="s">
        <v>3513</v>
      </c>
      <c r="B2350" s="312" t="s">
        <v>3514</v>
      </c>
      <c r="C2350" s="312" t="s">
        <v>105</v>
      </c>
      <c r="D2350" s="312" t="s">
        <v>691</v>
      </c>
      <c r="E2350" s="312" t="s">
        <v>107</v>
      </c>
      <c r="F2350" s="312">
        <v>1825</v>
      </c>
      <c r="G2350" s="312" t="s">
        <v>108</v>
      </c>
      <c r="H2350" s="312">
        <v>1827</v>
      </c>
      <c r="I2350" s="312" t="s">
        <v>107</v>
      </c>
      <c r="J2350" s="312">
        <v>1913</v>
      </c>
      <c r="K2350" s="312" t="s">
        <v>109</v>
      </c>
    </row>
    <row r="2351" spans="1:11">
      <c r="A2351" s="312" t="s">
        <v>5238</v>
      </c>
      <c r="B2351" s="312" t="s">
        <v>5239</v>
      </c>
      <c r="C2351" s="312" t="s">
        <v>105</v>
      </c>
      <c r="D2351" s="312" t="s">
        <v>691</v>
      </c>
      <c r="E2351" s="312" t="s">
        <v>684</v>
      </c>
      <c r="F2351" s="312">
        <v>1750</v>
      </c>
      <c r="G2351" s="312" t="s">
        <v>685</v>
      </c>
      <c r="H2351" s="312">
        <v>1754</v>
      </c>
      <c r="I2351" s="312" t="s">
        <v>684</v>
      </c>
      <c r="J2351" s="312">
        <v>1920</v>
      </c>
      <c r="K2351" s="312" t="s">
        <v>686</v>
      </c>
    </row>
    <row r="2352" spans="1:11">
      <c r="A2352" s="312" t="s">
        <v>1410</v>
      </c>
      <c r="B2352" s="312" t="s">
        <v>1411</v>
      </c>
      <c r="C2352" s="312" t="s">
        <v>105</v>
      </c>
      <c r="D2352" s="312" t="s">
        <v>1412</v>
      </c>
      <c r="E2352" s="312" t="s">
        <v>696</v>
      </c>
      <c r="F2352" s="312">
        <v>1736</v>
      </c>
      <c r="G2352" s="312" t="s">
        <v>697</v>
      </c>
      <c r="H2352" s="312">
        <v>1741</v>
      </c>
      <c r="I2352" s="312" t="s">
        <v>696</v>
      </c>
      <c r="J2352" s="312">
        <v>1929</v>
      </c>
      <c r="K2352" s="312" t="s">
        <v>698</v>
      </c>
    </row>
    <row r="2353" spans="1:11">
      <c r="A2353" s="312" t="s">
        <v>2503</v>
      </c>
      <c r="B2353" s="312" t="s">
        <v>2504</v>
      </c>
      <c r="C2353" s="312" t="s">
        <v>105</v>
      </c>
      <c r="D2353" s="312" t="s">
        <v>1412</v>
      </c>
      <c r="E2353" s="312" t="s">
        <v>696</v>
      </c>
      <c r="F2353" s="312">
        <v>1736</v>
      </c>
      <c r="G2353" s="312" t="s">
        <v>697</v>
      </c>
      <c r="H2353" s="312">
        <v>1741</v>
      </c>
      <c r="I2353" s="312" t="s">
        <v>696</v>
      </c>
      <c r="J2353" s="312">
        <v>1929</v>
      </c>
      <c r="K2353" s="312" t="s">
        <v>698</v>
      </c>
    </row>
    <row r="2354" spans="1:11">
      <c r="A2354" s="312" t="s">
        <v>2505</v>
      </c>
      <c r="B2354" s="312" t="s">
        <v>2506</v>
      </c>
      <c r="C2354" s="312" t="s">
        <v>105</v>
      </c>
      <c r="D2354" s="312" t="s">
        <v>1412</v>
      </c>
      <c r="E2354" s="312" t="s">
        <v>696</v>
      </c>
      <c r="F2354" s="312">
        <v>1736</v>
      </c>
      <c r="G2354" s="312" t="s">
        <v>697</v>
      </c>
      <c r="H2354" s="312">
        <v>1741</v>
      </c>
      <c r="I2354" s="312" t="s">
        <v>696</v>
      </c>
      <c r="J2354" s="312">
        <v>1929</v>
      </c>
      <c r="K2354" s="312" t="s">
        <v>698</v>
      </c>
    </row>
    <row r="2355" spans="1:11">
      <c r="A2355" s="312" t="s">
        <v>2507</v>
      </c>
      <c r="B2355" s="312" t="s">
        <v>2508</v>
      </c>
      <c r="C2355" s="312" t="s">
        <v>105</v>
      </c>
      <c r="D2355" s="312" t="s">
        <v>1412</v>
      </c>
      <c r="E2355" s="312" t="s">
        <v>696</v>
      </c>
      <c r="F2355" s="312">
        <v>1736</v>
      </c>
      <c r="G2355" s="312" t="s">
        <v>697</v>
      </c>
      <c r="H2355" s="312">
        <v>1741</v>
      </c>
      <c r="I2355" s="312" t="s">
        <v>696</v>
      </c>
      <c r="J2355" s="312">
        <v>1929</v>
      </c>
      <c r="K2355" s="312" t="s">
        <v>698</v>
      </c>
    </row>
    <row r="2356" spans="1:11">
      <c r="A2356" s="312" t="s">
        <v>2509</v>
      </c>
      <c r="B2356" s="312" t="s">
        <v>2510</v>
      </c>
      <c r="C2356" s="312" t="s">
        <v>105</v>
      </c>
      <c r="D2356" s="312" t="s">
        <v>1412</v>
      </c>
      <c r="E2356" s="312" t="s">
        <v>696</v>
      </c>
      <c r="F2356" s="312">
        <v>1736</v>
      </c>
      <c r="G2356" s="312" t="s">
        <v>697</v>
      </c>
      <c r="H2356" s="312">
        <v>1741</v>
      </c>
      <c r="I2356" s="312" t="s">
        <v>696</v>
      </c>
      <c r="J2356" s="312">
        <v>1929</v>
      </c>
      <c r="K2356" s="312" t="s">
        <v>698</v>
      </c>
    </row>
    <row r="2357" spans="1:11">
      <c r="A2357" s="312" t="s">
        <v>2511</v>
      </c>
      <c r="B2357" s="312" t="s">
        <v>2512</v>
      </c>
      <c r="C2357" s="312" t="s">
        <v>105</v>
      </c>
      <c r="D2357" s="312" t="s">
        <v>1412</v>
      </c>
      <c r="E2357" s="312" t="s">
        <v>696</v>
      </c>
      <c r="F2357" s="312">
        <v>1736</v>
      </c>
      <c r="G2357" s="312" t="s">
        <v>697</v>
      </c>
      <c r="H2357" s="312">
        <v>1741</v>
      </c>
      <c r="I2357" s="312" t="s">
        <v>696</v>
      </c>
      <c r="J2357" s="312">
        <v>1929</v>
      </c>
      <c r="K2357" s="312" t="s">
        <v>698</v>
      </c>
    </row>
    <row r="2358" spans="1:11">
      <c r="A2358" s="312" t="s">
        <v>2513</v>
      </c>
      <c r="B2358" s="312" t="s">
        <v>2514</v>
      </c>
      <c r="C2358" s="312" t="s">
        <v>105</v>
      </c>
      <c r="D2358" s="312" t="s">
        <v>1412</v>
      </c>
      <c r="E2358" s="312" t="s">
        <v>696</v>
      </c>
      <c r="F2358" s="312">
        <v>1736</v>
      </c>
      <c r="G2358" s="312" t="s">
        <v>697</v>
      </c>
      <c r="H2358" s="312">
        <v>1741</v>
      </c>
      <c r="I2358" s="312" t="s">
        <v>696</v>
      </c>
      <c r="J2358" s="312">
        <v>1929</v>
      </c>
      <c r="K2358" s="312" t="s">
        <v>698</v>
      </c>
    </row>
    <row r="2359" spans="1:11">
      <c r="A2359" s="312" t="s">
        <v>2515</v>
      </c>
      <c r="B2359" s="312" t="s">
        <v>2516</v>
      </c>
      <c r="C2359" s="312" t="s">
        <v>105</v>
      </c>
      <c r="D2359" s="312" t="s">
        <v>1412</v>
      </c>
      <c r="E2359" s="312" t="s">
        <v>696</v>
      </c>
      <c r="F2359" s="312">
        <v>1736</v>
      </c>
      <c r="G2359" s="312" t="s">
        <v>697</v>
      </c>
      <c r="H2359" s="312">
        <v>1741</v>
      </c>
      <c r="I2359" s="312" t="s">
        <v>696</v>
      </c>
      <c r="J2359" s="312">
        <v>1929</v>
      </c>
      <c r="K2359" s="312" t="s">
        <v>698</v>
      </c>
    </row>
    <row r="2360" spans="1:11">
      <c r="A2360" s="312" t="s">
        <v>2517</v>
      </c>
      <c r="B2360" s="312" t="s">
        <v>2518</v>
      </c>
      <c r="C2360" s="312" t="s">
        <v>105</v>
      </c>
      <c r="D2360" s="312" t="s">
        <v>1412</v>
      </c>
      <c r="E2360" s="312" t="s">
        <v>696</v>
      </c>
      <c r="F2360" s="312">
        <v>1736</v>
      </c>
      <c r="G2360" s="312" t="s">
        <v>697</v>
      </c>
      <c r="H2360" s="312">
        <v>1741</v>
      </c>
      <c r="I2360" s="312" t="s">
        <v>696</v>
      </c>
      <c r="J2360" s="312">
        <v>1929</v>
      </c>
      <c r="K2360" s="312" t="s">
        <v>698</v>
      </c>
    </row>
    <row r="2361" spans="1:11">
      <c r="A2361" s="312" t="s">
        <v>2527</v>
      </c>
      <c r="B2361" s="312" t="s">
        <v>2528</v>
      </c>
      <c r="C2361" s="312" t="s">
        <v>105</v>
      </c>
      <c r="D2361" s="312" t="s">
        <v>1412</v>
      </c>
      <c r="E2361" s="312" t="s">
        <v>696</v>
      </c>
      <c r="F2361" s="312">
        <v>1736</v>
      </c>
      <c r="G2361" s="312" t="s">
        <v>697</v>
      </c>
      <c r="H2361" s="312">
        <v>1741</v>
      </c>
      <c r="I2361" s="312" t="s">
        <v>696</v>
      </c>
      <c r="J2361" s="312">
        <v>1929</v>
      </c>
      <c r="K2361" s="312" t="s">
        <v>698</v>
      </c>
    </row>
    <row r="2362" spans="1:11">
      <c r="A2362" s="312" t="s">
        <v>2532</v>
      </c>
      <c r="B2362" s="312" t="s">
        <v>2533</v>
      </c>
      <c r="C2362" s="312" t="s">
        <v>105</v>
      </c>
      <c r="D2362" s="312" t="s">
        <v>1412</v>
      </c>
      <c r="E2362" s="312" t="s">
        <v>696</v>
      </c>
      <c r="F2362" s="312">
        <v>1736</v>
      </c>
      <c r="G2362" s="312" t="s">
        <v>697</v>
      </c>
      <c r="H2362" s="312">
        <v>1741</v>
      </c>
      <c r="I2362" s="312" t="s">
        <v>696</v>
      </c>
      <c r="J2362" s="312">
        <v>1929</v>
      </c>
      <c r="K2362" s="312" t="s">
        <v>698</v>
      </c>
    </row>
    <row r="2363" spans="1:11">
      <c r="A2363" s="312" t="s">
        <v>2534</v>
      </c>
      <c r="B2363" s="312" t="s">
        <v>2535</v>
      </c>
      <c r="C2363" s="312" t="s">
        <v>105</v>
      </c>
      <c r="D2363" s="312" t="s">
        <v>1412</v>
      </c>
      <c r="E2363" s="312" t="s">
        <v>696</v>
      </c>
      <c r="F2363" s="312">
        <v>1736</v>
      </c>
      <c r="G2363" s="312" t="s">
        <v>697</v>
      </c>
      <c r="H2363" s="312">
        <v>1741</v>
      </c>
      <c r="I2363" s="312" t="s">
        <v>696</v>
      </c>
      <c r="J2363" s="312">
        <v>1929</v>
      </c>
      <c r="K2363" s="312" t="s">
        <v>698</v>
      </c>
    </row>
    <row r="2364" spans="1:11">
      <c r="A2364" s="312" t="s">
        <v>2536</v>
      </c>
      <c r="B2364" s="312" t="s">
        <v>2537</v>
      </c>
      <c r="C2364" s="312" t="s">
        <v>105</v>
      </c>
      <c r="D2364" s="312" t="s">
        <v>1412</v>
      </c>
      <c r="E2364" s="312" t="s">
        <v>696</v>
      </c>
      <c r="F2364" s="312">
        <v>1736</v>
      </c>
      <c r="G2364" s="312" t="s">
        <v>697</v>
      </c>
      <c r="H2364" s="312">
        <v>1741</v>
      </c>
      <c r="I2364" s="312" t="s">
        <v>696</v>
      </c>
      <c r="J2364" s="312">
        <v>1929</v>
      </c>
      <c r="K2364" s="312" t="s">
        <v>698</v>
      </c>
    </row>
    <row r="2365" spans="1:11">
      <c r="A2365" s="312" t="s">
        <v>2538</v>
      </c>
      <c r="B2365" s="312" t="s">
        <v>2539</v>
      </c>
      <c r="C2365" s="312" t="s">
        <v>105</v>
      </c>
      <c r="D2365" s="312" t="s">
        <v>1412</v>
      </c>
      <c r="E2365" s="312" t="s">
        <v>696</v>
      </c>
      <c r="F2365" s="312">
        <v>1736</v>
      </c>
      <c r="G2365" s="312" t="s">
        <v>697</v>
      </c>
      <c r="H2365" s="312">
        <v>1741</v>
      </c>
      <c r="I2365" s="312" t="s">
        <v>696</v>
      </c>
      <c r="J2365" s="312">
        <v>1929</v>
      </c>
      <c r="K2365" s="312" t="s">
        <v>698</v>
      </c>
    </row>
    <row r="2366" spans="1:11">
      <c r="A2366" s="312" t="s">
        <v>2540</v>
      </c>
      <c r="B2366" s="312" t="s">
        <v>2541</v>
      </c>
      <c r="C2366" s="312" t="s">
        <v>105</v>
      </c>
      <c r="D2366" s="312" t="s">
        <v>1412</v>
      </c>
      <c r="E2366" s="312" t="s">
        <v>696</v>
      </c>
      <c r="F2366" s="312">
        <v>1736</v>
      </c>
      <c r="G2366" s="312" t="s">
        <v>697</v>
      </c>
      <c r="H2366" s="312">
        <v>1741</v>
      </c>
      <c r="I2366" s="312" t="s">
        <v>696</v>
      </c>
      <c r="J2366" s="312">
        <v>1929</v>
      </c>
      <c r="K2366" s="312" t="s">
        <v>698</v>
      </c>
    </row>
    <row r="2367" spans="1:11">
      <c r="A2367" s="312" t="s">
        <v>2548</v>
      </c>
      <c r="B2367" s="312" t="s">
        <v>2549</v>
      </c>
      <c r="C2367" s="312" t="s">
        <v>105</v>
      </c>
      <c r="D2367" s="312" t="s">
        <v>1412</v>
      </c>
      <c r="E2367" s="312" t="s">
        <v>696</v>
      </c>
      <c r="F2367" s="312">
        <v>1736</v>
      </c>
      <c r="G2367" s="312" t="s">
        <v>697</v>
      </c>
      <c r="H2367" s="312">
        <v>1741</v>
      </c>
      <c r="I2367" s="312" t="s">
        <v>696</v>
      </c>
      <c r="J2367" s="312">
        <v>1929</v>
      </c>
      <c r="K2367" s="312" t="s">
        <v>698</v>
      </c>
    </row>
    <row r="2368" spans="1:11">
      <c r="A2368" s="312" t="s">
        <v>5065</v>
      </c>
      <c r="B2368" s="312" t="s">
        <v>5066</v>
      </c>
      <c r="C2368" s="312" t="s">
        <v>105</v>
      </c>
      <c r="D2368" s="312" t="s">
        <v>1412</v>
      </c>
      <c r="E2368" s="312" t="s">
        <v>167</v>
      </c>
      <c r="F2368" s="312">
        <v>1705</v>
      </c>
      <c r="G2368" s="312" t="s">
        <v>168</v>
      </c>
      <c r="H2368" s="312">
        <v>1707</v>
      </c>
      <c r="I2368" s="312" t="s">
        <v>167</v>
      </c>
      <c r="J2368" s="312">
        <v>1899</v>
      </c>
      <c r="K2368" s="312" t="s">
        <v>169</v>
      </c>
    </row>
    <row r="2369" spans="1:11">
      <c r="A2369" s="312" t="s">
        <v>4751</v>
      </c>
      <c r="B2369" s="312" t="s">
        <v>4752</v>
      </c>
      <c r="C2369" s="312" t="s">
        <v>105</v>
      </c>
      <c r="D2369" s="312" t="s">
        <v>4753</v>
      </c>
      <c r="E2369" s="312" t="s">
        <v>466</v>
      </c>
      <c r="F2369" s="312">
        <v>1796</v>
      </c>
      <c r="G2369" s="312" t="s">
        <v>467</v>
      </c>
      <c r="H2369" s="312">
        <v>1799</v>
      </c>
      <c r="I2369" s="312" t="s">
        <v>466</v>
      </c>
      <c r="J2369" s="312">
        <v>1918</v>
      </c>
      <c r="K2369" s="312" t="s">
        <v>468</v>
      </c>
    </row>
    <row r="2370" spans="1:11">
      <c r="A2370" s="312" t="s">
        <v>5260</v>
      </c>
      <c r="B2370" s="312" t="s">
        <v>5261</v>
      </c>
      <c r="C2370" s="312" t="s">
        <v>105</v>
      </c>
      <c r="D2370" s="312" t="s">
        <v>4753</v>
      </c>
      <c r="E2370" s="312" t="s">
        <v>107</v>
      </c>
      <c r="F2370" s="312">
        <v>1825</v>
      </c>
      <c r="G2370" s="312" t="s">
        <v>108</v>
      </c>
      <c r="H2370" s="312">
        <v>1827</v>
      </c>
      <c r="I2370" s="312" t="s">
        <v>107</v>
      </c>
      <c r="J2370" s="312">
        <v>1913</v>
      </c>
      <c r="K2370" s="312" t="s">
        <v>109</v>
      </c>
    </row>
    <row r="2371" spans="1:11">
      <c r="A2371" s="312" t="s">
        <v>5814</v>
      </c>
      <c r="B2371" s="312" t="s">
        <v>5815</v>
      </c>
      <c r="C2371" s="312" t="s">
        <v>105</v>
      </c>
      <c r="D2371" s="312" t="s">
        <v>4753</v>
      </c>
      <c r="E2371" s="312" t="s">
        <v>167</v>
      </c>
      <c r="F2371" s="312">
        <v>1705</v>
      </c>
      <c r="G2371" s="312" t="s">
        <v>168</v>
      </c>
      <c r="H2371" s="312">
        <v>1707</v>
      </c>
      <c r="I2371" s="312" t="s">
        <v>167</v>
      </c>
      <c r="J2371" s="312">
        <v>1899</v>
      </c>
      <c r="K2371" s="312" t="s">
        <v>169</v>
      </c>
    </row>
    <row r="2372" spans="1:11">
      <c r="A2372" s="312" t="s">
        <v>6004</v>
      </c>
      <c r="B2372" s="312" t="s">
        <v>6005</v>
      </c>
      <c r="C2372" s="312" t="s">
        <v>105</v>
      </c>
      <c r="D2372" s="312" t="s">
        <v>4753</v>
      </c>
      <c r="E2372" s="312" t="s">
        <v>107</v>
      </c>
      <c r="F2372" s="312">
        <v>1825</v>
      </c>
      <c r="G2372" s="312" t="s">
        <v>108</v>
      </c>
      <c r="H2372" s="312">
        <v>1827</v>
      </c>
      <c r="I2372" s="312" t="s">
        <v>107</v>
      </c>
      <c r="J2372" s="312">
        <v>1913</v>
      </c>
      <c r="K2372" s="312" t="s">
        <v>109</v>
      </c>
    </row>
    <row r="2373" spans="1:11">
      <c r="A2373" s="312" t="s">
        <v>6006</v>
      </c>
      <c r="B2373" s="312" t="s">
        <v>6007</v>
      </c>
      <c r="C2373" s="312" t="s">
        <v>105</v>
      </c>
      <c r="D2373" s="312" t="s">
        <v>4753</v>
      </c>
      <c r="E2373" s="312" t="s">
        <v>107</v>
      </c>
      <c r="F2373" s="312">
        <v>1825</v>
      </c>
      <c r="G2373" s="312" t="s">
        <v>108</v>
      </c>
      <c r="H2373" s="312">
        <v>1827</v>
      </c>
      <c r="I2373" s="312" t="s">
        <v>107</v>
      </c>
      <c r="J2373" s="312">
        <v>1913</v>
      </c>
      <c r="K2373" s="312" t="s">
        <v>109</v>
      </c>
    </row>
    <row r="2374" spans="1:11">
      <c r="A2374" s="312" t="s">
        <v>6008</v>
      </c>
      <c r="B2374" s="312" t="s">
        <v>6009</v>
      </c>
      <c r="C2374" s="312" t="s">
        <v>105</v>
      </c>
      <c r="D2374" s="312" t="s">
        <v>4753</v>
      </c>
      <c r="E2374" s="312" t="s">
        <v>107</v>
      </c>
      <c r="F2374" s="312">
        <v>1825</v>
      </c>
      <c r="G2374" s="312" t="s">
        <v>108</v>
      </c>
      <c r="H2374" s="312">
        <v>1827</v>
      </c>
      <c r="I2374" s="312" t="s">
        <v>107</v>
      </c>
      <c r="J2374" s="312">
        <v>1913</v>
      </c>
      <c r="K2374" s="312" t="s">
        <v>109</v>
      </c>
    </row>
    <row r="2375" spans="1:11">
      <c r="A2375" s="312" t="s">
        <v>6010</v>
      </c>
      <c r="B2375" s="312" t="s">
        <v>6011</v>
      </c>
      <c r="C2375" s="312" t="s">
        <v>105</v>
      </c>
      <c r="D2375" s="312" t="s">
        <v>4753</v>
      </c>
      <c r="E2375" s="312" t="s">
        <v>107</v>
      </c>
      <c r="F2375" s="312">
        <v>1825</v>
      </c>
      <c r="G2375" s="312" t="s">
        <v>108</v>
      </c>
      <c r="H2375" s="312">
        <v>1827</v>
      </c>
      <c r="I2375" s="312" t="s">
        <v>107</v>
      </c>
      <c r="J2375" s="312">
        <v>1913</v>
      </c>
      <c r="K2375" s="312" t="s">
        <v>109</v>
      </c>
    </row>
    <row r="2376" spans="1:11">
      <c r="A2376" s="312" t="s">
        <v>6012</v>
      </c>
      <c r="B2376" s="312" t="s">
        <v>6013</v>
      </c>
      <c r="C2376" s="312" t="s">
        <v>105</v>
      </c>
      <c r="D2376" s="312" t="s">
        <v>4753</v>
      </c>
      <c r="E2376" s="312" t="s">
        <v>107</v>
      </c>
      <c r="F2376" s="312">
        <v>1825</v>
      </c>
      <c r="G2376" s="312" t="s">
        <v>108</v>
      </c>
      <c r="H2376" s="312">
        <v>1827</v>
      </c>
      <c r="I2376" s="312" t="s">
        <v>107</v>
      </c>
      <c r="J2376" s="312">
        <v>1913</v>
      </c>
      <c r="K2376" s="312" t="s">
        <v>109</v>
      </c>
    </row>
    <row r="2377" spans="1:11">
      <c r="A2377" s="312" t="s">
        <v>1286</v>
      </c>
      <c r="B2377" s="312" t="s">
        <v>1287</v>
      </c>
      <c r="C2377" s="312" t="s">
        <v>105</v>
      </c>
      <c r="D2377" s="312" t="s">
        <v>1288</v>
      </c>
      <c r="E2377" s="312" t="s">
        <v>107</v>
      </c>
      <c r="F2377" s="312">
        <v>1825</v>
      </c>
      <c r="G2377" s="312" t="s">
        <v>108</v>
      </c>
      <c r="H2377" s="312">
        <v>1827</v>
      </c>
      <c r="I2377" s="312" t="s">
        <v>107</v>
      </c>
      <c r="J2377" s="312">
        <v>1913</v>
      </c>
      <c r="K2377" s="312" t="s">
        <v>109</v>
      </c>
    </row>
    <row r="2378" spans="1:11">
      <c r="A2378" s="312" t="s">
        <v>1423</v>
      </c>
      <c r="B2378" s="312" t="s">
        <v>1424</v>
      </c>
      <c r="C2378" s="312" t="s">
        <v>105</v>
      </c>
      <c r="D2378" s="312" t="s">
        <v>1288</v>
      </c>
      <c r="E2378" s="312" t="s">
        <v>107</v>
      </c>
      <c r="F2378" s="312">
        <v>1825</v>
      </c>
      <c r="G2378" s="312" t="s">
        <v>108</v>
      </c>
      <c r="H2378" s="312">
        <v>1827</v>
      </c>
      <c r="I2378" s="312" t="s">
        <v>107</v>
      </c>
      <c r="J2378" s="312">
        <v>1913</v>
      </c>
      <c r="K2378" s="312" t="s">
        <v>109</v>
      </c>
    </row>
    <row r="2379" spans="1:11">
      <c r="A2379" s="6" t="s">
        <v>1778</v>
      </c>
      <c r="B2379" s="312" t="s">
        <v>1779</v>
      </c>
      <c r="C2379" s="312" t="s">
        <v>105</v>
      </c>
      <c r="D2379" s="312" t="s">
        <v>1288</v>
      </c>
      <c r="E2379" s="312" t="s">
        <v>107</v>
      </c>
      <c r="F2379" s="312">
        <v>1825</v>
      </c>
      <c r="G2379" s="312" t="s">
        <v>108</v>
      </c>
      <c r="H2379" s="312">
        <v>1827</v>
      </c>
      <c r="I2379" s="312" t="s">
        <v>107</v>
      </c>
      <c r="J2379" s="312">
        <v>1913</v>
      </c>
      <c r="K2379" s="312" t="s">
        <v>109</v>
      </c>
    </row>
    <row r="2380" spans="1:11">
      <c r="A2380" s="312" t="s">
        <v>3769</v>
      </c>
      <c r="B2380" s="312" t="s">
        <v>3770</v>
      </c>
      <c r="C2380" s="312" t="s">
        <v>105</v>
      </c>
      <c r="D2380" s="312" t="s">
        <v>1288</v>
      </c>
      <c r="E2380" s="312" t="s">
        <v>107</v>
      </c>
      <c r="F2380" s="312">
        <v>1825</v>
      </c>
      <c r="G2380" s="312" t="s">
        <v>108</v>
      </c>
      <c r="H2380" s="312">
        <v>1827</v>
      </c>
      <c r="I2380" s="312" t="s">
        <v>107</v>
      </c>
      <c r="J2380" s="312">
        <v>1913</v>
      </c>
      <c r="K2380" s="312" t="s">
        <v>109</v>
      </c>
    </row>
    <row r="2381" spans="1:11">
      <c r="A2381" s="312" t="s">
        <v>4247</v>
      </c>
      <c r="B2381" s="312" t="s">
        <v>4248</v>
      </c>
      <c r="C2381" s="312" t="s">
        <v>105</v>
      </c>
      <c r="D2381" s="312" t="s">
        <v>1288</v>
      </c>
      <c r="E2381" s="312" t="s">
        <v>107</v>
      </c>
      <c r="F2381" s="312">
        <v>1825</v>
      </c>
      <c r="G2381" s="312" t="s">
        <v>108</v>
      </c>
      <c r="H2381" s="312">
        <v>1827</v>
      </c>
      <c r="I2381" s="312" t="s">
        <v>107</v>
      </c>
      <c r="J2381" s="312">
        <v>1913</v>
      </c>
      <c r="K2381" s="312" t="s">
        <v>109</v>
      </c>
    </row>
    <row r="2382" spans="1:11">
      <c r="A2382" s="312" t="s">
        <v>5868</v>
      </c>
      <c r="B2382" s="312" t="s">
        <v>5869</v>
      </c>
      <c r="C2382" s="312" t="s">
        <v>105</v>
      </c>
      <c r="D2382" s="312" t="s">
        <v>1288</v>
      </c>
      <c r="E2382" s="312" t="s">
        <v>107</v>
      </c>
      <c r="F2382" s="312">
        <v>1825</v>
      </c>
      <c r="G2382" s="312" t="s">
        <v>108</v>
      </c>
      <c r="H2382" s="312">
        <v>1827</v>
      </c>
      <c r="I2382" s="312" t="s">
        <v>107</v>
      </c>
      <c r="J2382" s="312">
        <v>1913</v>
      </c>
      <c r="K2382" s="312" t="s">
        <v>109</v>
      </c>
    </row>
    <row r="2383" spans="1:11">
      <c r="A2383" s="312" t="s">
        <v>5927</v>
      </c>
      <c r="B2383" s="312" t="s">
        <v>5928</v>
      </c>
      <c r="C2383" s="312" t="s">
        <v>105</v>
      </c>
      <c r="D2383" s="312" t="s">
        <v>1288</v>
      </c>
      <c r="E2383" s="312" t="s">
        <v>107</v>
      </c>
      <c r="F2383" s="312">
        <v>1825</v>
      </c>
      <c r="G2383" s="312" t="s">
        <v>108</v>
      </c>
      <c r="H2383" s="312">
        <v>1827</v>
      </c>
      <c r="I2383" s="312" t="s">
        <v>107</v>
      </c>
      <c r="J2383" s="312">
        <v>1913</v>
      </c>
      <c r="K2383" s="312" t="s">
        <v>109</v>
      </c>
    </row>
    <row r="2384" spans="1:11">
      <c r="A2384" s="312" t="s">
        <v>5950</v>
      </c>
      <c r="B2384" s="312" t="s">
        <v>5951</v>
      </c>
      <c r="C2384" s="312" t="s">
        <v>105</v>
      </c>
      <c r="D2384" s="312" t="s">
        <v>1288</v>
      </c>
      <c r="E2384" s="312" t="s">
        <v>107</v>
      </c>
      <c r="F2384" s="312">
        <v>1825</v>
      </c>
      <c r="G2384" s="312" t="s">
        <v>108</v>
      </c>
      <c r="H2384" s="312">
        <v>1827</v>
      </c>
      <c r="I2384" s="312" t="s">
        <v>107</v>
      </c>
      <c r="J2384" s="312">
        <v>1913</v>
      </c>
      <c r="K2384" s="312" t="s">
        <v>109</v>
      </c>
    </row>
    <row r="2385" spans="1:11">
      <c r="A2385" s="312" t="s">
        <v>2250</v>
      </c>
      <c r="B2385" s="312" t="s">
        <v>2251</v>
      </c>
      <c r="C2385" s="312" t="s">
        <v>105</v>
      </c>
      <c r="D2385" s="312" t="s">
        <v>2252</v>
      </c>
      <c r="E2385" s="312" t="s">
        <v>107</v>
      </c>
      <c r="F2385" s="312">
        <v>1825</v>
      </c>
      <c r="G2385" s="312" t="s">
        <v>108</v>
      </c>
      <c r="H2385" s="312">
        <v>1827</v>
      </c>
      <c r="I2385" s="312" t="s">
        <v>107</v>
      </c>
      <c r="J2385" s="312">
        <v>1913</v>
      </c>
      <c r="K2385" s="312" t="s">
        <v>109</v>
      </c>
    </row>
    <row r="2386" spans="1:11">
      <c r="A2386" s="312" t="s">
        <v>3478</v>
      </c>
      <c r="B2386" s="312" t="s">
        <v>3479</v>
      </c>
      <c r="C2386" s="312" t="s">
        <v>105</v>
      </c>
      <c r="D2386" s="312" t="s">
        <v>2252</v>
      </c>
      <c r="E2386" s="312" t="s">
        <v>3480</v>
      </c>
      <c r="F2386" s="312">
        <v>1708</v>
      </c>
      <c r="G2386" s="312" t="s">
        <v>3481</v>
      </c>
      <c r="H2386" s="312">
        <v>1710</v>
      </c>
      <c r="I2386" s="312" t="s">
        <v>3480</v>
      </c>
      <c r="J2386" s="312">
        <v>1909</v>
      </c>
      <c r="K2386" s="312" t="s">
        <v>3482</v>
      </c>
    </row>
    <row r="2387" spans="1:11">
      <c r="A2387" s="312" t="s">
        <v>5966</v>
      </c>
      <c r="B2387" s="312" t="s">
        <v>5967</v>
      </c>
      <c r="C2387" s="312" t="s">
        <v>105</v>
      </c>
      <c r="D2387" s="312" t="s">
        <v>2252</v>
      </c>
      <c r="E2387" s="312" t="s">
        <v>107</v>
      </c>
      <c r="F2387" s="312">
        <v>1825</v>
      </c>
      <c r="G2387" s="312" t="s">
        <v>108</v>
      </c>
      <c r="H2387" s="312">
        <v>1827</v>
      </c>
      <c r="I2387" s="312" t="s">
        <v>107</v>
      </c>
      <c r="J2387" s="312">
        <v>1913</v>
      </c>
      <c r="K2387" s="312" t="s">
        <v>109</v>
      </c>
    </row>
    <row r="2388" spans="1:11">
      <c r="A2388" s="312" t="s">
        <v>5968</v>
      </c>
      <c r="B2388" s="312" t="s">
        <v>5969</v>
      </c>
      <c r="C2388" s="312" t="s">
        <v>105</v>
      </c>
      <c r="D2388" s="312" t="s">
        <v>2252</v>
      </c>
      <c r="E2388" s="312" t="s">
        <v>107</v>
      </c>
      <c r="F2388" s="312">
        <v>1825</v>
      </c>
      <c r="G2388" s="312" t="s">
        <v>108</v>
      </c>
      <c r="H2388" s="312">
        <v>1827</v>
      </c>
      <c r="I2388" s="312" t="s">
        <v>107</v>
      </c>
      <c r="J2388" s="312">
        <v>1913</v>
      </c>
      <c r="K2388" s="312" t="s">
        <v>109</v>
      </c>
    </row>
    <row r="2389" spans="1:11">
      <c r="A2389" s="312" t="s">
        <v>5970</v>
      </c>
      <c r="B2389" s="312" t="s">
        <v>5971</v>
      </c>
      <c r="C2389" s="312" t="s">
        <v>105</v>
      </c>
      <c r="D2389" s="312" t="s">
        <v>2252</v>
      </c>
      <c r="E2389" s="312" t="s">
        <v>107</v>
      </c>
      <c r="F2389" s="312">
        <v>1825</v>
      </c>
      <c r="G2389" s="312" t="s">
        <v>108</v>
      </c>
      <c r="H2389" s="312">
        <v>1827</v>
      </c>
      <c r="I2389" s="312" t="s">
        <v>107</v>
      </c>
      <c r="J2389" s="312">
        <v>1913</v>
      </c>
      <c r="K2389" s="312" t="s">
        <v>109</v>
      </c>
    </row>
    <row r="2390" spans="1:11">
      <c r="A2390" s="312" t="s">
        <v>5972</v>
      </c>
      <c r="B2390" s="312" t="s">
        <v>5973</v>
      </c>
      <c r="C2390" s="312" t="s">
        <v>105</v>
      </c>
      <c r="D2390" s="312" t="s">
        <v>2252</v>
      </c>
      <c r="E2390" s="312" t="s">
        <v>107</v>
      </c>
      <c r="F2390" s="312">
        <v>1825</v>
      </c>
      <c r="G2390" s="312" t="s">
        <v>108</v>
      </c>
      <c r="H2390" s="312">
        <v>1827</v>
      </c>
      <c r="I2390" s="312" t="s">
        <v>107</v>
      </c>
      <c r="J2390" s="312">
        <v>1913</v>
      </c>
      <c r="K2390" s="312" t="s">
        <v>109</v>
      </c>
    </row>
    <row r="2391" spans="1:11">
      <c r="A2391" s="312" t="s">
        <v>5974</v>
      </c>
      <c r="B2391" s="312" t="s">
        <v>5975</v>
      </c>
      <c r="C2391" s="312" t="s">
        <v>105</v>
      </c>
      <c r="D2391" s="312" t="s">
        <v>2252</v>
      </c>
      <c r="E2391" s="312" t="s">
        <v>107</v>
      </c>
      <c r="F2391" s="312">
        <v>1825</v>
      </c>
      <c r="G2391" s="312" t="s">
        <v>108</v>
      </c>
      <c r="H2391" s="312">
        <v>1827</v>
      </c>
      <c r="I2391" s="312" t="s">
        <v>107</v>
      </c>
      <c r="J2391" s="312">
        <v>1913</v>
      </c>
      <c r="K2391" s="312" t="s">
        <v>109</v>
      </c>
    </row>
    <row r="2392" spans="1:11">
      <c r="A2392" s="312" t="s">
        <v>598</v>
      </c>
      <c r="B2392" s="312" t="s">
        <v>599</v>
      </c>
      <c r="C2392" s="312" t="s">
        <v>105</v>
      </c>
      <c r="D2392" s="312" t="s">
        <v>600</v>
      </c>
      <c r="E2392" s="312" t="s">
        <v>107</v>
      </c>
      <c r="F2392" s="312">
        <v>1825</v>
      </c>
      <c r="G2392" s="312" t="s">
        <v>108</v>
      </c>
      <c r="H2392" s="312">
        <v>1827</v>
      </c>
      <c r="I2392" s="312" t="s">
        <v>107</v>
      </c>
      <c r="J2392" s="312">
        <v>1913</v>
      </c>
      <c r="K2392" s="312" t="s">
        <v>109</v>
      </c>
    </row>
    <row r="2393" spans="1:11">
      <c r="A2393" s="312" t="s">
        <v>606</v>
      </c>
      <c r="B2393" s="312" t="s">
        <v>607</v>
      </c>
      <c r="C2393" s="312" t="s">
        <v>105</v>
      </c>
      <c r="D2393" s="312" t="s">
        <v>600</v>
      </c>
      <c r="E2393" s="312" t="s">
        <v>107</v>
      </c>
      <c r="F2393" s="312">
        <v>1825</v>
      </c>
      <c r="G2393" s="312" t="s">
        <v>108</v>
      </c>
      <c r="H2393" s="312">
        <v>1827</v>
      </c>
      <c r="I2393" s="312" t="s">
        <v>107</v>
      </c>
      <c r="J2393" s="312">
        <v>1913</v>
      </c>
      <c r="K2393" s="312" t="s">
        <v>109</v>
      </c>
    </row>
    <row r="2394" spans="1:11">
      <c r="A2394" s="312" t="s">
        <v>682</v>
      </c>
      <c r="B2394" s="312" t="s">
        <v>683</v>
      </c>
      <c r="C2394" s="312" t="s">
        <v>105</v>
      </c>
      <c r="D2394" s="312" t="s">
        <v>600</v>
      </c>
      <c r="E2394" s="312" t="s">
        <v>684</v>
      </c>
      <c r="F2394" s="312">
        <v>1750</v>
      </c>
      <c r="G2394" s="312" t="s">
        <v>685</v>
      </c>
      <c r="H2394" s="312">
        <v>1754</v>
      </c>
      <c r="I2394" s="312" t="s">
        <v>684</v>
      </c>
      <c r="J2394" s="312">
        <v>1920</v>
      </c>
      <c r="K2394" s="312" t="s">
        <v>686</v>
      </c>
    </row>
    <row r="2395" spans="1:11">
      <c r="A2395" s="312" t="s">
        <v>687</v>
      </c>
      <c r="B2395" s="312" t="s">
        <v>688</v>
      </c>
      <c r="C2395" s="312" t="s">
        <v>105</v>
      </c>
      <c r="D2395" s="312" t="s">
        <v>600</v>
      </c>
      <c r="E2395" s="312" t="s">
        <v>684</v>
      </c>
      <c r="F2395" s="312">
        <v>1750</v>
      </c>
      <c r="G2395" s="312" t="s">
        <v>685</v>
      </c>
      <c r="H2395" s="312">
        <v>1754</v>
      </c>
      <c r="I2395" s="312" t="s">
        <v>684</v>
      </c>
      <c r="J2395" s="312">
        <v>1920</v>
      </c>
      <c r="K2395" s="312" t="s">
        <v>686</v>
      </c>
    </row>
    <row r="2396" spans="1:11">
      <c r="A2396" s="312" t="s">
        <v>731</v>
      </c>
      <c r="B2396" s="312" t="s">
        <v>732</v>
      </c>
      <c r="C2396" s="312" t="s">
        <v>105</v>
      </c>
      <c r="D2396" s="312" t="s">
        <v>600</v>
      </c>
      <c r="E2396" s="312" t="s">
        <v>107</v>
      </c>
      <c r="F2396" s="312">
        <v>1825</v>
      </c>
      <c r="G2396" s="312" t="s">
        <v>108</v>
      </c>
      <c r="H2396" s="312">
        <v>1827</v>
      </c>
      <c r="I2396" s="312" t="s">
        <v>107</v>
      </c>
      <c r="J2396" s="312">
        <v>1913</v>
      </c>
      <c r="K2396" s="312" t="s">
        <v>109</v>
      </c>
    </row>
    <row r="2397" spans="1:11">
      <c r="A2397" s="312" t="s">
        <v>733</v>
      </c>
      <c r="B2397" s="312" t="s">
        <v>734</v>
      </c>
      <c r="C2397" s="312" t="s">
        <v>105</v>
      </c>
      <c r="D2397" s="312" t="s">
        <v>600</v>
      </c>
      <c r="E2397" s="312" t="s">
        <v>107</v>
      </c>
      <c r="F2397" s="312">
        <v>1825</v>
      </c>
      <c r="G2397" s="312" t="s">
        <v>108</v>
      </c>
      <c r="H2397" s="312">
        <v>1827</v>
      </c>
      <c r="I2397" s="312" t="s">
        <v>107</v>
      </c>
      <c r="J2397" s="312">
        <v>1913</v>
      </c>
      <c r="K2397" s="312" t="s">
        <v>109</v>
      </c>
    </row>
    <row r="2398" spans="1:11">
      <c r="A2398" s="312" t="s">
        <v>1315</v>
      </c>
      <c r="B2398" s="312" t="s">
        <v>1316</v>
      </c>
      <c r="C2398" s="312" t="s">
        <v>105</v>
      </c>
      <c r="D2398" s="312" t="s">
        <v>600</v>
      </c>
      <c r="E2398" s="312" t="s">
        <v>107</v>
      </c>
      <c r="F2398" s="312">
        <v>1825</v>
      </c>
      <c r="G2398" s="312" t="s">
        <v>108</v>
      </c>
      <c r="H2398" s="312">
        <v>1827</v>
      </c>
      <c r="I2398" s="312" t="s">
        <v>107</v>
      </c>
      <c r="J2398" s="312">
        <v>1913</v>
      </c>
      <c r="K2398" s="312" t="s">
        <v>109</v>
      </c>
    </row>
    <row r="2399" spans="1:11">
      <c r="A2399" s="312" t="s">
        <v>1572</v>
      </c>
      <c r="B2399" s="312" t="s">
        <v>1573</v>
      </c>
      <c r="C2399" s="312" t="s">
        <v>105</v>
      </c>
      <c r="D2399" s="312" t="s">
        <v>600</v>
      </c>
      <c r="E2399" s="312" t="s">
        <v>107</v>
      </c>
      <c r="F2399" s="312">
        <v>1825</v>
      </c>
      <c r="G2399" s="312" t="s">
        <v>108</v>
      </c>
      <c r="H2399" s="312">
        <v>1827</v>
      </c>
      <c r="I2399" s="312" t="s">
        <v>107</v>
      </c>
      <c r="J2399" s="312">
        <v>1913</v>
      </c>
      <c r="K2399" s="312" t="s">
        <v>109</v>
      </c>
    </row>
    <row r="2400" spans="1:11">
      <c r="A2400" s="312" t="s">
        <v>1722</v>
      </c>
      <c r="B2400" s="312" t="s">
        <v>1723</v>
      </c>
      <c r="C2400" s="312" t="s">
        <v>105</v>
      </c>
      <c r="D2400" s="312" t="s">
        <v>600</v>
      </c>
      <c r="E2400" s="312" t="s">
        <v>696</v>
      </c>
      <c r="F2400" s="312">
        <v>1736</v>
      </c>
      <c r="G2400" s="312" t="s">
        <v>697</v>
      </c>
      <c r="H2400" s="312">
        <v>1741</v>
      </c>
      <c r="I2400" s="312" t="s">
        <v>696</v>
      </c>
      <c r="J2400" s="312">
        <v>1929</v>
      </c>
      <c r="K2400" s="312" t="s">
        <v>698</v>
      </c>
    </row>
    <row r="2401" spans="1:11">
      <c r="A2401" s="312" t="s">
        <v>1976</v>
      </c>
      <c r="B2401" s="312" t="s">
        <v>1977</v>
      </c>
      <c r="C2401" s="312" t="s">
        <v>105</v>
      </c>
      <c r="D2401" s="312" t="s">
        <v>600</v>
      </c>
      <c r="E2401" s="312" t="s">
        <v>107</v>
      </c>
      <c r="F2401" s="312">
        <v>1825</v>
      </c>
      <c r="G2401" s="312" t="s">
        <v>108</v>
      </c>
      <c r="H2401" s="312">
        <v>1827</v>
      </c>
      <c r="I2401" s="312" t="s">
        <v>107</v>
      </c>
      <c r="J2401" s="312">
        <v>1913</v>
      </c>
      <c r="K2401" s="312" t="s">
        <v>109</v>
      </c>
    </row>
    <row r="2402" spans="1:11">
      <c r="A2402" s="312" t="s">
        <v>2519</v>
      </c>
      <c r="B2402" s="312" t="s">
        <v>2520</v>
      </c>
      <c r="C2402" s="312" t="s">
        <v>105</v>
      </c>
      <c r="D2402" s="312" t="s">
        <v>600</v>
      </c>
      <c r="E2402" s="312" t="s">
        <v>696</v>
      </c>
      <c r="F2402" s="312">
        <v>1736</v>
      </c>
      <c r="G2402" s="312" t="s">
        <v>697</v>
      </c>
      <c r="H2402" s="312">
        <v>1741</v>
      </c>
      <c r="I2402" s="312" t="s">
        <v>696</v>
      </c>
      <c r="J2402" s="312">
        <v>1929</v>
      </c>
      <c r="K2402" s="312" t="s">
        <v>698</v>
      </c>
    </row>
    <row r="2403" spans="1:11">
      <c r="A2403" s="312" t="s">
        <v>2525</v>
      </c>
      <c r="B2403" s="312" t="s">
        <v>2526</v>
      </c>
      <c r="C2403" s="312" t="s">
        <v>105</v>
      </c>
      <c r="D2403" s="312" t="s">
        <v>600</v>
      </c>
      <c r="E2403" s="312" t="s">
        <v>696</v>
      </c>
      <c r="F2403" s="312">
        <v>1736</v>
      </c>
      <c r="G2403" s="312" t="s">
        <v>697</v>
      </c>
      <c r="H2403" s="312">
        <v>1741</v>
      </c>
      <c r="I2403" s="312" t="s">
        <v>696</v>
      </c>
      <c r="J2403" s="312">
        <v>1929</v>
      </c>
      <c r="K2403" s="312" t="s">
        <v>698</v>
      </c>
    </row>
    <row r="2404" spans="1:11">
      <c r="A2404" s="312" t="s">
        <v>3312</v>
      </c>
      <c r="B2404" s="312" t="s">
        <v>3313</v>
      </c>
      <c r="C2404" s="312" t="s">
        <v>105</v>
      </c>
      <c r="D2404" s="312" t="s">
        <v>600</v>
      </c>
      <c r="E2404" s="312" t="s">
        <v>107</v>
      </c>
      <c r="F2404" s="312">
        <v>1825</v>
      </c>
      <c r="G2404" s="312" t="s">
        <v>108</v>
      </c>
      <c r="H2404" s="312">
        <v>1827</v>
      </c>
      <c r="I2404" s="312" t="s">
        <v>107</v>
      </c>
      <c r="J2404" s="312">
        <v>1913</v>
      </c>
      <c r="K2404" s="312" t="s">
        <v>109</v>
      </c>
    </row>
    <row r="2405" spans="1:11">
      <c r="A2405" s="312" t="s">
        <v>3743</v>
      </c>
      <c r="B2405" s="312" t="s">
        <v>3744</v>
      </c>
      <c r="C2405" s="312" t="s">
        <v>105</v>
      </c>
      <c r="D2405" s="312" t="s">
        <v>600</v>
      </c>
      <c r="E2405" s="312" t="s">
        <v>684</v>
      </c>
      <c r="F2405" s="312">
        <v>1750</v>
      </c>
      <c r="G2405" s="312" t="s">
        <v>685</v>
      </c>
      <c r="H2405" s="312">
        <v>1754</v>
      </c>
      <c r="I2405" s="312" t="s">
        <v>684</v>
      </c>
      <c r="J2405" s="312">
        <v>1920</v>
      </c>
      <c r="K2405" s="312" t="s">
        <v>686</v>
      </c>
    </row>
    <row r="2406" spans="1:11">
      <c r="A2406" s="312" t="s">
        <v>4295</v>
      </c>
      <c r="B2406" s="312" t="s">
        <v>4296</v>
      </c>
      <c r="C2406" s="312" t="s">
        <v>105</v>
      </c>
      <c r="D2406" s="312" t="s">
        <v>600</v>
      </c>
      <c r="E2406" s="312" t="s">
        <v>107</v>
      </c>
      <c r="F2406" s="312">
        <v>1825</v>
      </c>
      <c r="G2406" s="312" t="s">
        <v>108</v>
      </c>
      <c r="H2406" s="312">
        <v>1827</v>
      </c>
      <c r="I2406" s="312" t="s">
        <v>107</v>
      </c>
      <c r="J2406" s="312">
        <v>1913</v>
      </c>
      <c r="K2406" s="312" t="s">
        <v>109</v>
      </c>
    </row>
    <row r="2407" spans="1:11">
      <c r="A2407" s="312" t="s">
        <v>4390</v>
      </c>
      <c r="B2407" s="312" t="s">
        <v>4391</v>
      </c>
      <c r="C2407" s="312" t="s">
        <v>105</v>
      </c>
      <c r="D2407" s="312" t="s">
        <v>600</v>
      </c>
      <c r="E2407" s="312" t="s">
        <v>107</v>
      </c>
      <c r="F2407" s="312">
        <v>1825</v>
      </c>
      <c r="G2407" s="312" t="s">
        <v>108</v>
      </c>
      <c r="H2407" s="312">
        <v>1827</v>
      </c>
      <c r="I2407" s="312" t="s">
        <v>107</v>
      </c>
      <c r="J2407" s="312">
        <v>1913</v>
      </c>
      <c r="K2407" s="312" t="s">
        <v>109</v>
      </c>
    </row>
    <row r="2408" spans="1:11">
      <c r="A2408" s="312" t="s">
        <v>4392</v>
      </c>
      <c r="B2408" s="312" t="s">
        <v>4393</v>
      </c>
      <c r="C2408" s="312" t="s">
        <v>105</v>
      </c>
      <c r="D2408" s="312" t="s">
        <v>600</v>
      </c>
      <c r="E2408" s="312" t="s">
        <v>107</v>
      </c>
      <c r="F2408" s="312">
        <v>1825</v>
      </c>
      <c r="G2408" s="312" t="s">
        <v>108</v>
      </c>
      <c r="H2408" s="312">
        <v>1827</v>
      </c>
      <c r="I2408" s="312" t="s">
        <v>107</v>
      </c>
      <c r="J2408" s="312">
        <v>1913</v>
      </c>
      <c r="K2408" s="312" t="s">
        <v>109</v>
      </c>
    </row>
    <row r="2409" spans="1:11">
      <c r="A2409" s="312" t="s">
        <v>4396</v>
      </c>
      <c r="B2409" s="312" t="s">
        <v>4397</v>
      </c>
      <c r="C2409" s="312" t="s">
        <v>105</v>
      </c>
      <c r="D2409" s="312" t="s">
        <v>600</v>
      </c>
      <c r="E2409" s="312" t="s">
        <v>107</v>
      </c>
      <c r="F2409" s="312">
        <v>1825</v>
      </c>
      <c r="G2409" s="312" t="s">
        <v>108</v>
      </c>
      <c r="H2409" s="312">
        <v>1827</v>
      </c>
      <c r="I2409" s="312" t="s">
        <v>107</v>
      </c>
      <c r="J2409" s="312">
        <v>1913</v>
      </c>
      <c r="K2409" s="312" t="s">
        <v>109</v>
      </c>
    </row>
    <row r="2410" spans="1:11">
      <c r="A2410" s="312" t="s">
        <v>4398</v>
      </c>
      <c r="B2410" s="312" t="s">
        <v>4399</v>
      </c>
      <c r="C2410" s="312" t="s">
        <v>105</v>
      </c>
      <c r="D2410" s="312" t="s">
        <v>600</v>
      </c>
      <c r="E2410" s="312" t="s">
        <v>107</v>
      </c>
      <c r="F2410" s="312">
        <v>1825</v>
      </c>
      <c r="G2410" s="312" t="s">
        <v>108</v>
      </c>
      <c r="H2410" s="312">
        <v>1827</v>
      </c>
      <c r="I2410" s="312" t="s">
        <v>107</v>
      </c>
      <c r="J2410" s="312">
        <v>1913</v>
      </c>
      <c r="K2410" s="312" t="s">
        <v>109</v>
      </c>
    </row>
    <row r="2411" spans="1:11">
      <c r="A2411" s="312" t="s">
        <v>5870</v>
      </c>
      <c r="B2411" s="312" t="s">
        <v>5871</v>
      </c>
      <c r="C2411" s="312" t="s">
        <v>105</v>
      </c>
      <c r="D2411" s="312" t="s">
        <v>600</v>
      </c>
      <c r="E2411" s="312" t="s">
        <v>107</v>
      </c>
      <c r="F2411" s="312">
        <v>1825</v>
      </c>
      <c r="G2411" s="312" t="s">
        <v>108</v>
      </c>
      <c r="H2411" s="312">
        <v>1827</v>
      </c>
      <c r="I2411" s="312" t="s">
        <v>107</v>
      </c>
      <c r="J2411" s="312">
        <v>1913</v>
      </c>
      <c r="K2411" s="312" t="s">
        <v>109</v>
      </c>
    </row>
    <row r="2412" spans="1:11">
      <c r="A2412" s="312" t="s">
        <v>5948</v>
      </c>
      <c r="B2412" s="312" t="s">
        <v>5949</v>
      </c>
      <c r="C2412" s="312" t="s">
        <v>105</v>
      </c>
      <c r="D2412" s="312" t="s">
        <v>600</v>
      </c>
      <c r="E2412" s="312" t="s">
        <v>107</v>
      </c>
      <c r="F2412" s="312">
        <v>1825</v>
      </c>
      <c r="G2412" s="312" t="s">
        <v>108</v>
      </c>
      <c r="H2412" s="312">
        <v>1827</v>
      </c>
      <c r="I2412" s="312" t="s">
        <v>107</v>
      </c>
      <c r="J2412" s="312">
        <v>1913</v>
      </c>
      <c r="K2412" s="312" t="s">
        <v>109</v>
      </c>
    </row>
    <row r="2413" spans="1:11">
      <c r="A2413" s="312" t="s">
        <v>5952</v>
      </c>
      <c r="B2413" s="312" t="s">
        <v>5953</v>
      </c>
      <c r="C2413" s="312" t="s">
        <v>105</v>
      </c>
      <c r="D2413" s="312" t="s">
        <v>600</v>
      </c>
      <c r="E2413" s="312" t="s">
        <v>107</v>
      </c>
      <c r="F2413" s="312">
        <v>1825</v>
      </c>
      <c r="G2413" s="312" t="s">
        <v>108</v>
      </c>
      <c r="H2413" s="312">
        <v>1827</v>
      </c>
      <c r="I2413" s="312" t="s">
        <v>107</v>
      </c>
      <c r="J2413" s="312">
        <v>1913</v>
      </c>
      <c r="K2413" s="312" t="s">
        <v>109</v>
      </c>
    </row>
    <row r="2414" spans="1:11">
      <c r="A2414" s="312" t="s">
        <v>4385</v>
      </c>
      <c r="B2414" s="312" t="s">
        <v>4386</v>
      </c>
      <c r="C2414" s="312" t="s">
        <v>105</v>
      </c>
      <c r="D2414" s="312" t="s">
        <v>4387</v>
      </c>
      <c r="E2414" s="312" t="s">
        <v>107</v>
      </c>
      <c r="F2414" s="312">
        <v>1825</v>
      </c>
      <c r="G2414" s="312" t="s">
        <v>108</v>
      </c>
      <c r="H2414" s="312">
        <v>1827</v>
      </c>
      <c r="I2414" s="312" t="s">
        <v>107</v>
      </c>
      <c r="J2414" s="312">
        <v>1913</v>
      </c>
      <c r="K2414" s="312" t="s">
        <v>109</v>
      </c>
    </row>
    <row r="2415" spans="1:11">
      <c r="A2415" s="312" t="s">
        <v>4394</v>
      </c>
      <c r="B2415" s="312" t="s">
        <v>4395</v>
      </c>
      <c r="C2415" s="312" t="s">
        <v>105</v>
      </c>
      <c r="D2415" s="312" t="s">
        <v>4387</v>
      </c>
      <c r="E2415" s="312" t="s">
        <v>107</v>
      </c>
      <c r="F2415" s="312">
        <v>1825</v>
      </c>
      <c r="G2415" s="312" t="s">
        <v>108</v>
      </c>
      <c r="H2415" s="312">
        <v>1827</v>
      </c>
      <c r="I2415" s="312" t="s">
        <v>107</v>
      </c>
      <c r="J2415" s="312">
        <v>1913</v>
      </c>
      <c r="K2415" s="312" t="s">
        <v>109</v>
      </c>
    </row>
    <row r="2416" spans="1:11">
      <c r="A2416" s="312" t="s">
        <v>4543</v>
      </c>
      <c r="B2416" s="312" t="s">
        <v>4544</v>
      </c>
      <c r="C2416" s="312" t="s">
        <v>105</v>
      </c>
      <c r="D2416" s="312" t="s">
        <v>4387</v>
      </c>
      <c r="E2416" s="312" t="s">
        <v>107</v>
      </c>
      <c r="F2416" s="312">
        <v>1825</v>
      </c>
      <c r="G2416" s="312" t="s">
        <v>108</v>
      </c>
      <c r="H2416" s="312">
        <v>1827</v>
      </c>
      <c r="I2416" s="312" t="s">
        <v>107</v>
      </c>
      <c r="J2416" s="312">
        <v>1913</v>
      </c>
      <c r="K2416" s="312" t="s">
        <v>109</v>
      </c>
    </row>
    <row r="2417" spans="1:11">
      <c r="A2417" s="312" t="s">
        <v>377</v>
      </c>
      <c r="B2417" s="312" t="s">
        <v>378</v>
      </c>
      <c r="C2417" s="312" t="s">
        <v>105</v>
      </c>
      <c r="D2417" s="312" t="s">
        <v>379</v>
      </c>
      <c r="E2417" s="312" t="s">
        <v>107</v>
      </c>
      <c r="F2417" s="312">
        <v>1825</v>
      </c>
      <c r="G2417" s="312" t="s">
        <v>108</v>
      </c>
      <c r="H2417" s="312">
        <v>1827</v>
      </c>
      <c r="I2417" s="312" t="s">
        <v>107</v>
      </c>
      <c r="J2417" s="312">
        <v>1913</v>
      </c>
      <c r="K2417" s="312" t="s">
        <v>109</v>
      </c>
    </row>
    <row r="2418" spans="1:11">
      <c r="A2418" s="312" t="s">
        <v>380</v>
      </c>
      <c r="B2418" s="312" t="s">
        <v>381</v>
      </c>
      <c r="C2418" s="312" t="s">
        <v>105</v>
      </c>
      <c r="D2418" s="312" t="s">
        <v>379</v>
      </c>
      <c r="E2418" s="312" t="s">
        <v>107</v>
      </c>
      <c r="F2418" s="312">
        <v>1825</v>
      </c>
      <c r="G2418" s="312" t="s">
        <v>108</v>
      </c>
      <c r="H2418" s="312">
        <v>1827</v>
      </c>
      <c r="I2418" s="312" t="s">
        <v>107</v>
      </c>
      <c r="J2418" s="312">
        <v>1913</v>
      </c>
      <c r="K2418" s="312" t="s">
        <v>109</v>
      </c>
    </row>
    <row r="2419" spans="1:11">
      <c r="A2419" s="3" t="s">
        <v>388</v>
      </c>
      <c r="B2419" s="312" t="s">
        <v>389</v>
      </c>
      <c r="C2419" s="312" t="s">
        <v>105</v>
      </c>
      <c r="D2419" s="312" t="s">
        <v>379</v>
      </c>
      <c r="E2419" s="312" t="s">
        <v>107</v>
      </c>
      <c r="F2419" s="312">
        <v>1825</v>
      </c>
      <c r="G2419" s="312" t="s">
        <v>108</v>
      </c>
      <c r="H2419" s="312">
        <v>1827</v>
      </c>
      <c r="I2419" s="312" t="s">
        <v>107</v>
      </c>
      <c r="J2419" s="312">
        <v>1913</v>
      </c>
      <c r="K2419" s="312" t="s">
        <v>109</v>
      </c>
    </row>
    <row r="2420" spans="1:11">
      <c r="A2420" s="312" t="s">
        <v>545</v>
      </c>
      <c r="B2420" s="312" t="s">
        <v>546</v>
      </c>
      <c r="C2420" s="312" t="s">
        <v>105</v>
      </c>
      <c r="D2420" s="312" t="s">
        <v>379</v>
      </c>
      <c r="E2420" s="312" t="s">
        <v>107</v>
      </c>
      <c r="F2420" s="312">
        <v>1825</v>
      </c>
      <c r="G2420" s="312" t="s">
        <v>108</v>
      </c>
      <c r="H2420" s="312">
        <v>1827</v>
      </c>
      <c r="I2420" s="312" t="s">
        <v>107</v>
      </c>
      <c r="J2420" s="312">
        <v>1913</v>
      </c>
      <c r="K2420" s="312" t="s">
        <v>109</v>
      </c>
    </row>
    <row r="2421" spans="1:11">
      <c r="A2421" s="312" t="s">
        <v>807</v>
      </c>
      <c r="B2421" s="312" t="s">
        <v>808</v>
      </c>
      <c r="C2421" s="312" t="s">
        <v>105</v>
      </c>
      <c r="D2421" s="312" t="s">
        <v>379</v>
      </c>
      <c r="E2421" s="312" t="s">
        <v>107</v>
      </c>
      <c r="F2421" s="312">
        <v>1825</v>
      </c>
      <c r="G2421" s="312" t="s">
        <v>108</v>
      </c>
      <c r="H2421" s="312">
        <v>1827</v>
      </c>
      <c r="I2421" s="312" t="s">
        <v>107</v>
      </c>
      <c r="J2421" s="312">
        <v>1913</v>
      </c>
      <c r="K2421" s="312" t="s">
        <v>109</v>
      </c>
    </row>
    <row r="2422" spans="1:11">
      <c r="A2422" s="312" t="s">
        <v>809</v>
      </c>
      <c r="B2422" s="312" t="s">
        <v>810</v>
      </c>
      <c r="C2422" s="312" t="s">
        <v>105</v>
      </c>
      <c r="D2422" s="312" t="s">
        <v>379</v>
      </c>
      <c r="E2422" s="312" t="s">
        <v>107</v>
      </c>
      <c r="F2422" s="312">
        <v>1825</v>
      </c>
      <c r="G2422" s="312" t="s">
        <v>108</v>
      </c>
      <c r="H2422" s="312">
        <v>1827</v>
      </c>
      <c r="I2422" s="312" t="s">
        <v>107</v>
      </c>
      <c r="J2422" s="312">
        <v>1913</v>
      </c>
      <c r="K2422" s="312" t="s">
        <v>109</v>
      </c>
    </row>
    <row r="2423" spans="1:11">
      <c r="A2423" s="312" t="s">
        <v>1267</v>
      </c>
      <c r="B2423" s="312" t="s">
        <v>1268</v>
      </c>
      <c r="C2423" s="312" t="s">
        <v>105</v>
      </c>
      <c r="D2423" s="312" t="s">
        <v>379</v>
      </c>
      <c r="E2423" s="312" t="s">
        <v>107</v>
      </c>
      <c r="F2423" s="312">
        <v>1825</v>
      </c>
      <c r="G2423" s="312" t="s">
        <v>108</v>
      </c>
      <c r="H2423" s="312">
        <v>1827</v>
      </c>
      <c r="I2423" s="312" t="s">
        <v>107</v>
      </c>
      <c r="J2423" s="312">
        <v>1913</v>
      </c>
      <c r="K2423" s="312" t="s">
        <v>109</v>
      </c>
    </row>
    <row r="2424" spans="1:11">
      <c r="A2424" s="312" t="s">
        <v>1966</v>
      </c>
      <c r="B2424" s="1" t="s">
        <v>1967</v>
      </c>
      <c r="C2424" s="312" t="s">
        <v>105</v>
      </c>
      <c r="D2424" s="312" t="s">
        <v>379</v>
      </c>
      <c r="E2424" s="312" t="s">
        <v>107</v>
      </c>
      <c r="F2424" s="312">
        <v>1825</v>
      </c>
      <c r="G2424" s="312" t="s">
        <v>108</v>
      </c>
      <c r="H2424" s="312">
        <v>1827</v>
      </c>
      <c r="I2424" s="312" t="s">
        <v>107</v>
      </c>
      <c r="J2424" s="312">
        <v>1913</v>
      </c>
      <c r="K2424" s="312" t="s">
        <v>109</v>
      </c>
    </row>
    <row r="2425" spans="1:11">
      <c r="A2425" s="312" t="s">
        <v>2253</v>
      </c>
      <c r="B2425" s="312" t="s">
        <v>2254</v>
      </c>
      <c r="C2425" s="312" t="s">
        <v>105</v>
      </c>
      <c r="D2425" s="312" t="s">
        <v>379</v>
      </c>
      <c r="E2425" s="312" t="s">
        <v>107</v>
      </c>
      <c r="F2425" s="312">
        <v>1825</v>
      </c>
      <c r="G2425" s="312" t="s">
        <v>108</v>
      </c>
      <c r="H2425" s="312">
        <v>1827</v>
      </c>
      <c r="I2425" s="312" t="s">
        <v>107</v>
      </c>
      <c r="J2425" s="312">
        <v>1913</v>
      </c>
      <c r="K2425" s="312" t="s">
        <v>109</v>
      </c>
    </row>
    <row r="2426" spans="1:11">
      <c r="A2426" s="312" t="s">
        <v>2788</v>
      </c>
      <c r="B2426" s="312" t="s">
        <v>2789</v>
      </c>
      <c r="C2426" s="312" t="s">
        <v>105</v>
      </c>
      <c r="D2426" s="312" t="s">
        <v>379</v>
      </c>
      <c r="E2426" s="312" t="s">
        <v>107</v>
      </c>
      <c r="F2426" s="312">
        <v>1825</v>
      </c>
      <c r="G2426" s="312" t="s">
        <v>108</v>
      </c>
      <c r="H2426" s="312">
        <v>1827</v>
      </c>
      <c r="I2426" s="312" t="s">
        <v>107</v>
      </c>
      <c r="J2426" s="312">
        <v>1913</v>
      </c>
      <c r="K2426" s="312" t="s">
        <v>109</v>
      </c>
    </row>
    <row r="2427" spans="1:11">
      <c r="A2427" s="312" t="s">
        <v>2790</v>
      </c>
      <c r="B2427" s="312" t="s">
        <v>2791</v>
      </c>
      <c r="C2427" s="312" t="s">
        <v>105</v>
      </c>
      <c r="D2427" s="312" t="s">
        <v>379</v>
      </c>
      <c r="E2427" s="312" t="s">
        <v>107</v>
      </c>
      <c r="F2427" s="312">
        <v>1825</v>
      </c>
      <c r="G2427" s="312" t="s">
        <v>108</v>
      </c>
      <c r="H2427" s="312">
        <v>1827</v>
      </c>
      <c r="I2427" s="312" t="s">
        <v>107</v>
      </c>
      <c r="J2427" s="312">
        <v>1913</v>
      </c>
      <c r="K2427" s="312" t="s">
        <v>109</v>
      </c>
    </row>
    <row r="2428" spans="1:11">
      <c r="A2428" s="312" t="s">
        <v>3086</v>
      </c>
      <c r="B2428" s="312" t="s">
        <v>3087</v>
      </c>
      <c r="C2428" s="312" t="s">
        <v>105</v>
      </c>
      <c r="D2428" s="312" t="s">
        <v>379</v>
      </c>
      <c r="E2428" s="312" t="s">
        <v>107</v>
      </c>
      <c r="F2428" s="312">
        <v>1825</v>
      </c>
      <c r="G2428" s="312" t="s">
        <v>108</v>
      </c>
      <c r="H2428" s="312">
        <v>1827</v>
      </c>
      <c r="I2428" s="312" t="s">
        <v>107</v>
      </c>
      <c r="J2428" s="312">
        <v>1913</v>
      </c>
      <c r="K2428" s="312" t="s">
        <v>109</v>
      </c>
    </row>
    <row r="2429" spans="1:11">
      <c r="A2429" s="312" t="s">
        <v>3245</v>
      </c>
      <c r="B2429" s="312" t="s">
        <v>3246</v>
      </c>
      <c r="C2429" s="312" t="s">
        <v>105</v>
      </c>
      <c r="D2429" s="312" t="s">
        <v>379</v>
      </c>
      <c r="E2429" s="312" t="s">
        <v>167</v>
      </c>
      <c r="F2429" s="312">
        <v>1705</v>
      </c>
      <c r="G2429" s="312" t="s">
        <v>168</v>
      </c>
      <c r="H2429" s="312">
        <v>1707</v>
      </c>
      <c r="I2429" s="312" t="s">
        <v>167</v>
      </c>
      <c r="J2429" s="312">
        <v>1899</v>
      </c>
      <c r="K2429" s="312" t="s">
        <v>169</v>
      </c>
    </row>
    <row r="2430" spans="1:11">
      <c r="A2430" s="312" t="s">
        <v>3247</v>
      </c>
      <c r="B2430" s="312" t="s">
        <v>3248</v>
      </c>
      <c r="C2430" s="312" t="s">
        <v>105</v>
      </c>
      <c r="D2430" s="312" t="s">
        <v>379</v>
      </c>
      <c r="E2430" s="312" t="s">
        <v>167</v>
      </c>
      <c r="F2430" s="312">
        <v>1705</v>
      </c>
      <c r="G2430" s="312" t="s">
        <v>168</v>
      </c>
      <c r="H2430" s="312">
        <v>1707</v>
      </c>
      <c r="I2430" s="312" t="s">
        <v>167</v>
      </c>
      <c r="J2430" s="312">
        <v>1899</v>
      </c>
      <c r="K2430" s="312" t="s">
        <v>169</v>
      </c>
    </row>
    <row r="2431" spans="1:11">
      <c r="A2431" s="312" t="s">
        <v>3249</v>
      </c>
      <c r="B2431" s="312" t="s">
        <v>3250</v>
      </c>
      <c r="C2431" s="312" t="s">
        <v>105</v>
      </c>
      <c r="D2431" s="312" t="s">
        <v>379</v>
      </c>
      <c r="E2431" s="312" t="s">
        <v>167</v>
      </c>
      <c r="F2431" s="312">
        <v>1705</v>
      </c>
      <c r="G2431" s="312" t="s">
        <v>168</v>
      </c>
      <c r="H2431" s="312">
        <v>1707</v>
      </c>
      <c r="I2431" s="312" t="s">
        <v>167</v>
      </c>
      <c r="J2431" s="312">
        <v>1899</v>
      </c>
      <c r="K2431" s="312" t="s">
        <v>169</v>
      </c>
    </row>
    <row r="2432" spans="1:11">
      <c r="A2432" s="312" t="s">
        <v>4107</v>
      </c>
      <c r="B2432" s="312" t="s">
        <v>4108</v>
      </c>
      <c r="C2432" s="312" t="s">
        <v>105</v>
      </c>
      <c r="D2432" s="312" t="s">
        <v>379</v>
      </c>
      <c r="E2432" s="312" t="s">
        <v>107</v>
      </c>
      <c r="F2432" s="312">
        <v>1825</v>
      </c>
      <c r="G2432" s="312" t="s">
        <v>108</v>
      </c>
      <c r="H2432" s="312">
        <v>1827</v>
      </c>
      <c r="I2432" s="312" t="s">
        <v>107</v>
      </c>
      <c r="J2432" s="312">
        <v>1913</v>
      </c>
      <c r="K2432" s="312" t="s">
        <v>109</v>
      </c>
    </row>
    <row r="2433" spans="1:11">
      <c r="A2433" s="312" t="s">
        <v>4109</v>
      </c>
      <c r="B2433" s="312" t="s">
        <v>4110</v>
      </c>
      <c r="C2433" s="312" t="s">
        <v>105</v>
      </c>
      <c r="D2433" s="312" t="s">
        <v>379</v>
      </c>
      <c r="E2433" s="312" t="s">
        <v>107</v>
      </c>
      <c r="F2433" s="312">
        <v>1825</v>
      </c>
      <c r="G2433" s="312" t="s">
        <v>108</v>
      </c>
      <c r="H2433" s="312">
        <v>1827</v>
      </c>
      <c r="I2433" s="312" t="s">
        <v>107</v>
      </c>
      <c r="J2433" s="312">
        <v>1913</v>
      </c>
      <c r="K2433" s="312" t="s">
        <v>109</v>
      </c>
    </row>
    <row r="2434" spans="1:11">
      <c r="A2434" s="312" t="s">
        <v>4161</v>
      </c>
      <c r="B2434" s="312" t="s">
        <v>4162</v>
      </c>
      <c r="C2434" s="312" t="s">
        <v>105</v>
      </c>
      <c r="D2434" s="312" t="s">
        <v>379</v>
      </c>
      <c r="E2434" s="312" t="s">
        <v>107</v>
      </c>
      <c r="F2434" s="312">
        <v>1825</v>
      </c>
      <c r="G2434" s="312" t="s">
        <v>108</v>
      </c>
      <c r="H2434" s="312">
        <v>1827</v>
      </c>
      <c r="I2434" s="312" t="s">
        <v>107</v>
      </c>
      <c r="J2434" s="312">
        <v>1913</v>
      </c>
      <c r="K2434" s="312" t="s">
        <v>109</v>
      </c>
    </row>
    <row r="2435" spans="1:11">
      <c r="A2435" s="312" t="s">
        <v>4165</v>
      </c>
      <c r="B2435" s="312" t="s">
        <v>4166</v>
      </c>
      <c r="C2435" s="312" t="s">
        <v>105</v>
      </c>
      <c r="D2435" s="312" t="s">
        <v>379</v>
      </c>
      <c r="E2435" s="312" t="s">
        <v>107</v>
      </c>
      <c r="F2435" s="312">
        <v>1825</v>
      </c>
      <c r="G2435" s="312" t="s">
        <v>108</v>
      </c>
      <c r="H2435" s="312">
        <v>1827</v>
      </c>
      <c r="I2435" s="312" t="s">
        <v>107</v>
      </c>
      <c r="J2435" s="312">
        <v>1913</v>
      </c>
      <c r="K2435" s="312" t="s">
        <v>109</v>
      </c>
    </row>
    <row r="2436" spans="1:11">
      <c r="A2436" s="312" t="s">
        <v>4169</v>
      </c>
      <c r="B2436" s="312" t="s">
        <v>4170</v>
      </c>
      <c r="C2436" s="312" t="s">
        <v>105</v>
      </c>
      <c r="D2436" s="312" t="s">
        <v>379</v>
      </c>
      <c r="E2436" s="312" t="s">
        <v>107</v>
      </c>
      <c r="F2436" s="312">
        <v>1825</v>
      </c>
      <c r="G2436" s="312" t="s">
        <v>108</v>
      </c>
      <c r="H2436" s="312">
        <v>1827</v>
      </c>
      <c r="I2436" s="312" t="s">
        <v>107</v>
      </c>
      <c r="J2436" s="312">
        <v>1913</v>
      </c>
      <c r="K2436" s="312" t="s">
        <v>109</v>
      </c>
    </row>
    <row r="2437" spans="1:11">
      <c r="A2437" s="312" t="s">
        <v>4501</v>
      </c>
      <c r="B2437" s="312" t="s">
        <v>4502</v>
      </c>
      <c r="C2437" s="312" t="s">
        <v>105</v>
      </c>
      <c r="D2437" s="312" t="s">
        <v>379</v>
      </c>
      <c r="E2437" s="312" t="s">
        <v>107</v>
      </c>
      <c r="F2437" s="312">
        <v>1825</v>
      </c>
      <c r="G2437" s="312" t="s">
        <v>108</v>
      </c>
      <c r="H2437" s="312">
        <v>1827</v>
      </c>
      <c r="I2437" s="312" t="s">
        <v>107</v>
      </c>
      <c r="J2437" s="312">
        <v>1913</v>
      </c>
      <c r="K2437" s="312" t="s">
        <v>109</v>
      </c>
    </row>
    <row r="2438" spans="1:11">
      <c r="A2438" s="312" t="s">
        <v>4825</v>
      </c>
      <c r="B2438" s="312" t="s">
        <v>4826</v>
      </c>
      <c r="C2438" s="312" t="s">
        <v>105</v>
      </c>
      <c r="D2438" s="312" t="s">
        <v>379</v>
      </c>
      <c r="E2438" s="312" t="s">
        <v>107</v>
      </c>
      <c r="F2438" s="312">
        <v>1825</v>
      </c>
      <c r="G2438" s="312" t="s">
        <v>108</v>
      </c>
      <c r="H2438" s="312">
        <v>1827</v>
      </c>
      <c r="I2438" s="312" t="s">
        <v>107</v>
      </c>
      <c r="J2438" s="312">
        <v>1913</v>
      </c>
      <c r="K2438" s="312" t="s">
        <v>109</v>
      </c>
    </row>
    <row r="2439" spans="1:11">
      <c r="A2439" s="312" t="s">
        <v>5365</v>
      </c>
      <c r="B2439" s="312" t="s">
        <v>5366</v>
      </c>
      <c r="C2439" s="312" t="s">
        <v>105</v>
      </c>
      <c r="D2439" s="312" t="s">
        <v>379</v>
      </c>
      <c r="E2439" s="312" t="s">
        <v>107</v>
      </c>
      <c r="F2439" s="312">
        <v>1825</v>
      </c>
      <c r="G2439" s="312" t="s">
        <v>108</v>
      </c>
      <c r="H2439" s="312">
        <v>1827</v>
      </c>
      <c r="I2439" s="312" t="s">
        <v>107</v>
      </c>
      <c r="J2439" s="312">
        <v>1913</v>
      </c>
      <c r="K2439" s="312" t="s">
        <v>109</v>
      </c>
    </row>
    <row r="2440" spans="1:11">
      <c r="A2440" s="312" t="s">
        <v>5367</v>
      </c>
      <c r="B2440" s="312" t="s">
        <v>5368</v>
      </c>
      <c r="C2440" s="312" t="s">
        <v>105</v>
      </c>
      <c r="D2440" s="312" t="s">
        <v>379</v>
      </c>
      <c r="E2440" s="312" t="s">
        <v>107</v>
      </c>
      <c r="F2440" s="312">
        <v>1825</v>
      </c>
      <c r="G2440" s="312" t="s">
        <v>108</v>
      </c>
      <c r="H2440" s="312">
        <v>1827</v>
      </c>
      <c r="I2440" s="312" t="s">
        <v>107</v>
      </c>
      <c r="J2440" s="312">
        <v>1913</v>
      </c>
      <c r="K2440" s="312" t="s">
        <v>109</v>
      </c>
    </row>
    <row r="2441" spans="1:11">
      <c r="A2441" s="312" t="s">
        <v>5777</v>
      </c>
      <c r="B2441" s="312" t="s">
        <v>5778</v>
      </c>
      <c r="C2441" s="312" t="s">
        <v>105</v>
      </c>
      <c r="D2441" s="312" t="s">
        <v>379</v>
      </c>
      <c r="E2441" s="312" t="s">
        <v>107</v>
      </c>
      <c r="F2441" s="312">
        <v>1825</v>
      </c>
      <c r="G2441" s="312" t="s">
        <v>108</v>
      </c>
      <c r="H2441" s="312">
        <v>1827</v>
      </c>
      <c r="I2441" s="312" t="s">
        <v>107</v>
      </c>
      <c r="J2441" s="312">
        <v>1913</v>
      </c>
      <c r="K2441" s="312" t="s">
        <v>109</v>
      </c>
    </row>
    <row r="2442" spans="1:11">
      <c r="A2442" s="312" t="s">
        <v>5862</v>
      </c>
      <c r="B2442" s="312" t="s">
        <v>5863</v>
      </c>
      <c r="C2442" s="312" t="s">
        <v>105</v>
      </c>
      <c r="D2442" s="312" t="s">
        <v>379</v>
      </c>
      <c r="E2442" s="312" t="s">
        <v>107</v>
      </c>
      <c r="F2442" s="312">
        <v>1825</v>
      </c>
      <c r="G2442" s="312" t="s">
        <v>108</v>
      </c>
      <c r="H2442" s="312">
        <v>1827</v>
      </c>
      <c r="I2442" s="312" t="s">
        <v>107</v>
      </c>
      <c r="J2442" s="312">
        <v>1913</v>
      </c>
      <c r="K2442" s="312" t="s">
        <v>109</v>
      </c>
    </row>
    <row r="2443" spans="1:11">
      <c r="A2443" s="312" t="s">
        <v>5872</v>
      </c>
      <c r="B2443" s="312" t="s">
        <v>5873</v>
      </c>
      <c r="C2443" s="312" t="s">
        <v>105</v>
      </c>
      <c r="D2443" s="312" t="s">
        <v>379</v>
      </c>
      <c r="E2443" s="312" t="s">
        <v>107</v>
      </c>
      <c r="F2443" s="312">
        <v>1825</v>
      </c>
      <c r="G2443" s="312" t="s">
        <v>108</v>
      </c>
      <c r="H2443" s="312">
        <v>1827</v>
      </c>
      <c r="I2443" s="312" t="s">
        <v>107</v>
      </c>
      <c r="J2443" s="312">
        <v>1913</v>
      </c>
      <c r="K2443" s="312" t="s">
        <v>109</v>
      </c>
    </row>
    <row r="2444" spans="1:11">
      <c r="A2444" s="312" t="s">
        <v>5956</v>
      </c>
      <c r="B2444" s="312" t="s">
        <v>5957</v>
      </c>
      <c r="C2444" s="312" t="s">
        <v>105</v>
      </c>
      <c r="D2444" s="312" t="s">
        <v>379</v>
      </c>
      <c r="E2444" s="312" t="s">
        <v>107</v>
      </c>
      <c r="F2444" s="312">
        <v>1825</v>
      </c>
      <c r="G2444" s="312" t="s">
        <v>108</v>
      </c>
      <c r="H2444" s="312">
        <v>1827</v>
      </c>
      <c r="I2444" s="312" t="s">
        <v>107</v>
      </c>
      <c r="J2444" s="312">
        <v>1913</v>
      </c>
      <c r="K2444" s="312" t="s">
        <v>109</v>
      </c>
    </row>
    <row r="2445" spans="1:11">
      <c r="A2445" s="312" t="s">
        <v>5958</v>
      </c>
      <c r="B2445" s="312" t="s">
        <v>5959</v>
      </c>
      <c r="C2445" s="312" t="s">
        <v>105</v>
      </c>
      <c r="D2445" s="312" t="s">
        <v>379</v>
      </c>
      <c r="E2445" s="312" t="s">
        <v>107</v>
      </c>
      <c r="F2445" s="312">
        <v>1825</v>
      </c>
      <c r="G2445" s="312" t="s">
        <v>108</v>
      </c>
      <c r="H2445" s="312">
        <v>1827</v>
      </c>
      <c r="I2445" s="312" t="s">
        <v>107</v>
      </c>
      <c r="J2445" s="312">
        <v>1913</v>
      </c>
      <c r="K2445" s="312" t="s">
        <v>109</v>
      </c>
    </row>
    <row r="2446" spans="1:11">
      <c r="A2446" s="312" t="s">
        <v>5960</v>
      </c>
      <c r="B2446" s="312" t="s">
        <v>5961</v>
      </c>
      <c r="C2446" s="312" t="s">
        <v>105</v>
      </c>
      <c r="D2446" s="312" t="s">
        <v>379</v>
      </c>
      <c r="E2446" s="312" t="s">
        <v>107</v>
      </c>
      <c r="F2446" s="312">
        <v>1825</v>
      </c>
      <c r="G2446" s="312" t="s">
        <v>108</v>
      </c>
      <c r="H2446" s="312">
        <v>1827</v>
      </c>
      <c r="I2446" s="312" t="s">
        <v>107</v>
      </c>
      <c r="J2446" s="312">
        <v>1913</v>
      </c>
      <c r="K2446" s="312" t="s">
        <v>109</v>
      </c>
    </row>
    <row r="2447" spans="1:11">
      <c r="A2447" s="312" t="s">
        <v>5962</v>
      </c>
      <c r="B2447" s="312" t="s">
        <v>5963</v>
      </c>
      <c r="C2447" s="312" t="s">
        <v>105</v>
      </c>
      <c r="D2447" s="312" t="s">
        <v>379</v>
      </c>
      <c r="E2447" s="312" t="s">
        <v>107</v>
      </c>
      <c r="F2447" s="312">
        <v>1825</v>
      </c>
      <c r="G2447" s="312" t="s">
        <v>108</v>
      </c>
      <c r="H2447" s="312">
        <v>1827</v>
      </c>
      <c r="I2447" s="312" t="s">
        <v>107</v>
      </c>
      <c r="J2447" s="312">
        <v>1913</v>
      </c>
      <c r="K2447" s="312" t="s">
        <v>109</v>
      </c>
    </row>
    <row r="2448" spans="1:11">
      <c r="A2448" s="312" t="s">
        <v>5964</v>
      </c>
      <c r="B2448" s="312" t="s">
        <v>5965</v>
      </c>
      <c r="C2448" s="312" t="s">
        <v>105</v>
      </c>
      <c r="D2448" s="312" t="s">
        <v>379</v>
      </c>
      <c r="E2448" s="312" t="s">
        <v>107</v>
      </c>
      <c r="F2448" s="312">
        <v>1825</v>
      </c>
      <c r="G2448" s="312" t="s">
        <v>108</v>
      </c>
      <c r="H2448" s="312">
        <v>1827</v>
      </c>
      <c r="I2448" s="312" t="s">
        <v>107</v>
      </c>
      <c r="J2448" s="312">
        <v>1913</v>
      </c>
      <c r="K2448" s="312" t="s">
        <v>109</v>
      </c>
    </row>
    <row r="2449" spans="1:11">
      <c r="A2449" s="312" t="s">
        <v>5978</v>
      </c>
      <c r="B2449" s="312" t="s">
        <v>5979</v>
      </c>
      <c r="C2449" s="312" t="s">
        <v>105</v>
      </c>
      <c r="D2449" s="312" t="s">
        <v>379</v>
      </c>
      <c r="E2449" s="312" t="s">
        <v>107</v>
      </c>
      <c r="F2449" s="312">
        <v>1825</v>
      </c>
      <c r="G2449" s="312" t="s">
        <v>108</v>
      </c>
      <c r="H2449" s="312">
        <v>1827</v>
      </c>
      <c r="I2449" s="312" t="s">
        <v>107</v>
      </c>
      <c r="J2449" s="312">
        <v>1913</v>
      </c>
      <c r="K2449" s="312" t="s">
        <v>109</v>
      </c>
    </row>
    <row r="2450" spans="1:11">
      <c r="A2450" s="312" t="s">
        <v>6109</v>
      </c>
      <c r="B2450" s="312" t="s">
        <v>6110</v>
      </c>
      <c r="C2450" s="312" t="s">
        <v>105</v>
      </c>
      <c r="D2450" s="312" t="s">
        <v>379</v>
      </c>
      <c r="E2450" s="312" t="s">
        <v>107</v>
      </c>
      <c r="F2450" s="312">
        <v>1825</v>
      </c>
      <c r="G2450" s="312" t="s">
        <v>108</v>
      </c>
      <c r="H2450" s="312">
        <v>1827</v>
      </c>
      <c r="I2450" s="312" t="s">
        <v>107</v>
      </c>
      <c r="J2450" s="312">
        <v>1913</v>
      </c>
      <c r="K2450" s="312" t="s">
        <v>109</v>
      </c>
    </row>
    <row r="2451" spans="1:11">
      <c r="A2451" s="312" t="s">
        <v>6229</v>
      </c>
      <c r="B2451" s="312" t="s">
        <v>6230</v>
      </c>
      <c r="C2451" s="312" t="s">
        <v>105</v>
      </c>
      <c r="D2451" s="312" t="s">
        <v>379</v>
      </c>
      <c r="E2451" s="312" t="s">
        <v>107</v>
      </c>
      <c r="F2451" s="312">
        <v>1825</v>
      </c>
      <c r="G2451" s="312" t="s">
        <v>108</v>
      </c>
      <c r="H2451" s="312">
        <v>1827</v>
      </c>
      <c r="I2451" s="312" t="s">
        <v>107</v>
      </c>
      <c r="J2451" s="312">
        <v>1913</v>
      </c>
      <c r="K2451" s="312" t="s">
        <v>109</v>
      </c>
    </row>
    <row r="2452" spans="1:11">
      <c r="A2452" s="312" t="s">
        <v>4505</v>
      </c>
      <c r="B2452" s="312" t="s">
        <v>4506</v>
      </c>
      <c r="C2452" s="312" t="s">
        <v>105</v>
      </c>
      <c r="D2452" s="312" t="s">
        <v>4507</v>
      </c>
      <c r="E2452" s="312" t="s">
        <v>466</v>
      </c>
      <c r="F2452" s="312">
        <v>1796</v>
      </c>
      <c r="G2452" s="312" t="s">
        <v>467</v>
      </c>
      <c r="H2452" s="312">
        <v>1799</v>
      </c>
      <c r="I2452" s="312" t="s">
        <v>466</v>
      </c>
      <c r="J2452" s="312">
        <v>1918</v>
      </c>
      <c r="K2452" s="312" t="s">
        <v>468</v>
      </c>
    </row>
    <row r="2453" spans="1:11">
      <c r="A2453" s="312" t="s">
        <v>4508</v>
      </c>
      <c r="B2453" s="312" t="s">
        <v>4509</v>
      </c>
      <c r="C2453" s="312" t="s">
        <v>105</v>
      </c>
      <c r="D2453" s="312" t="s">
        <v>4507</v>
      </c>
      <c r="E2453" s="312" t="s">
        <v>466</v>
      </c>
      <c r="F2453" s="312">
        <v>1796</v>
      </c>
      <c r="G2453" s="312" t="s">
        <v>467</v>
      </c>
      <c r="H2453" s="312">
        <v>1799</v>
      </c>
      <c r="I2453" s="312" t="s">
        <v>466</v>
      </c>
      <c r="J2453" s="312">
        <v>1918</v>
      </c>
      <c r="K2453" s="312" t="s">
        <v>468</v>
      </c>
    </row>
    <row r="2454" spans="1:11">
      <c r="A2454" s="312" t="s">
        <v>4510</v>
      </c>
      <c r="B2454" s="312" t="s">
        <v>4511</v>
      </c>
      <c r="C2454" s="312" t="s">
        <v>105</v>
      </c>
      <c r="D2454" s="312" t="s">
        <v>4507</v>
      </c>
      <c r="E2454" s="312" t="s">
        <v>466</v>
      </c>
      <c r="F2454" s="312">
        <v>1796</v>
      </c>
      <c r="G2454" s="312" t="s">
        <v>467</v>
      </c>
      <c r="H2454" s="312">
        <v>1799</v>
      </c>
      <c r="I2454" s="312" t="s">
        <v>466</v>
      </c>
      <c r="J2454" s="312">
        <v>1918</v>
      </c>
      <c r="K2454" s="312" t="s">
        <v>468</v>
      </c>
    </row>
    <row r="2455" spans="1:11">
      <c r="A2455" s="312" t="s">
        <v>4512</v>
      </c>
      <c r="B2455" s="312" t="s">
        <v>4513</v>
      </c>
      <c r="C2455" s="312" t="s">
        <v>105</v>
      </c>
      <c r="D2455" s="312" t="s">
        <v>4507</v>
      </c>
      <c r="E2455" s="312" t="s">
        <v>466</v>
      </c>
      <c r="F2455" s="312">
        <v>1796</v>
      </c>
      <c r="G2455" s="312" t="s">
        <v>467</v>
      </c>
      <c r="H2455" s="312">
        <v>1799</v>
      </c>
      <c r="I2455" s="312" t="s">
        <v>466</v>
      </c>
      <c r="J2455" s="312">
        <v>1918</v>
      </c>
      <c r="K2455" s="312" t="s">
        <v>468</v>
      </c>
    </row>
    <row r="2456" spans="1:11">
      <c r="A2456" s="312" t="s">
        <v>4514</v>
      </c>
      <c r="B2456" s="312" t="s">
        <v>4515</v>
      </c>
      <c r="C2456" s="312" t="s">
        <v>105</v>
      </c>
      <c r="D2456" s="312" t="s">
        <v>4507</v>
      </c>
      <c r="E2456" s="312" t="s">
        <v>466</v>
      </c>
      <c r="F2456" s="312">
        <v>1796</v>
      </c>
      <c r="G2456" s="312" t="s">
        <v>467</v>
      </c>
      <c r="H2456" s="312">
        <v>1799</v>
      </c>
      <c r="I2456" s="312" t="s">
        <v>466</v>
      </c>
      <c r="J2456" s="312">
        <v>1918</v>
      </c>
      <c r="K2456" s="312" t="s">
        <v>468</v>
      </c>
    </row>
    <row r="2457" spans="1:11">
      <c r="A2457" s="312" t="s">
        <v>4516</v>
      </c>
      <c r="B2457" s="312" t="s">
        <v>4517</v>
      </c>
      <c r="C2457" s="312" t="s">
        <v>105</v>
      </c>
      <c r="D2457" s="312" t="s">
        <v>4507</v>
      </c>
      <c r="E2457" s="312" t="s">
        <v>466</v>
      </c>
      <c r="F2457" s="312">
        <v>1796</v>
      </c>
      <c r="G2457" s="312" t="s">
        <v>467</v>
      </c>
      <c r="H2457" s="312">
        <v>1799</v>
      </c>
      <c r="I2457" s="312" t="s">
        <v>466</v>
      </c>
      <c r="J2457" s="312">
        <v>1918</v>
      </c>
      <c r="K2457" s="312" t="s">
        <v>468</v>
      </c>
    </row>
    <row r="2458" spans="1:11">
      <c r="A2458" s="312" t="s">
        <v>4518</v>
      </c>
      <c r="B2458" s="312" t="s">
        <v>4519</v>
      </c>
      <c r="C2458" s="312" t="s">
        <v>105</v>
      </c>
      <c r="D2458" s="312" t="s">
        <v>4507</v>
      </c>
      <c r="E2458" s="312" t="s">
        <v>466</v>
      </c>
      <c r="F2458" s="312">
        <v>1796</v>
      </c>
      <c r="G2458" s="312" t="s">
        <v>467</v>
      </c>
      <c r="H2458" s="312">
        <v>1799</v>
      </c>
      <c r="I2458" s="312" t="s">
        <v>466</v>
      </c>
      <c r="J2458" s="312">
        <v>1918</v>
      </c>
      <c r="K2458" s="312" t="s">
        <v>468</v>
      </c>
    </row>
    <row r="2459" spans="1:11">
      <c r="A2459" s="312" t="s">
        <v>4520</v>
      </c>
      <c r="B2459" s="312" t="s">
        <v>4521</v>
      </c>
      <c r="C2459" s="312" t="s">
        <v>105</v>
      </c>
      <c r="D2459" s="312" t="s">
        <v>4507</v>
      </c>
      <c r="E2459" s="312" t="s">
        <v>466</v>
      </c>
      <c r="F2459" s="312">
        <v>1796</v>
      </c>
      <c r="G2459" s="312" t="s">
        <v>467</v>
      </c>
      <c r="H2459" s="312">
        <v>1799</v>
      </c>
      <c r="I2459" s="312" t="s">
        <v>466</v>
      </c>
      <c r="J2459" s="312">
        <v>1918</v>
      </c>
      <c r="K2459" s="312" t="s">
        <v>468</v>
      </c>
    </row>
    <row r="2460" spans="1:11">
      <c r="A2460" s="312" t="s">
        <v>325</v>
      </c>
      <c r="B2460" s="312" t="s">
        <v>326</v>
      </c>
      <c r="C2460" s="312" t="s">
        <v>105</v>
      </c>
      <c r="D2460" s="312" t="s">
        <v>327</v>
      </c>
      <c r="E2460" s="312" t="s">
        <v>167</v>
      </c>
      <c r="F2460" s="312">
        <v>1705</v>
      </c>
      <c r="G2460" s="312" t="s">
        <v>168</v>
      </c>
      <c r="H2460" s="312">
        <v>1707</v>
      </c>
      <c r="I2460" s="312" t="s">
        <v>167</v>
      </c>
      <c r="J2460" s="312">
        <v>1899</v>
      </c>
      <c r="K2460" s="312" t="s">
        <v>169</v>
      </c>
    </row>
    <row r="2461" spans="1:11">
      <c r="A2461" s="312" t="s">
        <v>333</v>
      </c>
      <c r="B2461" s="312" t="s">
        <v>334</v>
      </c>
      <c r="C2461" s="312" t="s">
        <v>105</v>
      </c>
      <c r="D2461" s="312" t="s">
        <v>327</v>
      </c>
      <c r="E2461" s="312" t="s">
        <v>167</v>
      </c>
      <c r="F2461" s="312">
        <v>1705</v>
      </c>
      <c r="G2461" s="312" t="s">
        <v>168</v>
      </c>
      <c r="H2461" s="312">
        <v>1707</v>
      </c>
      <c r="I2461" s="312" t="s">
        <v>167</v>
      </c>
      <c r="J2461" s="312">
        <v>1899</v>
      </c>
      <c r="K2461" s="312" t="s">
        <v>169</v>
      </c>
    </row>
    <row r="2462" spans="1:11">
      <c r="A2462" s="312" t="s">
        <v>339</v>
      </c>
      <c r="B2462" s="312" t="s">
        <v>340</v>
      </c>
      <c r="C2462" s="312" t="s">
        <v>105</v>
      </c>
      <c r="D2462" s="312" t="s">
        <v>327</v>
      </c>
      <c r="E2462" s="312" t="s">
        <v>167</v>
      </c>
      <c r="F2462" s="312">
        <v>1705</v>
      </c>
      <c r="G2462" s="312" t="s">
        <v>168</v>
      </c>
      <c r="H2462" s="312">
        <v>1707</v>
      </c>
      <c r="I2462" s="312" t="s">
        <v>167</v>
      </c>
      <c r="J2462" s="312">
        <v>1899</v>
      </c>
      <c r="K2462" s="312" t="s">
        <v>169</v>
      </c>
    </row>
    <row r="2463" spans="1:11">
      <c r="A2463" s="312" t="s">
        <v>344</v>
      </c>
      <c r="B2463" s="312" t="s">
        <v>345</v>
      </c>
      <c r="C2463" s="312" t="s">
        <v>105</v>
      </c>
      <c r="D2463" s="312" t="s">
        <v>327</v>
      </c>
      <c r="E2463" s="312" t="s">
        <v>167</v>
      </c>
      <c r="F2463" s="312">
        <v>1705</v>
      </c>
      <c r="G2463" s="312" t="s">
        <v>168</v>
      </c>
      <c r="H2463" s="312">
        <v>1707</v>
      </c>
      <c r="I2463" s="312" t="s">
        <v>167</v>
      </c>
      <c r="J2463" s="312">
        <v>1899</v>
      </c>
      <c r="K2463" s="312" t="s">
        <v>169</v>
      </c>
    </row>
    <row r="2464" spans="1:11">
      <c r="A2464" s="312" t="s">
        <v>445</v>
      </c>
      <c r="B2464" s="312" t="s">
        <v>446</v>
      </c>
      <c r="C2464" s="312" t="s">
        <v>105</v>
      </c>
      <c r="D2464" s="312" t="s">
        <v>327</v>
      </c>
      <c r="E2464" s="312" t="s">
        <v>167</v>
      </c>
      <c r="F2464" s="312">
        <v>1705</v>
      </c>
      <c r="G2464" s="312" t="s">
        <v>168</v>
      </c>
      <c r="H2464" s="312">
        <v>1707</v>
      </c>
      <c r="I2464" s="312" t="s">
        <v>167</v>
      </c>
      <c r="J2464" s="312">
        <v>1899</v>
      </c>
      <c r="K2464" s="312" t="s">
        <v>169</v>
      </c>
    </row>
    <row r="2465" spans="1:11">
      <c r="A2465" s="312" t="s">
        <v>447</v>
      </c>
      <c r="B2465" s="312" t="s">
        <v>448</v>
      </c>
      <c r="C2465" s="312" t="s">
        <v>105</v>
      </c>
      <c r="D2465" s="312" t="s">
        <v>327</v>
      </c>
      <c r="E2465" s="312" t="s">
        <v>167</v>
      </c>
      <c r="F2465" s="312">
        <v>1705</v>
      </c>
      <c r="G2465" s="312" t="s">
        <v>168</v>
      </c>
      <c r="H2465" s="312">
        <v>1707</v>
      </c>
      <c r="I2465" s="312" t="s">
        <v>167</v>
      </c>
      <c r="J2465" s="312">
        <v>1899</v>
      </c>
      <c r="K2465" s="312" t="s">
        <v>169</v>
      </c>
    </row>
    <row r="2466" spans="1:11">
      <c r="A2466" s="312" t="s">
        <v>826</v>
      </c>
      <c r="B2466" s="312" t="s">
        <v>827</v>
      </c>
      <c r="C2466" s="312" t="s">
        <v>105</v>
      </c>
      <c r="D2466" s="312" t="s">
        <v>327</v>
      </c>
      <c r="E2466" s="312" t="s">
        <v>167</v>
      </c>
      <c r="F2466" s="312">
        <v>1705</v>
      </c>
      <c r="G2466" s="312" t="s">
        <v>168</v>
      </c>
      <c r="H2466" s="312">
        <v>1707</v>
      </c>
      <c r="I2466" s="312" t="s">
        <v>167</v>
      </c>
      <c r="J2466" s="312">
        <v>1899</v>
      </c>
      <c r="K2466" s="312" t="s">
        <v>169</v>
      </c>
    </row>
    <row r="2467" spans="1:11">
      <c r="A2467" s="312" t="s">
        <v>828</v>
      </c>
      <c r="B2467" s="312" t="s">
        <v>829</v>
      </c>
      <c r="C2467" s="312" t="s">
        <v>105</v>
      </c>
      <c r="D2467" s="312" t="s">
        <v>327</v>
      </c>
      <c r="E2467" s="312" t="s">
        <v>466</v>
      </c>
      <c r="F2467" s="312">
        <v>1796</v>
      </c>
      <c r="G2467" s="312" t="s">
        <v>467</v>
      </c>
      <c r="H2467" s="312">
        <v>1799</v>
      </c>
      <c r="I2467" s="312" t="s">
        <v>466</v>
      </c>
      <c r="J2467" s="312">
        <v>1918</v>
      </c>
      <c r="K2467" s="312" t="s">
        <v>468</v>
      </c>
    </row>
    <row r="2468" spans="1:11">
      <c r="A2468" s="312" t="s">
        <v>830</v>
      </c>
      <c r="B2468" s="312" t="s">
        <v>831</v>
      </c>
      <c r="C2468" s="312" t="s">
        <v>105</v>
      </c>
      <c r="D2468" s="312" t="s">
        <v>327</v>
      </c>
      <c r="E2468" s="312" t="s">
        <v>466</v>
      </c>
      <c r="F2468" s="312">
        <v>1796</v>
      </c>
      <c r="G2468" s="312" t="s">
        <v>467</v>
      </c>
      <c r="H2468" s="312">
        <v>1799</v>
      </c>
      <c r="I2468" s="312" t="s">
        <v>466</v>
      </c>
      <c r="J2468" s="312">
        <v>1918</v>
      </c>
      <c r="K2468" s="312" t="s">
        <v>468</v>
      </c>
    </row>
    <row r="2469" spans="1:11">
      <c r="A2469" s="312" t="s">
        <v>832</v>
      </c>
      <c r="B2469" s="312" t="s">
        <v>833</v>
      </c>
      <c r="C2469" s="312" t="s">
        <v>105</v>
      </c>
      <c r="D2469" s="312" t="s">
        <v>327</v>
      </c>
      <c r="E2469" s="312" t="s">
        <v>466</v>
      </c>
      <c r="F2469" s="312">
        <v>1796</v>
      </c>
      <c r="G2469" s="312" t="s">
        <v>467</v>
      </c>
      <c r="H2469" s="312">
        <v>1799</v>
      </c>
      <c r="I2469" s="312" t="s">
        <v>466</v>
      </c>
      <c r="J2469" s="312">
        <v>1918</v>
      </c>
      <c r="K2469" s="312" t="s">
        <v>468</v>
      </c>
    </row>
    <row r="2470" spans="1:11">
      <c r="A2470" s="312" t="s">
        <v>834</v>
      </c>
      <c r="B2470" s="312" t="s">
        <v>835</v>
      </c>
      <c r="C2470" s="312" t="s">
        <v>105</v>
      </c>
      <c r="D2470" s="312" t="s">
        <v>327</v>
      </c>
      <c r="E2470" s="312" t="s">
        <v>167</v>
      </c>
      <c r="F2470" s="312">
        <v>1705</v>
      </c>
      <c r="G2470" s="312" t="s">
        <v>168</v>
      </c>
      <c r="H2470" s="312">
        <v>1707</v>
      </c>
      <c r="I2470" s="312" t="s">
        <v>167</v>
      </c>
      <c r="J2470" s="312">
        <v>1899</v>
      </c>
      <c r="K2470" s="312" t="s">
        <v>169</v>
      </c>
    </row>
    <row r="2471" spans="1:11">
      <c r="A2471" s="312" t="s">
        <v>836</v>
      </c>
      <c r="B2471" s="312" t="s">
        <v>837</v>
      </c>
      <c r="C2471" s="312" t="s">
        <v>105</v>
      </c>
      <c r="D2471" s="312" t="s">
        <v>327</v>
      </c>
      <c r="E2471" s="312" t="s">
        <v>167</v>
      </c>
      <c r="F2471" s="312">
        <v>1705</v>
      </c>
      <c r="G2471" s="312" t="s">
        <v>168</v>
      </c>
      <c r="H2471" s="312">
        <v>1707</v>
      </c>
      <c r="I2471" s="312" t="s">
        <v>167</v>
      </c>
      <c r="J2471" s="312">
        <v>1899</v>
      </c>
      <c r="K2471" s="312" t="s">
        <v>169</v>
      </c>
    </row>
    <row r="2472" spans="1:11">
      <c r="A2472" s="312" t="s">
        <v>838</v>
      </c>
      <c r="B2472" s="312" t="s">
        <v>839</v>
      </c>
      <c r="C2472" s="312" t="s">
        <v>105</v>
      </c>
      <c r="D2472" s="312" t="s">
        <v>327</v>
      </c>
      <c r="E2472" s="312" t="s">
        <v>684</v>
      </c>
      <c r="F2472" s="312">
        <v>1750</v>
      </c>
      <c r="G2472" s="312" t="s">
        <v>685</v>
      </c>
      <c r="H2472" s="312">
        <v>1754</v>
      </c>
      <c r="I2472" s="312" t="s">
        <v>684</v>
      </c>
      <c r="J2472" s="312">
        <v>1920</v>
      </c>
      <c r="K2472" s="312" t="s">
        <v>686</v>
      </c>
    </row>
    <row r="2473" spans="1:11">
      <c r="A2473" s="312" t="s">
        <v>840</v>
      </c>
      <c r="B2473" s="312" t="s">
        <v>841</v>
      </c>
      <c r="C2473" s="312" t="s">
        <v>105</v>
      </c>
      <c r="D2473" s="312" t="s">
        <v>327</v>
      </c>
      <c r="E2473" s="312" t="s">
        <v>167</v>
      </c>
      <c r="F2473" s="312">
        <v>1705</v>
      </c>
      <c r="G2473" s="312" t="s">
        <v>168</v>
      </c>
      <c r="H2473" s="312">
        <v>1707</v>
      </c>
      <c r="I2473" s="312" t="s">
        <v>167</v>
      </c>
      <c r="J2473" s="312">
        <v>1899</v>
      </c>
      <c r="K2473" s="312" t="s">
        <v>169</v>
      </c>
    </row>
    <row r="2474" spans="1:11">
      <c r="A2474" s="312" t="s">
        <v>1425</v>
      </c>
      <c r="B2474" s="312" t="s">
        <v>1426</v>
      </c>
      <c r="C2474" s="312" t="s">
        <v>105</v>
      </c>
      <c r="D2474" s="312" t="s">
        <v>327</v>
      </c>
      <c r="E2474" s="312" t="s">
        <v>167</v>
      </c>
      <c r="F2474" s="312">
        <v>1705</v>
      </c>
      <c r="G2474" s="312" t="s">
        <v>168</v>
      </c>
      <c r="H2474" s="312">
        <v>1707</v>
      </c>
      <c r="I2474" s="312" t="s">
        <v>167</v>
      </c>
      <c r="J2474" s="312">
        <v>1899</v>
      </c>
      <c r="K2474" s="312" t="s">
        <v>169</v>
      </c>
    </row>
    <row r="2475" spans="1:11">
      <c r="A2475" s="312" t="s">
        <v>1493</v>
      </c>
      <c r="B2475" s="312" t="s">
        <v>1494</v>
      </c>
      <c r="C2475" s="312" t="s">
        <v>105</v>
      </c>
      <c r="D2475" s="312" t="s">
        <v>327</v>
      </c>
      <c r="E2475" s="312" t="s">
        <v>684</v>
      </c>
      <c r="F2475" s="312">
        <v>1750</v>
      </c>
      <c r="G2475" s="312" t="s">
        <v>685</v>
      </c>
      <c r="H2475" s="312">
        <v>1754</v>
      </c>
      <c r="I2475" s="312" t="s">
        <v>684</v>
      </c>
      <c r="J2475" s="312">
        <v>1920</v>
      </c>
      <c r="K2475" s="312" t="s">
        <v>686</v>
      </c>
    </row>
    <row r="2476" spans="1:11">
      <c r="A2476" s="312" t="s">
        <v>1655</v>
      </c>
      <c r="B2476" s="312" t="s">
        <v>1656</v>
      </c>
      <c r="C2476" s="312" t="s">
        <v>105</v>
      </c>
      <c r="D2476" s="312" t="s">
        <v>327</v>
      </c>
      <c r="E2476" s="312" t="s">
        <v>684</v>
      </c>
      <c r="F2476" s="312">
        <v>1750</v>
      </c>
      <c r="G2476" s="312" t="s">
        <v>685</v>
      </c>
      <c r="H2476" s="312">
        <v>1754</v>
      </c>
      <c r="I2476" s="312" t="s">
        <v>684</v>
      </c>
      <c r="J2476" s="312">
        <v>1920</v>
      </c>
      <c r="K2476" s="312" t="s">
        <v>686</v>
      </c>
    </row>
    <row r="2477" spans="1:11">
      <c r="A2477" s="312" t="s">
        <v>1657</v>
      </c>
      <c r="B2477" s="312" t="s">
        <v>1658</v>
      </c>
      <c r="C2477" s="312" t="s">
        <v>105</v>
      </c>
      <c r="D2477" s="312" t="s">
        <v>327</v>
      </c>
      <c r="E2477" s="312" t="s">
        <v>684</v>
      </c>
      <c r="F2477" s="312">
        <v>1750</v>
      </c>
      <c r="G2477" s="312" t="s">
        <v>685</v>
      </c>
      <c r="H2477" s="312">
        <v>1754</v>
      </c>
      <c r="I2477" s="312" t="s">
        <v>684</v>
      </c>
      <c r="J2477" s="312">
        <v>1920</v>
      </c>
      <c r="K2477" s="312" t="s">
        <v>686</v>
      </c>
    </row>
    <row r="2478" spans="1:11">
      <c r="A2478" s="312" t="s">
        <v>1659</v>
      </c>
      <c r="B2478" s="312" t="s">
        <v>1660</v>
      </c>
      <c r="C2478" s="312" t="s">
        <v>105</v>
      </c>
      <c r="D2478" s="312" t="s">
        <v>327</v>
      </c>
      <c r="E2478" s="312" t="s">
        <v>684</v>
      </c>
      <c r="F2478" s="312">
        <v>1750</v>
      </c>
      <c r="G2478" s="312" t="s">
        <v>685</v>
      </c>
      <c r="H2478" s="312">
        <v>1754</v>
      </c>
      <c r="I2478" s="312" t="s">
        <v>684</v>
      </c>
      <c r="J2478" s="312">
        <v>1920</v>
      </c>
      <c r="K2478" s="312" t="s">
        <v>686</v>
      </c>
    </row>
    <row r="2479" spans="1:11">
      <c r="A2479" s="312" t="s">
        <v>1681</v>
      </c>
      <c r="B2479" s="312" t="s">
        <v>1682</v>
      </c>
      <c r="C2479" s="312" t="s">
        <v>105</v>
      </c>
      <c r="D2479" s="312" t="s">
        <v>327</v>
      </c>
      <c r="E2479" s="312" t="s">
        <v>466</v>
      </c>
      <c r="F2479" s="312">
        <v>1796</v>
      </c>
      <c r="G2479" s="312" t="s">
        <v>467</v>
      </c>
      <c r="H2479" s="312">
        <v>1799</v>
      </c>
      <c r="I2479" s="312" t="s">
        <v>466</v>
      </c>
      <c r="J2479" s="312">
        <v>1918</v>
      </c>
      <c r="K2479" s="312" t="s">
        <v>468</v>
      </c>
    </row>
    <row r="2480" spans="1:11">
      <c r="A2480" s="312" t="s">
        <v>2222</v>
      </c>
      <c r="B2480" s="312" t="s">
        <v>2223</v>
      </c>
      <c r="C2480" s="312" t="s">
        <v>105</v>
      </c>
      <c r="D2480" s="312" t="s">
        <v>327</v>
      </c>
      <c r="E2480" s="312" t="s">
        <v>466</v>
      </c>
      <c r="F2480" s="312">
        <v>1796</v>
      </c>
      <c r="G2480" s="312" t="s">
        <v>467</v>
      </c>
      <c r="H2480" s="312">
        <v>1799</v>
      </c>
      <c r="I2480" s="312" t="s">
        <v>466</v>
      </c>
      <c r="J2480" s="312">
        <v>1918</v>
      </c>
      <c r="K2480" s="312" t="s">
        <v>468</v>
      </c>
    </row>
    <row r="2481" spans="1:11">
      <c r="A2481" s="312" t="s">
        <v>2255</v>
      </c>
      <c r="B2481" s="312" t="s">
        <v>2256</v>
      </c>
      <c r="C2481" s="312" t="s">
        <v>105</v>
      </c>
      <c r="D2481" s="312" t="s">
        <v>327</v>
      </c>
      <c r="E2481" s="312" t="s">
        <v>167</v>
      </c>
      <c r="F2481" s="312">
        <v>1705</v>
      </c>
      <c r="G2481" s="312" t="s">
        <v>168</v>
      </c>
      <c r="H2481" s="312">
        <v>1707</v>
      </c>
      <c r="I2481" s="312" t="s">
        <v>167</v>
      </c>
      <c r="J2481" s="312">
        <v>1899</v>
      </c>
      <c r="K2481" s="312" t="s">
        <v>169</v>
      </c>
    </row>
    <row r="2482" spans="1:11">
      <c r="A2482" s="312" t="s">
        <v>2263</v>
      </c>
      <c r="B2482" s="312" t="s">
        <v>2264</v>
      </c>
      <c r="C2482" s="312" t="s">
        <v>105</v>
      </c>
      <c r="D2482" s="312" t="s">
        <v>327</v>
      </c>
      <c r="E2482" s="312" t="s">
        <v>167</v>
      </c>
      <c r="F2482" s="312">
        <v>1705</v>
      </c>
      <c r="G2482" s="312" t="s">
        <v>168</v>
      </c>
      <c r="H2482" s="312">
        <v>1707</v>
      </c>
      <c r="I2482" s="312" t="s">
        <v>167</v>
      </c>
      <c r="J2482" s="312">
        <v>1899</v>
      </c>
      <c r="K2482" s="312" t="s">
        <v>169</v>
      </c>
    </row>
    <row r="2483" spans="1:11">
      <c r="A2483" s="312" t="s">
        <v>2366</v>
      </c>
      <c r="B2483" s="312" t="s">
        <v>2367</v>
      </c>
      <c r="C2483" s="312" t="s">
        <v>105</v>
      </c>
      <c r="D2483" s="312" t="s">
        <v>327</v>
      </c>
      <c r="E2483" s="312" t="s">
        <v>2368</v>
      </c>
      <c r="F2483" s="312">
        <v>1810</v>
      </c>
      <c r="G2483" s="312" t="s">
        <v>2369</v>
      </c>
      <c r="H2483" s="312">
        <v>1816</v>
      </c>
      <c r="I2483" s="312" t="s">
        <v>2368</v>
      </c>
      <c r="J2483" s="312">
        <v>1919</v>
      </c>
      <c r="K2483" s="312" t="s">
        <v>2370</v>
      </c>
    </row>
    <row r="2484" spans="1:11">
      <c r="A2484" s="312" t="s">
        <v>2371</v>
      </c>
      <c r="B2484" s="312" t="s">
        <v>2372</v>
      </c>
      <c r="C2484" s="312" t="s">
        <v>105</v>
      </c>
      <c r="D2484" s="312" t="s">
        <v>327</v>
      </c>
      <c r="E2484" s="312" t="s">
        <v>2368</v>
      </c>
      <c r="F2484" s="312">
        <v>1810</v>
      </c>
      <c r="G2484" s="312" t="s">
        <v>2369</v>
      </c>
      <c r="H2484" s="312">
        <v>1816</v>
      </c>
      <c r="I2484" s="312" t="s">
        <v>2368</v>
      </c>
      <c r="J2484" s="312">
        <v>1919</v>
      </c>
      <c r="K2484" s="312" t="s">
        <v>2370</v>
      </c>
    </row>
    <row r="2485" spans="1:11">
      <c r="A2485" s="312" t="s">
        <v>2581</v>
      </c>
      <c r="B2485" s="312" t="s">
        <v>2582</v>
      </c>
      <c r="C2485" s="312" t="s">
        <v>105</v>
      </c>
      <c r="D2485" s="312" t="s">
        <v>327</v>
      </c>
      <c r="E2485" s="312" t="s">
        <v>167</v>
      </c>
      <c r="F2485" s="312">
        <v>1705</v>
      </c>
      <c r="G2485" s="312" t="s">
        <v>168</v>
      </c>
      <c r="H2485" s="312">
        <v>1707</v>
      </c>
      <c r="I2485" s="312" t="s">
        <v>167</v>
      </c>
      <c r="J2485" s="312">
        <v>1899</v>
      </c>
      <c r="K2485" s="312" t="s">
        <v>169</v>
      </c>
    </row>
    <row r="2486" spans="1:11">
      <c r="A2486" s="312" t="s">
        <v>2585</v>
      </c>
      <c r="B2486" s="312" t="s">
        <v>2586</v>
      </c>
      <c r="C2486" s="312" t="s">
        <v>105</v>
      </c>
      <c r="D2486" s="312" t="s">
        <v>327</v>
      </c>
      <c r="E2486" s="312" t="s">
        <v>167</v>
      </c>
      <c r="F2486" s="312">
        <v>1705</v>
      </c>
      <c r="G2486" s="312" t="s">
        <v>168</v>
      </c>
      <c r="H2486" s="312">
        <v>1707</v>
      </c>
      <c r="I2486" s="312" t="s">
        <v>167</v>
      </c>
      <c r="J2486" s="312">
        <v>1899</v>
      </c>
      <c r="K2486" s="312" t="s">
        <v>169</v>
      </c>
    </row>
    <row r="2487" spans="1:11">
      <c r="A2487" s="312" t="s">
        <v>2587</v>
      </c>
      <c r="B2487" s="312" t="s">
        <v>2588</v>
      </c>
      <c r="C2487" s="312" t="s">
        <v>105</v>
      </c>
      <c r="D2487" s="312" t="s">
        <v>327</v>
      </c>
      <c r="E2487" s="312" t="s">
        <v>167</v>
      </c>
      <c r="F2487" s="312">
        <v>1705</v>
      </c>
      <c r="G2487" s="312" t="s">
        <v>168</v>
      </c>
      <c r="H2487" s="312">
        <v>1707</v>
      </c>
      <c r="I2487" s="312" t="s">
        <v>167</v>
      </c>
      <c r="J2487" s="312">
        <v>1899</v>
      </c>
      <c r="K2487" s="312" t="s">
        <v>169</v>
      </c>
    </row>
    <row r="2488" spans="1:11">
      <c r="A2488" s="312" t="s">
        <v>2589</v>
      </c>
      <c r="B2488" s="312" t="s">
        <v>2590</v>
      </c>
      <c r="C2488" s="312" t="s">
        <v>105</v>
      </c>
      <c r="D2488" s="312" t="s">
        <v>327</v>
      </c>
      <c r="E2488" s="312" t="s">
        <v>167</v>
      </c>
      <c r="F2488" s="312">
        <v>1705</v>
      </c>
      <c r="G2488" s="312" t="s">
        <v>168</v>
      </c>
      <c r="H2488" s="312">
        <v>1707</v>
      </c>
      <c r="I2488" s="312" t="s">
        <v>167</v>
      </c>
      <c r="J2488" s="312">
        <v>1899</v>
      </c>
      <c r="K2488" s="312" t="s">
        <v>169</v>
      </c>
    </row>
    <row r="2489" spans="1:11">
      <c r="A2489" s="312" t="s">
        <v>2591</v>
      </c>
      <c r="B2489" s="312" t="s">
        <v>2592</v>
      </c>
      <c r="C2489" s="312" t="s">
        <v>105</v>
      </c>
      <c r="D2489" s="312" t="s">
        <v>327</v>
      </c>
      <c r="E2489" s="312" t="s">
        <v>167</v>
      </c>
      <c r="F2489" s="312">
        <v>1705</v>
      </c>
      <c r="G2489" s="312" t="s">
        <v>168</v>
      </c>
      <c r="H2489" s="312">
        <v>1707</v>
      </c>
      <c r="I2489" s="312" t="s">
        <v>167</v>
      </c>
      <c r="J2489" s="312">
        <v>1899</v>
      </c>
      <c r="K2489" s="312" t="s">
        <v>169</v>
      </c>
    </row>
    <row r="2490" spans="1:11">
      <c r="A2490" s="312" t="s">
        <v>3088</v>
      </c>
      <c r="B2490" s="312" t="s">
        <v>3089</v>
      </c>
      <c r="C2490" s="312" t="s">
        <v>105</v>
      </c>
      <c r="D2490" s="312" t="s">
        <v>327</v>
      </c>
      <c r="E2490" s="312" t="s">
        <v>167</v>
      </c>
      <c r="F2490" s="312">
        <v>1705</v>
      </c>
      <c r="G2490" s="312" t="s">
        <v>168</v>
      </c>
      <c r="H2490" s="312">
        <v>1707</v>
      </c>
      <c r="I2490" s="312" t="s">
        <v>167</v>
      </c>
      <c r="J2490" s="312">
        <v>1899</v>
      </c>
      <c r="K2490" s="312" t="s">
        <v>169</v>
      </c>
    </row>
    <row r="2491" spans="1:11">
      <c r="A2491" s="312" t="s">
        <v>3291</v>
      </c>
      <c r="B2491" s="312" t="s">
        <v>3292</v>
      </c>
      <c r="C2491" s="312" t="s">
        <v>105</v>
      </c>
      <c r="D2491" s="312" t="s">
        <v>327</v>
      </c>
      <c r="E2491" s="312" t="s">
        <v>167</v>
      </c>
      <c r="F2491" s="312">
        <v>1705</v>
      </c>
      <c r="G2491" s="312" t="s">
        <v>168</v>
      </c>
      <c r="H2491" s="312">
        <v>1707</v>
      </c>
      <c r="I2491" s="312" t="s">
        <v>167</v>
      </c>
      <c r="J2491" s="312">
        <v>1899</v>
      </c>
      <c r="K2491" s="312" t="s">
        <v>169</v>
      </c>
    </row>
    <row r="2492" spans="1:11">
      <c r="A2492" s="312" t="s">
        <v>3295</v>
      </c>
      <c r="B2492" s="312" t="s">
        <v>3296</v>
      </c>
      <c r="C2492" s="312" t="s">
        <v>105</v>
      </c>
      <c r="D2492" s="312" t="s">
        <v>327</v>
      </c>
      <c r="E2492" s="312" t="s">
        <v>167</v>
      </c>
      <c r="F2492" s="312">
        <v>1705</v>
      </c>
      <c r="G2492" s="312" t="s">
        <v>168</v>
      </c>
      <c r="H2492" s="312">
        <v>1707</v>
      </c>
      <c r="I2492" s="312" t="s">
        <v>167</v>
      </c>
      <c r="J2492" s="312">
        <v>1899</v>
      </c>
      <c r="K2492" s="312" t="s">
        <v>169</v>
      </c>
    </row>
    <row r="2493" spans="1:11">
      <c r="A2493" s="312" t="s">
        <v>3330</v>
      </c>
      <c r="B2493" s="312" t="s">
        <v>3331</v>
      </c>
      <c r="C2493" s="312" t="s">
        <v>105</v>
      </c>
      <c r="D2493" s="312" t="s">
        <v>327</v>
      </c>
      <c r="E2493" s="312" t="s">
        <v>167</v>
      </c>
      <c r="F2493" s="312">
        <v>1705</v>
      </c>
      <c r="G2493" s="312" t="s">
        <v>168</v>
      </c>
      <c r="H2493" s="312">
        <v>1707</v>
      </c>
      <c r="I2493" s="312" t="s">
        <v>167</v>
      </c>
      <c r="J2493" s="312">
        <v>1899</v>
      </c>
      <c r="K2493" s="312" t="s">
        <v>169</v>
      </c>
    </row>
    <row r="2494" spans="1:11">
      <c r="A2494" s="312" t="s">
        <v>3368</v>
      </c>
      <c r="B2494" s="312" t="s">
        <v>3369</v>
      </c>
      <c r="C2494" s="312" t="s">
        <v>105</v>
      </c>
      <c r="D2494" s="312" t="s">
        <v>327</v>
      </c>
      <c r="E2494" s="312" t="s">
        <v>167</v>
      </c>
      <c r="F2494" s="312">
        <v>1705</v>
      </c>
      <c r="G2494" s="312" t="s">
        <v>168</v>
      </c>
      <c r="H2494" s="312">
        <v>1707</v>
      </c>
      <c r="I2494" s="312" t="s">
        <v>167</v>
      </c>
      <c r="J2494" s="312">
        <v>1899</v>
      </c>
      <c r="K2494" s="312" t="s">
        <v>169</v>
      </c>
    </row>
    <row r="2495" spans="1:11">
      <c r="A2495" s="312" t="s">
        <v>3598</v>
      </c>
      <c r="B2495" s="312" t="s">
        <v>3599</v>
      </c>
      <c r="C2495" s="312" t="s">
        <v>105</v>
      </c>
      <c r="D2495" s="312" t="s">
        <v>327</v>
      </c>
      <c r="E2495" s="312" t="s">
        <v>167</v>
      </c>
      <c r="F2495" s="312">
        <v>1705</v>
      </c>
      <c r="G2495" s="312" t="s">
        <v>168</v>
      </c>
      <c r="H2495" s="312">
        <v>1707</v>
      </c>
      <c r="I2495" s="312" t="s">
        <v>167</v>
      </c>
      <c r="J2495" s="312">
        <v>1899</v>
      </c>
      <c r="K2495" s="312" t="s">
        <v>169</v>
      </c>
    </row>
    <row r="2496" spans="1:11">
      <c r="A2496" s="312" t="s">
        <v>3959</v>
      </c>
      <c r="B2496" s="312" t="s">
        <v>3960</v>
      </c>
      <c r="C2496" s="312" t="s">
        <v>105</v>
      </c>
      <c r="D2496" s="312" t="s">
        <v>327</v>
      </c>
      <c r="E2496" s="312" t="s">
        <v>167</v>
      </c>
      <c r="F2496" s="312">
        <v>1705</v>
      </c>
      <c r="G2496" s="312" t="s">
        <v>168</v>
      </c>
      <c r="H2496" s="312">
        <v>1707</v>
      </c>
      <c r="I2496" s="312" t="s">
        <v>167</v>
      </c>
      <c r="J2496" s="312">
        <v>1899</v>
      </c>
      <c r="K2496" s="312" t="s">
        <v>169</v>
      </c>
    </row>
    <row r="2497" spans="1:11">
      <c r="A2497" s="312" t="s">
        <v>4113</v>
      </c>
      <c r="B2497" s="312" t="s">
        <v>4114</v>
      </c>
      <c r="C2497" s="312" t="s">
        <v>105</v>
      </c>
      <c r="D2497" s="312" t="s">
        <v>327</v>
      </c>
      <c r="E2497" s="312" t="s">
        <v>466</v>
      </c>
      <c r="F2497" s="312">
        <v>1796</v>
      </c>
      <c r="G2497" s="312" t="s">
        <v>467</v>
      </c>
      <c r="H2497" s="312">
        <v>1799</v>
      </c>
      <c r="I2497" s="312" t="s">
        <v>466</v>
      </c>
      <c r="J2497" s="312">
        <v>1918</v>
      </c>
      <c r="K2497" s="312" t="s">
        <v>468</v>
      </c>
    </row>
    <row r="2498" spans="1:11">
      <c r="A2498" s="312" t="s">
        <v>4334</v>
      </c>
      <c r="B2498" s="312" t="s">
        <v>4335</v>
      </c>
      <c r="C2498" s="312" t="s">
        <v>105</v>
      </c>
      <c r="D2498" s="312" t="s">
        <v>327</v>
      </c>
      <c r="E2498" s="312" t="s">
        <v>167</v>
      </c>
      <c r="F2498" s="312">
        <v>1705</v>
      </c>
      <c r="G2498" s="312" t="s">
        <v>168</v>
      </c>
      <c r="H2498" s="312">
        <v>1707</v>
      </c>
      <c r="I2498" s="312" t="s">
        <v>167</v>
      </c>
      <c r="J2498" s="312">
        <v>1899</v>
      </c>
      <c r="K2498" s="312" t="s">
        <v>169</v>
      </c>
    </row>
    <row r="2499" spans="1:11">
      <c r="A2499" s="312" t="s">
        <v>4586</v>
      </c>
      <c r="B2499" s="312" t="s">
        <v>4587</v>
      </c>
      <c r="C2499" s="312" t="s">
        <v>105</v>
      </c>
      <c r="D2499" s="312" t="s">
        <v>327</v>
      </c>
      <c r="E2499" s="312" t="s">
        <v>167</v>
      </c>
      <c r="F2499" s="312">
        <v>1705</v>
      </c>
      <c r="G2499" s="312" t="s">
        <v>168</v>
      </c>
      <c r="H2499" s="312">
        <v>1707</v>
      </c>
      <c r="I2499" s="312" t="s">
        <v>167</v>
      </c>
      <c r="J2499" s="312">
        <v>1899</v>
      </c>
      <c r="K2499" s="312" t="s">
        <v>169</v>
      </c>
    </row>
    <row r="2500" spans="1:11">
      <c r="A2500" s="312" t="s">
        <v>4800</v>
      </c>
      <c r="B2500" s="312" t="s">
        <v>4801</v>
      </c>
      <c r="C2500" s="312" t="s">
        <v>105</v>
      </c>
      <c r="D2500" s="312" t="s">
        <v>327</v>
      </c>
      <c r="E2500" s="312" t="s">
        <v>466</v>
      </c>
      <c r="F2500" s="312">
        <v>1796</v>
      </c>
      <c r="G2500" s="312" t="s">
        <v>467</v>
      </c>
      <c r="H2500" s="312">
        <v>1799</v>
      </c>
      <c r="I2500" s="312" t="s">
        <v>466</v>
      </c>
      <c r="J2500" s="312">
        <v>1918</v>
      </c>
      <c r="K2500" s="312" t="s">
        <v>468</v>
      </c>
    </row>
    <row r="2501" spans="1:11">
      <c r="A2501" s="312" t="s">
        <v>4802</v>
      </c>
      <c r="B2501" s="312" t="s">
        <v>4803</v>
      </c>
      <c r="C2501" s="312" t="s">
        <v>105</v>
      </c>
      <c r="D2501" s="312" t="s">
        <v>327</v>
      </c>
      <c r="E2501" s="312" t="s">
        <v>466</v>
      </c>
      <c r="F2501" s="312">
        <v>1796</v>
      </c>
      <c r="G2501" s="312" t="s">
        <v>467</v>
      </c>
      <c r="H2501" s="312">
        <v>1799</v>
      </c>
      <c r="I2501" s="312" t="s">
        <v>466</v>
      </c>
      <c r="J2501" s="312">
        <v>1918</v>
      </c>
      <c r="K2501" s="312" t="s">
        <v>468</v>
      </c>
    </row>
    <row r="2502" spans="1:11">
      <c r="A2502" s="312" t="s">
        <v>4977</v>
      </c>
      <c r="B2502" s="312" t="s">
        <v>4978</v>
      </c>
      <c r="C2502" s="312" t="s">
        <v>105</v>
      </c>
      <c r="D2502" s="312" t="s">
        <v>327</v>
      </c>
      <c r="E2502" s="312" t="s">
        <v>167</v>
      </c>
      <c r="F2502" s="312">
        <v>1705</v>
      </c>
      <c r="G2502" s="312" t="s">
        <v>168</v>
      </c>
      <c r="H2502" s="312">
        <v>1707</v>
      </c>
      <c r="I2502" s="312" t="s">
        <v>167</v>
      </c>
      <c r="J2502" s="312">
        <v>1899</v>
      </c>
      <c r="K2502" s="312" t="s">
        <v>169</v>
      </c>
    </row>
    <row r="2503" spans="1:11">
      <c r="A2503" s="312" t="s">
        <v>4991</v>
      </c>
      <c r="B2503" s="312" t="s">
        <v>4992</v>
      </c>
      <c r="C2503" s="312" t="s">
        <v>105</v>
      </c>
      <c r="D2503" s="312" t="s">
        <v>327</v>
      </c>
      <c r="E2503" s="312" t="s">
        <v>167</v>
      </c>
      <c r="F2503" s="312">
        <v>1705</v>
      </c>
      <c r="G2503" s="312" t="s">
        <v>168</v>
      </c>
      <c r="H2503" s="312">
        <v>1707</v>
      </c>
      <c r="I2503" s="312" t="s">
        <v>167</v>
      </c>
      <c r="J2503" s="312">
        <v>1899</v>
      </c>
      <c r="K2503" s="312" t="s">
        <v>169</v>
      </c>
    </row>
    <row r="2504" spans="1:11">
      <c r="A2504" s="312" t="s">
        <v>5127</v>
      </c>
      <c r="B2504" s="312" t="s">
        <v>5128</v>
      </c>
      <c r="C2504" s="312" t="s">
        <v>105</v>
      </c>
      <c r="D2504" s="312" t="s">
        <v>327</v>
      </c>
      <c r="E2504" s="312" t="s">
        <v>167</v>
      </c>
      <c r="F2504" s="312">
        <v>1705</v>
      </c>
      <c r="G2504" s="312" t="s">
        <v>168</v>
      </c>
      <c r="H2504" s="312">
        <v>1707</v>
      </c>
      <c r="I2504" s="312" t="s">
        <v>167</v>
      </c>
      <c r="J2504" s="312">
        <v>1899</v>
      </c>
      <c r="K2504" s="312" t="s">
        <v>169</v>
      </c>
    </row>
    <row r="2505" spans="1:11">
      <c r="A2505" s="312" t="s">
        <v>5408</v>
      </c>
      <c r="B2505" s="312" t="s">
        <v>5409</v>
      </c>
      <c r="C2505" s="312" t="s">
        <v>105</v>
      </c>
      <c r="D2505" s="312" t="s">
        <v>327</v>
      </c>
      <c r="E2505" s="312" t="s">
        <v>684</v>
      </c>
      <c r="F2505" s="312">
        <v>1750</v>
      </c>
      <c r="G2505" s="312" t="s">
        <v>685</v>
      </c>
      <c r="H2505" s="312">
        <v>1754</v>
      </c>
      <c r="I2505" s="312" t="s">
        <v>684</v>
      </c>
      <c r="J2505" s="312">
        <v>1920</v>
      </c>
      <c r="K2505" s="312" t="s">
        <v>686</v>
      </c>
    </row>
    <row r="2506" spans="1:11">
      <c r="A2506" s="312" t="s">
        <v>5759</v>
      </c>
      <c r="B2506" s="312" t="s">
        <v>5760</v>
      </c>
      <c r="C2506" s="312" t="s">
        <v>105</v>
      </c>
      <c r="D2506" s="312" t="s">
        <v>327</v>
      </c>
      <c r="E2506" s="312" t="s">
        <v>466</v>
      </c>
      <c r="F2506" s="312">
        <v>1796</v>
      </c>
      <c r="G2506" s="312" t="s">
        <v>467</v>
      </c>
      <c r="H2506" s="312">
        <v>1799</v>
      </c>
      <c r="I2506" s="312" t="s">
        <v>466</v>
      </c>
      <c r="J2506" s="312">
        <v>1918</v>
      </c>
      <c r="K2506" s="312" t="s">
        <v>468</v>
      </c>
    </row>
    <row r="2507" spans="1:11">
      <c r="A2507" s="312" t="s">
        <v>5801</v>
      </c>
      <c r="B2507" s="312" t="s">
        <v>5802</v>
      </c>
      <c r="C2507" s="312" t="s">
        <v>105</v>
      </c>
      <c r="D2507" s="312" t="s">
        <v>327</v>
      </c>
      <c r="E2507" s="312" t="s">
        <v>167</v>
      </c>
      <c r="F2507" s="312">
        <v>1705</v>
      </c>
      <c r="G2507" s="312" t="s">
        <v>168</v>
      </c>
      <c r="H2507" s="312">
        <v>1707</v>
      </c>
      <c r="I2507" s="312" t="s">
        <v>167</v>
      </c>
      <c r="J2507" s="312">
        <v>1899</v>
      </c>
      <c r="K2507" s="312" t="s">
        <v>169</v>
      </c>
    </row>
    <row r="2508" spans="1:11">
      <c r="A2508" s="312" t="s">
        <v>5826</v>
      </c>
      <c r="B2508" s="1" t="s">
        <v>5827</v>
      </c>
      <c r="C2508" s="312" t="s">
        <v>105</v>
      </c>
      <c r="D2508" s="312" t="s">
        <v>327</v>
      </c>
      <c r="E2508" s="312" t="s">
        <v>167</v>
      </c>
      <c r="F2508" s="312">
        <v>1705</v>
      </c>
      <c r="G2508" s="312" t="s">
        <v>168</v>
      </c>
      <c r="H2508" s="312">
        <v>1707</v>
      </c>
      <c r="I2508" s="312" t="s">
        <v>167</v>
      </c>
      <c r="J2508" s="312">
        <v>1899</v>
      </c>
      <c r="K2508" s="312" t="s">
        <v>169</v>
      </c>
    </row>
    <row r="2509" spans="1:11">
      <c r="A2509" s="312" t="s">
        <v>278</v>
      </c>
      <c r="B2509" s="312" t="s">
        <v>279</v>
      </c>
      <c r="C2509" s="312" t="s">
        <v>105</v>
      </c>
      <c r="D2509" s="312" t="s">
        <v>280</v>
      </c>
      <c r="E2509" s="312" t="s">
        <v>167</v>
      </c>
      <c r="F2509" s="312">
        <v>1705</v>
      </c>
      <c r="G2509" s="312" t="s">
        <v>168</v>
      </c>
      <c r="H2509" s="312">
        <v>1707</v>
      </c>
      <c r="I2509" s="312" t="s">
        <v>167</v>
      </c>
      <c r="J2509" s="312">
        <v>1899</v>
      </c>
      <c r="K2509" s="312" t="s">
        <v>169</v>
      </c>
    </row>
    <row r="2510" spans="1:11">
      <c r="A2510" s="312" t="s">
        <v>4477</v>
      </c>
      <c r="B2510" s="312" t="s">
        <v>4478</v>
      </c>
      <c r="C2510" s="312" t="s">
        <v>105</v>
      </c>
      <c r="D2510" s="312" t="s">
        <v>280</v>
      </c>
      <c r="E2510" s="312" t="s">
        <v>939</v>
      </c>
      <c r="F2510" s="312">
        <v>1685</v>
      </c>
      <c r="G2510" s="312" t="s">
        <v>940</v>
      </c>
      <c r="H2510" s="312">
        <v>1688</v>
      </c>
      <c r="I2510" s="312" t="s">
        <v>939</v>
      </c>
      <c r="J2510" s="312">
        <v>1923</v>
      </c>
      <c r="K2510" s="312" t="s">
        <v>941</v>
      </c>
    </row>
    <row r="2511" spans="1:11">
      <c r="A2511" s="312" t="s">
        <v>4479</v>
      </c>
      <c r="B2511" s="312" t="s">
        <v>4480</v>
      </c>
      <c r="C2511" s="312" t="s">
        <v>105</v>
      </c>
      <c r="D2511" s="312" t="s">
        <v>280</v>
      </c>
      <c r="E2511" s="312" t="s">
        <v>939</v>
      </c>
      <c r="F2511" s="312">
        <v>1685</v>
      </c>
      <c r="G2511" s="312" t="s">
        <v>940</v>
      </c>
      <c r="H2511" s="312">
        <v>1688</v>
      </c>
      <c r="I2511" s="312" t="s">
        <v>939</v>
      </c>
      <c r="J2511" s="312">
        <v>1923</v>
      </c>
      <c r="K2511" s="312" t="s">
        <v>941</v>
      </c>
    </row>
    <row r="2512" spans="1:11">
      <c r="A2512" s="312" t="s">
        <v>4582</v>
      </c>
      <c r="B2512" s="312" t="s">
        <v>4583</v>
      </c>
      <c r="C2512" s="312" t="s">
        <v>105</v>
      </c>
      <c r="D2512" s="312" t="s">
        <v>280</v>
      </c>
      <c r="E2512" s="312" t="s">
        <v>939</v>
      </c>
      <c r="F2512" s="312">
        <v>1685</v>
      </c>
      <c r="G2512" s="312" t="s">
        <v>940</v>
      </c>
      <c r="H2512" s="312">
        <v>1688</v>
      </c>
      <c r="I2512" s="312" t="s">
        <v>939</v>
      </c>
      <c r="J2512" s="312">
        <v>1923</v>
      </c>
      <c r="K2512" s="312" t="s">
        <v>941</v>
      </c>
    </row>
    <row r="2513" spans="1:11">
      <c r="A2513" s="312" t="s">
        <v>4584</v>
      </c>
      <c r="B2513" s="312" t="s">
        <v>4585</v>
      </c>
      <c r="C2513" s="312" t="s">
        <v>105</v>
      </c>
      <c r="D2513" s="312" t="s">
        <v>280</v>
      </c>
      <c r="E2513" s="312" t="s">
        <v>939</v>
      </c>
      <c r="F2513" s="312">
        <v>1685</v>
      </c>
      <c r="G2513" s="312" t="s">
        <v>940</v>
      </c>
      <c r="H2513" s="312">
        <v>1688</v>
      </c>
      <c r="I2513" s="312" t="s">
        <v>939</v>
      </c>
      <c r="J2513" s="312">
        <v>1923</v>
      </c>
      <c r="K2513" s="312" t="s">
        <v>941</v>
      </c>
    </row>
    <row r="2514" spans="1:11">
      <c r="A2514" s="312" t="s">
        <v>4588</v>
      </c>
      <c r="B2514" s="312" t="s">
        <v>4589</v>
      </c>
      <c r="C2514" s="312" t="s">
        <v>105</v>
      </c>
      <c r="D2514" s="312" t="s">
        <v>280</v>
      </c>
      <c r="E2514" s="312" t="s">
        <v>2368</v>
      </c>
      <c r="F2514" s="312">
        <v>1810</v>
      </c>
      <c r="G2514" s="312" t="s">
        <v>2369</v>
      </c>
      <c r="H2514" s="312">
        <v>1816</v>
      </c>
      <c r="I2514" s="312" t="s">
        <v>2368</v>
      </c>
      <c r="J2514" s="312">
        <v>1919</v>
      </c>
      <c r="K2514" s="312" t="s">
        <v>2370</v>
      </c>
    </row>
    <row r="2515" spans="1:11">
      <c r="A2515" s="312" t="s">
        <v>5420</v>
      </c>
      <c r="B2515" s="312" t="s">
        <v>5421</v>
      </c>
      <c r="C2515" s="312" t="s">
        <v>105</v>
      </c>
      <c r="D2515" s="312" t="s">
        <v>280</v>
      </c>
      <c r="E2515" s="312" t="s">
        <v>939</v>
      </c>
      <c r="F2515" s="312">
        <v>1685</v>
      </c>
      <c r="G2515" s="312" t="s">
        <v>940</v>
      </c>
      <c r="H2515" s="312">
        <v>1688</v>
      </c>
      <c r="I2515" s="312" t="s">
        <v>939</v>
      </c>
      <c r="J2515" s="312">
        <v>1923</v>
      </c>
      <c r="K2515" s="312" t="s">
        <v>941</v>
      </c>
    </row>
    <row r="2516" spans="1:11">
      <c r="A2516" s="312" t="s">
        <v>1305</v>
      </c>
      <c r="B2516" s="312" t="s">
        <v>1306</v>
      </c>
      <c r="C2516" s="312" t="s">
        <v>105</v>
      </c>
      <c r="D2516" s="312" t="s">
        <v>1307</v>
      </c>
      <c r="E2516" s="312" t="s">
        <v>167</v>
      </c>
      <c r="F2516" s="312">
        <v>1705</v>
      </c>
      <c r="G2516" s="312" t="s">
        <v>168</v>
      </c>
      <c r="H2516" s="312">
        <v>1707</v>
      </c>
      <c r="I2516" s="312" t="s">
        <v>167</v>
      </c>
      <c r="J2516" s="312">
        <v>1899</v>
      </c>
      <c r="K2516" s="312" t="s">
        <v>169</v>
      </c>
    </row>
    <row r="2517" spans="1:11">
      <c r="A2517" s="312" t="s">
        <v>1308</v>
      </c>
      <c r="B2517" s="312" t="s">
        <v>1309</v>
      </c>
      <c r="C2517" s="312" t="s">
        <v>105</v>
      </c>
      <c r="D2517" s="312" t="s">
        <v>1307</v>
      </c>
      <c r="E2517" s="312" t="s">
        <v>167</v>
      </c>
      <c r="F2517" s="312">
        <v>1705</v>
      </c>
      <c r="G2517" s="312" t="s">
        <v>168</v>
      </c>
      <c r="H2517" s="312">
        <v>1707</v>
      </c>
      <c r="I2517" s="312" t="s">
        <v>167</v>
      </c>
      <c r="J2517" s="312">
        <v>1899</v>
      </c>
      <c r="K2517" s="312" t="s">
        <v>169</v>
      </c>
    </row>
    <row r="2518" spans="1:11">
      <c r="A2518" s="312" t="s">
        <v>1319</v>
      </c>
      <c r="B2518" s="312" t="s">
        <v>1320</v>
      </c>
      <c r="C2518" s="312" t="s">
        <v>105</v>
      </c>
      <c r="D2518" s="312" t="s">
        <v>1307</v>
      </c>
      <c r="E2518" s="312" t="s">
        <v>167</v>
      </c>
      <c r="F2518" s="312">
        <v>1705</v>
      </c>
      <c r="G2518" s="312" t="s">
        <v>168</v>
      </c>
      <c r="H2518" s="312">
        <v>1707</v>
      </c>
      <c r="I2518" s="312" t="s">
        <v>167</v>
      </c>
      <c r="J2518" s="312">
        <v>1899</v>
      </c>
      <c r="K2518" s="312" t="s">
        <v>169</v>
      </c>
    </row>
    <row r="2519" spans="1:11">
      <c r="A2519" s="312" t="s">
        <v>1321</v>
      </c>
      <c r="B2519" s="312" t="s">
        <v>1322</v>
      </c>
      <c r="C2519" s="312" t="s">
        <v>105</v>
      </c>
      <c r="D2519" s="312" t="s">
        <v>1307</v>
      </c>
      <c r="E2519" s="312" t="s">
        <v>167</v>
      </c>
      <c r="F2519" s="312">
        <v>1705</v>
      </c>
      <c r="G2519" s="312" t="s">
        <v>168</v>
      </c>
      <c r="H2519" s="312">
        <v>1707</v>
      </c>
      <c r="I2519" s="312" t="s">
        <v>167</v>
      </c>
      <c r="J2519" s="312">
        <v>1899</v>
      </c>
      <c r="K2519" s="312" t="s">
        <v>169</v>
      </c>
    </row>
    <row r="2520" spans="1:11">
      <c r="A2520" s="312" t="s">
        <v>1337</v>
      </c>
      <c r="B2520" s="312" t="s">
        <v>1338</v>
      </c>
      <c r="C2520" s="312" t="s">
        <v>105</v>
      </c>
      <c r="D2520" s="312" t="s">
        <v>1307</v>
      </c>
      <c r="E2520" s="312" t="s">
        <v>167</v>
      </c>
      <c r="F2520" s="312">
        <v>1705</v>
      </c>
      <c r="G2520" s="312" t="s">
        <v>168</v>
      </c>
      <c r="H2520" s="312">
        <v>1707</v>
      </c>
      <c r="I2520" s="312" t="s">
        <v>167</v>
      </c>
      <c r="J2520" s="312">
        <v>1899</v>
      </c>
      <c r="K2520" s="312" t="s">
        <v>169</v>
      </c>
    </row>
    <row r="2521" spans="1:11">
      <c r="A2521" s="312" t="s">
        <v>1339</v>
      </c>
      <c r="B2521" s="312" t="s">
        <v>1340</v>
      </c>
      <c r="C2521" s="312" t="s">
        <v>105</v>
      </c>
      <c r="D2521" s="312" t="s">
        <v>1307</v>
      </c>
      <c r="E2521" s="312" t="s">
        <v>167</v>
      </c>
      <c r="F2521" s="312">
        <v>1705</v>
      </c>
      <c r="G2521" s="312" t="s">
        <v>168</v>
      </c>
      <c r="H2521" s="312">
        <v>1707</v>
      </c>
      <c r="I2521" s="312" t="s">
        <v>167</v>
      </c>
      <c r="J2521" s="312">
        <v>1899</v>
      </c>
      <c r="K2521" s="312" t="s">
        <v>169</v>
      </c>
    </row>
    <row r="2522" spans="1:11">
      <c r="A2522" s="312" t="s">
        <v>1634</v>
      </c>
      <c r="B2522" s="312" t="s">
        <v>1635</v>
      </c>
      <c r="C2522" s="312" t="s">
        <v>105</v>
      </c>
      <c r="D2522" s="312" t="s">
        <v>1307</v>
      </c>
      <c r="E2522" s="312" t="s">
        <v>320</v>
      </c>
      <c r="F2522" s="312">
        <v>1716</v>
      </c>
      <c r="G2522" s="312" t="s">
        <v>321</v>
      </c>
      <c r="H2522" s="312">
        <v>1725</v>
      </c>
      <c r="I2522" s="312" t="s">
        <v>320</v>
      </c>
      <c r="J2522" s="312">
        <v>1910</v>
      </c>
      <c r="K2522" s="312" t="s">
        <v>322</v>
      </c>
    </row>
    <row r="2523" spans="1:11">
      <c r="A2523" s="312" t="s">
        <v>2230</v>
      </c>
      <c r="B2523" s="312" t="s">
        <v>2231</v>
      </c>
      <c r="C2523" s="312" t="s">
        <v>105</v>
      </c>
      <c r="D2523" s="312" t="s">
        <v>1307</v>
      </c>
      <c r="E2523" s="312" t="s">
        <v>167</v>
      </c>
      <c r="F2523" s="312">
        <v>1705</v>
      </c>
      <c r="G2523" s="312" t="s">
        <v>168</v>
      </c>
      <c r="H2523" s="312">
        <v>1707</v>
      </c>
      <c r="I2523" s="312" t="s">
        <v>167</v>
      </c>
      <c r="J2523" s="312">
        <v>1899</v>
      </c>
      <c r="K2523" s="312" t="s">
        <v>169</v>
      </c>
    </row>
    <row r="2524" spans="1:11">
      <c r="A2524" s="312" t="s">
        <v>2232</v>
      </c>
      <c r="B2524" s="312" t="s">
        <v>2233</v>
      </c>
      <c r="C2524" s="312" t="s">
        <v>105</v>
      </c>
      <c r="D2524" s="312" t="s">
        <v>1307</v>
      </c>
      <c r="E2524" s="312" t="s">
        <v>167</v>
      </c>
      <c r="F2524" s="312">
        <v>1705</v>
      </c>
      <c r="G2524" s="312" t="s">
        <v>168</v>
      </c>
      <c r="H2524" s="312">
        <v>1707</v>
      </c>
      <c r="I2524" s="312" t="s">
        <v>167</v>
      </c>
      <c r="J2524" s="312">
        <v>1899</v>
      </c>
      <c r="K2524" s="312" t="s">
        <v>169</v>
      </c>
    </row>
    <row r="2525" spans="1:11">
      <c r="A2525" s="312" t="s">
        <v>2234</v>
      </c>
      <c r="B2525" s="312" t="s">
        <v>2235</v>
      </c>
      <c r="C2525" s="312" t="s">
        <v>105</v>
      </c>
      <c r="D2525" s="312" t="s">
        <v>1307</v>
      </c>
      <c r="E2525" s="312" t="s">
        <v>167</v>
      </c>
      <c r="F2525" s="312">
        <v>1705</v>
      </c>
      <c r="G2525" s="312" t="s">
        <v>168</v>
      </c>
      <c r="H2525" s="312">
        <v>1707</v>
      </c>
      <c r="I2525" s="312" t="s">
        <v>167</v>
      </c>
      <c r="J2525" s="312">
        <v>1899</v>
      </c>
      <c r="K2525" s="312" t="s">
        <v>169</v>
      </c>
    </row>
    <row r="2526" spans="1:11">
      <c r="A2526" s="312" t="s">
        <v>2244</v>
      </c>
      <c r="B2526" s="312" t="s">
        <v>2245</v>
      </c>
      <c r="C2526" s="312" t="s">
        <v>105</v>
      </c>
      <c r="D2526" s="312" t="s">
        <v>1307</v>
      </c>
      <c r="E2526" s="312" t="s">
        <v>167</v>
      </c>
      <c r="F2526" s="312">
        <v>1705</v>
      </c>
      <c r="G2526" s="312" t="s">
        <v>168</v>
      </c>
      <c r="H2526" s="312">
        <v>1707</v>
      </c>
      <c r="I2526" s="312" t="s">
        <v>167</v>
      </c>
      <c r="J2526" s="312">
        <v>1899</v>
      </c>
      <c r="K2526" s="312" t="s">
        <v>169</v>
      </c>
    </row>
    <row r="2527" spans="1:11">
      <c r="A2527" s="312" t="s">
        <v>2246</v>
      </c>
      <c r="B2527" s="312" t="s">
        <v>2247</v>
      </c>
      <c r="C2527" s="312" t="s">
        <v>105</v>
      </c>
      <c r="D2527" s="312" t="s">
        <v>1307</v>
      </c>
      <c r="E2527" s="312" t="s">
        <v>167</v>
      </c>
      <c r="F2527" s="312">
        <v>1705</v>
      </c>
      <c r="G2527" s="312" t="s">
        <v>168</v>
      </c>
      <c r="H2527" s="312">
        <v>1707</v>
      </c>
      <c r="I2527" s="312" t="s">
        <v>167</v>
      </c>
      <c r="J2527" s="312">
        <v>1899</v>
      </c>
      <c r="K2527" s="312" t="s">
        <v>169</v>
      </c>
    </row>
    <row r="2528" spans="1:11">
      <c r="A2528" s="312" t="s">
        <v>2248</v>
      </c>
      <c r="B2528" s="312" t="s">
        <v>2249</v>
      </c>
      <c r="C2528" s="312" t="s">
        <v>105</v>
      </c>
      <c r="D2528" s="312" t="s">
        <v>1307</v>
      </c>
      <c r="E2528" s="312" t="s">
        <v>167</v>
      </c>
      <c r="F2528" s="312">
        <v>1705</v>
      </c>
      <c r="G2528" s="312" t="s">
        <v>168</v>
      </c>
      <c r="H2528" s="312">
        <v>1707</v>
      </c>
      <c r="I2528" s="312" t="s">
        <v>167</v>
      </c>
      <c r="J2528" s="312">
        <v>1899</v>
      </c>
      <c r="K2528" s="312" t="s">
        <v>169</v>
      </c>
    </row>
    <row r="2529" spans="1:11">
      <c r="A2529" s="312" t="s">
        <v>2395</v>
      </c>
      <c r="B2529" s="312" t="s">
        <v>2396</v>
      </c>
      <c r="C2529" s="312" t="s">
        <v>105</v>
      </c>
      <c r="D2529" s="312" t="s">
        <v>1307</v>
      </c>
      <c r="E2529" s="312" t="s">
        <v>167</v>
      </c>
      <c r="F2529" s="312">
        <v>1705</v>
      </c>
      <c r="G2529" s="312" t="s">
        <v>168</v>
      </c>
      <c r="H2529" s="312">
        <v>1707</v>
      </c>
      <c r="I2529" s="312" t="s">
        <v>167</v>
      </c>
      <c r="J2529" s="312">
        <v>1899</v>
      </c>
      <c r="K2529" s="312" t="s">
        <v>169</v>
      </c>
    </row>
    <row r="2530" spans="1:11">
      <c r="A2530" s="312" t="s">
        <v>2429</v>
      </c>
      <c r="B2530" s="312" t="s">
        <v>2430</v>
      </c>
      <c r="C2530" s="312" t="s">
        <v>105</v>
      </c>
      <c r="D2530" s="312" t="s">
        <v>1307</v>
      </c>
      <c r="E2530" s="312" t="s">
        <v>167</v>
      </c>
      <c r="F2530" s="312">
        <v>1705</v>
      </c>
      <c r="G2530" s="312" t="s">
        <v>168</v>
      </c>
      <c r="H2530" s="312">
        <v>1707</v>
      </c>
      <c r="I2530" s="312" t="s">
        <v>167</v>
      </c>
      <c r="J2530" s="312">
        <v>1899</v>
      </c>
      <c r="K2530" s="312" t="s">
        <v>169</v>
      </c>
    </row>
    <row r="2531" spans="1:11">
      <c r="A2531" s="312" t="s">
        <v>2431</v>
      </c>
      <c r="B2531" s="312" t="s">
        <v>2432</v>
      </c>
      <c r="C2531" s="312" t="s">
        <v>105</v>
      </c>
      <c r="D2531" s="312" t="s">
        <v>1307</v>
      </c>
      <c r="E2531" s="312" t="s">
        <v>167</v>
      </c>
      <c r="F2531" s="312">
        <v>1705</v>
      </c>
      <c r="G2531" s="312" t="s">
        <v>168</v>
      </c>
      <c r="H2531" s="312">
        <v>1707</v>
      </c>
      <c r="I2531" s="312" t="s">
        <v>167</v>
      </c>
      <c r="J2531" s="312">
        <v>1899</v>
      </c>
      <c r="K2531" s="312" t="s">
        <v>169</v>
      </c>
    </row>
    <row r="2532" spans="1:11">
      <c r="A2532" s="312" t="s">
        <v>2433</v>
      </c>
      <c r="B2532" s="312" t="s">
        <v>2434</v>
      </c>
      <c r="C2532" s="312" t="s">
        <v>105</v>
      </c>
      <c r="D2532" s="312" t="s">
        <v>1307</v>
      </c>
      <c r="E2532" s="312" t="s">
        <v>167</v>
      </c>
      <c r="F2532" s="312">
        <v>1705</v>
      </c>
      <c r="G2532" s="312" t="s">
        <v>168</v>
      </c>
      <c r="H2532" s="312">
        <v>1707</v>
      </c>
      <c r="I2532" s="312" t="s">
        <v>167</v>
      </c>
      <c r="J2532" s="312">
        <v>1899</v>
      </c>
      <c r="K2532" s="312" t="s">
        <v>169</v>
      </c>
    </row>
    <row r="2533" spans="1:11">
      <c r="A2533" s="312" t="s">
        <v>2435</v>
      </c>
      <c r="B2533" s="312" t="s">
        <v>2436</v>
      </c>
      <c r="C2533" s="312" t="s">
        <v>105</v>
      </c>
      <c r="D2533" s="312" t="s">
        <v>1307</v>
      </c>
      <c r="E2533" s="312" t="s">
        <v>167</v>
      </c>
      <c r="F2533" s="312">
        <v>1705</v>
      </c>
      <c r="G2533" s="312" t="s">
        <v>168</v>
      </c>
      <c r="H2533" s="312">
        <v>1707</v>
      </c>
      <c r="I2533" s="312" t="s">
        <v>167</v>
      </c>
      <c r="J2533" s="312">
        <v>1899</v>
      </c>
      <c r="K2533" s="312" t="s">
        <v>169</v>
      </c>
    </row>
    <row r="2534" spans="1:11">
      <c r="A2534" s="312" t="s">
        <v>2437</v>
      </c>
      <c r="B2534" s="312" t="s">
        <v>2438</v>
      </c>
      <c r="C2534" s="312" t="s">
        <v>105</v>
      </c>
      <c r="D2534" s="312" t="s">
        <v>1307</v>
      </c>
      <c r="E2534" s="312" t="s">
        <v>167</v>
      </c>
      <c r="F2534" s="312">
        <v>1705</v>
      </c>
      <c r="G2534" s="312" t="s">
        <v>168</v>
      </c>
      <c r="H2534" s="312">
        <v>1707</v>
      </c>
      <c r="I2534" s="312" t="s">
        <v>167</v>
      </c>
      <c r="J2534" s="312">
        <v>1899</v>
      </c>
      <c r="K2534" s="312" t="s">
        <v>169</v>
      </c>
    </row>
    <row r="2535" spans="1:11">
      <c r="A2535" s="312" t="s">
        <v>2439</v>
      </c>
      <c r="B2535" s="312" t="s">
        <v>2440</v>
      </c>
      <c r="C2535" s="312" t="s">
        <v>105</v>
      </c>
      <c r="D2535" s="312" t="s">
        <v>1307</v>
      </c>
      <c r="E2535" s="312" t="s">
        <v>167</v>
      </c>
      <c r="F2535" s="312">
        <v>1705</v>
      </c>
      <c r="G2535" s="312" t="s">
        <v>168</v>
      </c>
      <c r="H2535" s="312">
        <v>1707</v>
      </c>
      <c r="I2535" s="312" t="s">
        <v>167</v>
      </c>
      <c r="J2535" s="312">
        <v>1899</v>
      </c>
      <c r="K2535" s="312" t="s">
        <v>169</v>
      </c>
    </row>
    <row r="2536" spans="1:11">
      <c r="A2536" s="312" t="s">
        <v>2441</v>
      </c>
      <c r="B2536" s="312" t="s">
        <v>2442</v>
      </c>
      <c r="C2536" s="312" t="s">
        <v>105</v>
      </c>
      <c r="D2536" s="312" t="s">
        <v>1307</v>
      </c>
      <c r="E2536" s="312" t="s">
        <v>167</v>
      </c>
      <c r="F2536" s="312">
        <v>1705</v>
      </c>
      <c r="G2536" s="312" t="s">
        <v>168</v>
      </c>
      <c r="H2536" s="312">
        <v>1707</v>
      </c>
      <c r="I2536" s="312" t="s">
        <v>167</v>
      </c>
      <c r="J2536" s="312">
        <v>1899</v>
      </c>
      <c r="K2536" s="312" t="s">
        <v>169</v>
      </c>
    </row>
    <row r="2537" spans="1:11">
      <c r="A2537" s="312" t="s">
        <v>2443</v>
      </c>
      <c r="B2537" s="312" t="s">
        <v>2444</v>
      </c>
      <c r="C2537" s="312" t="s">
        <v>105</v>
      </c>
      <c r="D2537" s="312" t="s">
        <v>1307</v>
      </c>
      <c r="E2537" s="312" t="s">
        <v>167</v>
      </c>
      <c r="F2537" s="312">
        <v>1705</v>
      </c>
      <c r="G2537" s="312" t="s">
        <v>168</v>
      </c>
      <c r="H2537" s="312">
        <v>1707</v>
      </c>
      <c r="I2537" s="312" t="s">
        <v>167</v>
      </c>
      <c r="J2537" s="312">
        <v>1899</v>
      </c>
      <c r="K2537" s="312" t="s">
        <v>169</v>
      </c>
    </row>
    <row r="2538" spans="1:11">
      <c r="A2538" s="312" t="s">
        <v>2445</v>
      </c>
      <c r="B2538" s="312" t="s">
        <v>2446</v>
      </c>
      <c r="C2538" s="312" t="s">
        <v>105</v>
      </c>
      <c r="D2538" s="312" t="s">
        <v>1307</v>
      </c>
      <c r="E2538" s="312" t="s">
        <v>167</v>
      </c>
      <c r="F2538" s="312">
        <v>1705</v>
      </c>
      <c r="G2538" s="312" t="s">
        <v>168</v>
      </c>
      <c r="H2538" s="312">
        <v>1707</v>
      </c>
      <c r="I2538" s="312" t="s">
        <v>167</v>
      </c>
      <c r="J2538" s="312">
        <v>1899</v>
      </c>
      <c r="K2538" s="312" t="s">
        <v>169</v>
      </c>
    </row>
    <row r="2539" spans="1:11">
      <c r="A2539" s="312" t="s">
        <v>2447</v>
      </c>
      <c r="B2539" s="312" t="s">
        <v>2448</v>
      </c>
      <c r="C2539" s="312" t="s">
        <v>105</v>
      </c>
      <c r="D2539" s="312" t="s">
        <v>1307</v>
      </c>
      <c r="E2539" s="312" t="s">
        <v>167</v>
      </c>
      <c r="F2539" s="312">
        <v>1705</v>
      </c>
      <c r="G2539" s="312" t="s">
        <v>168</v>
      </c>
      <c r="H2539" s="312">
        <v>1707</v>
      </c>
      <c r="I2539" s="312" t="s">
        <v>167</v>
      </c>
      <c r="J2539" s="312">
        <v>1899</v>
      </c>
      <c r="K2539" s="312" t="s">
        <v>169</v>
      </c>
    </row>
    <row r="2540" spans="1:11">
      <c r="A2540" s="312" t="s">
        <v>2449</v>
      </c>
      <c r="B2540" s="312" t="s">
        <v>2450</v>
      </c>
      <c r="C2540" s="312" t="s">
        <v>105</v>
      </c>
      <c r="D2540" s="312" t="s">
        <v>1307</v>
      </c>
      <c r="E2540" s="312" t="s">
        <v>167</v>
      </c>
      <c r="F2540" s="312">
        <v>1705</v>
      </c>
      <c r="G2540" s="312" t="s">
        <v>168</v>
      </c>
      <c r="H2540" s="312">
        <v>1707</v>
      </c>
      <c r="I2540" s="312" t="s">
        <v>167</v>
      </c>
      <c r="J2540" s="312">
        <v>1899</v>
      </c>
      <c r="K2540" s="312" t="s">
        <v>169</v>
      </c>
    </row>
    <row r="2541" spans="1:11">
      <c r="A2541" s="312" t="s">
        <v>2451</v>
      </c>
      <c r="B2541" s="312" t="s">
        <v>2452</v>
      </c>
      <c r="C2541" s="312" t="s">
        <v>105</v>
      </c>
      <c r="D2541" s="312" t="s">
        <v>1307</v>
      </c>
      <c r="E2541" s="312" t="s">
        <v>167</v>
      </c>
      <c r="F2541" s="312">
        <v>1705</v>
      </c>
      <c r="G2541" s="312" t="s">
        <v>168</v>
      </c>
      <c r="H2541" s="312">
        <v>1707</v>
      </c>
      <c r="I2541" s="312" t="s">
        <v>167</v>
      </c>
      <c r="J2541" s="312">
        <v>1899</v>
      </c>
      <c r="K2541" s="312" t="s">
        <v>169</v>
      </c>
    </row>
    <row r="2542" spans="1:11">
      <c r="A2542" s="312" t="s">
        <v>2453</v>
      </c>
      <c r="B2542" s="312" t="s">
        <v>2454</v>
      </c>
      <c r="C2542" s="312" t="s">
        <v>105</v>
      </c>
      <c r="D2542" s="312" t="s">
        <v>1307</v>
      </c>
      <c r="E2542" s="312" t="s">
        <v>167</v>
      </c>
      <c r="F2542" s="312">
        <v>1705</v>
      </c>
      <c r="G2542" s="312" t="s">
        <v>168</v>
      </c>
      <c r="H2542" s="312">
        <v>1707</v>
      </c>
      <c r="I2542" s="312" t="s">
        <v>167</v>
      </c>
      <c r="J2542" s="312">
        <v>1899</v>
      </c>
      <c r="K2542" s="312" t="s">
        <v>169</v>
      </c>
    </row>
    <row r="2543" spans="1:11">
      <c r="A2543" s="312" t="s">
        <v>2455</v>
      </c>
      <c r="B2543" s="312" t="s">
        <v>2456</v>
      </c>
      <c r="C2543" s="312" t="s">
        <v>105</v>
      </c>
      <c r="D2543" s="312" t="s">
        <v>1307</v>
      </c>
      <c r="E2543" s="312" t="s">
        <v>167</v>
      </c>
      <c r="F2543" s="312">
        <v>1705</v>
      </c>
      <c r="G2543" s="312" t="s">
        <v>168</v>
      </c>
      <c r="H2543" s="312">
        <v>1707</v>
      </c>
      <c r="I2543" s="312" t="s">
        <v>167</v>
      </c>
      <c r="J2543" s="312">
        <v>1899</v>
      </c>
      <c r="K2543" s="312" t="s">
        <v>169</v>
      </c>
    </row>
    <row r="2544" spans="1:11">
      <c r="A2544" s="312" t="s">
        <v>2457</v>
      </c>
      <c r="B2544" s="312" t="s">
        <v>2458</v>
      </c>
      <c r="C2544" s="312" t="s">
        <v>105</v>
      </c>
      <c r="D2544" s="312" t="s">
        <v>1307</v>
      </c>
      <c r="E2544" s="312" t="s">
        <v>167</v>
      </c>
      <c r="F2544" s="312">
        <v>1705</v>
      </c>
      <c r="G2544" s="312" t="s">
        <v>168</v>
      </c>
      <c r="H2544" s="312">
        <v>1707</v>
      </c>
      <c r="I2544" s="312" t="s">
        <v>167</v>
      </c>
      <c r="J2544" s="312">
        <v>1899</v>
      </c>
      <c r="K2544" s="312" t="s">
        <v>169</v>
      </c>
    </row>
    <row r="2545" spans="1:11">
      <c r="A2545" s="312" t="s">
        <v>2459</v>
      </c>
      <c r="B2545" s="312" t="s">
        <v>2460</v>
      </c>
      <c r="C2545" s="312" t="s">
        <v>105</v>
      </c>
      <c r="D2545" s="312" t="s">
        <v>1307</v>
      </c>
      <c r="E2545" s="312" t="s">
        <v>167</v>
      </c>
      <c r="F2545" s="312">
        <v>1705</v>
      </c>
      <c r="G2545" s="312" t="s">
        <v>168</v>
      </c>
      <c r="H2545" s="312">
        <v>1707</v>
      </c>
      <c r="I2545" s="312" t="s">
        <v>167</v>
      </c>
      <c r="J2545" s="312">
        <v>1899</v>
      </c>
      <c r="K2545" s="312" t="s">
        <v>169</v>
      </c>
    </row>
    <row r="2546" spans="1:11">
      <c r="A2546" s="312" t="s">
        <v>2461</v>
      </c>
      <c r="B2546" s="312" t="s">
        <v>2462</v>
      </c>
      <c r="C2546" s="312" t="s">
        <v>105</v>
      </c>
      <c r="D2546" s="312" t="s">
        <v>1307</v>
      </c>
      <c r="E2546" s="312" t="s">
        <v>167</v>
      </c>
      <c r="F2546" s="312">
        <v>1705</v>
      </c>
      <c r="G2546" s="312" t="s">
        <v>168</v>
      </c>
      <c r="H2546" s="312">
        <v>1707</v>
      </c>
      <c r="I2546" s="312" t="s">
        <v>167</v>
      </c>
      <c r="J2546" s="312">
        <v>1899</v>
      </c>
      <c r="K2546" s="312" t="s">
        <v>169</v>
      </c>
    </row>
    <row r="2547" spans="1:11">
      <c r="A2547" s="312" t="s">
        <v>2463</v>
      </c>
      <c r="B2547" s="312" t="s">
        <v>2464</v>
      </c>
      <c r="C2547" s="312" t="s">
        <v>105</v>
      </c>
      <c r="D2547" s="312" t="s">
        <v>1307</v>
      </c>
      <c r="E2547" s="312" t="s">
        <v>167</v>
      </c>
      <c r="F2547" s="312">
        <v>1705</v>
      </c>
      <c r="G2547" s="312" t="s">
        <v>168</v>
      </c>
      <c r="H2547" s="312">
        <v>1707</v>
      </c>
      <c r="I2547" s="312" t="s">
        <v>167</v>
      </c>
      <c r="J2547" s="312">
        <v>1899</v>
      </c>
      <c r="K2547" s="312" t="s">
        <v>169</v>
      </c>
    </row>
    <row r="2548" spans="1:11">
      <c r="A2548" s="312" t="s">
        <v>2465</v>
      </c>
      <c r="B2548" s="312" t="s">
        <v>2466</v>
      </c>
      <c r="C2548" s="312" t="s">
        <v>105</v>
      </c>
      <c r="D2548" s="312" t="s">
        <v>1307</v>
      </c>
      <c r="E2548" s="312" t="s">
        <v>167</v>
      </c>
      <c r="F2548" s="312">
        <v>1705</v>
      </c>
      <c r="G2548" s="312" t="s">
        <v>168</v>
      </c>
      <c r="H2548" s="312">
        <v>1707</v>
      </c>
      <c r="I2548" s="312" t="s">
        <v>167</v>
      </c>
      <c r="J2548" s="312">
        <v>1899</v>
      </c>
      <c r="K2548" s="312" t="s">
        <v>169</v>
      </c>
    </row>
    <row r="2549" spans="1:11">
      <c r="A2549" s="312" t="s">
        <v>2467</v>
      </c>
      <c r="B2549" s="312" t="s">
        <v>2468</v>
      </c>
      <c r="C2549" s="312" t="s">
        <v>105</v>
      </c>
      <c r="D2549" s="312" t="s">
        <v>1307</v>
      </c>
      <c r="E2549" s="312" t="s">
        <v>167</v>
      </c>
      <c r="F2549" s="312">
        <v>1705</v>
      </c>
      <c r="G2549" s="312" t="s">
        <v>168</v>
      </c>
      <c r="H2549" s="312">
        <v>1707</v>
      </c>
      <c r="I2549" s="312" t="s">
        <v>167</v>
      </c>
      <c r="J2549" s="312">
        <v>1899</v>
      </c>
      <c r="K2549" s="312" t="s">
        <v>169</v>
      </c>
    </row>
    <row r="2550" spans="1:11">
      <c r="A2550" s="312" t="s">
        <v>2469</v>
      </c>
      <c r="B2550" s="312" t="s">
        <v>2470</v>
      </c>
      <c r="C2550" s="312" t="s">
        <v>105</v>
      </c>
      <c r="D2550" s="312" t="s">
        <v>1307</v>
      </c>
      <c r="E2550" s="312" t="s">
        <v>167</v>
      </c>
      <c r="F2550" s="312">
        <v>1705</v>
      </c>
      <c r="G2550" s="312" t="s">
        <v>168</v>
      </c>
      <c r="H2550" s="312">
        <v>1707</v>
      </c>
      <c r="I2550" s="312" t="s">
        <v>167</v>
      </c>
      <c r="J2550" s="312">
        <v>1899</v>
      </c>
      <c r="K2550" s="312" t="s">
        <v>169</v>
      </c>
    </row>
    <row r="2551" spans="1:11">
      <c r="A2551" s="312" t="s">
        <v>2471</v>
      </c>
      <c r="B2551" s="312" t="s">
        <v>2472</v>
      </c>
      <c r="C2551" s="312" t="s">
        <v>105</v>
      </c>
      <c r="D2551" s="312" t="s">
        <v>1307</v>
      </c>
      <c r="E2551" s="312" t="s">
        <v>167</v>
      </c>
      <c r="F2551" s="312">
        <v>1705</v>
      </c>
      <c r="G2551" s="312" t="s">
        <v>168</v>
      </c>
      <c r="H2551" s="312">
        <v>1707</v>
      </c>
      <c r="I2551" s="312" t="s">
        <v>167</v>
      </c>
      <c r="J2551" s="312">
        <v>1899</v>
      </c>
      <c r="K2551" s="312" t="s">
        <v>169</v>
      </c>
    </row>
    <row r="2552" spans="1:11">
      <c r="A2552" s="312" t="s">
        <v>2473</v>
      </c>
      <c r="B2552" s="312" t="s">
        <v>2474</v>
      </c>
      <c r="C2552" s="312" t="s">
        <v>105</v>
      </c>
      <c r="D2552" s="312" t="s">
        <v>1307</v>
      </c>
      <c r="E2552" s="312" t="s">
        <v>167</v>
      </c>
      <c r="F2552" s="312">
        <v>1705</v>
      </c>
      <c r="G2552" s="312" t="s">
        <v>168</v>
      </c>
      <c r="H2552" s="312">
        <v>1707</v>
      </c>
      <c r="I2552" s="312" t="s">
        <v>167</v>
      </c>
      <c r="J2552" s="312">
        <v>1899</v>
      </c>
      <c r="K2552" s="312" t="s">
        <v>169</v>
      </c>
    </row>
    <row r="2553" spans="1:11">
      <c r="A2553" s="312" t="s">
        <v>2475</v>
      </c>
      <c r="B2553" s="312" t="s">
        <v>2476</v>
      </c>
      <c r="C2553" s="312" t="s">
        <v>105</v>
      </c>
      <c r="D2553" s="312" t="s">
        <v>1307</v>
      </c>
      <c r="E2553" s="312" t="s">
        <v>167</v>
      </c>
      <c r="F2553" s="312">
        <v>1705</v>
      </c>
      <c r="G2553" s="312" t="s">
        <v>168</v>
      </c>
      <c r="H2553" s="312">
        <v>1707</v>
      </c>
      <c r="I2553" s="312" t="s">
        <v>167</v>
      </c>
      <c r="J2553" s="312">
        <v>1899</v>
      </c>
      <c r="K2553" s="312" t="s">
        <v>169</v>
      </c>
    </row>
    <row r="2554" spans="1:11">
      <c r="A2554" s="312" t="s">
        <v>2477</v>
      </c>
      <c r="B2554" s="312" t="s">
        <v>2478</v>
      </c>
      <c r="C2554" s="312" t="s">
        <v>105</v>
      </c>
      <c r="D2554" s="312" t="s">
        <v>1307</v>
      </c>
      <c r="E2554" s="312" t="s">
        <v>167</v>
      </c>
      <c r="F2554" s="312">
        <v>1705</v>
      </c>
      <c r="G2554" s="312" t="s">
        <v>168</v>
      </c>
      <c r="H2554" s="312">
        <v>1707</v>
      </c>
      <c r="I2554" s="312" t="s">
        <v>167</v>
      </c>
      <c r="J2554" s="312">
        <v>1899</v>
      </c>
      <c r="K2554" s="312" t="s">
        <v>169</v>
      </c>
    </row>
    <row r="2555" spans="1:11">
      <c r="A2555" s="312" t="s">
        <v>2479</v>
      </c>
      <c r="B2555" s="312" t="s">
        <v>2480</v>
      </c>
      <c r="C2555" s="312" t="s">
        <v>105</v>
      </c>
      <c r="D2555" s="312" t="s">
        <v>1307</v>
      </c>
      <c r="E2555" s="312" t="s">
        <v>167</v>
      </c>
      <c r="F2555" s="312">
        <v>1705</v>
      </c>
      <c r="G2555" s="312" t="s">
        <v>168</v>
      </c>
      <c r="H2555" s="312">
        <v>1707</v>
      </c>
      <c r="I2555" s="312" t="s">
        <v>167</v>
      </c>
      <c r="J2555" s="312">
        <v>1899</v>
      </c>
      <c r="K2555" s="312" t="s">
        <v>169</v>
      </c>
    </row>
    <row r="2556" spans="1:11">
      <c r="A2556" s="312" t="s">
        <v>2481</v>
      </c>
      <c r="B2556" s="312" t="s">
        <v>2482</v>
      </c>
      <c r="C2556" s="312" t="s">
        <v>105</v>
      </c>
      <c r="D2556" s="312" t="s">
        <v>1307</v>
      </c>
      <c r="E2556" s="312" t="s">
        <v>167</v>
      </c>
      <c r="F2556" s="312">
        <v>1705</v>
      </c>
      <c r="G2556" s="312" t="s">
        <v>168</v>
      </c>
      <c r="H2556" s="312">
        <v>1707</v>
      </c>
      <c r="I2556" s="312" t="s">
        <v>167</v>
      </c>
      <c r="J2556" s="312">
        <v>1899</v>
      </c>
      <c r="K2556" s="312" t="s">
        <v>169</v>
      </c>
    </row>
    <row r="2557" spans="1:11">
      <c r="A2557" s="312" t="s">
        <v>2483</v>
      </c>
      <c r="B2557" s="312" t="s">
        <v>2484</v>
      </c>
      <c r="C2557" s="312" t="s">
        <v>105</v>
      </c>
      <c r="D2557" s="312" t="s">
        <v>1307</v>
      </c>
      <c r="E2557" s="312" t="s">
        <v>167</v>
      </c>
      <c r="F2557" s="312">
        <v>1705</v>
      </c>
      <c r="G2557" s="312" t="s">
        <v>168</v>
      </c>
      <c r="H2557" s="312">
        <v>1707</v>
      </c>
      <c r="I2557" s="312" t="s">
        <v>167</v>
      </c>
      <c r="J2557" s="312">
        <v>1899</v>
      </c>
      <c r="K2557" s="312" t="s">
        <v>169</v>
      </c>
    </row>
    <row r="2558" spans="1:11">
      <c r="A2558" s="312" t="s">
        <v>2485</v>
      </c>
      <c r="B2558" s="312" t="s">
        <v>2486</v>
      </c>
      <c r="C2558" s="312" t="s">
        <v>105</v>
      </c>
      <c r="D2558" s="312" t="s">
        <v>1307</v>
      </c>
      <c r="E2558" s="312" t="s">
        <v>167</v>
      </c>
      <c r="F2558" s="312">
        <v>1705</v>
      </c>
      <c r="G2558" s="312" t="s">
        <v>168</v>
      </c>
      <c r="H2558" s="312">
        <v>1707</v>
      </c>
      <c r="I2558" s="312" t="s">
        <v>167</v>
      </c>
      <c r="J2558" s="312">
        <v>1899</v>
      </c>
      <c r="K2558" s="312" t="s">
        <v>169</v>
      </c>
    </row>
    <row r="2559" spans="1:11">
      <c r="A2559" s="312" t="s">
        <v>2501</v>
      </c>
      <c r="B2559" s="312" t="s">
        <v>2502</v>
      </c>
      <c r="C2559" s="312" t="s">
        <v>105</v>
      </c>
      <c r="D2559" s="312" t="s">
        <v>1307</v>
      </c>
      <c r="E2559" s="312" t="s">
        <v>167</v>
      </c>
      <c r="F2559" s="312">
        <v>1705</v>
      </c>
      <c r="G2559" s="312" t="s">
        <v>168</v>
      </c>
      <c r="H2559" s="312">
        <v>1707</v>
      </c>
      <c r="I2559" s="312" t="s">
        <v>167</v>
      </c>
      <c r="J2559" s="312">
        <v>1899</v>
      </c>
      <c r="K2559" s="312" t="s">
        <v>169</v>
      </c>
    </row>
    <row r="2560" spans="1:11">
      <c r="A2560" s="312" t="s">
        <v>2542</v>
      </c>
      <c r="B2560" s="312" t="s">
        <v>2543</v>
      </c>
      <c r="C2560" s="312" t="s">
        <v>105</v>
      </c>
      <c r="D2560" s="312" t="s">
        <v>1307</v>
      </c>
      <c r="E2560" s="312" t="s">
        <v>167</v>
      </c>
      <c r="F2560" s="312">
        <v>1705</v>
      </c>
      <c r="G2560" s="312" t="s">
        <v>168</v>
      </c>
      <c r="H2560" s="312">
        <v>1707</v>
      </c>
      <c r="I2560" s="312" t="s">
        <v>167</v>
      </c>
      <c r="J2560" s="312">
        <v>1899</v>
      </c>
      <c r="K2560" s="312" t="s">
        <v>169</v>
      </c>
    </row>
    <row r="2561" spans="1:11">
      <c r="A2561" s="312" t="s">
        <v>2544</v>
      </c>
      <c r="B2561" s="312" t="s">
        <v>2545</v>
      </c>
      <c r="C2561" s="312" t="s">
        <v>105</v>
      </c>
      <c r="D2561" s="312" t="s">
        <v>1307</v>
      </c>
      <c r="E2561" s="312" t="s">
        <v>167</v>
      </c>
      <c r="F2561" s="312">
        <v>1705</v>
      </c>
      <c r="G2561" s="312" t="s">
        <v>168</v>
      </c>
      <c r="H2561" s="312">
        <v>1707</v>
      </c>
      <c r="I2561" s="312" t="s">
        <v>167</v>
      </c>
      <c r="J2561" s="312">
        <v>1899</v>
      </c>
      <c r="K2561" s="312" t="s">
        <v>169</v>
      </c>
    </row>
    <row r="2562" spans="1:11">
      <c r="A2562" s="312" t="s">
        <v>2615</v>
      </c>
      <c r="B2562" s="312" t="s">
        <v>2616</v>
      </c>
      <c r="C2562" s="312" t="s">
        <v>105</v>
      </c>
      <c r="D2562" s="312" t="s">
        <v>1307</v>
      </c>
      <c r="E2562" s="312" t="s">
        <v>167</v>
      </c>
      <c r="F2562" s="312">
        <v>1705</v>
      </c>
      <c r="G2562" s="312" t="s">
        <v>168</v>
      </c>
      <c r="H2562" s="312">
        <v>1707</v>
      </c>
      <c r="I2562" s="312" t="s">
        <v>167</v>
      </c>
      <c r="J2562" s="312">
        <v>1899</v>
      </c>
      <c r="K2562" s="312" t="s">
        <v>169</v>
      </c>
    </row>
    <row r="2563" spans="1:11">
      <c r="A2563" s="312" t="s">
        <v>2617</v>
      </c>
      <c r="B2563" s="312" t="s">
        <v>2618</v>
      </c>
      <c r="C2563" s="312" t="s">
        <v>105</v>
      </c>
      <c r="D2563" s="312" t="s">
        <v>1307</v>
      </c>
      <c r="E2563" s="312" t="s">
        <v>167</v>
      </c>
      <c r="F2563" s="312">
        <v>1705</v>
      </c>
      <c r="G2563" s="312" t="s">
        <v>168</v>
      </c>
      <c r="H2563" s="312">
        <v>1707</v>
      </c>
      <c r="I2563" s="312" t="s">
        <v>167</v>
      </c>
      <c r="J2563" s="312">
        <v>1899</v>
      </c>
      <c r="K2563" s="312" t="s">
        <v>169</v>
      </c>
    </row>
    <row r="2564" spans="1:11">
      <c r="A2564" s="312" t="s">
        <v>2619</v>
      </c>
      <c r="B2564" s="312" t="s">
        <v>2620</v>
      </c>
      <c r="C2564" s="312" t="s">
        <v>105</v>
      </c>
      <c r="D2564" s="312" t="s">
        <v>1307</v>
      </c>
      <c r="E2564" s="312" t="s">
        <v>167</v>
      </c>
      <c r="F2564" s="312">
        <v>1705</v>
      </c>
      <c r="G2564" s="312" t="s">
        <v>168</v>
      </c>
      <c r="H2564" s="312">
        <v>1707</v>
      </c>
      <c r="I2564" s="312" t="s">
        <v>167</v>
      </c>
      <c r="J2564" s="312">
        <v>1899</v>
      </c>
      <c r="K2564" s="312" t="s">
        <v>169</v>
      </c>
    </row>
    <row r="2565" spans="1:11">
      <c r="A2565" s="312" t="s">
        <v>2621</v>
      </c>
      <c r="B2565" s="312" t="s">
        <v>2622</v>
      </c>
      <c r="C2565" s="312" t="s">
        <v>105</v>
      </c>
      <c r="D2565" s="312" t="s">
        <v>1307</v>
      </c>
      <c r="E2565" s="312" t="s">
        <v>167</v>
      </c>
      <c r="F2565" s="312">
        <v>1705</v>
      </c>
      <c r="G2565" s="312" t="s">
        <v>168</v>
      </c>
      <c r="H2565" s="312">
        <v>1707</v>
      </c>
      <c r="I2565" s="312" t="s">
        <v>167</v>
      </c>
      <c r="J2565" s="312">
        <v>1899</v>
      </c>
      <c r="K2565" s="312" t="s">
        <v>169</v>
      </c>
    </row>
    <row r="2566" spans="1:11">
      <c r="A2566" s="312" t="s">
        <v>2775</v>
      </c>
      <c r="B2566" s="312" t="s">
        <v>2776</v>
      </c>
      <c r="C2566" s="312" t="s">
        <v>105</v>
      </c>
      <c r="D2566" s="312" t="s">
        <v>1307</v>
      </c>
      <c r="E2566" s="312" t="s">
        <v>167</v>
      </c>
      <c r="F2566" s="312">
        <v>1705</v>
      </c>
      <c r="G2566" s="312" t="s">
        <v>168</v>
      </c>
      <c r="H2566" s="312">
        <v>1707</v>
      </c>
      <c r="I2566" s="312" t="s">
        <v>167</v>
      </c>
      <c r="J2566" s="312">
        <v>1899</v>
      </c>
      <c r="K2566" s="312" t="s">
        <v>169</v>
      </c>
    </row>
    <row r="2567" spans="1:11">
      <c r="A2567" s="312" t="s">
        <v>2964</v>
      </c>
      <c r="B2567" s="312" t="s">
        <v>2965</v>
      </c>
      <c r="C2567" s="312" t="s">
        <v>105</v>
      </c>
      <c r="D2567" s="312" t="s">
        <v>1307</v>
      </c>
      <c r="E2567" s="312" t="s">
        <v>167</v>
      </c>
      <c r="F2567" s="312">
        <v>1705</v>
      </c>
      <c r="G2567" s="312" t="s">
        <v>168</v>
      </c>
      <c r="H2567" s="312">
        <v>1707</v>
      </c>
      <c r="I2567" s="312" t="s">
        <v>167</v>
      </c>
      <c r="J2567" s="312">
        <v>1899</v>
      </c>
      <c r="K2567" s="312" t="s">
        <v>169</v>
      </c>
    </row>
    <row r="2568" spans="1:11">
      <c r="A2568" s="312" t="s">
        <v>3414</v>
      </c>
      <c r="B2568" s="312" t="s">
        <v>3415</v>
      </c>
      <c r="C2568" s="312" t="s">
        <v>105</v>
      </c>
      <c r="D2568" s="312" t="s">
        <v>1307</v>
      </c>
      <c r="E2568" s="312" t="s">
        <v>167</v>
      </c>
      <c r="F2568" s="312">
        <v>1705</v>
      </c>
      <c r="G2568" s="312" t="s">
        <v>168</v>
      </c>
      <c r="H2568" s="312">
        <v>1707</v>
      </c>
      <c r="I2568" s="312" t="s">
        <v>167</v>
      </c>
      <c r="J2568" s="312">
        <v>1899</v>
      </c>
      <c r="K2568" s="312" t="s">
        <v>169</v>
      </c>
    </row>
    <row r="2569" spans="1:11">
      <c r="A2569" s="312" t="s">
        <v>3600</v>
      </c>
      <c r="B2569" s="312" t="s">
        <v>3601</v>
      </c>
      <c r="C2569" s="312" t="s">
        <v>105</v>
      </c>
      <c r="D2569" s="312" t="s">
        <v>1307</v>
      </c>
      <c r="E2569" s="312" t="s">
        <v>167</v>
      </c>
      <c r="F2569" s="312">
        <v>1705</v>
      </c>
      <c r="G2569" s="312" t="s">
        <v>168</v>
      </c>
      <c r="H2569" s="312">
        <v>1707</v>
      </c>
      <c r="I2569" s="312" t="s">
        <v>167</v>
      </c>
      <c r="J2569" s="312">
        <v>1899</v>
      </c>
      <c r="K2569" s="312" t="s">
        <v>169</v>
      </c>
    </row>
    <row r="2570" spans="1:11">
      <c r="A2570" s="312" t="s">
        <v>3602</v>
      </c>
      <c r="B2570" s="312" t="s">
        <v>3603</v>
      </c>
      <c r="C2570" s="312" t="s">
        <v>105</v>
      </c>
      <c r="D2570" s="312" t="s">
        <v>1307</v>
      </c>
      <c r="E2570" s="312" t="s">
        <v>167</v>
      </c>
      <c r="F2570" s="312">
        <v>1705</v>
      </c>
      <c r="G2570" s="312" t="s">
        <v>168</v>
      </c>
      <c r="H2570" s="312">
        <v>1707</v>
      </c>
      <c r="I2570" s="312" t="s">
        <v>167</v>
      </c>
      <c r="J2570" s="312">
        <v>1899</v>
      </c>
      <c r="K2570" s="312" t="s">
        <v>169</v>
      </c>
    </row>
    <row r="2571" spans="1:11">
      <c r="A2571" s="312" t="s">
        <v>3604</v>
      </c>
      <c r="B2571" s="312" t="s">
        <v>3605</v>
      </c>
      <c r="C2571" s="312" t="s">
        <v>105</v>
      </c>
      <c r="D2571" s="312" t="s">
        <v>1307</v>
      </c>
      <c r="E2571" s="312" t="s">
        <v>167</v>
      </c>
      <c r="F2571" s="312">
        <v>1705</v>
      </c>
      <c r="G2571" s="312" t="s">
        <v>168</v>
      </c>
      <c r="H2571" s="312">
        <v>1707</v>
      </c>
      <c r="I2571" s="312" t="s">
        <v>167</v>
      </c>
      <c r="J2571" s="312">
        <v>1899</v>
      </c>
      <c r="K2571" s="312" t="s">
        <v>169</v>
      </c>
    </row>
    <row r="2572" spans="1:11">
      <c r="A2572" s="312" t="s">
        <v>3659</v>
      </c>
      <c r="B2572" s="312" t="s">
        <v>3660</v>
      </c>
      <c r="C2572" s="312" t="s">
        <v>105</v>
      </c>
      <c r="D2572" s="312" t="s">
        <v>1307</v>
      </c>
      <c r="E2572" s="312" t="s">
        <v>167</v>
      </c>
      <c r="F2572" s="312">
        <v>1705</v>
      </c>
      <c r="G2572" s="312" t="s">
        <v>168</v>
      </c>
      <c r="H2572" s="312">
        <v>1707</v>
      </c>
      <c r="I2572" s="312" t="s">
        <v>167</v>
      </c>
      <c r="J2572" s="312">
        <v>1899</v>
      </c>
      <c r="K2572" s="312" t="s">
        <v>169</v>
      </c>
    </row>
    <row r="2573" spans="1:11">
      <c r="A2573" s="312" t="s">
        <v>4012</v>
      </c>
      <c r="B2573" s="312" t="s">
        <v>4013</v>
      </c>
      <c r="C2573" s="312" t="s">
        <v>105</v>
      </c>
      <c r="D2573" s="312" t="s">
        <v>1307</v>
      </c>
      <c r="E2573" s="312" t="s">
        <v>466</v>
      </c>
      <c r="F2573" s="312">
        <v>1796</v>
      </c>
      <c r="G2573" s="312" t="s">
        <v>467</v>
      </c>
      <c r="H2573" s="312">
        <v>1799</v>
      </c>
      <c r="I2573" s="312" t="s">
        <v>466</v>
      </c>
      <c r="J2573" s="312">
        <v>1918</v>
      </c>
      <c r="K2573" s="312" t="s">
        <v>468</v>
      </c>
    </row>
    <row r="2574" spans="1:11">
      <c r="A2574" s="312" t="s">
        <v>4032</v>
      </c>
      <c r="B2574" s="312" t="s">
        <v>4033</v>
      </c>
      <c r="C2574" s="312" t="s">
        <v>105</v>
      </c>
      <c r="D2574" s="312" t="s">
        <v>1307</v>
      </c>
      <c r="E2574" s="312" t="s">
        <v>167</v>
      </c>
      <c r="F2574" s="312">
        <v>1705</v>
      </c>
      <c r="G2574" s="312" t="s">
        <v>168</v>
      </c>
      <c r="H2574" s="312">
        <v>1707</v>
      </c>
      <c r="I2574" s="312" t="s">
        <v>167</v>
      </c>
      <c r="J2574" s="312">
        <v>1899</v>
      </c>
      <c r="K2574" s="312" t="s">
        <v>169</v>
      </c>
    </row>
    <row r="2575" spans="1:11">
      <c r="A2575" s="312" t="s">
        <v>4070</v>
      </c>
      <c r="B2575" s="312" t="s">
        <v>4071</v>
      </c>
      <c r="C2575" s="312" t="s">
        <v>105</v>
      </c>
      <c r="D2575" s="312" t="s">
        <v>1307</v>
      </c>
      <c r="E2575" s="312" t="s">
        <v>320</v>
      </c>
      <c r="F2575" s="312">
        <v>1716</v>
      </c>
      <c r="G2575" s="312" t="s">
        <v>321</v>
      </c>
      <c r="H2575" s="312">
        <v>1725</v>
      </c>
      <c r="I2575" s="312" t="s">
        <v>320</v>
      </c>
      <c r="J2575" s="312">
        <v>1910</v>
      </c>
      <c r="K2575" s="312" t="s">
        <v>322</v>
      </c>
    </row>
    <row r="2576" spans="1:11">
      <c r="A2576" s="312" t="s">
        <v>4072</v>
      </c>
      <c r="B2576" s="312" t="s">
        <v>4073</v>
      </c>
      <c r="C2576" s="312" t="s">
        <v>105</v>
      </c>
      <c r="D2576" s="312" t="s">
        <v>1307</v>
      </c>
      <c r="E2576" s="312" t="s">
        <v>320</v>
      </c>
      <c r="F2576" s="312">
        <v>1716</v>
      </c>
      <c r="G2576" s="312" t="s">
        <v>321</v>
      </c>
      <c r="H2576" s="312">
        <v>1725</v>
      </c>
      <c r="I2576" s="312" t="s">
        <v>320</v>
      </c>
      <c r="J2576" s="312">
        <v>1910</v>
      </c>
      <c r="K2576" s="312" t="s">
        <v>322</v>
      </c>
    </row>
    <row r="2577" spans="1:11">
      <c r="A2577" s="312" t="s">
        <v>4074</v>
      </c>
      <c r="B2577" s="312" t="s">
        <v>4075</v>
      </c>
      <c r="C2577" s="312" t="s">
        <v>105</v>
      </c>
      <c r="D2577" s="312" t="s">
        <v>1307</v>
      </c>
      <c r="E2577" s="312" t="s">
        <v>320</v>
      </c>
      <c r="F2577" s="312">
        <v>1716</v>
      </c>
      <c r="G2577" s="312" t="s">
        <v>321</v>
      </c>
      <c r="H2577" s="312">
        <v>1725</v>
      </c>
      <c r="I2577" s="312" t="s">
        <v>320</v>
      </c>
      <c r="J2577" s="312">
        <v>1910</v>
      </c>
      <c r="K2577" s="312" t="s">
        <v>322</v>
      </c>
    </row>
    <row r="2578" spans="1:11">
      <c r="A2578" s="312" t="s">
        <v>4076</v>
      </c>
      <c r="B2578" s="312" t="s">
        <v>4077</v>
      </c>
      <c r="C2578" s="312" t="s">
        <v>105</v>
      </c>
      <c r="D2578" s="312" t="s">
        <v>1307</v>
      </c>
      <c r="E2578" s="312" t="s">
        <v>320</v>
      </c>
      <c r="F2578" s="312">
        <v>1716</v>
      </c>
      <c r="G2578" s="312" t="s">
        <v>321</v>
      </c>
      <c r="H2578" s="312">
        <v>1725</v>
      </c>
      <c r="I2578" s="312" t="s">
        <v>320</v>
      </c>
      <c r="J2578" s="312">
        <v>1910</v>
      </c>
      <c r="K2578" s="312" t="s">
        <v>322</v>
      </c>
    </row>
    <row r="2579" spans="1:11">
      <c r="A2579" s="312" t="s">
        <v>4078</v>
      </c>
      <c r="B2579" s="312" t="s">
        <v>4079</v>
      </c>
      <c r="C2579" s="312" t="s">
        <v>105</v>
      </c>
      <c r="D2579" s="312" t="s">
        <v>1307</v>
      </c>
      <c r="E2579" s="312" t="s">
        <v>320</v>
      </c>
      <c r="F2579" s="312">
        <v>1716</v>
      </c>
      <c r="G2579" s="312" t="s">
        <v>321</v>
      </c>
      <c r="H2579" s="312">
        <v>1725</v>
      </c>
      <c r="I2579" s="312" t="s">
        <v>320</v>
      </c>
      <c r="J2579" s="312">
        <v>1910</v>
      </c>
      <c r="K2579" s="312" t="s">
        <v>322</v>
      </c>
    </row>
    <row r="2580" spans="1:11">
      <c r="A2580" s="312" t="s">
        <v>4080</v>
      </c>
      <c r="B2580" s="312" t="s">
        <v>4081</v>
      </c>
      <c r="C2580" s="312" t="s">
        <v>105</v>
      </c>
      <c r="D2580" s="312" t="s">
        <v>1307</v>
      </c>
      <c r="E2580" s="312" t="s">
        <v>320</v>
      </c>
      <c r="F2580" s="312">
        <v>1716</v>
      </c>
      <c r="G2580" s="312" t="s">
        <v>321</v>
      </c>
      <c r="H2580" s="312">
        <v>1725</v>
      </c>
      <c r="I2580" s="312" t="s">
        <v>320</v>
      </c>
      <c r="J2580" s="312">
        <v>1910</v>
      </c>
      <c r="K2580" s="312" t="s">
        <v>322</v>
      </c>
    </row>
    <row r="2581" spans="1:11">
      <c r="A2581" s="312" t="s">
        <v>4082</v>
      </c>
      <c r="B2581" s="312" t="s">
        <v>4083</v>
      </c>
      <c r="C2581" s="312" t="s">
        <v>105</v>
      </c>
      <c r="D2581" s="312" t="s">
        <v>1307</v>
      </c>
      <c r="E2581" s="312" t="s">
        <v>320</v>
      </c>
      <c r="F2581" s="312">
        <v>1716</v>
      </c>
      <c r="G2581" s="312" t="s">
        <v>321</v>
      </c>
      <c r="H2581" s="312">
        <v>1725</v>
      </c>
      <c r="I2581" s="312" t="s">
        <v>320</v>
      </c>
      <c r="J2581" s="312">
        <v>1910</v>
      </c>
      <c r="K2581" s="312" t="s">
        <v>322</v>
      </c>
    </row>
    <row r="2582" spans="1:11">
      <c r="A2582" s="312" t="s">
        <v>4307</v>
      </c>
      <c r="B2582" s="312" t="s">
        <v>4308</v>
      </c>
      <c r="C2582" s="312" t="s">
        <v>105</v>
      </c>
      <c r="D2582" s="312" t="s">
        <v>1307</v>
      </c>
      <c r="E2582" s="312" t="s">
        <v>167</v>
      </c>
      <c r="F2582" s="312">
        <v>1705</v>
      </c>
      <c r="G2582" s="312" t="s">
        <v>168</v>
      </c>
      <c r="H2582" s="312">
        <v>1707</v>
      </c>
      <c r="I2582" s="312" t="s">
        <v>167</v>
      </c>
      <c r="J2582" s="312">
        <v>1899</v>
      </c>
      <c r="K2582" s="312" t="s">
        <v>169</v>
      </c>
    </row>
    <row r="2583" spans="1:11">
      <c r="A2583" s="312" t="s">
        <v>4309</v>
      </c>
      <c r="B2583" s="312" t="s">
        <v>4310</v>
      </c>
      <c r="C2583" s="312" t="s">
        <v>105</v>
      </c>
      <c r="D2583" s="312" t="s">
        <v>1307</v>
      </c>
      <c r="E2583" s="312" t="s">
        <v>167</v>
      </c>
      <c r="F2583" s="312">
        <v>1705</v>
      </c>
      <c r="G2583" s="312" t="s">
        <v>168</v>
      </c>
      <c r="H2583" s="312">
        <v>1707</v>
      </c>
      <c r="I2583" s="312" t="s">
        <v>167</v>
      </c>
      <c r="J2583" s="312">
        <v>1899</v>
      </c>
      <c r="K2583" s="312" t="s">
        <v>169</v>
      </c>
    </row>
    <row r="2584" spans="1:11">
      <c r="A2584" s="312" t="s">
        <v>4440</v>
      </c>
      <c r="B2584" s="312" t="s">
        <v>4441</v>
      </c>
      <c r="C2584" s="312" t="s">
        <v>105</v>
      </c>
      <c r="D2584" s="312" t="s">
        <v>1307</v>
      </c>
      <c r="E2584" s="312" t="s">
        <v>167</v>
      </c>
      <c r="F2584" s="312">
        <v>1705</v>
      </c>
      <c r="G2584" s="312" t="s">
        <v>168</v>
      </c>
      <c r="H2584" s="312">
        <v>1707</v>
      </c>
      <c r="I2584" s="312" t="s">
        <v>167</v>
      </c>
      <c r="J2584" s="312">
        <v>1899</v>
      </c>
      <c r="K2584" s="312" t="s">
        <v>169</v>
      </c>
    </row>
    <row r="2585" spans="1:11">
      <c r="A2585" s="312" t="s">
        <v>4503</v>
      </c>
      <c r="B2585" s="312" t="s">
        <v>4504</v>
      </c>
      <c r="C2585" s="312" t="s">
        <v>105</v>
      </c>
      <c r="D2585" s="312" t="s">
        <v>1307</v>
      </c>
      <c r="E2585" s="312" t="s">
        <v>167</v>
      </c>
      <c r="F2585" s="312">
        <v>1705</v>
      </c>
      <c r="G2585" s="312" t="s">
        <v>168</v>
      </c>
      <c r="H2585" s="312">
        <v>1707</v>
      </c>
      <c r="I2585" s="312" t="s">
        <v>167</v>
      </c>
      <c r="J2585" s="312">
        <v>1899</v>
      </c>
      <c r="K2585" s="312" t="s">
        <v>169</v>
      </c>
    </row>
    <row r="2586" spans="1:11">
      <c r="A2586" s="312" t="s">
        <v>4553</v>
      </c>
      <c r="B2586" s="312" t="s">
        <v>4554</v>
      </c>
      <c r="C2586" s="312" t="s">
        <v>105</v>
      </c>
      <c r="D2586" s="312" t="s">
        <v>1307</v>
      </c>
      <c r="E2586" s="312" t="s">
        <v>320</v>
      </c>
      <c r="F2586" s="312">
        <v>1716</v>
      </c>
      <c r="G2586" s="312" t="s">
        <v>321</v>
      </c>
      <c r="H2586" s="312">
        <v>1725</v>
      </c>
      <c r="I2586" s="312" t="s">
        <v>320</v>
      </c>
      <c r="J2586" s="312">
        <v>1910</v>
      </c>
      <c r="K2586" s="312" t="s">
        <v>322</v>
      </c>
    </row>
    <row r="2587" spans="1:11">
      <c r="A2587" s="312" t="s">
        <v>4778</v>
      </c>
      <c r="B2587" s="312" t="s">
        <v>4779</v>
      </c>
      <c r="C2587" s="312" t="s">
        <v>105</v>
      </c>
      <c r="D2587" s="312" t="s">
        <v>1307</v>
      </c>
      <c r="E2587" s="312" t="s">
        <v>320</v>
      </c>
      <c r="F2587" s="312">
        <v>1716</v>
      </c>
      <c r="G2587" s="312" t="s">
        <v>321</v>
      </c>
      <c r="H2587" s="312">
        <v>1725</v>
      </c>
      <c r="I2587" s="312" t="s">
        <v>320</v>
      </c>
      <c r="J2587" s="312">
        <v>1910</v>
      </c>
      <c r="K2587" s="312" t="s">
        <v>322</v>
      </c>
    </row>
    <row r="2588" spans="1:11">
      <c r="A2588" s="312" t="s">
        <v>4780</v>
      </c>
      <c r="B2588" s="312" t="s">
        <v>4781</v>
      </c>
      <c r="C2588" s="312" t="s">
        <v>105</v>
      </c>
      <c r="D2588" s="312" t="s">
        <v>1307</v>
      </c>
      <c r="E2588" s="312" t="s">
        <v>320</v>
      </c>
      <c r="F2588" s="312">
        <v>1716</v>
      </c>
      <c r="G2588" s="312" t="s">
        <v>321</v>
      </c>
      <c r="H2588" s="312">
        <v>1725</v>
      </c>
      <c r="I2588" s="312" t="s">
        <v>320</v>
      </c>
      <c r="J2588" s="312">
        <v>1910</v>
      </c>
      <c r="K2588" s="312" t="s">
        <v>322</v>
      </c>
    </row>
    <row r="2589" spans="1:11">
      <c r="A2589" s="312" t="s">
        <v>4782</v>
      </c>
      <c r="B2589" s="312" t="s">
        <v>4783</v>
      </c>
      <c r="C2589" s="312" t="s">
        <v>105</v>
      </c>
      <c r="D2589" s="312" t="s">
        <v>1307</v>
      </c>
      <c r="E2589" s="312" t="s">
        <v>320</v>
      </c>
      <c r="F2589" s="312">
        <v>1716</v>
      </c>
      <c r="G2589" s="312" t="s">
        <v>321</v>
      </c>
      <c r="H2589" s="312">
        <v>1725</v>
      </c>
      <c r="I2589" s="312" t="s">
        <v>320</v>
      </c>
      <c r="J2589" s="312">
        <v>1910</v>
      </c>
      <c r="K2589" s="312" t="s">
        <v>322</v>
      </c>
    </row>
    <row r="2590" spans="1:11">
      <c r="A2590" s="312" t="s">
        <v>4784</v>
      </c>
      <c r="B2590" s="312" t="s">
        <v>4785</v>
      </c>
      <c r="C2590" s="312" t="s">
        <v>105</v>
      </c>
      <c r="D2590" s="312" t="s">
        <v>1307</v>
      </c>
      <c r="E2590" s="312" t="s">
        <v>320</v>
      </c>
      <c r="F2590" s="312">
        <v>1716</v>
      </c>
      <c r="G2590" s="312" t="s">
        <v>321</v>
      </c>
      <c r="H2590" s="312">
        <v>1725</v>
      </c>
      <c r="I2590" s="312" t="s">
        <v>320</v>
      </c>
      <c r="J2590" s="312">
        <v>1910</v>
      </c>
      <c r="K2590" s="312" t="s">
        <v>322</v>
      </c>
    </row>
    <row r="2591" spans="1:11">
      <c r="A2591" s="312" t="s">
        <v>4786</v>
      </c>
      <c r="B2591" s="312" t="s">
        <v>4787</v>
      </c>
      <c r="C2591" s="312" t="s">
        <v>105</v>
      </c>
      <c r="D2591" s="312" t="s">
        <v>1307</v>
      </c>
      <c r="E2591" s="312" t="s">
        <v>320</v>
      </c>
      <c r="F2591" s="312">
        <v>1716</v>
      </c>
      <c r="G2591" s="312" t="s">
        <v>321</v>
      </c>
      <c r="H2591" s="312">
        <v>1725</v>
      </c>
      <c r="I2591" s="312" t="s">
        <v>320</v>
      </c>
      <c r="J2591" s="312">
        <v>1910</v>
      </c>
      <c r="K2591" s="312" t="s">
        <v>322</v>
      </c>
    </row>
    <row r="2592" spans="1:11">
      <c r="A2592" s="312" t="s">
        <v>5013</v>
      </c>
      <c r="B2592" s="312" t="s">
        <v>5014</v>
      </c>
      <c r="C2592" s="312" t="s">
        <v>105</v>
      </c>
      <c r="D2592" s="312" t="s">
        <v>1307</v>
      </c>
      <c r="E2592" s="312" t="s">
        <v>167</v>
      </c>
      <c r="F2592" s="312">
        <v>1705</v>
      </c>
      <c r="G2592" s="312" t="s">
        <v>168</v>
      </c>
      <c r="H2592" s="312">
        <v>1707</v>
      </c>
      <c r="I2592" s="312" t="s">
        <v>167</v>
      </c>
      <c r="J2592" s="312">
        <v>1899</v>
      </c>
      <c r="K2592" s="312" t="s">
        <v>169</v>
      </c>
    </row>
    <row r="2593" spans="1:11">
      <c r="A2593" s="312" t="s">
        <v>5067</v>
      </c>
      <c r="B2593" s="312" t="s">
        <v>5068</v>
      </c>
      <c r="C2593" s="312" t="s">
        <v>105</v>
      </c>
      <c r="D2593" s="312" t="s">
        <v>1307</v>
      </c>
      <c r="E2593" s="312" t="s">
        <v>167</v>
      </c>
      <c r="F2593" s="312">
        <v>1705</v>
      </c>
      <c r="G2593" s="312" t="s">
        <v>168</v>
      </c>
      <c r="H2593" s="312">
        <v>1707</v>
      </c>
      <c r="I2593" s="312" t="s">
        <v>167</v>
      </c>
      <c r="J2593" s="312">
        <v>1899</v>
      </c>
      <c r="K2593" s="312" t="s">
        <v>169</v>
      </c>
    </row>
    <row r="2594" spans="1:11">
      <c r="A2594" s="312" t="s">
        <v>5113</v>
      </c>
      <c r="B2594" s="312" t="s">
        <v>5114</v>
      </c>
      <c r="C2594" s="312" t="s">
        <v>105</v>
      </c>
      <c r="D2594" s="312" t="s">
        <v>1307</v>
      </c>
      <c r="E2594" s="312" t="s">
        <v>167</v>
      </c>
      <c r="F2594" s="312">
        <v>1705</v>
      </c>
      <c r="G2594" s="312" t="s">
        <v>168</v>
      </c>
      <c r="H2594" s="312">
        <v>1707</v>
      </c>
      <c r="I2594" s="312" t="s">
        <v>167</v>
      </c>
      <c r="J2594" s="312">
        <v>1899</v>
      </c>
      <c r="K2594" s="312" t="s">
        <v>169</v>
      </c>
    </row>
    <row r="2595" spans="1:11">
      <c r="A2595" s="312" t="s">
        <v>5308</v>
      </c>
      <c r="B2595" s="312" t="s">
        <v>5309</v>
      </c>
      <c r="C2595" s="312" t="s">
        <v>105</v>
      </c>
      <c r="D2595" s="312" t="s">
        <v>1307</v>
      </c>
      <c r="E2595" s="312" t="s">
        <v>167</v>
      </c>
      <c r="F2595" s="312">
        <v>1705</v>
      </c>
      <c r="G2595" s="312" t="s">
        <v>168</v>
      </c>
      <c r="H2595" s="312">
        <v>1707</v>
      </c>
      <c r="I2595" s="312" t="s">
        <v>167</v>
      </c>
      <c r="J2595" s="312">
        <v>1899</v>
      </c>
      <c r="K2595" s="312" t="s">
        <v>169</v>
      </c>
    </row>
    <row r="2596" spans="1:11">
      <c r="A2596" s="312" t="s">
        <v>5312</v>
      </c>
      <c r="B2596" s="312" t="s">
        <v>5313</v>
      </c>
      <c r="C2596" s="312" t="s">
        <v>105</v>
      </c>
      <c r="D2596" s="312" t="s">
        <v>1307</v>
      </c>
      <c r="E2596" s="312" t="s">
        <v>167</v>
      </c>
      <c r="F2596" s="312">
        <v>1705</v>
      </c>
      <c r="G2596" s="312" t="s">
        <v>168</v>
      </c>
      <c r="H2596" s="312">
        <v>1707</v>
      </c>
      <c r="I2596" s="312" t="s">
        <v>167</v>
      </c>
      <c r="J2596" s="312">
        <v>1899</v>
      </c>
      <c r="K2596" s="312" t="s">
        <v>169</v>
      </c>
    </row>
    <row r="2597" spans="1:11">
      <c r="A2597" s="312" t="s">
        <v>5314</v>
      </c>
      <c r="B2597" s="312" t="s">
        <v>5315</v>
      </c>
      <c r="C2597" s="312" t="s">
        <v>105</v>
      </c>
      <c r="D2597" s="312" t="s">
        <v>1307</v>
      </c>
      <c r="E2597" s="312" t="s">
        <v>167</v>
      </c>
      <c r="F2597" s="312">
        <v>1705</v>
      </c>
      <c r="G2597" s="312" t="s">
        <v>168</v>
      </c>
      <c r="H2597" s="312">
        <v>1707</v>
      </c>
      <c r="I2597" s="312" t="s">
        <v>167</v>
      </c>
      <c r="J2597" s="312">
        <v>1899</v>
      </c>
      <c r="K2597" s="312" t="s">
        <v>169</v>
      </c>
    </row>
    <row r="2598" spans="1:11">
      <c r="A2598" s="312" t="s">
        <v>5434</v>
      </c>
      <c r="B2598" s="1" t="s">
        <v>5435</v>
      </c>
      <c r="C2598" s="312" t="s">
        <v>105</v>
      </c>
      <c r="D2598" s="312" t="s">
        <v>1307</v>
      </c>
      <c r="E2598" s="312" t="s">
        <v>320</v>
      </c>
      <c r="F2598" s="312">
        <v>1716</v>
      </c>
      <c r="G2598" s="312" t="s">
        <v>321</v>
      </c>
      <c r="H2598" s="312">
        <v>1725</v>
      </c>
      <c r="I2598" s="312" t="s">
        <v>320</v>
      </c>
      <c r="J2598" s="312">
        <v>1910</v>
      </c>
      <c r="K2598" s="312" t="s">
        <v>322</v>
      </c>
    </row>
    <row r="2599" spans="1:11">
      <c r="A2599" s="312" t="s">
        <v>5436</v>
      </c>
      <c r="B2599" s="312" t="s">
        <v>5437</v>
      </c>
      <c r="C2599" s="312" t="s">
        <v>105</v>
      </c>
      <c r="D2599" s="312" t="s">
        <v>1307</v>
      </c>
      <c r="E2599" s="312" t="s">
        <v>320</v>
      </c>
      <c r="F2599" s="312">
        <v>1716</v>
      </c>
      <c r="G2599" s="312" t="s">
        <v>321</v>
      </c>
      <c r="H2599" s="312">
        <v>1725</v>
      </c>
      <c r="I2599" s="312" t="s">
        <v>320</v>
      </c>
      <c r="J2599" s="312">
        <v>1910</v>
      </c>
      <c r="K2599" s="312" t="s">
        <v>322</v>
      </c>
    </row>
    <row r="2600" spans="1:11">
      <c r="A2600" s="312" t="s">
        <v>5438</v>
      </c>
      <c r="B2600" s="312" t="s">
        <v>5439</v>
      </c>
      <c r="C2600" s="312" t="s">
        <v>105</v>
      </c>
      <c r="D2600" s="312" t="s">
        <v>1307</v>
      </c>
      <c r="E2600" s="312" t="s">
        <v>320</v>
      </c>
      <c r="F2600" s="312">
        <v>1716</v>
      </c>
      <c r="G2600" s="312" t="s">
        <v>321</v>
      </c>
      <c r="H2600" s="312">
        <v>1725</v>
      </c>
      <c r="I2600" s="312" t="s">
        <v>320</v>
      </c>
      <c r="J2600" s="312">
        <v>1910</v>
      </c>
      <c r="K2600" s="312" t="s">
        <v>322</v>
      </c>
    </row>
    <row r="2601" spans="1:11">
      <c r="A2601" s="312" t="s">
        <v>5864</v>
      </c>
      <c r="B2601" s="312" t="s">
        <v>5865</v>
      </c>
      <c r="C2601" s="312" t="s">
        <v>105</v>
      </c>
      <c r="D2601" s="312" t="s">
        <v>1307</v>
      </c>
      <c r="E2601" s="312" t="s">
        <v>107</v>
      </c>
      <c r="F2601" s="312">
        <v>1825</v>
      </c>
      <c r="G2601" s="312" t="s">
        <v>108</v>
      </c>
      <c r="H2601" s="312">
        <v>1827</v>
      </c>
      <c r="I2601" s="312" t="s">
        <v>107</v>
      </c>
      <c r="J2601" s="312">
        <v>1913</v>
      </c>
      <c r="K2601" s="312" t="s">
        <v>109</v>
      </c>
    </row>
    <row r="2602" spans="1:11">
      <c r="A2602" s="312" t="s">
        <v>5980</v>
      </c>
      <c r="B2602" s="312" t="s">
        <v>5981</v>
      </c>
      <c r="C2602" s="312" t="s">
        <v>105</v>
      </c>
      <c r="D2602" s="312" t="s">
        <v>1307</v>
      </c>
      <c r="E2602" s="312" t="s">
        <v>167</v>
      </c>
      <c r="F2602" s="312">
        <v>1705</v>
      </c>
      <c r="G2602" s="312" t="s">
        <v>168</v>
      </c>
      <c r="H2602" s="312">
        <v>1707</v>
      </c>
      <c r="I2602" s="312" t="s">
        <v>167</v>
      </c>
      <c r="J2602" s="312">
        <v>1899</v>
      </c>
      <c r="K2602" s="312" t="s">
        <v>169</v>
      </c>
    </row>
    <row r="2603" spans="1:11">
      <c r="A2603" s="312" t="s">
        <v>5982</v>
      </c>
      <c r="B2603" s="312" t="s">
        <v>5983</v>
      </c>
      <c r="C2603" s="312" t="s">
        <v>105</v>
      </c>
      <c r="D2603" s="312" t="s">
        <v>1307</v>
      </c>
      <c r="E2603" s="312" t="s">
        <v>167</v>
      </c>
      <c r="F2603" s="312">
        <v>1705</v>
      </c>
      <c r="G2603" s="312" t="s">
        <v>168</v>
      </c>
      <c r="H2603" s="312">
        <v>1707</v>
      </c>
      <c r="I2603" s="312" t="s">
        <v>167</v>
      </c>
      <c r="J2603" s="312">
        <v>1899</v>
      </c>
      <c r="K2603" s="312" t="s">
        <v>169</v>
      </c>
    </row>
    <row r="2604" spans="1:11">
      <c r="A2604" s="312" t="s">
        <v>5984</v>
      </c>
      <c r="B2604" s="312" t="s">
        <v>5985</v>
      </c>
      <c r="C2604" s="312" t="s">
        <v>105</v>
      </c>
      <c r="D2604" s="312" t="s">
        <v>1307</v>
      </c>
      <c r="E2604" s="312" t="s">
        <v>167</v>
      </c>
      <c r="F2604" s="312">
        <v>1705</v>
      </c>
      <c r="G2604" s="312" t="s">
        <v>168</v>
      </c>
      <c r="H2604" s="312">
        <v>1707</v>
      </c>
      <c r="I2604" s="312" t="s">
        <v>167</v>
      </c>
      <c r="J2604" s="312">
        <v>1899</v>
      </c>
      <c r="K2604" s="312" t="s">
        <v>169</v>
      </c>
    </row>
    <row r="2605" spans="1:11">
      <c r="A2605" s="312" t="s">
        <v>5986</v>
      </c>
      <c r="B2605" s="312" t="s">
        <v>5987</v>
      </c>
      <c r="C2605" s="312" t="s">
        <v>105</v>
      </c>
      <c r="D2605" s="312" t="s">
        <v>1307</v>
      </c>
      <c r="E2605" s="312" t="s">
        <v>167</v>
      </c>
      <c r="F2605" s="312">
        <v>1705</v>
      </c>
      <c r="G2605" s="312" t="s">
        <v>168</v>
      </c>
      <c r="H2605" s="312">
        <v>1707</v>
      </c>
      <c r="I2605" s="312" t="s">
        <v>167</v>
      </c>
      <c r="J2605" s="312">
        <v>1899</v>
      </c>
      <c r="K2605" s="312" t="s">
        <v>169</v>
      </c>
    </row>
    <row r="2606" spans="1:11">
      <c r="A2606" s="312" t="s">
        <v>5988</v>
      </c>
      <c r="B2606" s="312" t="s">
        <v>5989</v>
      </c>
      <c r="C2606" s="312" t="s">
        <v>105</v>
      </c>
      <c r="D2606" s="312" t="s">
        <v>1307</v>
      </c>
      <c r="E2606" s="312" t="s">
        <v>167</v>
      </c>
      <c r="F2606" s="312">
        <v>1705</v>
      </c>
      <c r="G2606" s="312" t="s">
        <v>168</v>
      </c>
      <c r="H2606" s="312">
        <v>1707</v>
      </c>
      <c r="I2606" s="312" t="s">
        <v>167</v>
      </c>
      <c r="J2606" s="312">
        <v>1899</v>
      </c>
      <c r="K2606" s="312" t="s">
        <v>169</v>
      </c>
    </row>
    <row r="2607" spans="1:11">
      <c r="A2607" s="312" t="s">
        <v>5996</v>
      </c>
      <c r="B2607" s="312" t="s">
        <v>5997</v>
      </c>
      <c r="C2607" s="312" t="s">
        <v>105</v>
      </c>
      <c r="D2607" s="312" t="s">
        <v>1307</v>
      </c>
      <c r="E2607" s="312" t="s">
        <v>167</v>
      </c>
      <c r="F2607" s="312">
        <v>1705</v>
      </c>
      <c r="G2607" s="312" t="s">
        <v>168</v>
      </c>
      <c r="H2607" s="312">
        <v>1707</v>
      </c>
      <c r="I2607" s="312" t="s">
        <v>167</v>
      </c>
      <c r="J2607" s="312">
        <v>1899</v>
      </c>
      <c r="K2607" s="312" t="s">
        <v>169</v>
      </c>
    </row>
    <row r="2608" spans="1:11">
      <c r="A2608" s="312" t="s">
        <v>5998</v>
      </c>
      <c r="B2608" s="312" t="s">
        <v>5999</v>
      </c>
      <c r="C2608" s="312" t="s">
        <v>105</v>
      </c>
      <c r="D2608" s="312" t="s">
        <v>1307</v>
      </c>
      <c r="E2608" s="312" t="s">
        <v>320</v>
      </c>
      <c r="F2608" s="312">
        <v>1716</v>
      </c>
      <c r="G2608" s="312" t="s">
        <v>321</v>
      </c>
      <c r="H2608" s="312">
        <v>1725</v>
      </c>
      <c r="I2608" s="312" t="s">
        <v>320</v>
      </c>
      <c r="J2608" s="312">
        <v>1910</v>
      </c>
      <c r="K2608" s="312" t="s">
        <v>322</v>
      </c>
    </row>
    <row r="2609" spans="1:11">
      <c r="A2609" s="312" t="s">
        <v>6000</v>
      </c>
      <c r="B2609" s="312" t="s">
        <v>6001</v>
      </c>
      <c r="C2609" s="312" t="s">
        <v>105</v>
      </c>
      <c r="D2609" s="312" t="s">
        <v>1307</v>
      </c>
      <c r="E2609" s="312" t="s">
        <v>167</v>
      </c>
      <c r="F2609" s="312">
        <v>1705</v>
      </c>
      <c r="G2609" s="312" t="s">
        <v>168</v>
      </c>
      <c r="H2609" s="312">
        <v>1707</v>
      </c>
      <c r="I2609" s="312" t="s">
        <v>167</v>
      </c>
      <c r="J2609" s="312">
        <v>1899</v>
      </c>
      <c r="K2609" s="312" t="s">
        <v>169</v>
      </c>
    </row>
    <row r="2610" spans="1:11">
      <c r="A2610" s="312" t="s">
        <v>6002</v>
      </c>
      <c r="B2610" s="312" t="s">
        <v>6003</v>
      </c>
      <c r="C2610" s="312" t="s">
        <v>105</v>
      </c>
      <c r="D2610" s="312" t="s">
        <v>1307</v>
      </c>
      <c r="E2610" s="312" t="s">
        <v>167</v>
      </c>
      <c r="F2610" s="312">
        <v>1705</v>
      </c>
      <c r="G2610" s="312" t="s">
        <v>168</v>
      </c>
      <c r="H2610" s="312">
        <v>1707</v>
      </c>
      <c r="I2610" s="312" t="s">
        <v>167</v>
      </c>
      <c r="J2610" s="312">
        <v>1899</v>
      </c>
      <c r="K2610" s="312" t="s">
        <v>169</v>
      </c>
    </row>
    <row r="2611" spans="1:11">
      <c r="A2611" s="312" t="s">
        <v>6064</v>
      </c>
      <c r="B2611" s="312" t="s">
        <v>6065</v>
      </c>
      <c r="C2611" s="312" t="s">
        <v>105</v>
      </c>
      <c r="D2611" s="312" t="s">
        <v>1307</v>
      </c>
      <c r="E2611" s="312" t="s">
        <v>167</v>
      </c>
      <c r="F2611" s="312">
        <v>1705</v>
      </c>
      <c r="G2611" s="312" t="s">
        <v>168</v>
      </c>
      <c r="H2611" s="312">
        <v>1707</v>
      </c>
      <c r="I2611" s="312" t="s">
        <v>167</v>
      </c>
      <c r="J2611" s="312">
        <v>1899</v>
      </c>
      <c r="K2611" s="312" t="s">
        <v>169</v>
      </c>
    </row>
    <row r="2612" spans="1:11">
      <c r="A2612" s="312" t="s">
        <v>6066</v>
      </c>
      <c r="B2612" s="312" t="s">
        <v>6067</v>
      </c>
      <c r="C2612" s="312" t="s">
        <v>105</v>
      </c>
      <c r="D2612" s="312" t="s">
        <v>1307</v>
      </c>
      <c r="E2612" s="312" t="s">
        <v>167</v>
      </c>
      <c r="F2612" s="312">
        <v>1705</v>
      </c>
      <c r="G2612" s="312" t="s">
        <v>168</v>
      </c>
      <c r="H2612" s="312">
        <v>1707</v>
      </c>
      <c r="I2612" s="312" t="s">
        <v>167</v>
      </c>
      <c r="J2612" s="312">
        <v>1899</v>
      </c>
      <c r="K2612" s="312" t="s">
        <v>169</v>
      </c>
    </row>
    <row r="2613" spans="1:11">
      <c r="A2613" s="312" t="s">
        <v>6068</v>
      </c>
      <c r="B2613" s="312" t="s">
        <v>6069</v>
      </c>
      <c r="C2613" s="312" t="s">
        <v>105</v>
      </c>
      <c r="D2613" s="312" t="s">
        <v>1307</v>
      </c>
      <c r="E2613" s="312" t="s">
        <v>167</v>
      </c>
      <c r="F2613" s="312">
        <v>1705</v>
      </c>
      <c r="G2613" s="312" t="s">
        <v>168</v>
      </c>
      <c r="H2613" s="312">
        <v>1707</v>
      </c>
      <c r="I2613" s="312" t="s">
        <v>167</v>
      </c>
      <c r="J2613" s="312">
        <v>1899</v>
      </c>
      <c r="K2613" s="312" t="s">
        <v>169</v>
      </c>
    </row>
    <row r="2614" spans="1:11">
      <c r="A2614" s="312" t="s">
        <v>6070</v>
      </c>
      <c r="B2614" s="312" t="s">
        <v>6071</v>
      </c>
      <c r="C2614" s="312" t="s">
        <v>105</v>
      </c>
      <c r="D2614" s="312" t="s">
        <v>1307</v>
      </c>
      <c r="E2614" s="312" t="s">
        <v>167</v>
      </c>
      <c r="F2614" s="312">
        <v>1705</v>
      </c>
      <c r="G2614" s="312" t="s">
        <v>168</v>
      </c>
      <c r="H2614" s="312">
        <v>1707</v>
      </c>
      <c r="I2614" s="312" t="s">
        <v>167</v>
      </c>
      <c r="J2614" s="312">
        <v>1899</v>
      </c>
      <c r="K2614" s="312" t="s">
        <v>169</v>
      </c>
    </row>
    <row r="2615" spans="1:11">
      <c r="A2615" s="312" t="s">
        <v>250</v>
      </c>
      <c r="B2615" s="312" t="s">
        <v>251</v>
      </c>
      <c r="C2615" s="312" t="s">
        <v>105</v>
      </c>
      <c r="D2615" s="312" t="s">
        <v>252</v>
      </c>
      <c r="E2615" s="312" t="s">
        <v>167</v>
      </c>
      <c r="F2615" s="312">
        <v>1705</v>
      </c>
      <c r="G2615" s="312" t="s">
        <v>168</v>
      </c>
      <c r="H2615" s="312">
        <v>1707</v>
      </c>
      <c r="I2615" s="312" t="s">
        <v>167</v>
      </c>
      <c r="J2615" s="312">
        <v>1899</v>
      </c>
      <c r="K2615" s="312" t="s">
        <v>169</v>
      </c>
    </row>
    <row r="2616" spans="1:11">
      <c r="A2616" s="312" t="s">
        <v>423</v>
      </c>
      <c r="B2616" s="312" t="s">
        <v>424</v>
      </c>
      <c r="C2616" s="312" t="s">
        <v>105</v>
      </c>
      <c r="D2616" s="312" t="s">
        <v>252</v>
      </c>
      <c r="E2616" s="312" t="s">
        <v>167</v>
      </c>
      <c r="F2616" s="312">
        <v>1705</v>
      </c>
      <c r="G2616" s="312" t="s">
        <v>168</v>
      </c>
      <c r="H2616" s="312">
        <v>1707</v>
      </c>
      <c r="I2616" s="312" t="s">
        <v>167</v>
      </c>
      <c r="J2616" s="312">
        <v>1899</v>
      </c>
      <c r="K2616" s="312" t="s">
        <v>169</v>
      </c>
    </row>
    <row r="2617" spans="1:11">
      <c r="A2617" s="312" t="s">
        <v>425</v>
      </c>
      <c r="B2617" s="312" t="s">
        <v>426</v>
      </c>
      <c r="C2617" s="312" t="s">
        <v>105</v>
      </c>
      <c r="D2617" s="312" t="s">
        <v>252</v>
      </c>
      <c r="E2617" s="312" t="s">
        <v>167</v>
      </c>
      <c r="F2617" s="312">
        <v>1705</v>
      </c>
      <c r="G2617" s="312" t="s">
        <v>168</v>
      </c>
      <c r="H2617" s="312">
        <v>1707</v>
      </c>
      <c r="I2617" s="312" t="s">
        <v>167</v>
      </c>
      <c r="J2617" s="312">
        <v>1899</v>
      </c>
      <c r="K2617" s="312" t="s">
        <v>169</v>
      </c>
    </row>
    <row r="2618" spans="1:11">
      <c r="A2618" s="312" t="s">
        <v>427</v>
      </c>
      <c r="B2618" s="312" t="s">
        <v>428</v>
      </c>
      <c r="C2618" s="312" t="s">
        <v>105</v>
      </c>
      <c r="D2618" s="312" t="s">
        <v>252</v>
      </c>
      <c r="E2618" s="312" t="s">
        <v>167</v>
      </c>
      <c r="F2618" s="312">
        <v>1705</v>
      </c>
      <c r="G2618" s="312" t="s">
        <v>168</v>
      </c>
      <c r="H2618" s="312">
        <v>1707</v>
      </c>
      <c r="I2618" s="312" t="s">
        <v>167</v>
      </c>
      <c r="J2618" s="312">
        <v>1899</v>
      </c>
      <c r="K2618" s="312" t="s">
        <v>169</v>
      </c>
    </row>
    <row r="2619" spans="1:11">
      <c r="A2619" s="312" t="s">
        <v>429</v>
      </c>
      <c r="B2619" s="312" t="s">
        <v>430</v>
      </c>
      <c r="C2619" s="312" t="s">
        <v>105</v>
      </c>
      <c r="D2619" s="312" t="s">
        <v>252</v>
      </c>
      <c r="E2619" s="312" t="s">
        <v>167</v>
      </c>
      <c r="F2619" s="312">
        <v>1705</v>
      </c>
      <c r="G2619" s="312" t="s">
        <v>168</v>
      </c>
      <c r="H2619" s="312">
        <v>1707</v>
      </c>
      <c r="I2619" s="312" t="s">
        <v>167</v>
      </c>
      <c r="J2619" s="312">
        <v>1899</v>
      </c>
      <c r="K2619" s="312" t="s">
        <v>169</v>
      </c>
    </row>
    <row r="2620" spans="1:11">
      <c r="A2620" s="312" t="s">
        <v>648</v>
      </c>
      <c r="B2620" s="312" t="s">
        <v>649</v>
      </c>
      <c r="C2620" s="312" t="s">
        <v>105</v>
      </c>
      <c r="D2620" s="312" t="s">
        <v>252</v>
      </c>
      <c r="E2620" s="312" t="s">
        <v>167</v>
      </c>
      <c r="F2620" s="312">
        <v>1705</v>
      </c>
      <c r="G2620" s="312" t="s">
        <v>168</v>
      </c>
      <c r="H2620" s="312">
        <v>1707</v>
      </c>
      <c r="I2620" s="312" t="s">
        <v>167</v>
      </c>
      <c r="J2620" s="312">
        <v>1899</v>
      </c>
      <c r="K2620" s="312" t="s">
        <v>169</v>
      </c>
    </row>
    <row r="2621" spans="1:11">
      <c r="A2621" s="312" t="s">
        <v>799</v>
      </c>
      <c r="B2621" s="312" t="s">
        <v>800</v>
      </c>
      <c r="C2621" s="312" t="s">
        <v>105</v>
      </c>
      <c r="D2621" s="312" t="s">
        <v>252</v>
      </c>
      <c r="E2621" s="312" t="s">
        <v>167</v>
      </c>
      <c r="F2621" s="312">
        <v>1705</v>
      </c>
      <c r="G2621" s="312" t="s">
        <v>168</v>
      </c>
      <c r="H2621" s="312">
        <v>1707</v>
      </c>
      <c r="I2621" s="312" t="s">
        <v>167</v>
      </c>
      <c r="J2621" s="312">
        <v>1899</v>
      </c>
      <c r="K2621" s="312" t="s">
        <v>169</v>
      </c>
    </row>
    <row r="2622" spans="1:11">
      <c r="A2622" s="312" t="s">
        <v>937</v>
      </c>
      <c r="B2622" s="312" t="s">
        <v>938</v>
      </c>
      <c r="C2622" s="312" t="s">
        <v>105</v>
      </c>
      <c r="D2622" s="312" t="s">
        <v>252</v>
      </c>
      <c r="E2622" s="312" t="s">
        <v>939</v>
      </c>
      <c r="F2622" s="312">
        <v>1685</v>
      </c>
      <c r="G2622" s="312" t="s">
        <v>940</v>
      </c>
      <c r="H2622" s="312">
        <v>1688</v>
      </c>
      <c r="I2622" s="312" t="s">
        <v>939</v>
      </c>
      <c r="J2622" s="312">
        <v>1923</v>
      </c>
      <c r="K2622" s="312" t="s">
        <v>941</v>
      </c>
    </row>
    <row r="2623" spans="1:11">
      <c r="A2623" s="312" t="s">
        <v>1057</v>
      </c>
      <c r="B2623" s="312" t="s">
        <v>1058</v>
      </c>
      <c r="C2623" s="312" t="s">
        <v>105</v>
      </c>
      <c r="D2623" s="312" t="s">
        <v>252</v>
      </c>
      <c r="E2623" s="312" t="s">
        <v>167</v>
      </c>
      <c r="F2623" s="312">
        <v>1705</v>
      </c>
      <c r="G2623" s="312" t="s">
        <v>168</v>
      </c>
      <c r="H2623" s="312">
        <v>1707</v>
      </c>
      <c r="I2623" s="312" t="s">
        <v>167</v>
      </c>
      <c r="J2623" s="312">
        <v>1899</v>
      </c>
      <c r="K2623" s="312" t="s">
        <v>169</v>
      </c>
    </row>
    <row r="2624" spans="1:11">
      <c r="A2624" s="312" t="s">
        <v>1127</v>
      </c>
      <c r="B2624" s="312" t="s">
        <v>1128</v>
      </c>
      <c r="C2624" s="312" t="s">
        <v>105</v>
      </c>
      <c r="D2624" s="312" t="s">
        <v>252</v>
      </c>
      <c r="E2624" s="312" t="s">
        <v>167</v>
      </c>
      <c r="F2624" s="312">
        <v>1705</v>
      </c>
      <c r="G2624" s="312" t="s">
        <v>168</v>
      </c>
      <c r="H2624" s="312">
        <v>1707</v>
      </c>
      <c r="I2624" s="312" t="s">
        <v>167</v>
      </c>
      <c r="J2624" s="312">
        <v>1899</v>
      </c>
      <c r="K2624" s="312" t="s">
        <v>169</v>
      </c>
    </row>
    <row r="2625" spans="1:11">
      <c r="A2625" s="312" t="s">
        <v>1145</v>
      </c>
      <c r="B2625" s="312" t="s">
        <v>1146</v>
      </c>
      <c r="C2625" s="312" t="s">
        <v>105</v>
      </c>
      <c r="D2625" s="312" t="s">
        <v>252</v>
      </c>
      <c r="E2625" s="312" t="s">
        <v>107</v>
      </c>
      <c r="F2625" s="312">
        <v>1825</v>
      </c>
      <c r="G2625" s="312" t="s">
        <v>108</v>
      </c>
      <c r="H2625" s="312">
        <v>1827</v>
      </c>
      <c r="I2625" s="312" t="s">
        <v>107</v>
      </c>
      <c r="J2625" s="312">
        <v>1913</v>
      </c>
      <c r="K2625" s="312" t="s">
        <v>109</v>
      </c>
    </row>
    <row r="2626" spans="1:11">
      <c r="A2626" s="312" t="s">
        <v>1147</v>
      </c>
      <c r="B2626" s="312" t="s">
        <v>1148</v>
      </c>
      <c r="C2626" s="312" t="s">
        <v>105</v>
      </c>
      <c r="D2626" s="312" t="s">
        <v>252</v>
      </c>
      <c r="E2626" s="312" t="s">
        <v>167</v>
      </c>
      <c r="F2626" s="312">
        <v>1705</v>
      </c>
      <c r="G2626" s="312" t="s">
        <v>168</v>
      </c>
      <c r="H2626" s="312">
        <v>1707</v>
      </c>
      <c r="I2626" s="312" t="s">
        <v>167</v>
      </c>
      <c r="J2626" s="312">
        <v>1899</v>
      </c>
      <c r="K2626" s="312" t="s">
        <v>169</v>
      </c>
    </row>
    <row r="2627" spans="1:11">
      <c r="A2627" s="312" t="s">
        <v>1240</v>
      </c>
      <c r="B2627" s="312" t="s">
        <v>1241</v>
      </c>
      <c r="C2627" s="312" t="s">
        <v>105</v>
      </c>
      <c r="D2627" s="312" t="s">
        <v>252</v>
      </c>
      <c r="E2627" s="312" t="s">
        <v>167</v>
      </c>
      <c r="F2627" s="312">
        <v>1705</v>
      </c>
      <c r="G2627" s="312" t="s">
        <v>168</v>
      </c>
      <c r="H2627" s="312">
        <v>1707</v>
      </c>
      <c r="I2627" s="312" t="s">
        <v>167</v>
      </c>
      <c r="J2627" s="312">
        <v>1899</v>
      </c>
      <c r="K2627" s="312" t="s">
        <v>169</v>
      </c>
    </row>
    <row r="2628" spans="1:11">
      <c r="A2628" s="312" t="s">
        <v>1317</v>
      </c>
      <c r="B2628" s="312" t="s">
        <v>1318</v>
      </c>
      <c r="C2628" s="312" t="s">
        <v>105</v>
      </c>
      <c r="D2628" s="312" t="s">
        <v>252</v>
      </c>
      <c r="E2628" s="312" t="s">
        <v>167</v>
      </c>
      <c r="F2628" s="312">
        <v>1705</v>
      </c>
      <c r="G2628" s="312" t="s">
        <v>168</v>
      </c>
      <c r="H2628" s="312">
        <v>1707</v>
      </c>
      <c r="I2628" s="312" t="s">
        <v>167</v>
      </c>
      <c r="J2628" s="312">
        <v>1899</v>
      </c>
      <c r="K2628" s="312" t="s">
        <v>169</v>
      </c>
    </row>
    <row r="2629" spans="1:11">
      <c r="A2629" s="312" t="s">
        <v>1343</v>
      </c>
      <c r="B2629" s="312" t="s">
        <v>1344</v>
      </c>
      <c r="C2629" s="312" t="s">
        <v>105</v>
      </c>
      <c r="D2629" s="312" t="s">
        <v>252</v>
      </c>
      <c r="E2629" s="312" t="s">
        <v>167</v>
      </c>
      <c r="F2629" s="312">
        <v>1705</v>
      </c>
      <c r="G2629" s="312" t="s">
        <v>168</v>
      </c>
      <c r="H2629" s="312">
        <v>1707</v>
      </c>
      <c r="I2629" s="312" t="s">
        <v>167</v>
      </c>
      <c r="J2629" s="312">
        <v>1899</v>
      </c>
      <c r="K2629" s="312" t="s">
        <v>169</v>
      </c>
    </row>
    <row r="2630" spans="1:11">
      <c r="A2630" s="312" t="s">
        <v>1642</v>
      </c>
      <c r="B2630" s="312" t="s">
        <v>1643</v>
      </c>
      <c r="C2630" s="312" t="s">
        <v>105</v>
      </c>
      <c r="D2630" s="312" t="s">
        <v>252</v>
      </c>
      <c r="E2630" s="312" t="s">
        <v>167</v>
      </c>
      <c r="F2630" s="312">
        <v>1705</v>
      </c>
      <c r="G2630" s="312" t="s">
        <v>168</v>
      </c>
      <c r="H2630" s="312">
        <v>1707</v>
      </c>
      <c r="I2630" s="312" t="s">
        <v>167</v>
      </c>
      <c r="J2630" s="312">
        <v>1899</v>
      </c>
      <c r="K2630" s="312" t="s">
        <v>169</v>
      </c>
    </row>
    <row r="2631" spans="1:11">
      <c r="A2631" s="6" t="s">
        <v>1767</v>
      </c>
      <c r="B2631" s="312" t="s">
        <v>1768</v>
      </c>
      <c r="C2631" s="312" t="s">
        <v>105</v>
      </c>
      <c r="D2631" s="312" t="s">
        <v>252</v>
      </c>
      <c r="E2631" s="312" t="s">
        <v>167</v>
      </c>
      <c r="F2631" s="312">
        <v>1705</v>
      </c>
      <c r="G2631" s="312" t="s">
        <v>168</v>
      </c>
      <c r="H2631" s="312">
        <v>1707</v>
      </c>
      <c r="I2631" s="312" t="s">
        <v>167</v>
      </c>
      <c r="J2631" s="312">
        <v>1899</v>
      </c>
      <c r="K2631" s="312" t="s">
        <v>169</v>
      </c>
    </row>
    <row r="2632" spans="1:11">
      <c r="A2632" s="312" t="s">
        <v>1829</v>
      </c>
      <c r="B2632" s="312" t="s">
        <v>1830</v>
      </c>
      <c r="C2632" s="312" t="s">
        <v>105</v>
      </c>
      <c r="D2632" s="312" t="s">
        <v>252</v>
      </c>
      <c r="E2632" s="312" t="s">
        <v>167</v>
      </c>
      <c r="F2632" s="312">
        <v>1705</v>
      </c>
      <c r="G2632" s="312" t="s">
        <v>168</v>
      </c>
      <c r="H2632" s="312">
        <v>1707</v>
      </c>
      <c r="I2632" s="312" t="s">
        <v>167</v>
      </c>
      <c r="J2632" s="312">
        <v>1899</v>
      </c>
      <c r="K2632" s="312" t="s">
        <v>169</v>
      </c>
    </row>
    <row r="2633" spans="1:11">
      <c r="A2633" s="312" t="s">
        <v>1915</v>
      </c>
      <c r="B2633" s="312" t="s">
        <v>1916</v>
      </c>
      <c r="C2633" s="312" t="s">
        <v>105</v>
      </c>
      <c r="D2633" s="312" t="s">
        <v>252</v>
      </c>
      <c r="E2633" s="312" t="s">
        <v>167</v>
      </c>
      <c r="F2633" s="312">
        <v>1705</v>
      </c>
      <c r="G2633" s="312" t="s">
        <v>168</v>
      </c>
      <c r="H2633" s="312">
        <v>1707</v>
      </c>
      <c r="I2633" s="312" t="s">
        <v>167</v>
      </c>
      <c r="J2633" s="312">
        <v>1899</v>
      </c>
      <c r="K2633" s="312" t="s">
        <v>169</v>
      </c>
    </row>
    <row r="2634" spans="1:11">
      <c r="A2634" s="312" t="s">
        <v>2026</v>
      </c>
      <c r="B2634" s="312" t="s">
        <v>2027</v>
      </c>
      <c r="C2634" s="312" t="s">
        <v>105</v>
      </c>
      <c r="D2634" s="312" t="s">
        <v>252</v>
      </c>
      <c r="E2634" s="312" t="s">
        <v>167</v>
      </c>
      <c r="F2634" s="312">
        <v>1705</v>
      </c>
      <c r="G2634" s="312" t="s">
        <v>168</v>
      </c>
      <c r="H2634" s="312">
        <v>1707</v>
      </c>
      <c r="I2634" s="312" t="s">
        <v>167</v>
      </c>
      <c r="J2634" s="312">
        <v>1899</v>
      </c>
      <c r="K2634" s="312" t="s">
        <v>169</v>
      </c>
    </row>
    <row r="2635" spans="1:11">
      <c r="A2635" s="312" t="s">
        <v>2033</v>
      </c>
      <c r="B2635" s="312" t="s">
        <v>2034</v>
      </c>
      <c r="C2635" s="312" t="s">
        <v>105</v>
      </c>
      <c r="D2635" s="312" t="s">
        <v>252</v>
      </c>
      <c r="E2635" s="312" t="s">
        <v>167</v>
      </c>
      <c r="F2635" s="312">
        <v>1705</v>
      </c>
      <c r="G2635" s="312" t="s">
        <v>168</v>
      </c>
      <c r="H2635" s="312">
        <v>1707</v>
      </c>
      <c r="I2635" s="312" t="s">
        <v>167</v>
      </c>
      <c r="J2635" s="312">
        <v>1899</v>
      </c>
      <c r="K2635" s="312" t="s">
        <v>169</v>
      </c>
    </row>
    <row r="2636" spans="1:11">
      <c r="A2636" s="312" t="s">
        <v>2037</v>
      </c>
      <c r="B2636" s="312" t="s">
        <v>2038</v>
      </c>
      <c r="C2636" s="312" t="s">
        <v>105</v>
      </c>
      <c r="D2636" s="312" t="s">
        <v>252</v>
      </c>
      <c r="E2636" s="312" t="s">
        <v>167</v>
      </c>
      <c r="F2636" s="312">
        <v>1705</v>
      </c>
      <c r="G2636" s="312" t="s">
        <v>168</v>
      </c>
      <c r="H2636" s="312">
        <v>1707</v>
      </c>
      <c r="I2636" s="312" t="s">
        <v>167</v>
      </c>
      <c r="J2636" s="312">
        <v>1899</v>
      </c>
      <c r="K2636" s="312" t="s">
        <v>169</v>
      </c>
    </row>
    <row r="2637" spans="1:11">
      <c r="A2637" s="312" t="s">
        <v>2045</v>
      </c>
      <c r="B2637" s="312" t="s">
        <v>2046</v>
      </c>
      <c r="C2637" s="312" t="s">
        <v>105</v>
      </c>
      <c r="D2637" s="312" t="s">
        <v>252</v>
      </c>
      <c r="E2637" s="312" t="s">
        <v>167</v>
      </c>
      <c r="F2637" s="312">
        <v>1705</v>
      </c>
      <c r="G2637" s="312" t="s">
        <v>168</v>
      </c>
      <c r="H2637" s="312">
        <v>1707</v>
      </c>
      <c r="I2637" s="312" t="s">
        <v>167</v>
      </c>
      <c r="J2637" s="312">
        <v>1899</v>
      </c>
      <c r="K2637" s="312" t="s">
        <v>169</v>
      </c>
    </row>
    <row r="2638" spans="1:11">
      <c r="A2638" s="312" t="s">
        <v>2051</v>
      </c>
      <c r="B2638" s="312" t="s">
        <v>2052</v>
      </c>
      <c r="C2638" s="312" t="s">
        <v>105</v>
      </c>
      <c r="D2638" s="312" t="s">
        <v>252</v>
      </c>
      <c r="E2638" s="312" t="s">
        <v>167</v>
      </c>
      <c r="F2638" s="312">
        <v>1705</v>
      </c>
      <c r="G2638" s="312" t="s">
        <v>168</v>
      </c>
      <c r="H2638" s="312">
        <v>1707</v>
      </c>
      <c r="I2638" s="312" t="s">
        <v>167</v>
      </c>
      <c r="J2638" s="312">
        <v>1899</v>
      </c>
      <c r="K2638" s="312" t="s">
        <v>169</v>
      </c>
    </row>
    <row r="2639" spans="1:11">
      <c r="A2639" s="312" t="s">
        <v>2092</v>
      </c>
      <c r="B2639" s="312" t="s">
        <v>2093</v>
      </c>
      <c r="C2639" s="312" t="s">
        <v>105</v>
      </c>
      <c r="D2639" s="312" t="s">
        <v>252</v>
      </c>
      <c r="E2639" s="312" t="s">
        <v>167</v>
      </c>
      <c r="F2639" s="312">
        <v>1705</v>
      </c>
      <c r="G2639" s="312" t="s">
        <v>168</v>
      </c>
      <c r="H2639" s="312">
        <v>1707</v>
      </c>
      <c r="I2639" s="312" t="s">
        <v>167</v>
      </c>
      <c r="J2639" s="312">
        <v>1899</v>
      </c>
      <c r="K2639" s="312" t="s">
        <v>169</v>
      </c>
    </row>
    <row r="2640" spans="1:11">
      <c r="A2640" s="312" t="s">
        <v>2294</v>
      </c>
      <c r="B2640" s="312" t="s">
        <v>2295</v>
      </c>
      <c r="C2640" s="312" t="s">
        <v>105</v>
      </c>
      <c r="D2640" s="312" t="s">
        <v>252</v>
      </c>
      <c r="E2640" s="312" t="s">
        <v>167</v>
      </c>
      <c r="F2640" s="312">
        <v>1705</v>
      </c>
      <c r="G2640" s="312" t="s">
        <v>168</v>
      </c>
      <c r="H2640" s="312">
        <v>1707</v>
      </c>
      <c r="I2640" s="312" t="s">
        <v>167</v>
      </c>
      <c r="J2640" s="312">
        <v>1899</v>
      </c>
      <c r="K2640" s="312" t="s">
        <v>169</v>
      </c>
    </row>
    <row r="2641" spans="1:11">
      <c r="A2641" s="312" t="s">
        <v>2346</v>
      </c>
      <c r="B2641" s="312" t="s">
        <v>2347</v>
      </c>
      <c r="C2641" s="312" t="s">
        <v>105</v>
      </c>
      <c r="D2641" s="312" t="s">
        <v>252</v>
      </c>
      <c r="E2641" s="312" t="s">
        <v>167</v>
      </c>
      <c r="F2641" s="312">
        <v>1705</v>
      </c>
      <c r="G2641" s="312" t="s">
        <v>168</v>
      </c>
      <c r="H2641" s="312">
        <v>1707</v>
      </c>
      <c r="I2641" s="312" t="s">
        <v>167</v>
      </c>
      <c r="J2641" s="312">
        <v>1899</v>
      </c>
      <c r="K2641" s="312" t="s">
        <v>169</v>
      </c>
    </row>
    <row r="2642" spans="1:11">
      <c r="A2642" s="312" t="s">
        <v>2391</v>
      </c>
      <c r="B2642" s="312" t="s">
        <v>2392</v>
      </c>
      <c r="C2642" s="312" t="s">
        <v>105</v>
      </c>
      <c r="D2642" s="312" t="s">
        <v>252</v>
      </c>
      <c r="E2642" s="312" t="s">
        <v>167</v>
      </c>
      <c r="F2642" s="312">
        <v>1705</v>
      </c>
      <c r="G2642" s="312" t="s">
        <v>168</v>
      </c>
      <c r="H2642" s="312">
        <v>1707</v>
      </c>
      <c r="I2642" s="312" t="s">
        <v>167</v>
      </c>
      <c r="J2642" s="312">
        <v>1899</v>
      </c>
      <c r="K2642" s="312" t="s">
        <v>169</v>
      </c>
    </row>
    <row r="2643" spans="1:11">
      <c r="A2643" s="312" t="s">
        <v>2393</v>
      </c>
      <c r="B2643" s="312" t="s">
        <v>2394</v>
      </c>
      <c r="C2643" s="312" t="s">
        <v>105</v>
      </c>
      <c r="D2643" s="312" t="s">
        <v>252</v>
      </c>
      <c r="E2643" s="312" t="s">
        <v>167</v>
      </c>
      <c r="F2643" s="312">
        <v>1705</v>
      </c>
      <c r="G2643" s="312" t="s">
        <v>168</v>
      </c>
      <c r="H2643" s="312">
        <v>1707</v>
      </c>
      <c r="I2643" s="312" t="s">
        <v>167</v>
      </c>
      <c r="J2643" s="312">
        <v>1899</v>
      </c>
      <c r="K2643" s="312" t="s">
        <v>169</v>
      </c>
    </row>
    <row r="2644" spans="1:11">
      <c r="A2644" s="312" t="s">
        <v>2397</v>
      </c>
      <c r="B2644" s="312" t="s">
        <v>2398</v>
      </c>
      <c r="C2644" s="312" t="s">
        <v>105</v>
      </c>
      <c r="D2644" s="312" t="s">
        <v>252</v>
      </c>
      <c r="E2644" s="312" t="s">
        <v>167</v>
      </c>
      <c r="F2644" s="312">
        <v>1705</v>
      </c>
      <c r="G2644" s="312" t="s">
        <v>168</v>
      </c>
      <c r="H2644" s="312">
        <v>1707</v>
      </c>
      <c r="I2644" s="312" t="s">
        <v>167</v>
      </c>
      <c r="J2644" s="312">
        <v>1899</v>
      </c>
      <c r="K2644" s="312" t="s">
        <v>169</v>
      </c>
    </row>
    <row r="2645" spans="1:11">
      <c r="A2645" s="312" t="s">
        <v>2427</v>
      </c>
      <c r="B2645" s="312" t="s">
        <v>2428</v>
      </c>
      <c r="C2645" s="312" t="s">
        <v>105</v>
      </c>
      <c r="D2645" s="312" t="s">
        <v>252</v>
      </c>
      <c r="E2645" s="312" t="s">
        <v>167</v>
      </c>
      <c r="F2645" s="312">
        <v>1705</v>
      </c>
      <c r="G2645" s="312" t="s">
        <v>168</v>
      </c>
      <c r="H2645" s="312">
        <v>1707</v>
      </c>
      <c r="I2645" s="312" t="s">
        <v>167</v>
      </c>
      <c r="J2645" s="312">
        <v>1899</v>
      </c>
      <c r="K2645" s="312" t="s">
        <v>169</v>
      </c>
    </row>
    <row r="2646" spans="1:11">
      <c r="A2646" s="312" t="s">
        <v>2723</v>
      </c>
      <c r="B2646" s="312" t="s">
        <v>2724</v>
      </c>
      <c r="C2646" s="312" t="s">
        <v>105</v>
      </c>
      <c r="D2646" s="312" t="s">
        <v>252</v>
      </c>
      <c r="E2646" s="312" t="s">
        <v>167</v>
      </c>
      <c r="F2646" s="312">
        <v>1705</v>
      </c>
      <c r="G2646" s="312" t="s">
        <v>168</v>
      </c>
      <c r="H2646" s="312">
        <v>1707</v>
      </c>
      <c r="I2646" s="312" t="s">
        <v>167</v>
      </c>
      <c r="J2646" s="312">
        <v>1899</v>
      </c>
      <c r="K2646" s="312" t="s">
        <v>169</v>
      </c>
    </row>
    <row r="2647" spans="1:11">
      <c r="A2647" s="312" t="s">
        <v>2725</v>
      </c>
      <c r="B2647" s="312" t="s">
        <v>2726</v>
      </c>
      <c r="C2647" s="312" t="s">
        <v>105</v>
      </c>
      <c r="D2647" s="312" t="s">
        <v>252</v>
      </c>
      <c r="E2647" s="312" t="s">
        <v>167</v>
      </c>
      <c r="F2647" s="312">
        <v>1705</v>
      </c>
      <c r="G2647" s="312" t="s">
        <v>168</v>
      </c>
      <c r="H2647" s="312">
        <v>1707</v>
      </c>
      <c r="I2647" s="312" t="s">
        <v>167</v>
      </c>
      <c r="J2647" s="312">
        <v>1899</v>
      </c>
      <c r="K2647" s="312" t="s">
        <v>169</v>
      </c>
    </row>
    <row r="2648" spans="1:11">
      <c r="A2648" s="312" t="s">
        <v>2960</v>
      </c>
      <c r="B2648" s="312" t="s">
        <v>2961</v>
      </c>
      <c r="C2648" s="312" t="s">
        <v>105</v>
      </c>
      <c r="D2648" s="312" t="s">
        <v>252</v>
      </c>
      <c r="E2648" s="312" t="s">
        <v>167</v>
      </c>
      <c r="F2648" s="312">
        <v>1705</v>
      </c>
      <c r="G2648" s="312" t="s">
        <v>168</v>
      </c>
      <c r="H2648" s="312">
        <v>1707</v>
      </c>
      <c r="I2648" s="312" t="s">
        <v>167</v>
      </c>
      <c r="J2648" s="312">
        <v>1899</v>
      </c>
      <c r="K2648" s="312" t="s">
        <v>169</v>
      </c>
    </row>
    <row r="2649" spans="1:11">
      <c r="A2649" s="312" t="s">
        <v>2962</v>
      </c>
      <c r="B2649" s="312" t="s">
        <v>2963</v>
      </c>
      <c r="C2649" s="312" t="s">
        <v>105</v>
      </c>
      <c r="D2649" s="312" t="s">
        <v>252</v>
      </c>
      <c r="E2649" s="312" t="s">
        <v>167</v>
      </c>
      <c r="F2649" s="312">
        <v>1705</v>
      </c>
      <c r="G2649" s="312" t="s">
        <v>168</v>
      </c>
      <c r="H2649" s="312">
        <v>1707</v>
      </c>
      <c r="I2649" s="312" t="s">
        <v>167</v>
      </c>
      <c r="J2649" s="312">
        <v>1899</v>
      </c>
      <c r="K2649" s="312" t="s">
        <v>169</v>
      </c>
    </row>
    <row r="2650" spans="1:11">
      <c r="A2650" s="312" t="s">
        <v>2980</v>
      </c>
      <c r="B2650" s="1" t="s">
        <v>2981</v>
      </c>
      <c r="C2650" s="312" t="s">
        <v>105</v>
      </c>
      <c r="D2650" s="312" t="s">
        <v>252</v>
      </c>
      <c r="E2650" s="312" t="s">
        <v>167</v>
      </c>
      <c r="F2650" s="312">
        <v>1705</v>
      </c>
      <c r="G2650" s="312" t="s">
        <v>168</v>
      </c>
      <c r="H2650" s="312">
        <v>1707</v>
      </c>
      <c r="I2650" s="312" t="s">
        <v>167</v>
      </c>
      <c r="J2650" s="312">
        <v>1899</v>
      </c>
      <c r="K2650" s="312" t="s">
        <v>169</v>
      </c>
    </row>
    <row r="2651" spans="1:11">
      <c r="A2651" s="312" t="s">
        <v>3004</v>
      </c>
      <c r="B2651" s="312" t="s">
        <v>3005</v>
      </c>
      <c r="C2651" s="312" t="s">
        <v>105</v>
      </c>
      <c r="D2651" s="312" t="s">
        <v>252</v>
      </c>
      <c r="E2651" s="312" t="s">
        <v>684</v>
      </c>
      <c r="F2651" s="312">
        <v>1750</v>
      </c>
      <c r="G2651" s="312" t="s">
        <v>685</v>
      </c>
      <c r="H2651" s="312">
        <v>1754</v>
      </c>
      <c r="I2651" s="312" t="s">
        <v>684</v>
      </c>
      <c r="J2651" s="312">
        <v>1920</v>
      </c>
      <c r="K2651" s="312" t="s">
        <v>686</v>
      </c>
    </row>
    <row r="2652" spans="1:11">
      <c r="A2652" s="312" t="s">
        <v>3082</v>
      </c>
      <c r="B2652" s="312" t="s">
        <v>3083</v>
      </c>
      <c r="C2652" s="312" t="s">
        <v>105</v>
      </c>
      <c r="D2652" s="312" t="s">
        <v>252</v>
      </c>
      <c r="E2652" s="312" t="s">
        <v>167</v>
      </c>
      <c r="F2652" s="312">
        <v>1705</v>
      </c>
      <c r="G2652" s="312" t="s">
        <v>168</v>
      </c>
      <c r="H2652" s="312">
        <v>1707</v>
      </c>
      <c r="I2652" s="312" t="s">
        <v>167</v>
      </c>
      <c r="J2652" s="312">
        <v>1899</v>
      </c>
      <c r="K2652" s="312" t="s">
        <v>169</v>
      </c>
    </row>
    <row r="2653" spans="1:11">
      <c r="A2653" s="312" t="s">
        <v>3251</v>
      </c>
      <c r="B2653" s="312" t="s">
        <v>3252</v>
      </c>
      <c r="C2653" s="312" t="s">
        <v>105</v>
      </c>
      <c r="D2653" s="312" t="s">
        <v>252</v>
      </c>
      <c r="E2653" s="312" t="s">
        <v>167</v>
      </c>
      <c r="F2653" s="312">
        <v>1705</v>
      </c>
      <c r="G2653" s="312" t="s">
        <v>168</v>
      </c>
      <c r="H2653" s="312">
        <v>1707</v>
      </c>
      <c r="I2653" s="312" t="s">
        <v>167</v>
      </c>
      <c r="J2653" s="312">
        <v>1899</v>
      </c>
      <c r="K2653" s="312" t="s">
        <v>169</v>
      </c>
    </row>
    <row r="2654" spans="1:11">
      <c r="A2654" s="312" t="s">
        <v>3271</v>
      </c>
      <c r="B2654" s="312" t="s">
        <v>3272</v>
      </c>
      <c r="C2654" s="312" t="s">
        <v>105</v>
      </c>
      <c r="D2654" s="312" t="s">
        <v>252</v>
      </c>
      <c r="E2654" s="312" t="s">
        <v>167</v>
      </c>
      <c r="F2654" s="312">
        <v>1705</v>
      </c>
      <c r="G2654" s="312" t="s">
        <v>168</v>
      </c>
      <c r="H2654" s="312">
        <v>1707</v>
      </c>
      <c r="I2654" s="312" t="s">
        <v>167</v>
      </c>
      <c r="J2654" s="312">
        <v>1899</v>
      </c>
      <c r="K2654" s="312" t="s">
        <v>169</v>
      </c>
    </row>
    <row r="2655" spans="1:11">
      <c r="A2655" s="312" t="s">
        <v>3372</v>
      </c>
      <c r="B2655" s="312" t="s">
        <v>3373</v>
      </c>
      <c r="C2655" s="312" t="s">
        <v>105</v>
      </c>
      <c r="D2655" s="312" t="s">
        <v>252</v>
      </c>
      <c r="E2655" s="312" t="s">
        <v>167</v>
      </c>
      <c r="F2655" s="312">
        <v>1705</v>
      </c>
      <c r="G2655" s="312" t="s">
        <v>168</v>
      </c>
      <c r="H2655" s="312">
        <v>1707</v>
      </c>
      <c r="I2655" s="312" t="s">
        <v>167</v>
      </c>
      <c r="J2655" s="312">
        <v>1899</v>
      </c>
      <c r="K2655" s="312" t="s">
        <v>169</v>
      </c>
    </row>
    <row r="2656" spans="1:11">
      <c r="A2656" s="312" t="s">
        <v>3374</v>
      </c>
      <c r="B2656" s="312" t="s">
        <v>3375</v>
      </c>
      <c r="C2656" s="312" t="s">
        <v>105</v>
      </c>
      <c r="D2656" s="312" t="s">
        <v>252</v>
      </c>
      <c r="E2656" s="312" t="s">
        <v>167</v>
      </c>
      <c r="F2656" s="312">
        <v>1705</v>
      </c>
      <c r="G2656" s="312" t="s">
        <v>168</v>
      </c>
      <c r="H2656" s="312">
        <v>1707</v>
      </c>
      <c r="I2656" s="312" t="s">
        <v>167</v>
      </c>
      <c r="J2656" s="312">
        <v>1899</v>
      </c>
      <c r="K2656" s="312" t="s">
        <v>169</v>
      </c>
    </row>
    <row r="2657" spans="1:11">
      <c r="A2657" s="312" t="s">
        <v>3376</v>
      </c>
      <c r="B2657" s="312" t="s">
        <v>3377</v>
      </c>
      <c r="C2657" s="312" t="s">
        <v>105</v>
      </c>
      <c r="D2657" s="312" t="s">
        <v>252</v>
      </c>
      <c r="E2657" s="312" t="s">
        <v>167</v>
      </c>
      <c r="F2657" s="312">
        <v>1705</v>
      </c>
      <c r="G2657" s="312" t="s">
        <v>168</v>
      </c>
      <c r="H2657" s="312">
        <v>1707</v>
      </c>
      <c r="I2657" s="312" t="s">
        <v>167</v>
      </c>
      <c r="J2657" s="312">
        <v>1899</v>
      </c>
      <c r="K2657" s="312" t="s">
        <v>169</v>
      </c>
    </row>
    <row r="2658" spans="1:11">
      <c r="A2658" s="312" t="s">
        <v>3378</v>
      </c>
      <c r="B2658" s="312" t="s">
        <v>3379</v>
      </c>
      <c r="C2658" s="312" t="s">
        <v>105</v>
      </c>
      <c r="D2658" s="312" t="s">
        <v>252</v>
      </c>
      <c r="E2658" s="312" t="s">
        <v>167</v>
      </c>
      <c r="F2658" s="312">
        <v>1705</v>
      </c>
      <c r="G2658" s="312" t="s">
        <v>168</v>
      </c>
      <c r="H2658" s="312">
        <v>1707</v>
      </c>
      <c r="I2658" s="312" t="s">
        <v>167</v>
      </c>
      <c r="J2658" s="312">
        <v>1899</v>
      </c>
      <c r="K2658" s="312" t="s">
        <v>169</v>
      </c>
    </row>
    <row r="2659" spans="1:11">
      <c r="A2659" s="312" t="s">
        <v>3380</v>
      </c>
      <c r="B2659" s="312" t="s">
        <v>3381</v>
      </c>
      <c r="C2659" s="312" t="s">
        <v>105</v>
      </c>
      <c r="D2659" s="312" t="s">
        <v>252</v>
      </c>
      <c r="E2659" s="312" t="s">
        <v>167</v>
      </c>
      <c r="F2659" s="312">
        <v>1705</v>
      </c>
      <c r="G2659" s="312" t="s">
        <v>168</v>
      </c>
      <c r="H2659" s="312">
        <v>1707</v>
      </c>
      <c r="I2659" s="312" t="s">
        <v>167</v>
      </c>
      <c r="J2659" s="312">
        <v>1899</v>
      </c>
      <c r="K2659" s="312" t="s">
        <v>169</v>
      </c>
    </row>
    <row r="2660" spans="1:11">
      <c r="A2660" s="312" t="s">
        <v>3382</v>
      </c>
      <c r="B2660" s="312" t="s">
        <v>3383</v>
      </c>
      <c r="C2660" s="312" t="s">
        <v>105</v>
      </c>
      <c r="D2660" s="312" t="s">
        <v>252</v>
      </c>
      <c r="E2660" s="312" t="s">
        <v>167</v>
      </c>
      <c r="F2660" s="312">
        <v>1705</v>
      </c>
      <c r="G2660" s="312" t="s">
        <v>168</v>
      </c>
      <c r="H2660" s="312">
        <v>1707</v>
      </c>
      <c r="I2660" s="312" t="s">
        <v>167</v>
      </c>
      <c r="J2660" s="312">
        <v>1899</v>
      </c>
      <c r="K2660" s="312" t="s">
        <v>169</v>
      </c>
    </row>
    <row r="2661" spans="1:11">
      <c r="A2661" s="312" t="s">
        <v>3384</v>
      </c>
      <c r="B2661" s="312" t="s">
        <v>3385</v>
      </c>
      <c r="C2661" s="312" t="s">
        <v>105</v>
      </c>
      <c r="D2661" s="312" t="s">
        <v>252</v>
      </c>
      <c r="E2661" s="312" t="s">
        <v>167</v>
      </c>
      <c r="F2661" s="312">
        <v>1705</v>
      </c>
      <c r="G2661" s="312" t="s">
        <v>168</v>
      </c>
      <c r="H2661" s="312">
        <v>1707</v>
      </c>
      <c r="I2661" s="312" t="s">
        <v>167</v>
      </c>
      <c r="J2661" s="312">
        <v>1899</v>
      </c>
      <c r="K2661" s="312" t="s">
        <v>169</v>
      </c>
    </row>
    <row r="2662" spans="1:11">
      <c r="A2662" s="312" t="s">
        <v>3386</v>
      </c>
      <c r="B2662" s="312" t="s">
        <v>3387</v>
      </c>
      <c r="C2662" s="312" t="s">
        <v>105</v>
      </c>
      <c r="D2662" s="312" t="s">
        <v>252</v>
      </c>
      <c r="E2662" s="312" t="s">
        <v>167</v>
      </c>
      <c r="F2662" s="312">
        <v>1705</v>
      </c>
      <c r="G2662" s="312" t="s">
        <v>168</v>
      </c>
      <c r="H2662" s="312">
        <v>1707</v>
      </c>
      <c r="I2662" s="312" t="s">
        <v>167</v>
      </c>
      <c r="J2662" s="312">
        <v>1899</v>
      </c>
      <c r="K2662" s="312" t="s">
        <v>169</v>
      </c>
    </row>
    <row r="2663" spans="1:11">
      <c r="A2663" s="312" t="s">
        <v>3388</v>
      </c>
      <c r="B2663" s="312" t="s">
        <v>3389</v>
      </c>
      <c r="C2663" s="312" t="s">
        <v>105</v>
      </c>
      <c r="D2663" s="312" t="s">
        <v>252</v>
      </c>
      <c r="E2663" s="312" t="s">
        <v>167</v>
      </c>
      <c r="F2663" s="312">
        <v>1705</v>
      </c>
      <c r="G2663" s="312" t="s">
        <v>168</v>
      </c>
      <c r="H2663" s="312">
        <v>1707</v>
      </c>
      <c r="I2663" s="312" t="s">
        <v>167</v>
      </c>
      <c r="J2663" s="312">
        <v>1899</v>
      </c>
      <c r="K2663" s="312" t="s">
        <v>169</v>
      </c>
    </row>
    <row r="2664" spans="1:11">
      <c r="A2664" s="312" t="s">
        <v>3396</v>
      </c>
      <c r="B2664" s="312" t="s">
        <v>3397</v>
      </c>
      <c r="C2664" s="312" t="s">
        <v>105</v>
      </c>
      <c r="D2664" s="312" t="s">
        <v>252</v>
      </c>
      <c r="E2664" s="312" t="s">
        <v>167</v>
      </c>
      <c r="F2664" s="312">
        <v>1705</v>
      </c>
      <c r="G2664" s="312" t="s">
        <v>168</v>
      </c>
      <c r="H2664" s="312">
        <v>1707</v>
      </c>
      <c r="I2664" s="312" t="s">
        <v>167</v>
      </c>
      <c r="J2664" s="312">
        <v>1899</v>
      </c>
      <c r="K2664" s="312" t="s">
        <v>169</v>
      </c>
    </row>
    <row r="2665" spans="1:11">
      <c r="A2665" s="312" t="s">
        <v>3398</v>
      </c>
      <c r="B2665" s="312" t="s">
        <v>3399</v>
      </c>
      <c r="C2665" s="312" t="s">
        <v>105</v>
      </c>
      <c r="D2665" s="312" t="s">
        <v>252</v>
      </c>
      <c r="E2665" s="312" t="s">
        <v>167</v>
      </c>
      <c r="F2665" s="312">
        <v>1705</v>
      </c>
      <c r="G2665" s="312" t="s">
        <v>168</v>
      </c>
      <c r="H2665" s="312">
        <v>1707</v>
      </c>
      <c r="I2665" s="312" t="s">
        <v>167</v>
      </c>
      <c r="J2665" s="312">
        <v>1899</v>
      </c>
      <c r="K2665" s="312" t="s">
        <v>169</v>
      </c>
    </row>
    <row r="2666" spans="1:11">
      <c r="A2666" s="312" t="s">
        <v>3400</v>
      </c>
      <c r="B2666" s="312" t="s">
        <v>3401</v>
      </c>
      <c r="C2666" s="312" t="s">
        <v>105</v>
      </c>
      <c r="D2666" s="312" t="s">
        <v>252</v>
      </c>
      <c r="E2666" s="312" t="s">
        <v>167</v>
      </c>
      <c r="F2666" s="312">
        <v>1705</v>
      </c>
      <c r="G2666" s="312" t="s">
        <v>168</v>
      </c>
      <c r="H2666" s="312">
        <v>1707</v>
      </c>
      <c r="I2666" s="312" t="s">
        <v>167</v>
      </c>
      <c r="J2666" s="312">
        <v>1899</v>
      </c>
      <c r="K2666" s="312" t="s">
        <v>169</v>
      </c>
    </row>
    <row r="2667" spans="1:11">
      <c r="A2667" s="312" t="s">
        <v>3402</v>
      </c>
      <c r="B2667" s="312" t="s">
        <v>3403</v>
      </c>
      <c r="C2667" s="312" t="s">
        <v>105</v>
      </c>
      <c r="D2667" s="312" t="s">
        <v>252</v>
      </c>
      <c r="E2667" s="312" t="s">
        <v>167</v>
      </c>
      <c r="F2667" s="312">
        <v>1705</v>
      </c>
      <c r="G2667" s="312" t="s">
        <v>168</v>
      </c>
      <c r="H2667" s="312">
        <v>1707</v>
      </c>
      <c r="I2667" s="312" t="s">
        <v>167</v>
      </c>
      <c r="J2667" s="312">
        <v>1899</v>
      </c>
      <c r="K2667" s="312" t="s">
        <v>169</v>
      </c>
    </row>
    <row r="2668" spans="1:11">
      <c r="A2668" s="312" t="s">
        <v>3404</v>
      </c>
      <c r="B2668" s="312" t="s">
        <v>3405</v>
      </c>
      <c r="C2668" s="312" t="s">
        <v>105</v>
      </c>
      <c r="D2668" s="312" t="s">
        <v>252</v>
      </c>
      <c r="E2668" s="312" t="s">
        <v>167</v>
      </c>
      <c r="F2668" s="312">
        <v>1705</v>
      </c>
      <c r="G2668" s="312" t="s">
        <v>168</v>
      </c>
      <c r="H2668" s="312">
        <v>1707</v>
      </c>
      <c r="I2668" s="312" t="s">
        <v>167</v>
      </c>
      <c r="J2668" s="312">
        <v>1899</v>
      </c>
      <c r="K2668" s="312" t="s">
        <v>169</v>
      </c>
    </row>
    <row r="2669" spans="1:11">
      <c r="A2669" s="312" t="s">
        <v>3406</v>
      </c>
      <c r="B2669" s="312" t="s">
        <v>3407</v>
      </c>
      <c r="C2669" s="312" t="s">
        <v>105</v>
      </c>
      <c r="D2669" s="312" t="s">
        <v>252</v>
      </c>
      <c r="E2669" s="312" t="s">
        <v>167</v>
      </c>
      <c r="F2669" s="312">
        <v>1705</v>
      </c>
      <c r="G2669" s="312" t="s">
        <v>168</v>
      </c>
      <c r="H2669" s="312">
        <v>1707</v>
      </c>
      <c r="I2669" s="312" t="s">
        <v>167</v>
      </c>
      <c r="J2669" s="312">
        <v>1899</v>
      </c>
      <c r="K2669" s="312" t="s">
        <v>169</v>
      </c>
    </row>
    <row r="2670" spans="1:11">
      <c r="A2670" s="312" t="s">
        <v>3410</v>
      </c>
      <c r="B2670" s="312" t="s">
        <v>3411</v>
      </c>
      <c r="C2670" s="312" t="s">
        <v>105</v>
      </c>
      <c r="D2670" s="312" t="s">
        <v>252</v>
      </c>
      <c r="E2670" s="312" t="s">
        <v>167</v>
      </c>
      <c r="F2670" s="312">
        <v>1705</v>
      </c>
      <c r="G2670" s="312" t="s">
        <v>168</v>
      </c>
      <c r="H2670" s="312">
        <v>1707</v>
      </c>
      <c r="I2670" s="312" t="s">
        <v>167</v>
      </c>
      <c r="J2670" s="312">
        <v>1899</v>
      </c>
      <c r="K2670" s="312" t="s">
        <v>169</v>
      </c>
    </row>
    <row r="2671" spans="1:11">
      <c r="A2671" s="312" t="s">
        <v>3483</v>
      </c>
      <c r="B2671" s="312" t="s">
        <v>3484</v>
      </c>
      <c r="C2671" s="312" t="s">
        <v>105</v>
      </c>
      <c r="D2671" s="312" t="s">
        <v>252</v>
      </c>
      <c r="E2671" s="312" t="s">
        <v>167</v>
      </c>
      <c r="F2671" s="312">
        <v>1705</v>
      </c>
      <c r="G2671" s="312" t="s">
        <v>168</v>
      </c>
      <c r="H2671" s="312">
        <v>1707</v>
      </c>
      <c r="I2671" s="312" t="s">
        <v>167</v>
      </c>
      <c r="J2671" s="312">
        <v>1899</v>
      </c>
      <c r="K2671" s="312" t="s">
        <v>169</v>
      </c>
    </row>
    <row r="2672" spans="1:11">
      <c r="A2672" s="312" t="s">
        <v>3499</v>
      </c>
      <c r="B2672" s="312" t="s">
        <v>3500</v>
      </c>
      <c r="C2672" s="312" t="s">
        <v>105</v>
      </c>
      <c r="D2672" s="312" t="s">
        <v>252</v>
      </c>
      <c r="E2672" s="312" t="s">
        <v>167</v>
      </c>
      <c r="F2672" s="312">
        <v>1705</v>
      </c>
      <c r="G2672" s="312" t="s">
        <v>168</v>
      </c>
      <c r="H2672" s="312">
        <v>1707</v>
      </c>
      <c r="I2672" s="312" t="s">
        <v>167</v>
      </c>
      <c r="J2672" s="312">
        <v>1899</v>
      </c>
      <c r="K2672" s="312" t="s">
        <v>169</v>
      </c>
    </row>
    <row r="2673" spans="1:11">
      <c r="A2673" s="312" t="s">
        <v>3606</v>
      </c>
      <c r="B2673" s="312" t="s">
        <v>3607</v>
      </c>
      <c r="C2673" s="312" t="s">
        <v>105</v>
      </c>
      <c r="D2673" s="312" t="s">
        <v>252</v>
      </c>
      <c r="E2673" s="312" t="s">
        <v>167</v>
      </c>
      <c r="F2673" s="312">
        <v>1705</v>
      </c>
      <c r="G2673" s="312" t="s">
        <v>168</v>
      </c>
      <c r="H2673" s="312">
        <v>1707</v>
      </c>
      <c r="I2673" s="312" t="s">
        <v>167</v>
      </c>
      <c r="J2673" s="312">
        <v>1899</v>
      </c>
      <c r="K2673" s="312" t="s">
        <v>169</v>
      </c>
    </row>
    <row r="2674" spans="1:11">
      <c r="A2674" s="312" t="s">
        <v>3608</v>
      </c>
      <c r="B2674" s="312" t="s">
        <v>3609</v>
      </c>
      <c r="C2674" s="312" t="s">
        <v>105</v>
      </c>
      <c r="D2674" s="312" t="s">
        <v>252</v>
      </c>
      <c r="E2674" s="312" t="s">
        <v>167</v>
      </c>
      <c r="F2674" s="312">
        <v>1705</v>
      </c>
      <c r="G2674" s="312" t="s">
        <v>168</v>
      </c>
      <c r="H2674" s="312">
        <v>1707</v>
      </c>
      <c r="I2674" s="312" t="s">
        <v>167</v>
      </c>
      <c r="J2674" s="312">
        <v>1899</v>
      </c>
      <c r="K2674" s="312" t="s">
        <v>169</v>
      </c>
    </row>
    <row r="2675" spans="1:11">
      <c r="A2675" s="312" t="s">
        <v>3610</v>
      </c>
      <c r="B2675" s="312" t="s">
        <v>3611</v>
      </c>
      <c r="C2675" s="312" t="s">
        <v>105</v>
      </c>
      <c r="D2675" s="312" t="s">
        <v>252</v>
      </c>
      <c r="E2675" s="312" t="s">
        <v>167</v>
      </c>
      <c r="F2675" s="312">
        <v>1705</v>
      </c>
      <c r="G2675" s="312" t="s">
        <v>168</v>
      </c>
      <c r="H2675" s="312">
        <v>1707</v>
      </c>
      <c r="I2675" s="312" t="s">
        <v>167</v>
      </c>
      <c r="J2675" s="312">
        <v>1899</v>
      </c>
      <c r="K2675" s="312" t="s">
        <v>169</v>
      </c>
    </row>
    <row r="2676" spans="1:11">
      <c r="A2676" s="312" t="s">
        <v>3612</v>
      </c>
      <c r="B2676" s="312" t="s">
        <v>3613</v>
      </c>
      <c r="C2676" s="312" t="s">
        <v>105</v>
      </c>
      <c r="D2676" s="312" t="s">
        <v>252</v>
      </c>
      <c r="E2676" s="312" t="s">
        <v>167</v>
      </c>
      <c r="F2676" s="312">
        <v>1705</v>
      </c>
      <c r="G2676" s="312" t="s">
        <v>168</v>
      </c>
      <c r="H2676" s="312">
        <v>1707</v>
      </c>
      <c r="I2676" s="312" t="s">
        <v>167</v>
      </c>
      <c r="J2676" s="312">
        <v>1899</v>
      </c>
      <c r="K2676" s="312" t="s">
        <v>169</v>
      </c>
    </row>
    <row r="2677" spans="1:11">
      <c r="A2677" s="312" t="s">
        <v>3614</v>
      </c>
      <c r="B2677" s="1" t="s">
        <v>3615</v>
      </c>
      <c r="C2677" s="312" t="s">
        <v>105</v>
      </c>
      <c r="D2677" s="312" t="s">
        <v>252</v>
      </c>
      <c r="E2677" s="312" t="s">
        <v>167</v>
      </c>
      <c r="F2677" s="312">
        <v>1705</v>
      </c>
      <c r="G2677" s="312" t="s">
        <v>168</v>
      </c>
      <c r="H2677" s="312">
        <v>1707</v>
      </c>
      <c r="I2677" s="312" t="s">
        <v>167</v>
      </c>
      <c r="J2677" s="312">
        <v>1899</v>
      </c>
      <c r="K2677" s="312" t="s">
        <v>169</v>
      </c>
    </row>
    <row r="2678" spans="1:11">
      <c r="A2678" s="312" t="s">
        <v>3616</v>
      </c>
      <c r="B2678" s="1" t="s">
        <v>3617</v>
      </c>
      <c r="C2678" s="312" t="s">
        <v>105</v>
      </c>
      <c r="D2678" s="312" t="s">
        <v>252</v>
      </c>
      <c r="E2678" s="312" t="s">
        <v>167</v>
      </c>
      <c r="F2678" s="312">
        <v>1705</v>
      </c>
      <c r="G2678" s="312" t="s">
        <v>168</v>
      </c>
      <c r="H2678" s="312">
        <v>1707</v>
      </c>
      <c r="I2678" s="312" t="s">
        <v>167</v>
      </c>
      <c r="J2678" s="312">
        <v>1899</v>
      </c>
      <c r="K2678" s="312" t="s">
        <v>169</v>
      </c>
    </row>
    <row r="2679" spans="1:11">
      <c r="A2679" s="312" t="s">
        <v>3657</v>
      </c>
      <c r="B2679" s="312" t="s">
        <v>3658</v>
      </c>
      <c r="C2679" s="312" t="s">
        <v>105</v>
      </c>
      <c r="D2679" s="312" t="s">
        <v>252</v>
      </c>
      <c r="E2679" s="312" t="s">
        <v>167</v>
      </c>
      <c r="F2679" s="312">
        <v>1705</v>
      </c>
      <c r="G2679" s="312" t="s">
        <v>168</v>
      </c>
      <c r="H2679" s="312">
        <v>1707</v>
      </c>
      <c r="I2679" s="312" t="s">
        <v>167</v>
      </c>
      <c r="J2679" s="312">
        <v>1899</v>
      </c>
      <c r="K2679" s="312" t="s">
        <v>169</v>
      </c>
    </row>
    <row r="2680" spans="1:11">
      <c r="A2680" s="312" t="s">
        <v>3787</v>
      </c>
      <c r="B2680" s="312" t="s">
        <v>3788</v>
      </c>
      <c r="C2680" s="312" t="s">
        <v>105</v>
      </c>
      <c r="D2680" s="312" t="s">
        <v>252</v>
      </c>
      <c r="E2680" s="312" t="s">
        <v>167</v>
      </c>
      <c r="F2680" s="312">
        <v>1705</v>
      </c>
      <c r="G2680" s="312" t="s">
        <v>168</v>
      </c>
      <c r="H2680" s="312">
        <v>1707</v>
      </c>
      <c r="I2680" s="312" t="s">
        <v>167</v>
      </c>
      <c r="J2680" s="312">
        <v>1899</v>
      </c>
      <c r="K2680" s="312" t="s">
        <v>169</v>
      </c>
    </row>
    <row r="2681" spans="1:11">
      <c r="A2681" s="312" t="s">
        <v>3791</v>
      </c>
      <c r="B2681" s="312" t="s">
        <v>3792</v>
      </c>
      <c r="C2681" s="312" t="s">
        <v>105</v>
      </c>
      <c r="D2681" s="312" t="s">
        <v>252</v>
      </c>
      <c r="E2681" s="312" t="s">
        <v>167</v>
      </c>
      <c r="F2681" s="312">
        <v>1705</v>
      </c>
      <c r="G2681" s="312" t="s">
        <v>168</v>
      </c>
      <c r="H2681" s="312">
        <v>1707</v>
      </c>
      <c r="I2681" s="312" t="s">
        <v>167</v>
      </c>
      <c r="J2681" s="312">
        <v>1899</v>
      </c>
      <c r="K2681" s="312" t="s">
        <v>169</v>
      </c>
    </row>
    <row r="2682" spans="1:11">
      <c r="A2682" s="312" t="s">
        <v>3793</v>
      </c>
      <c r="B2682" s="312" t="s">
        <v>3794</v>
      </c>
      <c r="C2682" s="312" t="s">
        <v>105</v>
      </c>
      <c r="D2682" s="312" t="s">
        <v>252</v>
      </c>
      <c r="E2682" s="312" t="s">
        <v>167</v>
      </c>
      <c r="F2682" s="312">
        <v>1705</v>
      </c>
      <c r="G2682" s="312" t="s">
        <v>168</v>
      </c>
      <c r="H2682" s="312">
        <v>1707</v>
      </c>
      <c r="I2682" s="312" t="s">
        <v>167</v>
      </c>
      <c r="J2682" s="312">
        <v>1899</v>
      </c>
      <c r="K2682" s="312" t="s">
        <v>169</v>
      </c>
    </row>
    <row r="2683" spans="1:11">
      <c r="A2683" s="312" t="s">
        <v>3843</v>
      </c>
      <c r="B2683" s="312" t="s">
        <v>3844</v>
      </c>
      <c r="C2683" s="312" t="s">
        <v>105</v>
      </c>
      <c r="D2683" s="312" t="s">
        <v>252</v>
      </c>
      <c r="E2683" s="312" t="s">
        <v>167</v>
      </c>
      <c r="F2683" s="312">
        <v>1705</v>
      </c>
      <c r="G2683" s="312" t="s">
        <v>168</v>
      </c>
      <c r="H2683" s="312">
        <v>1707</v>
      </c>
      <c r="I2683" s="312" t="s">
        <v>167</v>
      </c>
      <c r="J2683" s="312">
        <v>1899</v>
      </c>
      <c r="K2683" s="312" t="s">
        <v>169</v>
      </c>
    </row>
    <row r="2684" spans="1:11">
      <c r="A2684" s="312" t="s">
        <v>3845</v>
      </c>
      <c r="B2684" s="312" t="s">
        <v>3846</v>
      </c>
      <c r="C2684" s="312" t="s">
        <v>105</v>
      </c>
      <c r="D2684" s="312" t="s">
        <v>252</v>
      </c>
      <c r="E2684" s="312" t="s">
        <v>167</v>
      </c>
      <c r="F2684" s="312">
        <v>1705</v>
      </c>
      <c r="G2684" s="312" t="s">
        <v>168</v>
      </c>
      <c r="H2684" s="312">
        <v>1707</v>
      </c>
      <c r="I2684" s="312" t="s">
        <v>167</v>
      </c>
      <c r="J2684" s="312">
        <v>1899</v>
      </c>
      <c r="K2684" s="312" t="s">
        <v>169</v>
      </c>
    </row>
    <row r="2685" spans="1:11">
      <c r="A2685" s="312" t="s">
        <v>3937</v>
      </c>
      <c r="B2685" s="312" t="s">
        <v>3938</v>
      </c>
      <c r="C2685" s="312" t="s">
        <v>105</v>
      </c>
      <c r="D2685" s="312" t="s">
        <v>252</v>
      </c>
      <c r="E2685" s="312" t="s">
        <v>167</v>
      </c>
      <c r="F2685" s="312">
        <v>1705</v>
      </c>
      <c r="G2685" s="312" t="s">
        <v>168</v>
      </c>
      <c r="H2685" s="312">
        <v>1707</v>
      </c>
      <c r="I2685" s="312" t="s">
        <v>167</v>
      </c>
      <c r="J2685" s="312">
        <v>1899</v>
      </c>
      <c r="K2685" s="312" t="s">
        <v>169</v>
      </c>
    </row>
    <row r="2686" spans="1:11">
      <c r="A2686" s="312" t="s">
        <v>3975</v>
      </c>
      <c r="B2686" s="312" t="s">
        <v>3976</v>
      </c>
      <c r="C2686" s="312" t="s">
        <v>105</v>
      </c>
      <c r="D2686" s="312" t="s">
        <v>252</v>
      </c>
      <c r="E2686" s="312" t="s">
        <v>167</v>
      </c>
      <c r="F2686" s="312">
        <v>1705</v>
      </c>
      <c r="G2686" s="312" t="s">
        <v>168</v>
      </c>
      <c r="H2686" s="312">
        <v>1707</v>
      </c>
      <c r="I2686" s="312" t="s">
        <v>167</v>
      </c>
      <c r="J2686" s="312">
        <v>1899</v>
      </c>
      <c r="K2686" s="312" t="s">
        <v>169</v>
      </c>
    </row>
    <row r="2687" spans="1:11">
      <c r="A2687" s="312" t="s">
        <v>4020</v>
      </c>
      <c r="B2687" s="312" t="s">
        <v>4021</v>
      </c>
      <c r="C2687" s="312" t="s">
        <v>105</v>
      </c>
      <c r="D2687" s="312" t="s">
        <v>252</v>
      </c>
      <c r="E2687" s="312" t="s">
        <v>167</v>
      </c>
      <c r="F2687" s="312">
        <v>1705</v>
      </c>
      <c r="G2687" s="312" t="s">
        <v>168</v>
      </c>
      <c r="H2687" s="312">
        <v>1707</v>
      </c>
      <c r="I2687" s="312" t="s">
        <v>167</v>
      </c>
      <c r="J2687" s="312">
        <v>1899</v>
      </c>
      <c r="K2687" s="312" t="s">
        <v>169</v>
      </c>
    </row>
    <row r="2688" spans="1:11">
      <c r="A2688" s="312" t="s">
        <v>4068</v>
      </c>
      <c r="B2688" s="312" t="s">
        <v>4069</v>
      </c>
      <c r="C2688" s="312" t="s">
        <v>105</v>
      </c>
      <c r="D2688" s="312" t="s">
        <v>252</v>
      </c>
      <c r="E2688" s="312" t="s">
        <v>2368</v>
      </c>
      <c r="F2688" s="312">
        <v>1810</v>
      </c>
      <c r="G2688" s="312" t="s">
        <v>2369</v>
      </c>
      <c r="H2688" s="312">
        <v>1816</v>
      </c>
      <c r="I2688" s="312" t="s">
        <v>2368</v>
      </c>
      <c r="J2688" s="312">
        <v>1919</v>
      </c>
      <c r="K2688" s="312" t="s">
        <v>2370</v>
      </c>
    </row>
    <row r="2689" spans="1:11">
      <c r="A2689" s="312" t="s">
        <v>4111</v>
      </c>
      <c r="B2689" s="312" t="s">
        <v>4112</v>
      </c>
      <c r="C2689" s="312" t="s">
        <v>105</v>
      </c>
      <c r="D2689" s="312" t="s">
        <v>252</v>
      </c>
      <c r="E2689" s="312" t="s">
        <v>167</v>
      </c>
      <c r="F2689" s="312">
        <v>1705</v>
      </c>
      <c r="G2689" s="312" t="s">
        <v>168</v>
      </c>
      <c r="H2689" s="312">
        <v>1707</v>
      </c>
      <c r="I2689" s="312" t="s">
        <v>167</v>
      </c>
      <c r="J2689" s="312">
        <v>1899</v>
      </c>
      <c r="K2689" s="312" t="s">
        <v>169</v>
      </c>
    </row>
    <row r="2690" spans="1:11">
      <c r="A2690" s="312" t="s">
        <v>4235</v>
      </c>
      <c r="B2690" s="312" t="s">
        <v>4236</v>
      </c>
      <c r="C2690" s="312" t="s">
        <v>105</v>
      </c>
      <c r="D2690" s="312" t="s">
        <v>252</v>
      </c>
      <c r="E2690" s="312" t="s">
        <v>167</v>
      </c>
      <c r="F2690" s="312">
        <v>1705</v>
      </c>
      <c r="G2690" s="312" t="s">
        <v>168</v>
      </c>
      <c r="H2690" s="312">
        <v>1707</v>
      </c>
      <c r="I2690" s="312" t="s">
        <v>167</v>
      </c>
      <c r="J2690" s="312">
        <v>1899</v>
      </c>
      <c r="K2690" s="312" t="s">
        <v>169</v>
      </c>
    </row>
    <row r="2691" spans="1:11">
      <c r="A2691" s="312" t="s">
        <v>4341</v>
      </c>
      <c r="B2691" s="312" t="s">
        <v>4342</v>
      </c>
      <c r="C2691" s="312" t="s">
        <v>105</v>
      </c>
      <c r="D2691" s="312" t="s">
        <v>252</v>
      </c>
      <c r="E2691" s="312" t="s">
        <v>167</v>
      </c>
      <c r="F2691" s="312">
        <v>1705</v>
      </c>
      <c r="G2691" s="312" t="s">
        <v>168</v>
      </c>
      <c r="H2691" s="312">
        <v>1707</v>
      </c>
      <c r="I2691" s="312" t="s">
        <v>167</v>
      </c>
      <c r="J2691" s="312">
        <v>1899</v>
      </c>
      <c r="K2691" s="312" t="s">
        <v>169</v>
      </c>
    </row>
    <row r="2692" spans="1:11">
      <c r="A2692" s="312" t="s">
        <v>4343</v>
      </c>
      <c r="B2692" s="312" t="s">
        <v>4344</v>
      </c>
      <c r="C2692" s="312" t="s">
        <v>105</v>
      </c>
      <c r="D2692" s="312" t="s">
        <v>252</v>
      </c>
      <c r="E2692" s="312" t="s">
        <v>167</v>
      </c>
      <c r="F2692" s="312">
        <v>1705</v>
      </c>
      <c r="G2692" s="312" t="s">
        <v>168</v>
      </c>
      <c r="H2692" s="312">
        <v>1707</v>
      </c>
      <c r="I2692" s="312" t="s">
        <v>167</v>
      </c>
      <c r="J2692" s="312">
        <v>1899</v>
      </c>
      <c r="K2692" s="312" t="s">
        <v>169</v>
      </c>
    </row>
    <row r="2693" spans="1:11">
      <c r="A2693" s="312" t="s">
        <v>4345</v>
      </c>
      <c r="B2693" s="312" t="s">
        <v>4346</v>
      </c>
      <c r="C2693" s="312" t="s">
        <v>105</v>
      </c>
      <c r="D2693" s="312" t="s">
        <v>252</v>
      </c>
      <c r="E2693" s="312" t="s">
        <v>167</v>
      </c>
      <c r="F2693" s="312">
        <v>1705</v>
      </c>
      <c r="G2693" s="312" t="s">
        <v>168</v>
      </c>
      <c r="H2693" s="312">
        <v>1707</v>
      </c>
      <c r="I2693" s="312" t="s">
        <v>167</v>
      </c>
      <c r="J2693" s="312">
        <v>1899</v>
      </c>
      <c r="K2693" s="312" t="s">
        <v>169</v>
      </c>
    </row>
    <row r="2694" spans="1:11">
      <c r="A2694" s="312" t="s">
        <v>4430</v>
      </c>
      <c r="B2694" s="312" t="s">
        <v>4431</v>
      </c>
      <c r="C2694" s="312" t="s">
        <v>105</v>
      </c>
      <c r="D2694" s="312" t="s">
        <v>252</v>
      </c>
      <c r="E2694" s="312" t="s">
        <v>167</v>
      </c>
      <c r="F2694" s="312">
        <v>1705</v>
      </c>
      <c r="G2694" s="312" t="s">
        <v>168</v>
      </c>
      <c r="H2694" s="312">
        <v>1707</v>
      </c>
      <c r="I2694" s="312" t="s">
        <v>167</v>
      </c>
      <c r="J2694" s="312">
        <v>1899</v>
      </c>
      <c r="K2694" s="312" t="s">
        <v>169</v>
      </c>
    </row>
    <row r="2695" spans="1:11">
      <c r="A2695" s="312" t="s">
        <v>4557</v>
      </c>
      <c r="B2695" s="312" t="s">
        <v>4558</v>
      </c>
      <c r="C2695" s="312" t="s">
        <v>105</v>
      </c>
      <c r="D2695" s="312" t="s">
        <v>252</v>
      </c>
      <c r="E2695" s="312" t="s">
        <v>167</v>
      </c>
      <c r="F2695" s="312">
        <v>1705</v>
      </c>
      <c r="G2695" s="312" t="s">
        <v>168</v>
      </c>
      <c r="H2695" s="312">
        <v>1707</v>
      </c>
      <c r="I2695" s="312" t="s">
        <v>167</v>
      </c>
      <c r="J2695" s="312">
        <v>1899</v>
      </c>
      <c r="K2695" s="312" t="s">
        <v>169</v>
      </c>
    </row>
    <row r="2696" spans="1:11">
      <c r="A2696" s="312" t="s">
        <v>4643</v>
      </c>
      <c r="B2696" s="312" t="s">
        <v>4644</v>
      </c>
      <c r="C2696" s="312" t="s">
        <v>105</v>
      </c>
      <c r="D2696" s="312" t="s">
        <v>252</v>
      </c>
      <c r="E2696" s="312" t="s">
        <v>167</v>
      </c>
      <c r="F2696" s="312">
        <v>1705</v>
      </c>
      <c r="G2696" s="312" t="s">
        <v>168</v>
      </c>
      <c r="H2696" s="312">
        <v>1707</v>
      </c>
      <c r="I2696" s="312" t="s">
        <v>167</v>
      </c>
      <c r="J2696" s="312">
        <v>1899</v>
      </c>
      <c r="K2696" s="312" t="s">
        <v>169</v>
      </c>
    </row>
    <row r="2697" spans="1:11">
      <c r="A2697" s="312" t="s">
        <v>4667</v>
      </c>
      <c r="B2697" s="312" t="s">
        <v>4668</v>
      </c>
      <c r="C2697" s="312" t="s">
        <v>105</v>
      </c>
      <c r="D2697" s="312" t="s">
        <v>252</v>
      </c>
      <c r="E2697" s="312" t="s">
        <v>167</v>
      </c>
      <c r="F2697" s="312">
        <v>1705</v>
      </c>
      <c r="G2697" s="312" t="s">
        <v>168</v>
      </c>
      <c r="H2697" s="312">
        <v>1707</v>
      </c>
      <c r="I2697" s="312" t="s">
        <v>167</v>
      </c>
      <c r="J2697" s="312">
        <v>1899</v>
      </c>
      <c r="K2697" s="312" t="s">
        <v>169</v>
      </c>
    </row>
    <row r="2698" spans="1:11">
      <c r="A2698" s="312" t="s">
        <v>4745</v>
      </c>
      <c r="B2698" s="312" t="s">
        <v>4746</v>
      </c>
      <c r="C2698" s="312" t="s">
        <v>105</v>
      </c>
      <c r="D2698" s="312" t="s">
        <v>252</v>
      </c>
      <c r="E2698" s="312" t="s">
        <v>167</v>
      </c>
      <c r="F2698" s="312">
        <v>1705</v>
      </c>
      <c r="G2698" s="312" t="s">
        <v>168</v>
      </c>
      <c r="H2698" s="312">
        <v>1707</v>
      </c>
      <c r="I2698" s="312" t="s">
        <v>167</v>
      </c>
      <c r="J2698" s="312">
        <v>1899</v>
      </c>
      <c r="K2698" s="312" t="s">
        <v>169</v>
      </c>
    </row>
    <row r="2699" spans="1:11">
      <c r="A2699" s="312" t="s">
        <v>4843</v>
      </c>
      <c r="B2699" s="1" t="s">
        <v>4844</v>
      </c>
      <c r="C2699" s="312" t="s">
        <v>105</v>
      </c>
      <c r="D2699" s="312" t="s">
        <v>252</v>
      </c>
      <c r="E2699" s="312" t="s">
        <v>167</v>
      </c>
      <c r="F2699" s="312">
        <v>1705</v>
      </c>
      <c r="G2699" s="312" t="s">
        <v>168</v>
      </c>
      <c r="H2699" s="312">
        <v>1707</v>
      </c>
      <c r="I2699" s="312" t="s">
        <v>167</v>
      </c>
      <c r="J2699" s="312">
        <v>1899</v>
      </c>
      <c r="K2699" s="312" t="s">
        <v>169</v>
      </c>
    </row>
    <row r="2700" spans="1:11">
      <c r="A2700" s="312" t="s">
        <v>4869</v>
      </c>
      <c r="B2700" s="312" t="s">
        <v>4870</v>
      </c>
      <c r="C2700" s="312" t="s">
        <v>105</v>
      </c>
      <c r="D2700" s="312" t="s">
        <v>252</v>
      </c>
      <c r="E2700" s="312" t="s">
        <v>167</v>
      </c>
      <c r="F2700" s="312">
        <v>1705</v>
      </c>
      <c r="G2700" s="312" t="s">
        <v>168</v>
      </c>
      <c r="H2700" s="312">
        <v>1707</v>
      </c>
      <c r="I2700" s="312" t="s">
        <v>167</v>
      </c>
      <c r="J2700" s="312">
        <v>1899</v>
      </c>
      <c r="K2700" s="312" t="s">
        <v>169</v>
      </c>
    </row>
    <row r="2701" spans="1:11">
      <c r="A2701" s="312" t="s">
        <v>5011</v>
      </c>
      <c r="B2701" s="312" t="s">
        <v>5012</v>
      </c>
      <c r="C2701" s="312" t="s">
        <v>105</v>
      </c>
      <c r="D2701" s="312" t="s">
        <v>252</v>
      </c>
      <c r="E2701" s="312" t="s">
        <v>167</v>
      </c>
      <c r="F2701" s="312">
        <v>1705</v>
      </c>
      <c r="G2701" s="312" t="s">
        <v>168</v>
      </c>
      <c r="H2701" s="312">
        <v>1707</v>
      </c>
      <c r="I2701" s="312" t="s">
        <v>167</v>
      </c>
      <c r="J2701" s="312">
        <v>1899</v>
      </c>
      <c r="K2701" s="312" t="s">
        <v>169</v>
      </c>
    </row>
    <row r="2702" spans="1:11">
      <c r="A2702" s="312" t="s">
        <v>5123</v>
      </c>
      <c r="B2702" s="312" t="s">
        <v>5124</v>
      </c>
      <c r="C2702" s="312" t="s">
        <v>105</v>
      </c>
      <c r="D2702" s="312" t="s">
        <v>252</v>
      </c>
      <c r="E2702" s="312" t="s">
        <v>167</v>
      </c>
      <c r="F2702" s="312">
        <v>1705</v>
      </c>
      <c r="G2702" s="312" t="s">
        <v>168</v>
      </c>
      <c r="H2702" s="312">
        <v>1707</v>
      </c>
      <c r="I2702" s="312" t="s">
        <v>167</v>
      </c>
      <c r="J2702" s="312">
        <v>1899</v>
      </c>
      <c r="K2702" s="312" t="s">
        <v>169</v>
      </c>
    </row>
    <row r="2703" spans="1:11">
      <c r="A2703" s="312" t="s">
        <v>5165</v>
      </c>
      <c r="B2703" s="312" t="s">
        <v>5166</v>
      </c>
      <c r="C2703" s="312" t="s">
        <v>105</v>
      </c>
      <c r="D2703" s="312" t="s">
        <v>252</v>
      </c>
      <c r="E2703" s="312" t="s">
        <v>167</v>
      </c>
      <c r="F2703" s="312">
        <v>1705</v>
      </c>
      <c r="G2703" s="312" t="s">
        <v>168</v>
      </c>
      <c r="H2703" s="312">
        <v>1707</v>
      </c>
      <c r="I2703" s="312" t="s">
        <v>167</v>
      </c>
      <c r="J2703" s="312">
        <v>1899</v>
      </c>
      <c r="K2703" s="312" t="s">
        <v>169</v>
      </c>
    </row>
    <row r="2704" spans="1:11">
      <c r="A2704" s="312" t="s">
        <v>5240</v>
      </c>
      <c r="B2704" s="312" t="s">
        <v>5241</v>
      </c>
      <c r="C2704" s="312" t="s">
        <v>105</v>
      </c>
      <c r="D2704" s="312" t="s">
        <v>252</v>
      </c>
      <c r="E2704" s="312" t="s">
        <v>167</v>
      </c>
      <c r="F2704" s="312">
        <v>1705</v>
      </c>
      <c r="G2704" s="312" t="s">
        <v>168</v>
      </c>
      <c r="H2704" s="312">
        <v>1707</v>
      </c>
      <c r="I2704" s="312" t="s">
        <v>167</v>
      </c>
      <c r="J2704" s="312">
        <v>1899</v>
      </c>
      <c r="K2704" s="312" t="s">
        <v>169</v>
      </c>
    </row>
    <row r="2705" spans="1:11">
      <c r="A2705" s="312" t="s">
        <v>5264</v>
      </c>
      <c r="B2705" s="312" t="s">
        <v>5265</v>
      </c>
      <c r="C2705" s="312" t="s">
        <v>105</v>
      </c>
      <c r="D2705" s="312" t="s">
        <v>252</v>
      </c>
      <c r="E2705" s="312" t="s">
        <v>167</v>
      </c>
      <c r="F2705" s="312">
        <v>1705</v>
      </c>
      <c r="G2705" s="312" t="s">
        <v>168</v>
      </c>
      <c r="H2705" s="312">
        <v>1707</v>
      </c>
      <c r="I2705" s="312" t="s">
        <v>167</v>
      </c>
      <c r="J2705" s="312">
        <v>1899</v>
      </c>
      <c r="K2705" s="312" t="s">
        <v>169</v>
      </c>
    </row>
    <row r="2706" spans="1:11">
      <c r="A2706" s="312" t="s">
        <v>5818</v>
      </c>
      <c r="B2706" s="312" t="s">
        <v>5819</v>
      </c>
      <c r="C2706" s="312" t="s">
        <v>105</v>
      </c>
      <c r="D2706" s="312" t="s">
        <v>252</v>
      </c>
      <c r="E2706" s="312" t="s">
        <v>167</v>
      </c>
      <c r="F2706" s="312">
        <v>1705</v>
      </c>
      <c r="G2706" s="312" t="s">
        <v>168</v>
      </c>
      <c r="H2706" s="312">
        <v>1707</v>
      </c>
      <c r="I2706" s="312" t="s">
        <v>167</v>
      </c>
      <c r="J2706" s="312">
        <v>1899</v>
      </c>
      <c r="K2706" s="312" t="s">
        <v>169</v>
      </c>
    </row>
    <row r="2707" spans="1:11">
      <c r="A2707" s="312" t="s">
        <v>5820</v>
      </c>
      <c r="B2707" s="312" t="s">
        <v>5821</v>
      </c>
      <c r="C2707" s="312" t="s">
        <v>105</v>
      </c>
      <c r="D2707" s="312" t="s">
        <v>252</v>
      </c>
      <c r="E2707" s="312" t="s">
        <v>167</v>
      </c>
      <c r="F2707" s="312">
        <v>1705</v>
      </c>
      <c r="G2707" s="312" t="s">
        <v>168</v>
      </c>
      <c r="H2707" s="312">
        <v>1707</v>
      </c>
      <c r="I2707" s="312" t="s">
        <v>167</v>
      </c>
      <c r="J2707" s="312">
        <v>1899</v>
      </c>
      <c r="K2707" s="312" t="s">
        <v>169</v>
      </c>
    </row>
    <row r="2708" spans="1:11">
      <c r="A2708" s="312" t="s">
        <v>5822</v>
      </c>
      <c r="B2708" s="312" t="s">
        <v>5823</v>
      </c>
      <c r="C2708" s="312" t="s">
        <v>105</v>
      </c>
      <c r="D2708" s="312" t="s">
        <v>252</v>
      </c>
      <c r="E2708" s="312" t="s">
        <v>167</v>
      </c>
      <c r="F2708" s="312">
        <v>1705</v>
      </c>
      <c r="G2708" s="312" t="s">
        <v>168</v>
      </c>
      <c r="H2708" s="312">
        <v>1707</v>
      </c>
      <c r="I2708" s="312" t="s">
        <v>167</v>
      </c>
      <c r="J2708" s="312">
        <v>1899</v>
      </c>
      <c r="K2708" s="312" t="s">
        <v>169</v>
      </c>
    </row>
    <row r="2709" spans="1:11">
      <c r="A2709" s="312" t="s">
        <v>5880</v>
      </c>
      <c r="B2709" s="312" t="s">
        <v>5881</v>
      </c>
      <c r="C2709" s="312" t="s">
        <v>105</v>
      </c>
      <c r="D2709" s="312" t="s">
        <v>252</v>
      </c>
      <c r="E2709" s="312" t="s">
        <v>167</v>
      </c>
      <c r="F2709" s="312">
        <v>1705</v>
      </c>
      <c r="G2709" s="312" t="s">
        <v>168</v>
      </c>
      <c r="H2709" s="312">
        <v>1707</v>
      </c>
      <c r="I2709" s="312" t="s">
        <v>167</v>
      </c>
      <c r="J2709" s="312">
        <v>1899</v>
      </c>
      <c r="K2709" s="312" t="s">
        <v>169</v>
      </c>
    </row>
    <row r="2710" spans="1:11">
      <c r="A2710" s="312" t="s">
        <v>5882</v>
      </c>
      <c r="B2710" s="312" t="s">
        <v>5883</v>
      </c>
      <c r="C2710" s="312" t="s">
        <v>105</v>
      </c>
      <c r="D2710" s="312" t="s">
        <v>252</v>
      </c>
      <c r="E2710" s="312" t="s">
        <v>167</v>
      </c>
      <c r="F2710" s="312">
        <v>1705</v>
      </c>
      <c r="G2710" s="312" t="s">
        <v>168</v>
      </c>
      <c r="H2710" s="312">
        <v>1707</v>
      </c>
      <c r="I2710" s="312" t="s">
        <v>167</v>
      </c>
      <c r="J2710" s="312">
        <v>1899</v>
      </c>
      <c r="K2710" s="312" t="s">
        <v>169</v>
      </c>
    </row>
    <row r="2711" spans="1:11">
      <c r="A2711" s="312" t="s">
        <v>5886</v>
      </c>
      <c r="B2711" s="312" t="s">
        <v>5887</v>
      </c>
      <c r="C2711" s="312" t="s">
        <v>105</v>
      </c>
      <c r="D2711" s="312" t="s">
        <v>252</v>
      </c>
      <c r="E2711" s="312" t="s">
        <v>167</v>
      </c>
      <c r="F2711" s="312">
        <v>1705</v>
      </c>
      <c r="G2711" s="312" t="s">
        <v>168</v>
      </c>
      <c r="H2711" s="312">
        <v>1707</v>
      </c>
      <c r="I2711" s="312" t="s">
        <v>167</v>
      </c>
      <c r="J2711" s="312">
        <v>1899</v>
      </c>
      <c r="K2711" s="312" t="s">
        <v>169</v>
      </c>
    </row>
    <row r="2712" spans="1:11">
      <c r="A2712" s="312" t="s">
        <v>5937</v>
      </c>
      <c r="B2712" s="312" t="s">
        <v>5938</v>
      </c>
      <c r="C2712" s="312" t="s">
        <v>105</v>
      </c>
      <c r="D2712" s="312" t="s">
        <v>252</v>
      </c>
      <c r="E2712" s="312" t="s">
        <v>167</v>
      </c>
      <c r="F2712" s="312">
        <v>1705</v>
      </c>
      <c r="G2712" s="312" t="s">
        <v>168</v>
      </c>
      <c r="H2712" s="312">
        <v>1707</v>
      </c>
      <c r="I2712" s="312" t="s">
        <v>167</v>
      </c>
      <c r="J2712" s="312">
        <v>1899</v>
      </c>
      <c r="K2712" s="312" t="s">
        <v>169</v>
      </c>
    </row>
    <row r="2713" spans="1:11">
      <c r="A2713" s="312" t="s">
        <v>5954</v>
      </c>
      <c r="B2713" s="312" t="s">
        <v>5955</v>
      </c>
      <c r="C2713" s="312" t="s">
        <v>105</v>
      </c>
      <c r="D2713" s="312" t="s">
        <v>252</v>
      </c>
      <c r="E2713" s="312" t="s">
        <v>167</v>
      </c>
      <c r="F2713" s="312">
        <v>1705</v>
      </c>
      <c r="G2713" s="312" t="s">
        <v>168</v>
      </c>
      <c r="H2713" s="312">
        <v>1707</v>
      </c>
      <c r="I2713" s="312" t="s">
        <v>167</v>
      </c>
      <c r="J2713" s="312">
        <v>1899</v>
      </c>
      <c r="K2713" s="312" t="s">
        <v>169</v>
      </c>
    </row>
    <row r="2714" spans="1:11">
      <c r="A2714" s="312" t="s">
        <v>5976</v>
      </c>
      <c r="B2714" s="312" t="s">
        <v>5977</v>
      </c>
      <c r="C2714" s="312" t="s">
        <v>105</v>
      </c>
      <c r="D2714" s="312" t="s">
        <v>252</v>
      </c>
      <c r="E2714" s="312" t="s">
        <v>167</v>
      </c>
      <c r="F2714" s="312">
        <v>1705</v>
      </c>
      <c r="G2714" s="312" t="s">
        <v>168</v>
      </c>
      <c r="H2714" s="312">
        <v>1707</v>
      </c>
      <c r="I2714" s="312" t="s">
        <v>167</v>
      </c>
      <c r="J2714" s="312">
        <v>1899</v>
      </c>
      <c r="K2714" s="312" t="s">
        <v>169</v>
      </c>
    </row>
    <row r="2715" spans="1:11">
      <c r="A2715" s="312" t="s">
        <v>6119</v>
      </c>
      <c r="B2715" s="312" t="s">
        <v>6120</v>
      </c>
      <c r="C2715" s="312" t="s">
        <v>105</v>
      </c>
      <c r="D2715" s="312" t="s">
        <v>252</v>
      </c>
      <c r="E2715" s="312" t="s">
        <v>167</v>
      </c>
      <c r="F2715" s="312">
        <v>1705</v>
      </c>
      <c r="G2715" s="312" t="s">
        <v>168</v>
      </c>
      <c r="H2715" s="312">
        <v>1707</v>
      </c>
      <c r="I2715" s="312" t="s">
        <v>167</v>
      </c>
      <c r="J2715" s="312">
        <v>1899</v>
      </c>
      <c r="K2715" s="312" t="s">
        <v>169</v>
      </c>
    </row>
    <row r="2716" spans="1:11">
      <c r="A2716" s="312" t="s">
        <v>6121</v>
      </c>
      <c r="B2716" s="312" t="s">
        <v>6122</v>
      </c>
      <c r="C2716" s="312" t="s">
        <v>105</v>
      </c>
      <c r="D2716" s="312" t="s">
        <v>252</v>
      </c>
      <c r="E2716" s="312" t="s">
        <v>167</v>
      </c>
      <c r="F2716" s="312">
        <v>1705</v>
      </c>
      <c r="G2716" s="312" t="s">
        <v>168</v>
      </c>
      <c r="H2716" s="312">
        <v>1707</v>
      </c>
      <c r="I2716" s="312" t="s">
        <v>167</v>
      </c>
      <c r="J2716" s="312">
        <v>1899</v>
      </c>
      <c r="K2716" s="312" t="s">
        <v>169</v>
      </c>
    </row>
    <row r="2717" spans="1:11">
      <c r="A2717" s="312" t="s">
        <v>6123</v>
      </c>
      <c r="B2717" s="312" t="s">
        <v>6124</v>
      </c>
      <c r="C2717" s="312" t="s">
        <v>105</v>
      </c>
      <c r="D2717" s="312" t="s">
        <v>252</v>
      </c>
      <c r="E2717" s="312" t="s">
        <v>167</v>
      </c>
      <c r="F2717" s="312">
        <v>1705</v>
      </c>
      <c r="G2717" s="312" t="s">
        <v>168</v>
      </c>
      <c r="H2717" s="312">
        <v>1707</v>
      </c>
      <c r="I2717" s="312" t="s">
        <v>167</v>
      </c>
      <c r="J2717" s="312">
        <v>1899</v>
      </c>
      <c r="K2717" s="312" t="s">
        <v>169</v>
      </c>
    </row>
    <row r="2718" spans="1:11">
      <c r="A2718" s="312" t="s">
        <v>6125</v>
      </c>
      <c r="B2718" s="312" t="s">
        <v>6126</v>
      </c>
      <c r="C2718" s="312" t="s">
        <v>105</v>
      </c>
      <c r="D2718" s="312" t="s">
        <v>252</v>
      </c>
      <c r="E2718" s="312" t="s">
        <v>167</v>
      </c>
      <c r="F2718" s="312">
        <v>1705</v>
      </c>
      <c r="G2718" s="312" t="s">
        <v>168</v>
      </c>
      <c r="H2718" s="312">
        <v>1707</v>
      </c>
      <c r="I2718" s="312" t="s">
        <v>167</v>
      </c>
      <c r="J2718" s="312">
        <v>1899</v>
      </c>
      <c r="K2718" s="312" t="s">
        <v>169</v>
      </c>
    </row>
    <row r="2719" spans="1:11">
      <c r="A2719" s="312" t="s">
        <v>6127</v>
      </c>
      <c r="B2719" s="312" t="s">
        <v>6128</v>
      </c>
      <c r="C2719" s="312" t="s">
        <v>105</v>
      </c>
      <c r="D2719" s="312" t="s">
        <v>252</v>
      </c>
      <c r="E2719" s="312" t="s">
        <v>167</v>
      </c>
      <c r="F2719" s="312">
        <v>1705</v>
      </c>
      <c r="G2719" s="312" t="s">
        <v>168</v>
      </c>
      <c r="H2719" s="312">
        <v>1707</v>
      </c>
      <c r="I2719" s="312" t="s">
        <v>167</v>
      </c>
      <c r="J2719" s="312">
        <v>1899</v>
      </c>
      <c r="K2719" s="312" t="s">
        <v>169</v>
      </c>
    </row>
    <row r="2720" spans="1:11">
      <c r="A2720" s="312" t="s">
        <v>6187</v>
      </c>
      <c r="B2720" s="312" t="s">
        <v>6188</v>
      </c>
      <c r="C2720" s="312" t="s">
        <v>105</v>
      </c>
      <c r="D2720" s="312" t="s">
        <v>252</v>
      </c>
      <c r="E2720" s="312" t="s">
        <v>167</v>
      </c>
      <c r="F2720" s="312">
        <v>1705</v>
      </c>
      <c r="G2720" s="312" t="s">
        <v>168</v>
      </c>
      <c r="H2720" s="312">
        <v>1707</v>
      </c>
      <c r="I2720" s="312" t="s">
        <v>167</v>
      </c>
      <c r="J2720" s="312">
        <v>1899</v>
      </c>
      <c r="K2720" s="312" t="s">
        <v>169</v>
      </c>
    </row>
    <row r="2721" spans="1:11">
      <c r="A2721" s="312" t="s">
        <v>6189</v>
      </c>
      <c r="B2721" s="1" t="s">
        <v>6190</v>
      </c>
      <c r="C2721" s="312" t="s">
        <v>105</v>
      </c>
      <c r="D2721" s="312" t="s">
        <v>252</v>
      </c>
      <c r="E2721" s="312" t="s">
        <v>167</v>
      </c>
      <c r="F2721" s="312">
        <v>1705</v>
      </c>
      <c r="G2721" s="312" t="s">
        <v>168</v>
      </c>
      <c r="H2721" s="312">
        <v>1707</v>
      </c>
      <c r="I2721" s="312" t="s">
        <v>167</v>
      </c>
      <c r="J2721" s="312">
        <v>1899</v>
      </c>
      <c r="K2721" s="312" t="s">
        <v>169</v>
      </c>
    </row>
    <row r="2722" spans="1:11">
      <c r="A2722" s="312" t="s">
        <v>737</v>
      </c>
      <c r="B2722" s="312" t="s">
        <v>738</v>
      </c>
      <c r="C2722" s="312" t="s">
        <v>105</v>
      </c>
      <c r="D2722" s="312" t="s">
        <v>739</v>
      </c>
      <c r="E2722" s="312" t="s">
        <v>107</v>
      </c>
      <c r="F2722" s="312">
        <v>1825</v>
      </c>
      <c r="G2722" s="312" t="s">
        <v>108</v>
      </c>
      <c r="H2722" s="312">
        <v>1827</v>
      </c>
      <c r="I2722" s="312" t="s">
        <v>107</v>
      </c>
      <c r="J2722" s="312">
        <v>1913</v>
      </c>
      <c r="K2722" s="312" t="s">
        <v>109</v>
      </c>
    </row>
    <row r="2723" spans="1:11">
      <c r="A2723" s="312" t="s">
        <v>1552</v>
      </c>
      <c r="B2723" s="312" t="s">
        <v>1553</v>
      </c>
      <c r="C2723" s="312" t="s">
        <v>105</v>
      </c>
      <c r="D2723" s="312" t="s">
        <v>739</v>
      </c>
      <c r="E2723" s="312" t="s">
        <v>696</v>
      </c>
      <c r="F2723" s="312">
        <v>1736</v>
      </c>
      <c r="G2723" s="312" t="s">
        <v>697</v>
      </c>
      <c r="H2723" s="312">
        <v>1741</v>
      </c>
      <c r="I2723" s="312" t="s">
        <v>696</v>
      </c>
      <c r="J2723" s="312">
        <v>1929</v>
      </c>
      <c r="K2723" s="312" t="s">
        <v>698</v>
      </c>
    </row>
    <row r="2724" spans="1:11">
      <c r="A2724" s="312" t="s">
        <v>1892</v>
      </c>
      <c r="B2724" s="312" t="s">
        <v>1893</v>
      </c>
      <c r="C2724" s="312" t="s">
        <v>105</v>
      </c>
      <c r="D2724" s="312" t="s">
        <v>739</v>
      </c>
      <c r="E2724" s="312" t="s">
        <v>684</v>
      </c>
      <c r="F2724" s="312">
        <v>1750</v>
      </c>
      <c r="G2724" s="312" t="s">
        <v>685</v>
      </c>
      <c r="H2724" s="312">
        <v>1754</v>
      </c>
      <c r="I2724" s="312" t="s">
        <v>684</v>
      </c>
      <c r="J2724" s="312">
        <v>1920</v>
      </c>
      <c r="K2724" s="312" t="s">
        <v>686</v>
      </c>
    </row>
    <row r="2725" spans="1:11">
      <c r="A2725" s="312" t="s">
        <v>1894</v>
      </c>
      <c r="B2725" s="312" t="s">
        <v>1895</v>
      </c>
      <c r="C2725" s="312" t="s">
        <v>105</v>
      </c>
      <c r="D2725" s="312" t="s">
        <v>739</v>
      </c>
      <c r="E2725" s="312" t="s">
        <v>684</v>
      </c>
      <c r="F2725" s="312">
        <v>1750</v>
      </c>
      <c r="G2725" s="312" t="s">
        <v>685</v>
      </c>
      <c r="H2725" s="312">
        <v>1754</v>
      </c>
      <c r="I2725" s="312" t="s">
        <v>684</v>
      </c>
      <c r="J2725" s="312">
        <v>1920</v>
      </c>
      <c r="K2725" s="312" t="s">
        <v>686</v>
      </c>
    </row>
    <row r="2726" spans="1:11">
      <c r="A2726" s="312" t="s">
        <v>3054</v>
      </c>
      <c r="B2726" s="312" t="s">
        <v>3055</v>
      </c>
      <c r="C2726" s="312" t="s">
        <v>105</v>
      </c>
      <c r="D2726" s="312" t="s">
        <v>739</v>
      </c>
      <c r="E2726" s="312" t="s">
        <v>886</v>
      </c>
      <c r="F2726" s="312">
        <v>1857</v>
      </c>
      <c r="G2726" s="312" t="s">
        <v>887</v>
      </c>
      <c r="H2726" s="312">
        <v>1858</v>
      </c>
      <c r="I2726" s="312" t="s">
        <v>886</v>
      </c>
      <c r="J2726" s="312">
        <v>1924</v>
      </c>
      <c r="K2726" s="312" t="s">
        <v>888</v>
      </c>
    </row>
    <row r="2727" spans="1:11">
      <c r="A2727" s="312" t="s">
        <v>3056</v>
      </c>
      <c r="B2727" s="312" t="s">
        <v>3057</v>
      </c>
      <c r="C2727" s="312" t="s">
        <v>105</v>
      </c>
      <c r="D2727" s="312" t="s">
        <v>739</v>
      </c>
      <c r="E2727" s="312" t="s">
        <v>886</v>
      </c>
      <c r="F2727" s="312">
        <v>1857</v>
      </c>
      <c r="G2727" s="312" t="s">
        <v>887</v>
      </c>
      <c r="H2727" s="312">
        <v>1858</v>
      </c>
      <c r="I2727" s="312" t="s">
        <v>886</v>
      </c>
      <c r="J2727" s="312">
        <v>1924</v>
      </c>
      <c r="K2727" s="312" t="s">
        <v>888</v>
      </c>
    </row>
    <row r="2728" spans="1:11">
      <c r="A2728" s="312" t="s">
        <v>3058</v>
      </c>
      <c r="B2728" s="312" t="s">
        <v>3059</v>
      </c>
      <c r="C2728" s="312" t="s">
        <v>105</v>
      </c>
      <c r="D2728" s="312" t="s">
        <v>739</v>
      </c>
      <c r="E2728" s="312" t="s">
        <v>886</v>
      </c>
      <c r="F2728" s="312">
        <v>1857</v>
      </c>
      <c r="G2728" s="312" t="s">
        <v>887</v>
      </c>
      <c r="H2728" s="312">
        <v>1858</v>
      </c>
      <c r="I2728" s="312" t="s">
        <v>886</v>
      </c>
      <c r="J2728" s="312">
        <v>1924</v>
      </c>
      <c r="K2728" s="312" t="s">
        <v>888</v>
      </c>
    </row>
    <row r="2729" spans="1:11">
      <c r="A2729" s="312" t="s">
        <v>3060</v>
      </c>
      <c r="B2729" s="312" t="s">
        <v>3061</v>
      </c>
      <c r="C2729" s="312" t="s">
        <v>105</v>
      </c>
      <c r="D2729" s="312" t="s">
        <v>739</v>
      </c>
      <c r="E2729" s="312" t="s">
        <v>886</v>
      </c>
      <c r="F2729" s="312">
        <v>1857</v>
      </c>
      <c r="G2729" s="312" t="s">
        <v>887</v>
      </c>
      <c r="H2729" s="312">
        <v>1858</v>
      </c>
      <c r="I2729" s="312" t="s">
        <v>886</v>
      </c>
      <c r="J2729" s="312">
        <v>1924</v>
      </c>
      <c r="K2729" s="312" t="s">
        <v>888</v>
      </c>
    </row>
    <row r="2730" spans="1:11">
      <c r="A2730" s="312" t="s">
        <v>3064</v>
      </c>
      <c r="B2730" s="312" t="s">
        <v>3065</v>
      </c>
      <c r="C2730" s="312" t="s">
        <v>105</v>
      </c>
      <c r="D2730" s="312" t="s">
        <v>739</v>
      </c>
      <c r="E2730" s="312" t="s">
        <v>886</v>
      </c>
      <c r="F2730" s="312">
        <v>1857</v>
      </c>
      <c r="G2730" s="312" t="s">
        <v>887</v>
      </c>
      <c r="H2730" s="312">
        <v>1858</v>
      </c>
      <c r="I2730" s="312" t="s">
        <v>886</v>
      </c>
      <c r="J2730" s="312">
        <v>1924</v>
      </c>
      <c r="K2730" s="312" t="s">
        <v>888</v>
      </c>
    </row>
    <row r="2731" spans="1:11">
      <c r="A2731" s="312" t="s">
        <v>3066</v>
      </c>
      <c r="B2731" s="312" t="s">
        <v>3067</v>
      </c>
      <c r="C2731" s="312" t="s">
        <v>105</v>
      </c>
      <c r="D2731" s="312" t="s">
        <v>739</v>
      </c>
      <c r="E2731" s="312" t="s">
        <v>886</v>
      </c>
      <c r="F2731" s="312">
        <v>1857</v>
      </c>
      <c r="G2731" s="312" t="s">
        <v>887</v>
      </c>
      <c r="H2731" s="312">
        <v>1858</v>
      </c>
      <c r="I2731" s="312" t="s">
        <v>886</v>
      </c>
      <c r="J2731" s="312">
        <v>1924</v>
      </c>
      <c r="K2731" s="312" t="s">
        <v>888</v>
      </c>
    </row>
    <row r="2732" spans="1:11">
      <c r="A2732" s="312" t="s">
        <v>3068</v>
      </c>
      <c r="B2732" s="312" t="s">
        <v>3069</v>
      </c>
      <c r="C2732" s="312" t="s">
        <v>105</v>
      </c>
      <c r="D2732" s="312" t="s">
        <v>739</v>
      </c>
      <c r="E2732" s="312" t="s">
        <v>886</v>
      </c>
      <c r="F2732" s="312">
        <v>1857</v>
      </c>
      <c r="G2732" s="312" t="s">
        <v>887</v>
      </c>
      <c r="H2732" s="312">
        <v>1858</v>
      </c>
      <c r="I2732" s="312" t="s">
        <v>886</v>
      </c>
      <c r="J2732" s="312">
        <v>1924</v>
      </c>
      <c r="K2732" s="312" t="s">
        <v>888</v>
      </c>
    </row>
    <row r="2733" spans="1:11">
      <c r="A2733" s="312" t="s">
        <v>3070</v>
      </c>
      <c r="B2733" s="312" t="s">
        <v>3071</v>
      </c>
      <c r="C2733" s="312" t="s">
        <v>105</v>
      </c>
      <c r="D2733" s="312" t="s">
        <v>739</v>
      </c>
      <c r="E2733" s="312" t="s">
        <v>886</v>
      </c>
      <c r="F2733" s="312">
        <v>1857</v>
      </c>
      <c r="G2733" s="312" t="s">
        <v>887</v>
      </c>
      <c r="H2733" s="312">
        <v>1858</v>
      </c>
      <c r="I2733" s="312" t="s">
        <v>886</v>
      </c>
      <c r="J2733" s="312">
        <v>1924</v>
      </c>
      <c r="K2733" s="312" t="s">
        <v>888</v>
      </c>
    </row>
    <row r="2734" spans="1:11">
      <c r="A2734" s="312" t="s">
        <v>3074</v>
      </c>
      <c r="B2734" s="312" t="s">
        <v>3075</v>
      </c>
      <c r="C2734" s="312" t="s">
        <v>105</v>
      </c>
      <c r="D2734" s="312" t="s">
        <v>739</v>
      </c>
      <c r="E2734" s="312" t="s">
        <v>886</v>
      </c>
      <c r="F2734" s="312">
        <v>1857</v>
      </c>
      <c r="G2734" s="312" t="s">
        <v>887</v>
      </c>
      <c r="H2734" s="312">
        <v>1858</v>
      </c>
      <c r="I2734" s="312" t="s">
        <v>886</v>
      </c>
      <c r="J2734" s="312">
        <v>1924</v>
      </c>
      <c r="K2734" s="312" t="s">
        <v>888</v>
      </c>
    </row>
    <row r="2735" spans="1:11">
      <c r="A2735" s="312" t="s">
        <v>3076</v>
      </c>
      <c r="B2735" s="312" t="s">
        <v>3077</v>
      </c>
      <c r="C2735" s="312" t="s">
        <v>105</v>
      </c>
      <c r="D2735" s="312" t="s">
        <v>739</v>
      </c>
      <c r="E2735" s="312" t="s">
        <v>886</v>
      </c>
      <c r="F2735" s="312">
        <v>1857</v>
      </c>
      <c r="G2735" s="312" t="s">
        <v>887</v>
      </c>
      <c r="H2735" s="312">
        <v>1858</v>
      </c>
      <c r="I2735" s="312" t="s">
        <v>886</v>
      </c>
      <c r="J2735" s="312">
        <v>1924</v>
      </c>
      <c r="K2735" s="312" t="s">
        <v>888</v>
      </c>
    </row>
    <row r="2736" spans="1:11">
      <c r="A2736" s="312" t="s">
        <v>3078</v>
      </c>
      <c r="B2736" s="312" t="s">
        <v>3079</v>
      </c>
      <c r="C2736" s="312" t="s">
        <v>105</v>
      </c>
      <c r="D2736" s="312" t="s">
        <v>739</v>
      </c>
      <c r="E2736" s="312" t="s">
        <v>886</v>
      </c>
      <c r="F2736" s="312">
        <v>1857</v>
      </c>
      <c r="G2736" s="312" t="s">
        <v>887</v>
      </c>
      <c r="H2736" s="312">
        <v>1858</v>
      </c>
      <c r="I2736" s="312" t="s">
        <v>886</v>
      </c>
      <c r="J2736" s="312">
        <v>1924</v>
      </c>
      <c r="K2736" s="312" t="s">
        <v>888</v>
      </c>
    </row>
    <row r="2737" spans="1:11">
      <c r="A2737" s="312" t="s">
        <v>4404</v>
      </c>
      <c r="B2737" s="312" t="s">
        <v>4405</v>
      </c>
      <c r="C2737" s="312" t="s">
        <v>105</v>
      </c>
      <c r="D2737" s="312" t="s">
        <v>739</v>
      </c>
      <c r="E2737" s="312" t="s">
        <v>696</v>
      </c>
      <c r="F2737" s="312">
        <v>1736</v>
      </c>
      <c r="G2737" s="312" t="s">
        <v>697</v>
      </c>
      <c r="H2737" s="312">
        <v>1741</v>
      </c>
      <c r="I2737" s="312" t="s">
        <v>696</v>
      </c>
      <c r="J2737" s="312">
        <v>1929</v>
      </c>
      <c r="K2737" s="312" t="s">
        <v>698</v>
      </c>
    </row>
    <row r="2738" spans="1:11">
      <c r="A2738" s="312" t="s">
        <v>1797</v>
      </c>
      <c r="B2738" s="312" t="s">
        <v>1798</v>
      </c>
      <c r="C2738" s="312" t="s">
        <v>105</v>
      </c>
      <c r="D2738" s="312" t="s">
        <v>1799</v>
      </c>
      <c r="E2738" s="312" t="s">
        <v>696</v>
      </c>
      <c r="F2738" s="312">
        <v>1736</v>
      </c>
      <c r="G2738" s="312" t="s">
        <v>697</v>
      </c>
      <c r="H2738" s="312">
        <v>1741</v>
      </c>
      <c r="I2738" s="312" t="s">
        <v>696</v>
      </c>
      <c r="J2738" s="312">
        <v>1929</v>
      </c>
      <c r="K2738" s="312" t="s">
        <v>698</v>
      </c>
    </row>
    <row r="2739" spans="1:11">
      <c r="A2739" s="312" t="s">
        <v>4981</v>
      </c>
      <c r="B2739" s="312" t="s">
        <v>4982</v>
      </c>
      <c r="C2739" s="312" t="s">
        <v>105</v>
      </c>
      <c r="D2739" s="312" t="s">
        <v>1799</v>
      </c>
      <c r="E2739" s="312" t="s">
        <v>167</v>
      </c>
      <c r="F2739" s="312">
        <v>1705</v>
      </c>
      <c r="G2739" s="312" t="s">
        <v>168</v>
      </c>
      <c r="H2739" s="312">
        <v>1707</v>
      </c>
      <c r="I2739" s="312" t="s">
        <v>167</v>
      </c>
      <c r="J2739" s="312">
        <v>1899</v>
      </c>
      <c r="K2739" s="312" t="s">
        <v>169</v>
      </c>
    </row>
    <row r="2740" spans="1:11">
      <c r="A2740" s="312" t="s">
        <v>4983</v>
      </c>
      <c r="B2740" s="312" t="s">
        <v>4984</v>
      </c>
      <c r="C2740" s="312" t="s">
        <v>105</v>
      </c>
      <c r="D2740" s="312" t="s">
        <v>1799</v>
      </c>
      <c r="E2740" s="312" t="s">
        <v>167</v>
      </c>
      <c r="F2740" s="312">
        <v>1705</v>
      </c>
      <c r="G2740" s="312" t="s">
        <v>168</v>
      </c>
      <c r="H2740" s="312">
        <v>1707</v>
      </c>
      <c r="I2740" s="312" t="s">
        <v>167</v>
      </c>
      <c r="J2740" s="312">
        <v>1899</v>
      </c>
      <c r="K2740" s="312" t="s">
        <v>169</v>
      </c>
    </row>
    <row r="2741" spans="1:11">
      <c r="A2741" s="312" t="s">
        <v>4985</v>
      </c>
      <c r="B2741" s="312" t="s">
        <v>4986</v>
      </c>
      <c r="C2741" s="312" t="s">
        <v>105</v>
      </c>
      <c r="D2741" s="312" t="s">
        <v>1799</v>
      </c>
      <c r="E2741" s="312" t="s">
        <v>167</v>
      </c>
      <c r="F2741" s="312">
        <v>1705</v>
      </c>
      <c r="G2741" s="312" t="s">
        <v>168</v>
      </c>
      <c r="H2741" s="312">
        <v>1707</v>
      </c>
      <c r="I2741" s="312" t="s">
        <v>167</v>
      </c>
      <c r="J2741" s="312">
        <v>1899</v>
      </c>
      <c r="K2741" s="312" t="s">
        <v>169</v>
      </c>
    </row>
    <row r="2742" spans="1:11">
      <c r="A2742" s="312" t="s">
        <v>4987</v>
      </c>
      <c r="B2742" s="312" t="s">
        <v>4988</v>
      </c>
      <c r="C2742" s="312" t="s">
        <v>105</v>
      </c>
      <c r="D2742" s="312" t="s">
        <v>1799</v>
      </c>
      <c r="E2742" s="312" t="s">
        <v>167</v>
      </c>
      <c r="F2742" s="312">
        <v>1705</v>
      </c>
      <c r="G2742" s="312" t="s">
        <v>168</v>
      </c>
      <c r="H2742" s="312">
        <v>1707</v>
      </c>
      <c r="I2742" s="312" t="s">
        <v>167</v>
      </c>
      <c r="J2742" s="312">
        <v>1899</v>
      </c>
      <c r="K2742" s="312" t="s">
        <v>169</v>
      </c>
    </row>
    <row r="2743" spans="1:11">
      <c r="A2743" s="312" t="s">
        <v>5899</v>
      </c>
      <c r="B2743" s="312" t="s">
        <v>5900</v>
      </c>
      <c r="C2743" s="312" t="s">
        <v>105</v>
      </c>
      <c r="D2743" s="312" t="s">
        <v>1799</v>
      </c>
      <c r="E2743" s="312" t="s">
        <v>2368</v>
      </c>
      <c r="F2743" s="312">
        <v>1810</v>
      </c>
      <c r="G2743" s="312" t="s">
        <v>2369</v>
      </c>
      <c r="H2743" s="312">
        <v>1816</v>
      </c>
      <c r="I2743" s="312" t="s">
        <v>2368</v>
      </c>
      <c r="J2743" s="312">
        <v>1919</v>
      </c>
      <c r="K2743" s="312" t="s">
        <v>2370</v>
      </c>
    </row>
    <row r="2744" spans="1:11">
      <c r="A2744" s="312" t="s">
        <v>5901</v>
      </c>
      <c r="B2744" s="312" t="s">
        <v>5902</v>
      </c>
      <c r="C2744" s="312" t="s">
        <v>105</v>
      </c>
      <c r="D2744" s="312" t="s">
        <v>1799</v>
      </c>
      <c r="E2744" s="312" t="s">
        <v>2368</v>
      </c>
      <c r="F2744" s="312">
        <v>1810</v>
      </c>
      <c r="G2744" s="312" t="s">
        <v>2369</v>
      </c>
      <c r="H2744" s="312">
        <v>1816</v>
      </c>
      <c r="I2744" s="312" t="s">
        <v>2368</v>
      </c>
      <c r="J2744" s="312">
        <v>1919</v>
      </c>
      <c r="K2744" s="312" t="s">
        <v>2370</v>
      </c>
    </row>
    <row r="2745" spans="1:11">
      <c r="A2745" s="312" t="s">
        <v>5903</v>
      </c>
      <c r="B2745" s="312" t="s">
        <v>5904</v>
      </c>
      <c r="C2745" s="312" t="s">
        <v>105</v>
      </c>
      <c r="D2745" s="312" t="s">
        <v>1799</v>
      </c>
      <c r="E2745" s="312" t="s">
        <v>167</v>
      </c>
      <c r="F2745" s="312">
        <v>1705</v>
      </c>
      <c r="G2745" s="312" t="s">
        <v>168</v>
      </c>
      <c r="H2745" s="312">
        <v>1707</v>
      </c>
      <c r="I2745" s="312" t="s">
        <v>167</v>
      </c>
      <c r="J2745" s="312">
        <v>1899</v>
      </c>
      <c r="K2745" s="312" t="s">
        <v>169</v>
      </c>
    </row>
    <row r="2746" spans="1:11">
      <c r="A2746" s="312" t="s">
        <v>5905</v>
      </c>
      <c r="B2746" s="312" t="s">
        <v>5906</v>
      </c>
      <c r="C2746" s="312" t="s">
        <v>105</v>
      </c>
      <c r="D2746" s="312" t="s">
        <v>1799</v>
      </c>
      <c r="E2746" s="312" t="s">
        <v>167</v>
      </c>
      <c r="F2746" s="312">
        <v>1705</v>
      </c>
      <c r="G2746" s="312" t="s">
        <v>168</v>
      </c>
      <c r="H2746" s="312">
        <v>1707</v>
      </c>
      <c r="I2746" s="312" t="s">
        <v>167</v>
      </c>
      <c r="J2746" s="312">
        <v>1899</v>
      </c>
      <c r="K2746" s="312" t="s">
        <v>169</v>
      </c>
    </row>
    <row r="2747" spans="1:11">
      <c r="A2747" s="312" t="s">
        <v>5907</v>
      </c>
      <c r="B2747" s="312" t="s">
        <v>5908</v>
      </c>
      <c r="C2747" s="312" t="s">
        <v>105</v>
      </c>
      <c r="D2747" s="312" t="s">
        <v>1799</v>
      </c>
      <c r="E2747" s="312" t="s">
        <v>167</v>
      </c>
      <c r="F2747" s="312">
        <v>1705</v>
      </c>
      <c r="G2747" s="312" t="s">
        <v>168</v>
      </c>
      <c r="H2747" s="312">
        <v>1707</v>
      </c>
      <c r="I2747" s="312" t="s">
        <v>167</v>
      </c>
      <c r="J2747" s="312">
        <v>1899</v>
      </c>
      <c r="K2747" s="312" t="s">
        <v>169</v>
      </c>
    </row>
    <row r="2748" spans="1:11">
      <c r="A2748" s="312" t="s">
        <v>5909</v>
      </c>
      <c r="B2748" s="312" t="s">
        <v>5910</v>
      </c>
      <c r="C2748" s="312" t="s">
        <v>105</v>
      </c>
      <c r="D2748" s="312" t="s">
        <v>1799</v>
      </c>
      <c r="E2748" s="312" t="s">
        <v>167</v>
      </c>
      <c r="F2748" s="312">
        <v>1705</v>
      </c>
      <c r="G2748" s="312" t="s">
        <v>168</v>
      </c>
      <c r="H2748" s="312">
        <v>1707</v>
      </c>
      <c r="I2748" s="312" t="s">
        <v>167</v>
      </c>
      <c r="J2748" s="312">
        <v>1899</v>
      </c>
      <c r="K2748" s="312" t="s">
        <v>169</v>
      </c>
    </row>
    <row r="2749" spans="1:11">
      <c r="A2749" s="312" t="s">
        <v>5911</v>
      </c>
      <c r="B2749" s="312" t="s">
        <v>5912</v>
      </c>
      <c r="C2749" s="312" t="s">
        <v>105</v>
      </c>
      <c r="D2749" s="312" t="s">
        <v>1799</v>
      </c>
      <c r="E2749" s="312" t="s">
        <v>167</v>
      </c>
      <c r="F2749" s="312">
        <v>1705</v>
      </c>
      <c r="G2749" s="312" t="s">
        <v>168</v>
      </c>
      <c r="H2749" s="312">
        <v>1707</v>
      </c>
      <c r="I2749" s="312" t="s">
        <v>167</v>
      </c>
      <c r="J2749" s="312">
        <v>1899</v>
      </c>
      <c r="K2749" s="312" t="s">
        <v>169</v>
      </c>
    </row>
    <row r="2750" spans="1:11">
      <c r="A2750" s="312" t="s">
        <v>5913</v>
      </c>
      <c r="B2750" s="312" t="s">
        <v>5914</v>
      </c>
      <c r="C2750" s="312" t="s">
        <v>105</v>
      </c>
      <c r="D2750" s="312" t="s">
        <v>1799</v>
      </c>
      <c r="E2750" s="312" t="s">
        <v>167</v>
      </c>
      <c r="F2750" s="312">
        <v>1705</v>
      </c>
      <c r="G2750" s="312" t="s">
        <v>168</v>
      </c>
      <c r="H2750" s="312">
        <v>1707</v>
      </c>
      <c r="I2750" s="312" t="s">
        <v>167</v>
      </c>
      <c r="J2750" s="312">
        <v>1899</v>
      </c>
      <c r="K2750" s="312" t="s">
        <v>169</v>
      </c>
    </row>
    <row r="2751" spans="1:11">
      <c r="A2751" s="312" t="s">
        <v>1164</v>
      </c>
      <c r="B2751" s="312" t="s">
        <v>1165</v>
      </c>
      <c r="C2751" s="312" t="s">
        <v>105</v>
      </c>
      <c r="D2751" s="312" t="s">
        <v>1166</v>
      </c>
      <c r="E2751" s="312" t="s">
        <v>320</v>
      </c>
      <c r="F2751" s="312">
        <v>1716</v>
      </c>
      <c r="G2751" s="312" t="s">
        <v>321</v>
      </c>
      <c r="H2751" s="312">
        <v>1725</v>
      </c>
      <c r="I2751" s="312" t="s">
        <v>320</v>
      </c>
      <c r="J2751" s="312">
        <v>1910</v>
      </c>
      <c r="K2751" s="312" t="s">
        <v>322</v>
      </c>
    </row>
    <row r="2752" spans="1:11">
      <c r="A2752" s="312" t="s">
        <v>4008</v>
      </c>
      <c r="B2752" s="312" t="s">
        <v>4009</v>
      </c>
      <c r="C2752" s="312" t="s">
        <v>105</v>
      </c>
      <c r="D2752" s="312" t="s">
        <v>1166</v>
      </c>
      <c r="E2752" s="312" t="s">
        <v>466</v>
      </c>
      <c r="F2752" s="312">
        <v>1796</v>
      </c>
      <c r="G2752" s="312" t="s">
        <v>467</v>
      </c>
      <c r="H2752" s="312">
        <v>1799</v>
      </c>
      <c r="I2752" s="312" t="s">
        <v>466</v>
      </c>
      <c r="J2752" s="312">
        <v>1918</v>
      </c>
      <c r="K2752" s="312" t="s">
        <v>468</v>
      </c>
    </row>
    <row r="2753" spans="1:11">
      <c r="A2753" s="312" t="s">
        <v>4010</v>
      </c>
      <c r="B2753" s="312" t="s">
        <v>4011</v>
      </c>
      <c r="C2753" s="312" t="s">
        <v>105</v>
      </c>
      <c r="D2753" s="312" t="s">
        <v>1166</v>
      </c>
      <c r="E2753" s="312" t="s">
        <v>466</v>
      </c>
      <c r="F2753" s="312">
        <v>1796</v>
      </c>
      <c r="G2753" s="312" t="s">
        <v>467</v>
      </c>
      <c r="H2753" s="312">
        <v>1799</v>
      </c>
      <c r="I2753" s="312" t="s">
        <v>466</v>
      </c>
      <c r="J2753" s="312">
        <v>1918</v>
      </c>
      <c r="K2753" s="312" t="s">
        <v>468</v>
      </c>
    </row>
    <row r="2754" spans="1:11">
      <c r="A2754" s="312" t="s">
        <v>4014</v>
      </c>
      <c r="B2754" s="312" t="s">
        <v>4015</v>
      </c>
      <c r="C2754" s="312" t="s">
        <v>105</v>
      </c>
      <c r="D2754" s="312" t="s">
        <v>1166</v>
      </c>
      <c r="E2754" s="312" t="s">
        <v>466</v>
      </c>
      <c r="F2754" s="312">
        <v>1796</v>
      </c>
      <c r="G2754" s="312" t="s">
        <v>467</v>
      </c>
      <c r="H2754" s="312">
        <v>1799</v>
      </c>
      <c r="I2754" s="312" t="s">
        <v>466</v>
      </c>
      <c r="J2754" s="312">
        <v>1918</v>
      </c>
      <c r="K2754" s="312" t="s">
        <v>468</v>
      </c>
    </row>
    <row r="2755" spans="1:11">
      <c r="A2755" s="312" t="s">
        <v>4016</v>
      </c>
      <c r="B2755" s="312" t="s">
        <v>4017</v>
      </c>
      <c r="C2755" s="312" t="s">
        <v>105</v>
      </c>
      <c r="D2755" s="312" t="s">
        <v>1166</v>
      </c>
      <c r="E2755" s="312" t="s">
        <v>466</v>
      </c>
      <c r="F2755" s="312">
        <v>1796</v>
      </c>
      <c r="G2755" s="312" t="s">
        <v>467</v>
      </c>
      <c r="H2755" s="312">
        <v>1799</v>
      </c>
      <c r="I2755" s="312" t="s">
        <v>466</v>
      </c>
      <c r="J2755" s="312">
        <v>1918</v>
      </c>
      <c r="K2755" s="312" t="s">
        <v>468</v>
      </c>
    </row>
    <row r="2756" spans="1:11">
      <c r="A2756" s="312" t="s">
        <v>4018</v>
      </c>
      <c r="B2756" s="312" t="s">
        <v>4019</v>
      </c>
      <c r="C2756" s="312" t="s">
        <v>105</v>
      </c>
      <c r="D2756" s="312" t="s">
        <v>1166</v>
      </c>
      <c r="E2756" s="312" t="s">
        <v>466</v>
      </c>
      <c r="F2756" s="312">
        <v>1796</v>
      </c>
      <c r="G2756" s="312" t="s">
        <v>467</v>
      </c>
      <c r="H2756" s="312">
        <v>1799</v>
      </c>
      <c r="I2756" s="312" t="s">
        <v>466</v>
      </c>
      <c r="J2756" s="312">
        <v>1918</v>
      </c>
      <c r="K2756" s="312" t="s">
        <v>468</v>
      </c>
    </row>
    <row r="2757" spans="1:11">
      <c r="A2757" s="312" t="s">
        <v>4054</v>
      </c>
      <c r="B2757" s="312" t="s">
        <v>4055</v>
      </c>
      <c r="C2757" s="312" t="s">
        <v>105</v>
      </c>
      <c r="D2757" s="312" t="s">
        <v>1166</v>
      </c>
      <c r="E2757" s="312" t="s">
        <v>167</v>
      </c>
      <c r="F2757" s="312">
        <v>1705</v>
      </c>
      <c r="G2757" s="312" t="s">
        <v>168</v>
      </c>
      <c r="H2757" s="312">
        <v>1707</v>
      </c>
      <c r="I2757" s="312" t="s">
        <v>167</v>
      </c>
      <c r="J2757" s="312">
        <v>1899</v>
      </c>
      <c r="K2757" s="312" t="s">
        <v>169</v>
      </c>
    </row>
    <row r="2758" spans="1:11">
      <c r="A2758" s="312" t="s">
        <v>4056</v>
      </c>
      <c r="B2758" s="312" t="s">
        <v>4057</v>
      </c>
      <c r="C2758" s="312" t="s">
        <v>105</v>
      </c>
      <c r="D2758" s="312" t="s">
        <v>1166</v>
      </c>
      <c r="E2758" s="312" t="s">
        <v>167</v>
      </c>
      <c r="F2758" s="312">
        <v>1705</v>
      </c>
      <c r="G2758" s="312" t="s">
        <v>168</v>
      </c>
      <c r="H2758" s="312">
        <v>1707</v>
      </c>
      <c r="I2758" s="312" t="s">
        <v>167</v>
      </c>
      <c r="J2758" s="312">
        <v>1899</v>
      </c>
      <c r="K2758" s="312" t="s">
        <v>169</v>
      </c>
    </row>
    <row r="2759" spans="1:11">
      <c r="A2759" s="312" t="s">
        <v>3110</v>
      </c>
      <c r="B2759" s="312" t="s">
        <v>3111</v>
      </c>
      <c r="C2759" s="312" t="s">
        <v>105</v>
      </c>
      <c r="D2759" s="312" t="s">
        <v>3112</v>
      </c>
      <c r="E2759" s="312" t="s">
        <v>167</v>
      </c>
      <c r="F2759" s="312">
        <v>1705</v>
      </c>
      <c r="G2759" s="312" t="s">
        <v>168</v>
      </c>
      <c r="H2759" s="312">
        <v>1707</v>
      </c>
      <c r="I2759" s="312" t="s">
        <v>167</v>
      </c>
      <c r="J2759" s="312">
        <v>1899</v>
      </c>
      <c r="K2759" s="312" t="s">
        <v>169</v>
      </c>
    </row>
    <row r="2760" spans="1:11">
      <c r="A2760" s="312" t="s">
        <v>3135</v>
      </c>
      <c r="B2760" s="312" t="s">
        <v>3136</v>
      </c>
      <c r="C2760" s="312" t="s">
        <v>105</v>
      </c>
      <c r="D2760" s="312" t="s">
        <v>3112</v>
      </c>
      <c r="E2760" s="312" t="s">
        <v>167</v>
      </c>
      <c r="F2760" s="312">
        <v>1705</v>
      </c>
      <c r="G2760" s="312" t="s">
        <v>168</v>
      </c>
      <c r="H2760" s="312">
        <v>1707</v>
      </c>
      <c r="I2760" s="312" t="s">
        <v>167</v>
      </c>
      <c r="J2760" s="312">
        <v>1899</v>
      </c>
      <c r="K2760" s="312" t="s">
        <v>169</v>
      </c>
    </row>
    <row r="2761" spans="1:11">
      <c r="A2761" s="312" t="s">
        <v>3139</v>
      </c>
      <c r="B2761" s="312" t="s">
        <v>3140</v>
      </c>
      <c r="C2761" s="312" t="s">
        <v>105</v>
      </c>
      <c r="D2761" s="312" t="s">
        <v>3112</v>
      </c>
      <c r="E2761" s="312" t="s">
        <v>167</v>
      </c>
      <c r="F2761" s="312">
        <v>1705</v>
      </c>
      <c r="G2761" s="312" t="s">
        <v>168</v>
      </c>
      <c r="H2761" s="312">
        <v>1707</v>
      </c>
      <c r="I2761" s="312" t="s">
        <v>167</v>
      </c>
      <c r="J2761" s="312">
        <v>1899</v>
      </c>
      <c r="K2761" s="312" t="s">
        <v>169</v>
      </c>
    </row>
    <row r="2762" spans="1:11">
      <c r="A2762" s="312" t="s">
        <v>3141</v>
      </c>
      <c r="B2762" s="312" t="s">
        <v>3142</v>
      </c>
      <c r="C2762" s="312" t="s">
        <v>105</v>
      </c>
      <c r="D2762" s="312" t="s">
        <v>3112</v>
      </c>
      <c r="E2762" s="312" t="s">
        <v>167</v>
      </c>
      <c r="F2762" s="312">
        <v>1705</v>
      </c>
      <c r="G2762" s="312" t="s">
        <v>168</v>
      </c>
      <c r="H2762" s="312">
        <v>1707</v>
      </c>
      <c r="I2762" s="312" t="s">
        <v>167</v>
      </c>
      <c r="J2762" s="312">
        <v>1899</v>
      </c>
      <c r="K2762" s="312" t="s">
        <v>169</v>
      </c>
    </row>
    <row r="2763" spans="1:11">
      <c r="A2763" s="312" t="s">
        <v>3143</v>
      </c>
      <c r="B2763" s="312" t="s">
        <v>3144</v>
      </c>
      <c r="C2763" s="312" t="s">
        <v>105</v>
      </c>
      <c r="D2763" s="312" t="s">
        <v>3112</v>
      </c>
      <c r="E2763" s="312" t="s">
        <v>167</v>
      </c>
      <c r="F2763" s="312">
        <v>1705</v>
      </c>
      <c r="G2763" s="312" t="s">
        <v>168</v>
      </c>
      <c r="H2763" s="312">
        <v>1707</v>
      </c>
      <c r="I2763" s="312" t="s">
        <v>167</v>
      </c>
      <c r="J2763" s="312">
        <v>1899</v>
      </c>
      <c r="K2763" s="312" t="s">
        <v>169</v>
      </c>
    </row>
    <row r="2764" spans="1:11">
      <c r="A2764" s="312" t="s">
        <v>3151</v>
      </c>
      <c r="B2764" s="312" t="s">
        <v>3152</v>
      </c>
      <c r="C2764" s="312" t="s">
        <v>105</v>
      </c>
      <c r="D2764" s="312" t="s">
        <v>3112</v>
      </c>
      <c r="E2764" s="312" t="s">
        <v>167</v>
      </c>
      <c r="F2764" s="312">
        <v>1705</v>
      </c>
      <c r="G2764" s="312" t="s">
        <v>168</v>
      </c>
      <c r="H2764" s="312">
        <v>1707</v>
      </c>
      <c r="I2764" s="312" t="s">
        <v>167</v>
      </c>
      <c r="J2764" s="312">
        <v>1899</v>
      </c>
      <c r="K2764" s="312" t="s">
        <v>169</v>
      </c>
    </row>
    <row r="2765" spans="1:11">
      <c r="A2765" s="312" t="s">
        <v>3871</v>
      </c>
      <c r="B2765" s="312" t="s">
        <v>3872</v>
      </c>
      <c r="C2765" s="312" t="s">
        <v>105</v>
      </c>
      <c r="D2765" s="312" t="s">
        <v>3112</v>
      </c>
      <c r="E2765" s="312" t="s">
        <v>167</v>
      </c>
      <c r="F2765" s="312">
        <v>1705</v>
      </c>
      <c r="G2765" s="312" t="s">
        <v>168</v>
      </c>
      <c r="H2765" s="312">
        <v>1707</v>
      </c>
      <c r="I2765" s="312" t="s">
        <v>167</v>
      </c>
      <c r="J2765" s="312">
        <v>1899</v>
      </c>
      <c r="K2765" s="312" t="s">
        <v>169</v>
      </c>
    </row>
    <row r="2766" spans="1:11">
      <c r="A2766" s="312" t="s">
        <v>3115</v>
      </c>
      <c r="B2766" s="312" t="s">
        <v>3116</v>
      </c>
      <c r="C2766" s="312" t="s">
        <v>105</v>
      </c>
      <c r="D2766" s="312" t="s">
        <v>3117</v>
      </c>
      <c r="E2766" s="312" t="s">
        <v>167</v>
      </c>
      <c r="F2766" s="312">
        <v>1705</v>
      </c>
      <c r="G2766" s="312" t="s">
        <v>168</v>
      </c>
      <c r="H2766" s="312">
        <v>1707</v>
      </c>
      <c r="I2766" s="312" t="s">
        <v>167</v>
      </c>
      <c r="J2766" s="312">
        <v>1899</v>
      </c>
      <c r="K2766" s="312" t="s">
        <v>169</v>
      </c>
    </row>
    <row r="2767" spans="1:11">
      <c r="A2767" s="312" t="s">
        <v>3118</v>
      </c>
      <c r="B2767" s="312" t="s">
        <v>3119</v>
      </c>
      <c r="C2767" s="312" t="s">
        <v>105</v>
      </c>
      <c r="D2767" s="312" t="s">
        <v>3117</v>
      </c>
      <c r="E2767" s="312" t="s">
        <v>167</v>
      </c>
      <c r="F2767" s="312">
        <v>1705</v>
      </c>
      <c r="G2767" s="312" t="s">
        <v>168</v>
      </c>
      <c r="H2767" s="312">
        <v>1707</v>
      </c>
      <c r="I2767" s="312" t="s">
        <v>167</v>
      </c>
      <c r="J2767" s="312">
        <v>1899</v>
      </c>
      <c r="K2767" s="312" t="s">
        <v>169</v>
      </c>
    </row>
    <row r="2768" spans="1:11">
      <c r="A2768" s="312" t="s">
        <v>3149</v>
      </c>
      <c r="B2768" s="312" t="s">
        <v>3150</v>
      </c>
      <c r="C2768" s="312" t="s">
        <v>105</v>
      </c>
      <c r="D2768" s="312" t="s">
        <v>3117</v>
      </c>
      <c r="E2768" s="312" t="s">
        <v>167</v>
      </c>
      <c r="F2768" s="312">
        <v>1705</v>
      </c>
      <c r="G2768" s="312" t="s">
        <v>168</v>
      </c>
      <c r="H2768" s="312">
        <v>1707</v>
      </c>
      <c r="I2768" s="312" t="s">
        <v>167</v>
      </c>
      <c r="J2768" s="312">
        <v>1899</v>
      </c>
      <c r="K2768" s="312" t="s">
        <v>169</v>
      </c>
    </row>
    <row r="2769" spans="1:11">
      <c r="A2769" s="312" t="s">
        <v>5721</v>
      </c>
      <c r="B2769" s="312" t="s">
        <v>5722</v>
      </c>
      <c r="C2769" s="312" t="s">
        <v>105</v>
      </c>
      <c r="D2769" s="312" t="s">
        <v>5723</v>
      </c>
      <c r="E2769" s="312" t="s">
        <v>5639</v>
      </c>
      <c r="F2769" s="312">
        <v>1680</v>
      </c>
      <c r="G2769" s="312" t="s">
        <v>5640</v>
      </c>
      <c r="H2769" s="312">
        <v>1682</v>
      </c>
      <c r="I2769" s="312" t="s">
        <v>5639</v>
      </c>
      <c r="J2769" s="312">
        <v>1911</v>
      </c>
      <c r="K2769" s="312" t="s">
        <v>5641</v>
      </c>
    </row>
    <row r="2770" spans="1:11">
      <c r="A2770" s="312" t="s">
        <v>5440</v>
      </c>
      <c r="B2770" s="312" t="s">
        <v>5441</v>
      </c>
      <c r="C2770" s="312" t="s">
        <v>105</v>
      </c>
      <c r="D2770" s="312" t="s">
        <v>5442</v>
      </c>
      <c r="E2770" s="312" t="s">
        <v>3480</v>
      </c>
      <c r="F2770" s="312">
        <v>1708</v>
      </c>
      <c r="G2770" s="312" t="s">
        <v>3481</v>
      </c>
      <c r="H2770" s="312">
        <v>1710</v>
      </c>
      <c r="I2770" s="312" t="s">
        <v>3480</v>
      </c>
      <c r="J2770" s="312">
        <v>1909</v>
      </c>
      <c r="K2770" s="312" t="s">
        <v>3482</v>
      </c>
    </row>
    <row r="2771" spans="1:11">
      <c r="A2771" s="312" t="s">
        <v>5629</v>
      </c>
      <c r="B2771" s="312" t="s">
        <v>5630</v>
      </c>
      <c r="C2771" s="312" t="s">
        <v>105</v>
      </c>
      <c r="D2771" s="312" t="s">
        <v>5442</v>
      </c>
      <c r="E2771" s="312" t="s">
        <v>3480</v>
      </c>
      <c r="F2771" s="312">
        <v>1708</v>
      </c>
      <c r="G2771" s="312" t="s">
        <v>3481</v>
      </c>
      <c r="H2771" s="312">
        <v>1710</v>
      </c>
      <c r="I2771" s="312" t="s">
        <v>3480</v>
      </c>
      <c r="J2771" s="312">
        <v>1909</v>
      </c>
      <c r="K2771" s="312" t="s">
        <v>3482</v>
      </c>
    </row>
    <row r="2772" spans="1:11">
      <c r="A2772" s="312" t="s">
        <v>5631</v>
      </c>
      <c r="B2772" s="312" t="s">
        <v>5632</v>
      </c>
      <c r="C2772" s="312" t="s">
        <v>105</v>
      </c>
      <c r="D2772" s="312" t="s">
        <v>5442</v>
      </c>
      <c r="E2772" s="312" t="s">
        <v>3480</v>
      </c>
      <c r="F2772" s="312">
        <v>1708</v>
      </c>
      <c r="G2772" s="312" t="s">
        <v>3481</v>
      </c>
      <c r="H2772" s="312">
        <v>1710</v>
      </c>
      <c r="I2772" s="312" t="s">
        <v>3480</v>
      </c>
      <c r="J2772" s="312">
        <v>1909</v>
      </c>
      <c r="K2772" s="312" t="s">
        <v>3482</v>
      </c>
    </row>
    <row r="2773" spans="1:11">
      <c r="A2773" s="312" t="s">
        <v>5459</v>
      </c>
      <c r="B2773" s="312" t="s">
        <v>5460</v>
      </c>
      <c r="C2773" s="312" t="s">
        <v>105</v>
      </c>
      <c r="D2773" s="312" t="s">
        <v>5461</v>
      </c>
      <c r="E2773" s="312" t="s">
        <v>3480</v>
      </c>
      <c r="F2773" s="312">
        <v>1708</v>
      </c>
      <c r="G2773" s="312" t="s">
        <v>3481</v>
      </c>
      <c r="H2773" s="312">
        <v>1710</v>
      </c>
      <c r="I2773" s="312" t="s">
        <v>3480</v>
      </c>
      <c r="J2773" s="312">
        <v>1909</v>
      </c>
      <c r="K2773" s="312" t="s">
        <v>3482</v>
      </c>
    </row>
    <row r="2774" spans="1:11">
      <c r="A2774" s="312" t="s">
        <v>5654</v>
      </c>
      <c r="B2774" s="312" t="s">
        <v>5655</v>
      </c>
      <c r="C2774" s="312" t="s">
        <v>105</v>
      </c>
      <c r="D2774" s="312" t="s">
        <v>5656</v>
      </c>
      <c r="E2774" s="312" t="s">
        <v>320</v>
      </c>
      <c r="F2774" s="312">
        <v>1716</v>
      </c>
      <c r="G2774" s="312" t="s">
        <v>321</v>
      </c>
      <c r="H2774" s="312">
        <v>1725</v>
      </c>
      <c r="I2774" s="312" t="s">
        <v>320</v>
      </c>
      <c r="J2774" s="312">
        <v>1910</v>
      </c>
      <c r="K2774" s="312" t="s">
        <v>322</v>
      </c>
    </row>
    <row r="2775" spans="1:11">
      <c r="A2775" s="312" t="s">
        <v>5730</v>
      </c>
      <c r="B2775" s="312" t="s">
        <v>5731</v>
      </c>
      <c r="C2775" s="312" t="s">
        <v>105</v>
      </c>
      <c r="D2775" s="312" t="s">
        <v>5656</v>
      </c>
      <c r="E2775" s="312" t="s">
        <v>320</v>
      </c>
      <c r="F2775" s="312">
        <v>1716</v>
      </c>
      <c r="G2775" s="312" t="s">
        <v>321</v>
      </c>
      <c r="H2775" s="312">
        <v>1725</v>
      </c>
      <c r="I2775" s="312" t="s">
        <v>320</v>
      </c>
      <c r="J2775" s="312">
        <v>1910</v>
      </c>
      <c r="K2775" s="312" t="s">
        <v>322</v>
      </c>
    </row>
    <row r="2776" spans="1:11">
      <c r="A2776" s="312" t="s">
        <v>5745</v>
      </c>
      <c r="B2776" s="312" t="s">
        <v>5746</v>
      </c>
      <c r="C2776" s="312" t="s">
        <v>105</v>
      </c>
      <c r="D2776" s="312" t="s">
        <v>5656</v>
      </c>
      <c r="E2776" s="312" t="s">
        <v>5639</v>
      </c>
      <c r="F2776" s="312">
        <v>1680</v>
      </c>
      <c r="G2776" s="312" t="s">
        <v>5640</v>
      </c>
      <c r="H2776" s="312">
        <v>1682</v>
      </c>
      <c r="I2776" s="312" t="s">
        <v>5639</v>
      </c>
      <c r="J2776" s="312">
        <v>1911</v>
      </c>
      <c r="K2776" s="312" t="s">
        <v>5641</v>
      </c>
    </row>
    <row r="2777" spans="1:11">
      <c r="A2777" s="312" t="s">
        <v>5749</v>
      </c>
      <c r="B2777" s="312" t="s">
        <v>5750</v>
      </c>
      <c r="C2777" s="312" t="s">
        <v>105</v>
      </c>
      <c r="D2777" s="312" t="s">
        <v>5656</v>
      </c>
      <c r="E2777" s="312" t="s">
        <v>5639</v>
      </c>
      <c r="F2777" s="312">
        <v>1680</v>
      </c>
      <c r="G2777" s="312" t="s">
        <v>5640</v>
      </c>
      <c r="H2777" s="312">
        <v>1682</v>
      </c>
      <c r="I2777" s="312" t="s">
        <v>5639</v>
      </c>
      <c r="J2777" s="312">
        <v>1911</v>
      </c>
      <c r="K2777" s="312" t="s">
        <v>5641</v>
      </c>
    </row>
    <row r="2778" spans="1:11">
      <c r="A2778" s="312" t="s">
        <v>5751</v>
      </c>
      <c r="B2778" s="312" t="s">
        <v>5752</v>
      </c>
      <c r="C2778" s="312" t="s">
        <v>105</v>
      </c>
      <c r="D2778" s="312" t="s">
        <v>5656</v>
      </c>
      <c r="E2778" s="312" t="s">
        <v>5639</v>
      </c>
      <c r="F2778" s="312">
        <v>1680</v>
      </c>
      <c r="G2778" s="312" t="s">
        <v>5640</v>
      </c>
      <c r="H2778" s="312">
        <v>1682</v>
      </c>
      <c r="I2778" s="312" t="s">
        <v>5639</v>
      </c>
      <c r="J2778" s="312">
        <v>1911</v>
      </c>
      <c r="K2778" s="312" t="s">
        <v>5641</v>
      </c>
    </row>
    <row r="2779" spans="1:11">
      <c r="A2779" s="312" t="s">
        <v>1800</v>
      </c>
      <c r="B2779" s="312" t="s">
        <v>1801</v>
      </c>
      <c r="C2779" s="312" t="s">
        <v>105</v>
      </c>
      <c r="D2779" s="312" t="s">
        <v>1802</v>
      </c>
      <c r="E2779" s="312" t="s">
        <v>320</v>
      </c>
      <c r="F2779" s="312">
        <v>1716</v>
      </c>
      <c r="G2779" s="312" t="s">
        <v>321</v>
      </c>
      <c r="H2779" s="312">
        <v>1725</v>
      </c>
      <c r="I2779" s="312" t="s">
        <v>320</v>
      </c>
      <c r="J2779" s="312">
        <v>1910</v>
      </c>
      <c r="K2779" s="312" t="s">
        <v>322</v>
      </c>
    </row>
    <row r="2780" spans="1:11">
      <c r="A2780" s="312" t="s">
        <v>1803</v>
      </c>
      <c r="B2780" s="312" t="s">
        <v>1804</v>
      </c>
      <c r="C2780" s="312" t="s">
        <v>105</v>
      </c>
      <c r="D2780" s="312" t="s">
        <v>1802</v>
      </c>
      <c r="E2780" s="312" t="s">
        <v>320</v>
      </c>
      <c r="F2780" s="312">
        <v>1716</v>
      </c>
      <c r="G2780" s="312" t="s">
        <v>321</v>
      </c>
      <c r="H2780" s="312">
        <v>1725</v>
      </c>
      <c r="I2780" s="312" t="s">
        <v>320</v>
      </c>
      <c r="J2780" s="312">
        <v>1910</v>
      </c>
      <c r="K2780" s="312" t="s">
        <v>322</v>
      </c>
    </row>
    <row r="2781" spans="1:11">
      <c r="A2781" s="312" t="s">
        <v>5650</v>
      </c>
      <c r="B2781" s="312" t="s">
        <v>5651</v>
      </c>
      <c r="C2781" s="312" t="s">
        <v>105</v>
      </c>
      <c r="D2781" s="312" t="s">
        <v>1802</v>
      </c>
      <c r="E2781" s="312" t="s">
        <v>320</v>
      </c>
      <c r="F2781" s="312">
        <v>1716</v>
      </c>
      <c r="G2781" s="312" t="s">
        <v>321</v>
      </c>
      <c r="H2781" s="312">
        <v>1725</v>
      </c>
      <c r="I2781" s="312" t="s">
        <v>320</v>
      </c>
      <c r="J2781" s="312">
        <v>1910</v>
      </c>
      <c r="K2781" s="312" t="s">
        <v>322</v>
      </c>
    </row>
    <row r="2782" spans="1:11">
      <c r="A2782" s="312" t="s">
        <v>5652</v>
      </c>
      <c r="B2782" s="312" t="s">
        <v>5653</v>
      </c>
      <c r="C2782" s="312" t="s">
        <v>105</v>
      </c>
      <c r="D2782" s="312" t="s">
        <v>1802</v>
      </c>
      <c r="E2782" s="312" t="s">
        <v>320</v>
      </c>
      <c r="F2782" s="312">
        <v>1716</v>
      </c>
      <c r="G2782" s="312" t="s">
        <v>321</v>
      </c>
      <c r="H2782" s="312">
        <v>1725</v>
      </c>
      <c r="I2782" s="312" t="s">
        <v>320</v>
      </c>
      <c r="J2782" s="312">
        <v>1910</v>
      </c>
      <c r="K2782" s="312" t="s">
        <v>322</v>
      </c>
    </row>
    <row r="2783" spans="1:11">
      <c r="A2783" s="312" t="s">
        <v>5657</v>
      </c>
      <c r="B2783" s="312" t="s">
        <v>5658</v>
      </c>
      <c r="C2783" s="312" t="s">
        <v>105</v>
      </c>
      <c r="D2783" s="312" t="s">
        <v>1802</v>
      </c>
      <c r="E2783" s="312" t="s">
        <v>320</v>
      </c>
      <c r="F2783" s="312">
        <v>1716</v>
      </c>
      <c r="G2783" s="312" t="s">
        <v>321</v>
      </c>
      <c r="H2783" s="312">
        <v>1725</v>
      </c>
      <c r="I2783" s="312" t="s">
        <v>320</v>
      </c>
      <c r="J2783" s="312">
        <v>1910</v>
      </c>
      <c r="K2783" s="312" t="s">
        <v>322</v>
      </c>
    </row>
    <row r="2784" spans="1:11">
      <c r="A2784" s="312" t="s">
        <v>5659</v>
      </c>
      <c r="B2784" s="312" t="s">
        <v>5660</v>
      </c>
      <c r="C2784" s="312" t="s">
        <v>105</v>
      </c>
      <c r="D2784" s="312" t="s">
        <v>1802</v>
      </c>
      <c r="E2784" s="312" t="s">
        <v>320</v>
      </c>
      <c r="F2784" s="312">
        <v>1716</v>
      </c>
      <c r="G2784" s="312" t="s">
        <v>321</v>
      </c>
      <c r="H2784" s="312">
        <v>1725</v>
      </c>
      <c r="I2784" s="312" t="s">
        <v>320</v>
      </c>
      <c r="J2784" s="312">
        <v>1910</v>
      </c>
      <c r="K2784" s="312" t="s">
        <v>322</v>
      </c>
    </row>
    <row r="2785" spans="1:11">
      <c r="A2785" s="312" t="s">
        <v>5661</v>
      </c>
      <c r="B2785" s="312" t="s">
        <v>5662</v>
      </c>
      <c r="C2785" s="312" t="s">
        <v>105</v>
      </c>
      <c r="D2785" s="312" t="s">
        <v>1802</v>
      </c>
      <c r="E2785" s="312" t="s">
        <v>320</v>
      </c>
      <c r="F2785" s="312">
        <v>1716</v>
      </c>
      <c r="G2785" s="312" t="s">
        <v>321</v>
      </c>
      <c r="H2785" s="312">
        <v>1725</v>
      </c>
      <c r="I2785" s="312" t="s">
        <v>320</v>
      </c>
      <c r="J2785" s="312">
        <v>1910</v>
      </c>
      <c r="K2785" s="312" t="s">
        <v>322</v>
      </c>
    </row>
    <row r="2786" spans="1:11">
      <c r="A2786" s="312" t="s">
        <v>5663</v>
      </c>
      <c r="B2786" s="312" t="s">
        <v>5664</v>
      </c>
      <c r="C2786" s="312" t="s">
        <v>105</v>
      </c>
      <c r="D2786" s="312" t="s">
        <v>1802</v>
      </c>
      <c r="E2786" s="312" t="s">
        <v>320</v>
      </c>
      <c r="F2786" s="312">
        <v>1716</v>
      </c>
      <c r="G2786" s="312" t="s">
        <v>321</v>
      </c>
      <c r="H2786" s="312">
        <v>1725</v>
      </c>
      <c r="I2786" s="312" t="s">
        <v>320</v>
      </c>
      <c r="J2786" s="312">
        <v>1910</v>
      </c>
      <c r="K2786" s="312" t="s">
        <v>322</v>
      </c>
    </row>
    <row r="2787" spans="1:11">
      <c r="A2787" s="312" t="s">
        <v>5665</v>
      </c>
      <c r="B2787" s="312" t="s">
        <v>5666</v>
      </c>
      <c r="C2787" s="312" t="s">
        <v>105</v>
      </c>
      <c r="D2787" s="312" t="s">
        <v>1802</v>
      </c>
      <c r="E2787" s="312" t="s">
        <v>320</v>
      </c>
      <c r="F2787" s="312">
        <v>1716</v>
      </c>
      <c r="G2787" s="312" t="s">
        <v>321</v>
      </c>
      <c r="H2787" s="312">
        <v>1725</v>
      </c>
      <c r="I2787" s="312" t="s">
        <v>320</v>
      </c>
      <c r="J2787" s="312">
        <v>1910</v>
      </c>
      <c r="K2787" s="312" t="s">
        <v>322</v>
      </c>
    </row>
    <row r="2788" spans="1:11">
      <c r="A2788" s="312" t="s">
        <v>5667</v>
      </c>
      <c r="B2788" s="312" t="s">
        <v>5668</v>
      </c>
      <c r="C2788" s="312" t="s">
        <v>105</v>
      </c>
      <c r="D2788" s="312" t="s">
        <v>1802</v>
      </c>
      <c r="E2788" s="312" t="s">
        <v>320</v>
      </c>
      <c r="F2788" s="312">
        <v>1716</v>
      </c>
      <c r="G2788" s="312" t="s">
        <v>321</v>
      </c>
      <c r="H2788" s="312">
        <v>1725</v>
      </c>
      <c r="I2788" s="312" t="s">
        <v>320</v>
      </c>
      <c r="J2788" s="312">
        <v>1910</v>
      </c>
      <c r="K2788" s="312" t="s">
        <v>322</v>
      </c>
    </row>
    <row r="2789" spans="1:11">
      <c r="A2789" s="312" t="s">
        <v>5669</v>
      </c>
      <c r="B2789" s="312" t="s">
        <v>5670</v>
      </c>
      <c r="C2789" s="312" t="s">
        <v>105</v>
      </c>
      <c r="D2789" s="312" t="s">
        <v>1802</v>
      </c>
      <c r="E2789" s="312" t="s">
        <v>320</v>
      </c>
      <c r="F2789" s="312">
        <v>1716</v>
      </c>
      <c r="G2789" s="312" t="s">
        <v>321</v>
      </c>
      <c r="H2789" s="312">
        <v>1725</v>
      </c>
      <c r="I2789" s="312" t="s">
        <v>320</v>
      </c>
      <c r="J2789" s="312">
        <v>1910</v>
      </c>
      <c r="K2789" s="312" t="s">
        <v>322</v>
      </c>
    </row>
    <row r="2790" spans="1:11">
      <c r="A2790" s="312" t="s">
        <v>5671</v>
      </c>
      <c r="B2790" s="312" t="s">
        <v>5672</v>
      </c>
      <c r="C2790" s="312" t="s">
        <v>105</v>
      </c>
      <c r="D2790" s="312" t="s">
        <v>1802</v>
      </c>
      <c r="E2790" s="312" t="s">
        <v>320</v>
      </c>
      <c r="F2790" s="312">
        <v>1716</v>
      </c>
      <c r="G2790" s="312" t="s">
        <v>321</v>
      </c>
      <c r="H2790" s="312">
        <v>1725</v>
      </c>
      <c r="I2790" s="312" t="s">
        <v>320</v>
      </c>
      <c r="J2790" s="312">
        <v>1910</v>
      </c>
      <c r="K2790" s="312" t="s">
        <v>322</v>
      </c>
    </row>
    <row r="2791" spans="1:11">
      <c r="A2791" s="312" t="s">
        <v>5673</v>
      </c>
      <c r="B2791" s="312" t="s">
        <v>5674</v>
      </c>
      <c r="C2791" s="312" t="s">
        <v>105</v>
      </c>
      <c r="D2791" s="312" t="s">
        <v>1802</v>
      </c>
      <c r="E2791" s="312" t="s">
        <v>320</v>
      </c>
      <c r="F2791" s="312">
        <v>1716</v>
      </c>
      <c r="G2791" s="312" t="s">
        <v>321</v>
      </c>
      <c r="H2791" s="312">
        <v>1725</v>
      </c>
      <c r="I2791" s="312" t="s">
        <v>320</v>
      </c>
      <c r="J2791" s="312">
        <v>1910</v>
      </c>
      <c r="K2791" s="312" t="s">
        <v>322</v>
      </c>
    </row>
    <row r="2792" spans="1:11">
      <c r="A2792" s="312" t="s">
        <v>5675</v>
      </c>
      <c r="B2792" s="312" t="s">
        <v>5676</v>
      </c>
      <c r="C2792" s="312" t="s">
        <v>105</v>
      </c>
      <c r="D2792" s="312" t="s">
        <v>1802</v>
      </c>
      <c r="E2792" s="312" t="s">
        <v>320</v>
      </c>
      <c r="F2792" s="312">
        <v>1716</v>
      </c>
      <c r="G2792" s="312" t="s">
        <v>321</v>
      </c>
      <c r="H2792" s="312">
        <v>1725</v>
      </c>
      <c r="I2792" s="312" t="s">
        <v>320</v>
      </c>
      <c r="J2792" s="312">
        <v>1910</v>
      </c>
      <c r="K2792" s="312" t="s">
        <v>322</v>
      </c>
    </row>
    <row r="2793" spans="1:11">
      <c r="A2793" s="312" t="s">
        <v>5677</v>
      </c>
      <c r="B2793" s="312" t="s">
        <v>5678</v>
      </c>
      <c r="C2793" s="312" t="s">
        <v>105</v>
      </c>
      <c r="D2793" s="312" t="s">
        <v>1802</v>
      </c>
      <c r="E2793" s="312" t="s">
        <v>320</v>
      </c>
      <c r="F2793" s="312">
        <v>1716</v>
      </c>
      <c r="G2793" s="312" t="s">
        <v>321</v>
      </c>
      <c r="H2793" s="312">
        <v>1725</v>
      </c>
      <c r="I2793" s="312" t="s">
        <v>320</v>
      </c>
      <c r="J2793" s="312">
        <v>1910</v>
      </c>
      <c r="K2793" s="312" t="s">
        <v>322</v>
      </c>
    </row>
    <row r="2794" spans="1:11">
      <c r="A2794" s="312" t="s">
        <v>5679</v>
      </c>
      <c r="B2794" s="312" t="s">
        <v>5680</v>
      </c>
      <c r="C2794" s="312" t="s">
        <v>105</v>
      </c>
      <c r="D2794" s="312" t="s">
        <v>1802</v>
      </c>
      <c r="E2794" s="312" t="s">
        <v>320</v>
      </c>
      <c r="F2794" s="312">
        <v>1716</v>
      </c>
      <c r="G2794" s="312" t="s">
        <v>321</v>
      </c>
      <c r="H2794" s="312">
        <v>1725</v>
      </c>
      <c r="I2794" s="312" t="s">
        <v>320</v>
      </c>
      <c r="J2794" s="312">
        <v>1910</v>
      </c>
      <c r="K2794" s="312" t="s">
        <v>322</v>
      </c>
    </row>
    <row r="2795" spans="1:11">
      <c r="A2795" s="312" t="s">
        <v>5681</v>
      </c>
      <c r="B2795" s="312" t="s">
        <v>5682</v>
      </c>
      <c r="C2795" s="312" t="s">
        <v>105</v>
      </c>
      <c r="D2795" s="312" t="s">
        <v>1802</v>
      </c>
      <c r="E2795" s="312" t="s">
        <v>320</v>
      </c>
      <c r="F2795" s="312">
        <v>1716</v>
      </c>
      <c r="G2795" s="312" t="s">
        <v>321</v>
      </c>
      <c r="H2795" s="312">
        <v>1725</v>
      </c>
      <c r="I2795" s="312" t="s">
        <v>320</v>
      </c>
      <c r="J2795" s="312">
        <v>1910</v>
      </c>
      <c r="K2795" s="312" t="s">
        <v>322</v>
      </c>
    </row>
    <row r="2796" spans="1:11">
      <c r="A2796" s="312" t="s">
        <v>5683</v>
      </c>
      <c r="B2796" s="312" t="s">
        <v>5684</v>
      </c>
      <c r="C2796" s="312" t="s">
        <v>105</v>
      </c>
      <c r="D2796" s="312" t="s">
        <v>1802</v>
      </c>
      <c r="E2796" s="312" t="s">
        <v>320</v>
      </c>
      <c r="F2796" s="312">
        <v>1716</v>
      </c>
      <c r="G2796" s="312" t="s">
        <v>321</v>
      </c>
      <c r="H2796" s="312">
        <v>1725</v>
      </c>
      <c r="I2796" s="312" t="s">
        <v>320</v>
      </c>
      <c r="J2796" s="312">
        <v>1910</v>
      </c>
      <c r="K2796" s="312" t="s">
        <v>322</v>
      </c>
    </row>
    <row r="2797" spans="1:11">
      <c r="A2797" s="312" t="s">
        <v>5685</v>
      </c>
      <c r="B2797" s="312" t="s">
        <v>5686</v>
      </c>
      <c r="C2797" s="312" t="s">
        <v>105</v>
      </c>
      <c r="D2797" s="312" t="s">
        <v>1802</v>
      </c>
      <c r="E2797" s="312" t="s">
        <v>320</v>
      </c>
      <c r="F2797" s="312">
        <v>1716</v>
      </c>
      <c r="G2797" s="312" t="s">
        <v>321</v>
      </c>
      <c r="H2797" s="312">
        <v>1725</v>
      </c>
      <c r="I2797" s="312" t="s">
        <v>320</v>
      </c>
      <c r="J2797" s="312">
        <v>1910</v>
      </c>
      <c r="K2797" s="312" t="s">
        <v>322</v>
      </c>
    </row>
    <row r="2798" spans="1:11">
      <c r="A2798" s="312" t="s">
        <v>5687</v>
      </c>
      <c r="B2798" s="312" t="s">
        <v>5688</v>
      </c>
      <c r="C2798" s="312" t="s">
        <v>105</v>
      </c>
      <c r="D2798" s="312" t="s">
        <v>1802</v>
      </c>
      <c r="E2798" s="312" t="s">
        <v>320</v>
      </c>
      <c r="F2798" s="312">
        <v>1716</v>
      </c>
      <c r="G2798" s="312" t="s">
        <v>321</v>
      </c>
      <c r="H2798" s="312">
        <v>1725</v>
      </c>
      <c r="I2798" s="312" t="s">
        <v>320</v>
      </c>
      <c r="J2798" s="312">
        <v>1910</v>
      </c>
      <c r="K2798" s="312" t="s">
        <v>322</v>
      </c>
    </row>
    <row r="2799" spans="1:11">
      <c r="A2799" s="312" t="s">
        <v>5689</v>
      </c>
      <c r="B2799" s="312" t="s">
        <v>5690</v>
      </c>
      <c r="C2799" s="312" t="s">
        <v>105</v>
      </c>
      <c r="D2799" s="312" t="s">
        <v>1802</v>
      </c>
      <c r="E2799" s="312" t="s">
        <v>320</v>
      </c>
      <c r="F2799" s="312">
        <v>1716</v>
      </c>
      <c r="G2799" s="312" t="s">
        <v>321</v>
      </c>
      <c r="H2799" s="312">
        <v>1725</v>
      </c>
      <c r="I2799" s="312" t="s">
        <v>320</v>
      </c>
      <c r="J2799" s="312">
        <v>1910</v>
      </c>
      <c r="K2799" s="312" t="s">
        <v>322</v>
      </c>
    </row>
    <row r="2800" spans="1:11">
      <c r="A2800" s="312" t="s">
        <v>5691</v>
      </c>
      <c r="B2800" s="312" t="s">
        <v>5692</v>
      </c>
      <c r="C2800" s="312" t="s">
        <v>105</v>
      </c>
      <c r="D2800" s="312" t="s">
        <v>1802</v>
      </c>
      <c r="E2800" s="312" t="s">
        <v>320</v>
      </c>
      <c r="F2800" s="312">
        <v>1716</v>
      </c>
      <c r="G2800" s="312" t="s">
        <v>321</v>
      </c>
      <c r="H2800" s="312">
        <v>1725</v>
      </c>
      <c r="I2800" s="312" t="s">
        <v>320</v>
      </c>
      <c r="J2800" s="312">
        <v>1910</v>
      </c>
      <c r="K2800" s="312" t="s">
        <v>322</v>
      </c>
    </row>
    <row r="2801" spans="1:11">
      <c r="A2801" s="312" t="s">
        <v>5693</v>
      </c>
      <c r="B2801" s="312" t="s">
        <v>5694</v>
      </c>
      <c r="C2801" s="312" t="s">
        <v>105</v>
      </c>
      <c r="D2801" s="312" t="s">
        <v>1802</v>
      </c>
      <c r="E2801" s="312" t="s">
        <v>320</v>
      </c>
      <c r="F2801" s="312">
        <v>1716</v>
      </c>
      <c r="G2801" s="312" t="s">
        <v>321</v>
      </c>
      <c r="H2801" s="312">
        <v>1725</v>
      </c>
      <c r="I2801" s="312" t="s">
        <v>320</v>
      </c>
      <c r="J2801" s="312">
        <v>1910</v>
      </c>
      <c r="K2801" s="312" t="s">
        <v>322</v>
      </c>
    </row>
    <row r="2802" spans="1:11">
      <c r="A2802" s="312" t="s">
        <v>5695</v>
      </c>
      <c r="B2802" s="312" t="s">
        <v>5696</v>
      </c>
      <c r="C2802" s="312" t="s">
        <v>105</v>
      </c>
      <c r="D2802" s="312" t="s">
        <v>1802</v>
      </c>
      <c r="E2802" s="312" t="s">
        <v>320</v>
      </c>
      <c r="F2802" s="312">
        <v>1716</v>
      </c>
      <c r="G2802" s="312" t="s">
        <v>321</v>
      </c>
      <c r="H2802" s="312">
        <v>1725</v>
      </c>
      <c r="I2802" s="312" t="s">
        <v>320</v>
      </c>
      <c r="J2802" s="312">
        <v>1910</v>
      </c>
      <c r="K2802" s="312" t="s">
        <v>322</v>
      </c>
    </row>
    <row r="2803" spans="1:11">
      <c r="A2803" s="312" t="s">
        <v>5697</v>
      </c>
      <c r="B2803" s="312" t="s">
        <v>5698</v>
      </c>
      <c r="C2803" s="312" t="s">
        <v>105</v>
      </c>
      <c r="D2803" s="312" t="s">
        <v>1802</v>
      </c>
      <c r="E2803" s="312" t="s">
        <v>320</v>
      </c>
      <c r="F2803" s="312">
        <v>1716</v>
      </c>
      <c r="G2803" s="312" t="s">
        <v>321</v>
      </c>
      <c r="H2803" s="312">
        <v>1725</v>
      </c>
      <c r="I2803" s="312" t="s">
        <v>320</v>
      </c>
      <c r="J2803" s="312">
        <v>1910</v>
      </c>
      <c r="K2803" s="312" t="s">
        <v>322</v>
      </c>
    </row>
    <row r="2804" spans="1:11">
      <c r="A2804" s="312" t="s">
        <v>5699</v>
      </c>
      <c r="B2804" s="312" t="s">
        <v>5700</v>
      </c>
      <c r="C2804" s="312" t="s">
        <v>105</v>
      </c>
      <c r="D2804" s="312" t="s">
        <v>1802</v>
      </c>
      <c r="E2804" s="312" t="s">
        <v>320</v>
      </c>
      <c r="F2804" s="312">
        <v>1716</v>
      </c>
      <c r="G2804" s="312" t="s">
        <v>321</v>
      </c>
      <c r="H2804" s="312">
        <v>1725</v>
      </c>
      <c r="I2804" s="312" t="s">
        <v>320</v>
      </c>
      <c r="J2804" s="312">
        <v>1910</v>
      </c>
      <c r="K2804" s="312" t="s">
        <v>322</v>
      </c>
    </row>
    <row r="2805" spans="1:11">
      <c r="A2805" s="312" t="s">
        <v>5701</v>
      </c>
      <c r="B2805" s="312" t="s">
        <v>5702</v>
      </c>
      <c r="C2805" s="312" t="s">
        <v>105</v>
      </c>
      <c r="D2805" s="312" t="s">
        <v>1802</v>
      </c>
      <c r="E2805" s="312" t="s">
        <v>320</v>
      </c>
      <c r="F2805" s="312">
        <v>1716</v>
      </c>
      <c r="G2805" s="312" t="s">
        <v>321</v>
      </c>
      <c r="H2805" s="312">
        <v>1725</v>
      </c>
      <c r="I2805" s="312" t="s">
        <v>320</v>
      </c>
      <c r="J2805" s="312">
        <v>1910</v>
      </c>
      <c r="K2805" s="312" t="s">
        <v>322</v>
      </c>
    </row>
    <row r="2806" spans="1:11">
      <c r="A2806" s="312" t="s">
        <v>5703</v>
      </c>
      <c r="B2806" s="312" t="s">
        <v>5704</v>
      </c>
      <c r="C2806" s="312" t="s">
        <v>105</v>
      </c>
      <c r="D2806" s="312" t="s">
        <v>1802</v>
      </c>
      <c r="E2806" s="312" t="s">
        <v>320</v>
      </c>
      <c r="F2806" s="312">
        <v>1716</v>
      </c>
      <c r="G2806" s="312" t="s">
        <v>321</v>
      </c>
      <c r="H2806" s="312">
        <v>1725</v>
      </c>
      <c r="I2806" s="312" t="s">
        <v>320</v>
      </c>
      <c r="J2806" s="312">
        <v>1910</v>
      </c>
      <c r="K2806" s="312" t="s">
        <v>322</v>
      </c>
    </row>
    <row r="2807" spans="1:11">
      <c r="A2807" s="312" t="s">
        <v>5705</v>
      </c>
      <c r="B2807" s="312" t="s">
        <v>5706</v>
      </c>
      <c r="C2807" s="312" t="s">
        <v>105</v>
      </c>
      <c r="D2807" s="312" t="s">
        <v>1802</v>
      </c>
      <c r="E2807" s="312" t="s">
        <v>320</v>
      </c>
      <c r="F2807" s="312">
        <v>1716</v>
      </c>
      <c r="G2807" s="312" t="s">
        <v>321</v>
      </c>
      <c r="H2807" s="312">
        <v>1725</v>
      </c>
      <c r="I2807" s="312" t="s">
        <v>320</v>
      </c>
      <c r="J2807" s="312">
        <v>1910</v>
      </c>
      <c r="K2807" s="312" t="s">
        <v>322</v>
      </c>
    </row>
    <row r="2808" spans="1:11">
      <c r="A2808" s="312" t="s">
        <v>5707</v>
      </c>
      <c r="B2808" s="312" t="s">
        <v>5708</v>
      </c>
      <c r="C2808" s="312" t="s">
        <v>105</v>
      </c>
      <c r="D2808" s="312" t="s">
        <v>1802</v>
      </c>
      <c r="E2808" s="312" t="s">
        <v>320</v>
      </c>
      <c r="F2808" s="312">
        <v>1716</v>
      </c>
      <c r="G2808" s="312" t="s">
        <v>321</v>
      </c>
      <c r="H2808" s="312">
        <v>1725</v>
      </c>
      <c r="I2808" s="312" t="s">
        <v>320</v>
      </c>
      <c r="J2808" s="312">
        <v>1910</v>
      </c>
      <c r="K2808" s="312" t="s">
        <v>322</v>
      </c>
    </row>
    <row r="2809" spans="1:11">
      <c r="A2809" s="312" t="s">
        <v>5709</v>
      </c>
      <c r="B2809" s="312" t="s">
        <v>5710</v>
      </c>
      <c r="C2809" s="312" t="s">
        <v>105</v>
      </c>
      <c r="D2809" s="312" t="s">
        <v>1802</v>
      </c>
      <c r="E2809" s="312" t="s">
        <v>320</v>
      </c>
      <c r="F2809" s="312">
        <v>1716</v>
      </c>
      <c r="G2809" s="312" t="s">
        <v>321</v>
      </c>
      <c r="H2809" s="312">
        <v>1725</v>
      </c>
      <c r="I2809" s="312" t="s">
        <v>320</v>
      </c>
      <c r="J2809" s="312">
        <v>1910</v>
      </c>
      <c r="K2809" s="312" t="s">
        <v>322</v>
      </c>
    </row>
    <row r="2810" spans="1:11">
      <c r="A2810" s="312" t="s">
        <v>5711</v>
      </c>
      <c r="B2810" s="312" t="s">
        <v>5712</v>
      </c>
      <c r="C2810" s="312" t="s">
        <v>105</v>
      </c>
      <c r="D2810" s="312" t="s">
        <v>1802</v>
      </c>
      <c r="E2810" s="312" t="s">
        <v>320</v>
      </c>
      <c r="F2810" s="312">
        <v>1716</v>
      </c>
      <c r="G2810" s="312" t="s">
        <v>321</v>
      </c>
      <c r="H2810" s="312">
        <v>1725</v>
      </c>
      <c r="I2810" s="312" t="s">
        <v>320</v>
      </c>
      <c r="J2810" s="312">
        <v>1910</v>
      </c>
      <c r="K2810" s="312" t="s">
        <v>322</v>
      </c>
    </row>
    <row r="2811" spans="1:11">
      <c r="A2811" s="312" t="s">
        <v>5713</v>
      </c>
      <c r="B2811" s="312" t="s">
        <v>5714</v>
      </c>
      <c r="C2811" s="312" t="s">
        <v>105</v>
      </c>
      <c r="D2811" s="312" t="s">
        <v>1802</v>
      </c>
      <c r="E2811" s="312" t="s">
        <v>320</v>
      </c>
      <c r="F2811" s="312">
        <v>1716</v>
      </c>
      <c r="G2811" s="312" t="s">
        <v>321</v>
      </c>
      <c r="H2811" s="312">
        <v>1725</v>
      </c>
      <c r="I2811" s="312" t="s">
        <v>320</v>
      </c>
      <c r="J2811" s="312">
        <v>1910</v>
      </c>
      <c r="K2811" s="312" t="s">
        <v>322</v>
      </c>
    </row>
    <row r="2812" spans="1:11">
      <c r="A2812" s="312" t="s">
        <v>5715</v>
      </c>
      <c r="B2812" s="312" t="s">
        <v>5716</v>
      </c>
      <c r="C2812" s="312" t="s">
        <v>105</v>
      </c>
      <c r="D2812" s="312" t="s">
        <v>1802</v>
      </c>
      <c r="E2812" s="312" t="s">
        <v>320</v>
      </c>
      <c r="F2812" s="312">
        <v>1716</v>
      </c>
      <c r="G2812" s="312" t="s">
        <v>321</v>
      </c>
      <c r="H2812" s="312">
        <v>1725</v>
      </c>
      <c r="I2812" s="312" t="s">
        <v>320</v>
      </c>
      <c r="J2812" s="312">
        <v>1910</v>
      </c>
      <c r="K2812" s="312" t="s">
        <v>322</v>
      </c>
    </row>
    <row r="2813" spans="1:11">
      <c r="A2813" s="312" t="s">
        <v>5717</v>
      </c>
      <c r="B2813" s="312" t="s">
        <v>5718</v>
      </c>
      <c r="C2813" s="312" t="s">
        <v>105</v>
      </c>
      <c r="D2813" s="312" t="s">
        <v>1802</v>
      </c>
      <c r="E2813" s="312" t="s">
        <v>320</v>
      </c>
      <c r="F2813" s="312">
        <v>1716</v>
      </c>
      <c r="G2813" s="312" t="s">
        <v>321</v>
      </c>
      <c r="H2813" s="312">
        <v>1725</v>
      </c>
      <c r="I2813" s="312" t="s">
        <v>320</v>
      </c>
      <c r="J2813" s="312">
        <v>1910</v>
      </c>
      <c r="K2813" s="312" t="s">
        <v>322</v>
      </c>
    </row>
    <row r="2814" spans="1:11">
      <c r="A2814" s="312" t="s">
        <v>5719</v>
      </c>
      <c r="B2814" s="312" t="s">
        <v>5720</v>
      </c>
      <c r="C2814" s="312" t="s">
        <v>105</v>
      </c>
      <c r="D2814" s="312" t="s">
        <v>1802</v>
      </c>
      <c r="E2814" s="312" t="s">
        <v>5639</v>
      </c>
      <c r="F2814" s="312">
        <v>1680</v>
      </c>
      <c r="G2814" s="312" t="s">
        <v>5640</v>
      </c>
      <c r="H2814" s="312">
        <v>1682</v>
      </c>
      <c r="I2814" s="312" t="s">
        <v>5639</v>
      </c>
      <c r="J2814" s="312">
        <v>1911</v>
      </c>
      <c r="K2814" s="312" t="s">
        <v>5641</v>
      </c>
    </row>
    <row r="2815" spans="1:11">
      <c r="A2815" s="312" t="s">
        <v>5724</v>
      </c>
      <c r="B2815" s="312" t="s">
        <v>5725</v>
      </c>
      <c r="C2815" s="312" t="s">
        <v>105</v>
      </c>
      <c r="D2815" s="312" t="s">
        <v>1802</v>
      </c>
      <c r="E2815" s="312" t="s">
        <v>5639</v>
      </c>
      <c r="F2815" s="312">
        <v>1680</v>
      </c>
      <c r="G2815" s="312" t="s">
        <v>5640</v>
      </c>
      <c r="H2815" s="312">
        <v>1682</v>
      </c>
      <c r="I2815" s="312" t="s">
        <v>5639</v>
      </c>
      <c r="J2815" s="312">
        <v>1911</v>
      </c>
      <c r="K2815" s="312" t="s">
        <v>5641</v>
      </c>
    </row>
    <row r="2816" spans="1:11">
      <c r="A2816" s="312" t="s">
        <v>5726</v>
      </c>
      <c r="B2816" s="312" t="s">
        <v>5727</v>
      </c>
      <c r="C2816" s="312" t="s">
        <v>105</v>
      </c>
      <c r="D2816" s="312" t="s">
        <v>1802</v>
      </c>
      <c r="E2816" s="312" t="s">
        <v>5639</v>
      </c>
      <c r="F2816" s="312">
        <v>1680</v>
      </c>
      <c r="G2816" s="312" t="s">
        <v>5640</v>
      </c>
      <c r="H2816" s="312">
        <v>1682</v>
      </c>
      <c r="I2816" s="312" t="s">
        <v>5639</v>
      </c>
      <c r="J2816" s="312">
        <v>1911</v>
      </c>
      <c r="K2816" s="312" t="s">
        <v>5641</v>
      </c>
    </row>
    <row r="2817" spans="1:11">
      <c r="A2817" s="312" t="s">
        <v>5728</v>
      </c>
      <c r="B2817" s="312" t="s">
        <v>5729</v>
      </c>
      <c r="C2817" s="312" t="s">
        <v>105</v>
      </c>
      <c r="D2817" s="312" t="s">
        <v>1802</v>
      </c>
      <c r="E2817" s="312" t="s">
        <v>5639</v>
      </c>
      <c r="F2817" s="312">
        <v>1680</v>
      </c>
      <c r="G2817" s="312" t="s">
        <v>5640</v>
      </c>
      <c r="H2817" s="312">
        <v>1682</v>
      </c>
      <c r="I2817" s="312" t="s">
        <v>5639</v>
      </c>
      <c r="J2817" s="312">
        <v>1911</v>
      </c>
      <c r="K2817" s="312" t="s">
        <v>5641</v>
      </c>
    </row>
    <row r="2818" spans="1:11">
      <c r="A2818" s="312" t="s">
        <v>5732</v>
      </c>
      <c r="B2818" s="312" t="s">
        <v>5733</v>
      </c>
      <c r="C2818" s="312" t="s">
        <v>105</v>
      </c>
      <c r="D2818" s="312" t="s">
        <v>1802</v>
      </c>
      <c r="E2818" s="312" t="s">
        <v>5639</v>
      </c>
      <c r="F2818" s="312">
        <v>1680</v>
      </c>
      <c r="G2818" s="312" t="s">
        <v>5640</v>
      </c>
      <c r="H2818" s="312">
        <v>1682</v>
      </c>
      <c r="I2818" s="312" t="s">
        <v>5639</v>
      </c>
      <c r="J2818" s="312">
        <v>1911</v>
      </c>
      <c r="K2818" s="312" t="s">
        <v>5641</v>
      </c>
    </row>
    <row r="2819" spans="1:11">
      <c r="A2819" s="312" t="s">
        <v>5471</v>
      </c>
      <c r="B2819" s="312" t="s">
        <v>5472</v>
      </c>
      <c r="C2819" s="312" t="s">
        <v>105</v>
      </c>
      <c r="D2819" s="312" t="s">
        <v>5473</v>
      </c>
      <c r="E2819" s="312" t="s">
        <v>3480</v>
      </c>
      <c r="F2819" s="312">
        <v>1708</v>
      </c>
      <c r="G2819" s="312" t="s">
        <v>3481</v>
      </c>
      <c r="H2819" s="312">
        <v>1710</v>
      </c>
      <c r="I2819" s="312" t="s">
        <v>3480</v>
      </c>
      <c r="J2819" s="312">
        <v>1909</v>
      </c>
      <c r="K2819" s="312" t="s">
        <v>3482</v>
      </c>
    </row>
    <row r="2820" spans="1:11">
      <c r="A2820" s="312" t="s">
        <v>5474</v>
      </c>
      <c r="B2820" s="312" t="s">
        <v>5475</v>
      </c>
      <c r="C2820" s="312" t="s">
        <v>105</v>
      </c>
      <c r="D2820" s="312" t="s">
        <v>5473</v>
      </c>
      <c r="E2820" s="312" t="s">
        <v>3480</v>
      </c>
      <c r="F2820" s="312">
        <v>1708</v>
      </c>
      <c r="G2820" s="312" t="s">
        <v>3481</v>
      </c>
      <c r="H2820" s="312">
        <v>1710</v>
      </c>
      <c r="I2820" s="312" t="s">
        <v>3480</v>
      </c>
      <c r="J2820" s="312">
        <v>1909</v>
      </c>
      <c r="K2820" s="312" t="s">
        <v>3482</v>
      </c>
    </row>
    <row r="2821" spans="1:11">
      <c r="A2821" s="312" t="s">
        <v>5476</v>
      </c>
      <c r="B2821" s="312" t="s">
        <v>5477</v>
      </c>
      <c r="C2821" s="312" t="s">
        <v>105</v>
      </c>
      <c r="D2821" s="312" t="s">
        <v>5473</v>
      </c>
      <c r="E2821" s="312" t="s">
        <v>3480</v>
      </c>
      <c r="F2821" s="312">
        <v>1708</v>
      </c>
      <c r="G2821" s="312" t="s">
        <v>3481</v>
      </c>
      <c r="H2821" s="312">
        <v>1710</v>
      </c>
      <c r="I2821" s="312" t="s">
        <v>3480</v>
      </c>
      <c r="J2821" s="312">
        <v>1909</v>
      </c>
      <c r="K2821" s="312" t="s">
        <v>3482</v>
      </c>
    </row>
    <row r="2822" spans="1:11">
      <c r="A2822" s="312" t="s">
        <v>5478</v>
      </c>
      <c r="B2822" s="312" t="s">
        <v>5479</v>
      </c>
      <c r="C2822" s="312" t="s">
        <v>105</v>
      </c>
      <c r="D2822" s="312" t="s">
        <v>5473</v>
      </c>
      <c r="E2822" s="312" t="s">
        <v>3480</v>
      </c>
      <c r="F2822" s="312">
        <v>1708</v>
      </c>
      <c r="G2822" s="312" t="s">
        <v>3481</v>
      </c>
      <c r="H2822" s="312">
        <v>1710</v>
      </c>
      <c r="I2822" s="312" t="s">
        <v>3480</v>
      </c>
      <c r="J2822" s="312">
        <v>1909</v>
      </c>
      <c r="K2822" s="312" t="s">
        <v>3482</v>
      </c>
    </row>
    <row r="2823" spans="1:11">
      <c r="A2823" s="312" t="s">
        <v>5480</v>
      </c>
      <c r="B2823" s="312" t="s">
        <v>5481</v>
      </c>
      <c r="C2823" s="312" t="s">
        <v>105</v>
      </c>
      <c r="D2823" s="312" t="s">
        <v>5473</v>
      </c>
      <c r="E2823" s="312" t="s">
        <v>3480</v>
      </c>
      <c r="F2823" s="312">
        <v>1708</v>
      </c>
      <c r="G2823" s="312" t="s">
        <v>3481</v>
      </c>
      <c r="H2823" s="312">
        <v>1710</v>
      </c>
      <c r="I2823" s="312" t="s">
        <v>3480</v>
      </c>
      <c r="J2823" s="312">
        <v>1909</v>
      </c>
      <c r="K2823" s="312" t="s">
        <v>3482</v>
      </c>
    </row>
    <row r="2824" spans="1:11">
      <c r="A2824" s="312" t="s">
        <v>5482</v>
      </c>
      <c r="B2824" s="312" t="s">
        <v>5483</v>
      </c>
      <c r="C2824" s="312" t="s">
        <v>105</v>
      </c>
      <c r="D2824" s="312" t="s">
        <v>5473</v>
      </c>
      <c r="E2824" s="312" t="s">
        <v>3480</v>
      </c>
      <c r="F2824" s="312">
        <v>1708</v>
      </c>
      <c r="G2824" s="312" t="s">
        <v>3481</v>
      </c>
      <c r="H2824" s="312">
        <v>1710</v>
      </c>
      <c r="I2824" s="312" t="s">
        <v>3480</v>
      </c>
      <c r="J2824" s="312">
        <v>1909</v>
      </c>
      <c r="K2824" s="312" t="s">
        <v>3482</v>
      </c>
    </row>
    <row r="2825" spans="1:11">
      <c r="A2825" s="312" t="s">
        <v>5484</v>
      </c>
      <c r="B2825" s="312" t="s">
        <v>5485</v>
      </c>
      <c r="C2825" s="312" t="s">
        <v>105</v>
      </c>
      <c r="D2825" s="312" t="s">
        <v>5473</v>
      </c>
      <c r="E2825" s="312" t="s">
        <v>3480</v>
      </c>
      <c r="F2825" s="312">
        <v>1708</v>
      </c>
      <c r="G2825" s="312" t="s">
        <v>3481</v>
      </c>
      <c r="H2825" s="312">
        <v>1710</v>
      </c>
      <c r="I2825" s="312" t="s">
        <v>3480</v>
      </c>
      <c r="J2825" s="312">
        <v>1909</v>
      </c>
      <c r="K2825" s="312" t="s">
        <v>3482</v>
      </c>
    </row>
    <row r="2826" spans="1:11">
      <c r="A2826" s="312" t="s">
        <v>5486</v>
      </c>
      <c r="B2826" s="312" t="s">
        <v>5487</v>
      </c>
      <c r="C2826" s="312" t="s">
        <v>105</v>
      </c>
      <c r="D2826" s="312" t="s">
        <v>5473</v>
      </c>
      <c r="E2826" s="312" t="s">
        <v>3480</v>
      </c>
      <c r="F2826" s="312">
        <v>1708</v>
      </c>
      <c r="G2826" s="312" t="s">
        <v>3481</v>
      </c>
      <c r="H2826" s="312">
        <v>1710</v>
      </c>
      <c r="I2826" s="312" t="s">
        <v>3480</v>
      </c>
      <c r="J2826" s="312">
        <v>1909</v>
      </c>
      <c r="K2826" s="312" t="s">
        <v>3482</v>
      </c>
    </row>
    <row r="2827" spans="1:11">
      <c r="A2827" s="312" t="s">
        <v>5488</v>
      </c>
      <c r="B2827" s="312" t="s">
        <v>5489</v>
      </c>
      <c r="C2827" s="312" t="s">
        <v>105</v>
      </c>
      <c r="D2827" s="312" t="s">
        <v>5473</v>
      </c>
      <c r="E2827" s="312" t="s">
        <v>3480</v>
      </c>
      <c r="F2827" s="312">
        <v>1708</v>
      </c>
      <c r="G2827" s="312" t="s">
        <v>3481</v>
      </c>
      <c r="H2827" s="312">
        <v>1710</v>
      </c>
      <c r="I2827" s="312" t="s">
        <v>3480</v>
      </c>
      <c r="J2827" s="312">
        <v>1909</v>
      </c>
      <c r="K2827" s="312" t="s">
        <v>3482</v>
      </c>
    </row>
    <row r="2828" spans="1:11">
      <c r="A2828" s="312" t="s">
        <v>5490</v>
      </c>
      <c r="B2828" s="312" t="s">
        <v>5491</v>
      </c>
      <c r="C2828" s="312" t="s">
        <v>105</v>
      </c>
      <c r="D2828" s="312" t="s">
        <v>5473</v>
      </c>
      <c r="E2828" s="312" t="s">
        <v>3480</v>
      </c>
      <c r="F2828" s="312">
        <v>1708</v>
      </c>
      <c r="G2828" s="312" t="s">
        <v>3481</v>
      </c>
      <c r="H2828" s="312">
        <v>1710</v>
      </c>
      <c r="I2828" s="312" t="s">
        <v>3480</v>
      </c>
      <c r="J2828" s="312">
        <v>1909</v>
      </c>
      <c r="K2828" s="312" t="s">
        <v>3482</v>
      </c>
    </row>
    <row r="2829" spans="1:11">
      <c r="A2829" s="312" t="s">
        <v>5492</v>
      </c>
      <c r="B2829" s="312" t="s">
        <v>5493</v>
      </c>
      <c r="C2829" s="312" t="s">
        <v>105</v>
      </c>
      <c r="D2829" s="312" t="s">
        <v>5473</v>
      </c>
      <c r="E2829" s="312" t="s">
        <v>3480</v>
      </c>
      <c r="F2829" s="312">
        <v>1708</v>
      </c>
      <c r="G2829" s="312" t="s">
        <v>3481</v>
      </c>
      <c r="H2829" s="312">
        <v>1710</v>
      </c>
      <c r="I2829" s="312" t="s">
        <v>3480</v>
      </c>
      <c r="J2829" s="312">
        <v>1909</v>
      </c>
      <c r="K2829" s="312" t="s">
        <v>3482</v>
      </c>
    </row>
    <row r="2830" spans="1:11">
      <c r="A2830" s="312" t="s">
        <v>5494</v>
      </c>
      <c r="B2830" s="312" t="s">
        <v>5495</v>
      </c>
      <c r="C2830" s="312" t="s">
        <v>105</v>
      </c>
      <c r="D2830" s="312" t="s">
        <v>5473</v>
      </c>
      <c r="E2830" s="312" t="s">
        <v>3480</v>
      </c>
      <c r="F2830" s="312">
        <v>1708</v>
      </c>
      <c r="G2830" s="312" t="s">
        <v>3481</v>
      </c>
      <c r="H2830" s="312">
        <v>1710</v>
      </c>
      <c r="I2830" s="312" t="s">
        <v>3480</v>
      </c>
      <c r="J2830" s="312">
        <v>1909</v>
      </c>
      <c r="K2830" s="312" t="s">
        <v>3482</v>
      </c>
    </row>
    <row r="2831" spans="1:11">
      <c r="A2831" s="312" t="s">
        <v>5496</v>
      </c>
      <c r="B2831" s="312" t="s">
        <v>5497</v>
      </c>
      <c r="C2831" s="312" t="s">
        <v>105</v>
      </c>
      <c r="D2831" s="312" t="s">
        <v>5473</v>
      </c>
      <c r="E2831" s="312" t="s">
        <v>3480</v>
      </c>
      <c r="F2831" s="312">
        <v>1708</v>
      </c>
      <c r="G2831" s="312" t="s">
        <v>3481</v>
      </c>
      <c r="H2831" s="312">
        <v>1710</v>
      </c>
      <c r="I2831" s="312" t="s">
        <v>3480</v>
      </c>
      <c r="J2831" s="312">
        <v>1909</v>
      </c>
      <c r="K2831" s="312" t="s">
        <v>3482</v>
      </c>
    </row>
    <row r="2832" spans="1:11">
      <c r="A2832" s="312" t="s">
        <v>5498</v>
      </c>
      <c r="B2832" s="312" t="s">
        <v>5499</v>
      </c>
      <c r="C2832" s="312" t="s">
        <v>105</v>
      </c>
      <c r="D2832" s="312" t="s">
        <v>5473</v>
      </c>
      <c r="E2832" s="312" t="s">
        <v>3480</v>
      </c>
      <c r="F2832" s="312">
        <v>1708</v>
      </c>
      <c r="G2832" s="312" t="s">
        <v>3481</v>
      </c>
      <c r="H2832" s="312">
        <v>1710</v>
      </c>
      <c r="I2832" s="312" t="s">
        <v>3480</v>
      </c>
      <c r="J2832" s="312">
        <v>1909</v>
      </c>
      <c r="K2832" s="312" t="s">
        <v>3482</v>
      </c>
    </row>
    <row r="2833" spans="1:11">
      <c r="A2833" s="312" t="s">
        <v>5500</v>
      </c>
      <c r="B2833" s="312" t="s">
        <v>5501</v>
      </c>
      <c r="C2833" s="312" t="s">
        <v>105</v>
      </c>
      <c r="D2833" s="312" t="s">
        <v>5473</v>
      </c>
      <c r="E2833" s="312" t="s">
        <v>3480</v>
      </c>
      <c r="F2833" s="312">
        <v>1708</v>
      </c>
      <c r="G2833" s="312" t="s">
        <v>3481</v>
      </c>
      <c r="H2833" s="312">
        <v>1710</v>
      </c>
      <c r="I2833" s="312" t="s">
        <v>3480</v>
      </c>
      <c r="J2833" s="312">
        <v>1909</v>
      </c>
      <c r="K2833" s="312" t="s">
        <v>3482</v>
      </c>
    </row>
    <row r="2834" spans="1:11">
      <c r="A2834" s="312" t="s">
        <v>5502</v>
      </c>
      <c r="B2834" s="312" t="s">
        <v>5503</v>
      </c>
      <c r="C2834" s="312" t="s">
        <v>105</v>
      </c>
      <c r="D2834" s="312" t="s">
        <v>5473</v>
      </c>
      <c r="E2834" s="312" t="s">
        <v>3480</v>
      </c>
      <c r="F2834" s="312">
        <v>1708</v>
      </c>
      <c r="G2834" s="312" t="s">
        <v>3481</v>
      </c>
      <c r="H2834" s="312">
        <v>1710</v>
      </c>
      <c r="I2834" s="312" t="s">
        <v>3480</v>
      </c>
      <c r="J2834" s="312">
        <v>1909</v>
      </c>
      <c r="K2834" s="312" t="s">
        <v>3482</v>
      </c>
    </row>
    <row r="2835" spans="1:11">
      <c r="A2835" s="312" t="s">
        <v>5504</v>
      </c>
      <c r="B2835" s="312" t="s">
        <v>5505</v>
      </c>
      <c r="C2835" s="312" t="s">
        <v>105</v>
      </c>
      <c r="D2835" s="312" t="s">
        <v>5473</v>
      </c>
      <c r="E2835" s="312" t="s">
        <v>3480</v>
      </c>
      <c r="F2835" s="312">
        <v>1708</v>
      </c>
      <c r="G2835" s="312" t="s">
        <v>3481</v>
      </c>
      <c r="H2835" s="312">
        <v>1710</v>
      </c>
      <c r="I2835" s="312" t="s">
        <v>3480</v>
      </c>
      <c r="J2835" s="312">
        <v>1909</v>
      </c>
      <c r="K2835" s="312" t="s">
        <v>3482</v>
      </c>
    </row>
    <row r="2836" spans="1:11">
      <c r="A2836" s="312" t="s">
        <v>5506</v>
      </c>
      <c r="B2836" s="312" t="s">
        <v>5507</v>
      </c>
      <c r="C2836" s="312" t="s">
        <v>105</v>
      </c>
      <c r="D2836" s="312" t="s">
        <v>5473</v>
      </c>
      <c r="E2836" s="312" t="s">
        <v>3480</v>
      </c>
      <c r="F2836" s="312">
        <v>1708</v>
      </c>
      <c r="G2836" s="312" t="s">
        <v>3481</v>
      </c>
      <c r="H2836" s="312">
        <v>1710</v>
      </c>
      <c r="I2836" s="312" t="s">
        <v>3480</v>
      </c>
      <c r="J2836" s="312">
        <v>1909</v>
      </c>
      <c r="K2836" s="312" t="s">
        <v>3482</v>
      </c>
    </row>
    <row r="2837" spans="1:11">
      <c r="A2837" s="312" t="s">
        <v>5508</v>
      </c>
      <c r="B2837" s="312" t="s">
        <v>5509</v>
      </c>
      <c r="C2837" s="312" t="s">
        <v>105</v>
      </c>
      <c r="D2837" s="312" t="s">
        <v>5473</v>
      </c>
      <c r="E2837" s="312" t="s">
        <v>3480</v>
      </c>
      <c r="F2837" s="312">
        <v>1708</v>
      </c>
      <c r="G2837" s="312" t="s">
        <v>3481</v>
      </c>
      <c r="H2837" s="312">
        <v>1710</v>
      </c>
      <c r="I2837" s="312" t="s">
        <v>3480</v>
      </c>
      <c r="J2837" s="312">
        <v>1909</v>
      </c>
      <c r="K2837" s="312" t="s">
        <v>3482</v>
      </c>
    </row>
    <row r="2838" spans="1:11">
      <c r="A2838" s="312" t="s">
        <v>5510</v>
      </c>
      <c r="B2838" s="312" t="s">
        <v>5511</v>
      </c>
      <c r="C2838" s="312" t="s">
        <v>105</v>
      </c>
      <c r="D2838" s="312" t="s">
        <v>5473</v>
      </c>
      <c r="E2838" s="312" t="s">
        <v>3480</v>
      </c>
      <c r="F2838" s="312">
        <v>1708</v>
      </c>
      <c r="G2838" s="312" t="s">
        <v>3481</v>
      </c>
      <c r="H2838" s="312">
        <v>1710</v>
      </c>
      <c r="I2838" s="312" t="s">
        <v>3480</v>
      </c>
      <c r="J2838" s="312">
        <v>1909</v>
      </c>
      <c r="K2838" s="312" t="s">
        <v>3482</v>
      </c>
    </row>
    <row r="2839" spans="1:11">
      <c r="A2839" s="312" t="s">
        <v>5512</v>
      </c>
      <c r="B2839" s="312" t="s">
        <v>5513</v>
      </c>
      <c r="C2839" s="312" t="s">
        <v>105</v>
      </c>
      <c r="D2839" s="312" t="s">
        <v>5473</v>
      </c>
      <c r="E2839" s="312" t="s">
        <v>3480</v>
      </c>
      <c r="F2839" s="312">
        <v>1708</v>
      </c>
      <c r="G2839" s="312" t="s">
        <v>3481</v>
      </c>
      <c r="H2839" s="312">
        <v>1710</v>
      </c>
      <c r="I2839" s="312" t="s">
        <v>3480</v>
      </c>
      <c r="J2839" s="312">
        <v>1909</v>
      </c>
      <c r="K2839" s="312" t="s">
        <v>3482</v>
      </c>
    </row>
    <row r="2840" spans="1:11">
      <c r="A2840" s="312" t="s">
        <v>5514</v>
      </c>
      <c r="B2840" s="312" t="s">
        <v>5515</v>
      </c>
      <c r="C2840" s="312" t="s">
        <v>105</v>
      </c>
      <c r="D2840" s="312" t="s">
        <v>5473</v>
      </c>
      <c r="E2840" s="312" t="s">
        <v>3480</v>
      </c>
      <c r="F2840" s="312">
        <v>1708</v>
      </c>
      <c r="G2840" s="312" t="s">
        <v>3481</v>
      </c>
      <c r="H2840" s="312">
        <v>1710</v>
      </c>
      <c r="I2840" s="312" t="s">
        <v>3480</v>
      </c>
      <c r="J2840" s="312">
        <v>1909</v>
      </c>
      <c r="K2840" s="312" t="s">
        <v>3482</v>
      </c>
    </row>
    <row r="2841" spans="1:11">
      <c r="A2841" s="312" t="s">
        <v>5516</v>
      </c>
      <c r="B2841" s="312" t="s">
        <v>5517</v>
      </c>
      <c r="C2841" s="312" t="s">
        <v>105</v>
      </c>
      <c r="D2841" s="312" t="s">
        <v>5473</v>
      </c>
      <c r="E2841" s="312" t="s">
        <v>3480</v>
      </c>
      <c r="F2841" s="312">
        <v>1708</v>
      </c>
      <c r="G2841" s="312" t="s">
        <v>3481</v>
      </c>
      <c r="H2841" s="312">
        <v>1710</v>
      </c>
      <c r="I2841" s="312" t="s">
        <v>3480</v>
      </c>
      <c r="J2841" s="312">
        <v>1909</v>
      </c>
      <c r="K2841" s="312" t="s">
        <v>3482</v>
      </c>
    </row>
    <row r="2842" spans="1:11">
      <c r="A2842" s="312" t="s">
        <v>5518</v>
      </c>
      <c r="B2842" s="312" t="s">
        <v>5519</v>
      </c>
      <c r="C2842" s="312" t="s">
        <v>105</v>
      </c>
      <c r="D2842" s="312" t="s">
        <v>5473</v>
      </c>
      <c r="E2842" s="312" t="s">
        <v>3480</v>
      </c>
      <c r="F2842" s="312">
        <v>1708</v>
      </c>
      <c r="G2842" s="312" t="s">
        <v>3481</v>
      </c>
      <c r="H2842" s="312">
        <v>1710</v>
      </c>
      <c r="I2842" s="312" t="s">
        <v>3480</v>
      </c>
      <c r="J2842" s="312">
        <v>1909</v>
      </c>
      <c r="K2842" s="312" t="s">
        <v>3482</v>
      </c>
    </row>
    <row r="2843" spans="1:11">
      <c r="A2843" s="312" t="s">
        <v>5520</v>
      </c>
      <c r="B2843" s="312" t="s">
        <v>5521</v>
      </c>
      <c r="C2843" s="312" t="s">
        <v>105</v>
      </c>
      <c r="D2843" s="312" t="s">
        <v>5473</v>
      </c>
      <c r="E2843" s="312" t="s">
        <v>3480</v>
      </c>
      <c r="F2843" s="312">
        <v>1708</v>
      </c>
      <c r="G2843" s="312" t="s">
        <v>3481</v>
      </c>
      <c r="H2843" s="312">
        <v>1710</v>
      </c>
      <c r="I2843" s="312" t="s">
        <v>3480</v>
      </c>
      <c r="J2843" s="312">
        <v>1909</v>
      </c>
      <c r="K2843" s="312" t="s">
        <v>3482</v>
      </c>
    </row>
    <row r="2844" spans="1:11">
      <c r="A2844" s="312" t="s">
        <v>5522</v>
      </c>
      <c r="B2844" s="312" t="s">
        <v>5523</v>
      </c>
      <c r="C2844" s="312" t="s">
        <v>105</v>
      </c>
      <c r="D2844" s="312" t="s">
        <v>5473</v>
      </c>
      <c r="E2844" s="312" t="s">
        <v>3480</v>
      </c>
      <c r="F2844" s="312">
        <v>1708</v>
      </c>
      <c r="G2844" s="312" t="s">
        <v>3481</v>
      </c>
      <c r="H2844" s="312">
        <v>1710</v>
      </c>
      <c r="I2844" s="312" t="s">
        <v>3480</v>
      </c>
      <c r="J2844" s="312">
        <v>1909</v>
      </c>
      <c r="K2844" s="312" t="s">
        <v>3482</v>
      </c>
    </row>
    <row r="2845" spans="1:11">
      <c r="A2845" s="312" t="s">
        <v>5524</v>
      </c>
      <c r="B2845" s="312" t="s">
        <v>5525</v>
      </c>
      <c r="C2845" s="312" t="s">
        <v>105</v>
      </c>
      <c r="D2845" s="312" t="s">
        <v>5473</v>
      </c>
      <c r="E2845" s="312" t="s">
        <v>3480</v>
      </c>
      <c r="F2845" s="312">
        <v>1708</v>
      </c>
      <c r="G2845" s="312" t="s">
        <v>3481</v>
      </c>
      <c r="H2845" s="312">
        <v>1710</v>
      </c>
      <c r="I2845" s="312" t="s">
        <v>3480</v>
      </c>
      <c r="J2845" s="312">
        <v>1909</v>
      </c>
      <c r="K2845" s="312" t="s">
        <v>3482</v>
      </c>
    </row>
    <row r="2846" spans="1:11">
      <c r="A2846" s="312" t="s">
        <v>5526</v>
      </c>
      <c r="B2846" s="312" t="s">
        <v>5527</v>
      </c>
      <c r="C2846" s="312" t="s">
        <v>105</v>
      </c>
      <c r="D2846" s="312" t="s">
        <v>5473</v>
      </c>
      <c r="E2846" s="312" t="s">
        <v>3480</v>
      </c>
      <c r="F2846" s="312">
        <v>1708</v>
      </c>
      <c r="G2846" s="312" t="s">
        <v>3481</v>
      </c>
      <c r="H2846" s="312">
        <v>1710</v>
      </c>
      <c r="I2846" s="312" t="s">
        <v>3480</v>
      </c>
      <c r="J2846" s="312">
        <v>1909</v>
      </c>
      <c r="K2846" s="312" t="s">
        <v>3482</v>
      </c>
    </row>
    <row r="2847" spans="1:11">
      <c r="A2847" s="312" t="s">
        <v>5528</v>
      </c>
      <c r="B2847" s="312" t="s">
        <v>5529</v>
      </c>
      <c r="C2847" s="312" t="s">
        <v>105</v>
      </c>
      <c r="D2847" s="312" t="s">
        <v>5473</v>
      </c>
      <c r="E2847" s="312" t="s">
        <v>3480</v>
      </c>
      <c r="F2847" s="312">
        <v>1708</v>
      </c>
      <c r="G2847" s="312" t="s">
        <v>3481</v>
      </c>
      <c r="H2847" s="312">
        <v>1710</v>
      </c>
      <c r="I2847" s="312" t="s">
        <v>3480</v>
      </c>
      <c r="J2847" s="312">
        <v>1909</v>
      </c>
      <c r="K2847" s="312" t="s">
        <v>3482</v>
      </c>
    </row>
    <row r="2848" spans="1:11">
      <c r="A2848" s="312" t="s">
        <v>5530</v>
      </c>
      <c r="B2848" s="312" t="s">
        <v>5531</v>
      </c>
      <c r="C2848" s="312" t="s">
        <v>105</v>
      </c>
      <c r="D2848" s="312" t="s">
        <v>5473</v>
      </c>
      <c r="E2848" s="312" t="s">
        <v>3480</v>
      </c>
      <c r="F2848" s="312">
        <v>1708</v>
      </c>
      <c r="G2848" s="312" t="s">
        <v>3481</v>
      </c>
      <c r="H2848" s="312">
        <v>1710</v>
      </c>
      <c r="I2848" s="312" t="s">
        <v>3480</v>
      </c>
      <c r="J2848" s="312">
        <v>1909</v>
      </c>
      <c r="K2848" s="312" t="s">
        <v>3482</v>
      </c>
    </row>
    <row r="2849" spans="1:11">
      <c r="A2849" s="312" t="s">
        <v>5532</v>
      </c>
      <c r="B2849" s="312" t="s">
        <v>5533</v>
      </c>
      <c r="C2849" s="312" t="s">
        <v>105</v>
      </c>
      <c r="D2849" s="312" t="s">
        <v>5473</v>
      </c>
      <c r="E2849" s="312" t="s">
        <v>3480</v>
      </c>
      <c r="F2849" s="312">
        <v>1708</v>
      </c>
      <c r="G2849" s="312" t="s">
        <v>3481</v>
      </c>
      <c r="H2849" s="312">
        <v>1710</v>
      </c>
      <c r="I2849" s="312" t="s">
        <v>3480</v>
      </c>
      <c r="J2849" s="312">
        <v>1909</v>
      </c>
      <c r="K2849" s="312" t="s">
        <v>3482</v>
      </c>
    </row>
    <row r="2850" spans="1:11">
      <c r="A2850" s="312" t="s">
        <v>5534</v>
      </c>
      <c r="B2850" s="312" t="s">
        <v>5535</v>
      </c>
      <c r="C2850" s="312" t="s">
        <v>105</v>
      </c>
      <c r="D2850" s="312" t="s">
        <v>5473</v>
      </c>
      <c r="E2850" s="312" t="s">
        <v>3480</v>
      </c>
      <c r="F2850" s="312">
        <v>1708</v>
      </c>
      <c r="G2850" s="312" t="s">
        <v>3481</v>
      </c>
      <c r="H2850" s="312">
        <v>1710</v>
      </c>
      <c r="I2850" s="312" t="s">
        <v>3480</v>
      </c>
      <c r="J2850" s="312">
        <v>1909</v>
      </c>
      <c r="K2850" s="312" t="s">
        <v>3482</v>
      </c>
    </row>
    <row r="2851" spans="1:11">
      <c r="A2851" s="312" t="s">
        <v>5536</v>
      </c>
      <c r="B2851" s="312" t="s">
        <v>5537</v>
      </c>
      <c r="C2851" s="312" t="s">
        <v>105</v>
      </c>
      <c r="D2851" s="312" t="s">
        <v>5473</v>
      </c>
      <c r="E2851" s="312" t="s">
        <v>3480</v>
      </c>
      <c r="F2851" s="312">
        <v>1708</v>
      </c>
      <c r="G2851" s="312" t="s">
        <v>3481</v>
      </c>
      <c r="H2851" s="312">
        <v>1710</v>
      </c>
      <c r="I2851" s="312" t="s">
        <v>3480</v>
      </c>
      <c r="J2851" s="312">
        <v>1909</v>
      </c>
      <c r="K2851" s="312" t="s">
        <v>3482</v>
      </c>
    </row>
    <row r="2852" spans="1:11">
      <c r="A2852" s="312" t="s">
        <v>5538</v>
      </c>
      <c r="B2852" s="312" t="s">
        <v>5539</v>
      </c>
      <c r="C2852" s="312" t="s">
        <v>105</v>
      </c>
      <c r="D2852" s="312" t="s">
        <v>5473</v>
      </c>
      <c r="E2852" s="312" t="s">
        <v>3480</v>
      </c>
      <c r="F2852" s="312">
        <v>1708</v>
      </c>
      <c r="G2852" s="312" t="s">
        <v>3481</v>
      </c>
      <c r="H2852" s="312">
        <v>1710</v>
      </c>
      <c r="I2852" s="312" t="s">
        <v>3480</v>
      </c>
      <c r="J2852" s="312">
        <v>1909</v>
      </c>
      <c r="K2852" s="312" t="s">
        <v>3482</v>
      </c>
    </row>
    <row r="2853" spans="1:11">
      <c r="A2853" s="312" t="s">
        <v>5540</v>
      </c>
      <c r="B2853" s="312" t="s">
        <v>5541</v>
      </c>
      <c r="C2853" s="312" t="s">
        <v>105</v>
      </c>
      <c r="D2853" s="312" t="s">
        <v>5473</v>
      </c>
      <c r="E2853" s="312" t="s">
        <v>3480</v>
      </c>
      <c r="F2853" s="312">
        <v>1708</v>
      </c>
      <c r="G2853" s="312" t="s">
        <v>3481</v>
      </c>
      <c r="H2853" s="312">
        <v>1710</v>
      </c>
      <c r="I2853" s="312" t="s">
        <v>3480</v>
      </c>
      <c r="J2853" s="312">
        <v>1909</v>
      </c>
      <c r="K2853" s="312" t="s">
        <v>3482</v>
      </c>
    </row>
    <row r="2854" spans="1:11">
      <c r="A2854" s="312" t="s">
        <v>5542</v>
      </c>
      <c r="B2854" s="312" t="s">
        <v>5543</v>
      </c>
      <c r="C2854" s="312" t="s">
        <v>105</v>
      </c>
      <c r="D2854" s="312" t="s">
        <v>5473</v>
      </c>
      <c r="E2854" s="312" t="s">
        <v>3480</v>
      </c>
      <c r="F2854" s="312">
        <v>1708</v>
      </c>
      <c r="G2854" s="312" t="s">
        <v>3481</v>
      </c>
      <c r="H2854" s="312">
        <v>1710</v>
      </c>
      <c r="I2854" s="312" t="s">
        <v>3480</v>
      </c>
      <c r="J2854" s="312">
        <v>1909</v>
      </c>
      <c r="K2854" s="312" t="s">
        <v>3482</v>
      </c>
    </row>
    <row r="2855" spans="1:11">
      <c r="A2855" s="312" t="s">
        <v>5544</v>
      </c>
      <c r="B2855" s="312" t="s">
        <v>5545</v>
      </c>
      <c r="C2855" s="312" t="s">
        <v>105</v>
      </c>
      <c r="D2855" s="312" t="s">
        <v>5473</v>
      </c>
      <c r="E2855" s="312" t="s">
        <v>3480</v>
      </c>
      <c r="F2855" s="312">
        <v>1708</v>
      </c>
      <c r="G2855" s="312" t="s">
        <v>3481</v>
      </c>
      <c r="H2855" s="312">
        <v>1710</v>
      </c>
      <c r="I2855" s="312" t="s">
        <v>3480</v>
      </c>
      <c r="J2855" s="312">
        <v>1909</v>
      </c>
      <c r="K2855" s="312" t="s">
        <v>3482</v>
      </c>
    </row>
    <row r="2856" spans="1:11">
      <c r="A2856" s="312" t="s">
        <v>5546</v>
      </c>
      <c r="B2856" s="312" t="s">
        <v>5547</v>
      </c>
      <c r="C2856" s="312" t="s">
        <v>105</v>
      </c>
      <c r="D2856" s="312" t="s">
        <v>5473</v>
      </c>
      <c r="E2856" s="312" t="s">
        <v>3480</v>
      </c>
      <c r="F2856" s="312">
        <v>1708</v>
      </c>
      <c r="G2856" s="312" t="s">
        <v>3481</v>
      </c>
      <c r="H2856" s="312">
        <v>1710</v>
      </c>
      <c r="I2856" s="312" t="s">
        <v>3480</v>
      </c>
      <c r="J2856" s="312">
        <v>1909</v>
      </c>
      <c r="K2856" s="312" t="s">
        <v>3482</v>
      </c>
    </row>
    <row r="2857" spans="1:11">
      <c r="A2857" s="312" t="s">
        <v>5548</v>
      </c>
      <c r="B2857" s="312" t="s">
        <v>5549</v>
      </c>
      <c r="C2857" s="312" t="s">
        <v>105</v>
      </c>
      <c r="D2857" s="312" t="s">
        <v>5473</v>
      </c>
      <c r="E2857" s="312" t="s">
        <v>3480</v>
      </c>
      <c r="F2857" s="312">
        <v>1708</v>
      </c>
      <c r="G2857" s="312" t="s">
        <v>3481</v>
      </c>
      <c r="H2857" s="312">
        <v>1710</v>
      </c>
      <c r="I2857" s="312" t="s">
        <v>3480</v>
      </c>
      <c r="J2857" s="312">
        <v>1909</v>
      </c>
      <c r="K2857" s="312" t="s">
        <v>3482</v>
      </c>
    </row>
    <row r="2858" spans="1:11">
      <c r="A2858" s="312" t="s">
        <v>5550</v>
      </c>
      <c r="B2858" s="1" t="s">
        <v>5551</v>
      </c>
      <c r="C2858" s="312" t="s">
        <v>105</v>
      </c>
      <c r="D2858" s="312" t="s">
        <v>5473</v>
      </c>
      <c r="E2858" s="312" t="s">
        <v>3480</v>
      </c>
      <c r="F2858" s="312">
        <v>1708</v>
      </c>
      <c r="G2858" s="312" t="s">
        <v>3481</v>
      </c>
      <c r="H2858" s="312">
        <v>1710</v>
      </c>
      <c r="I2858" s="312" t="s">
        <v>3480</v>
      </c>
      <c r="J2858" s="312">
        <v>1909</v>
      </c>
      <c r="K2858" s="312" t="s">
        <v>3482</v>
      </c>
    </row>
    <row r="2859" spans="1:11">
      <c r="A2859" s="312" t="s">
        <v>5552</v>
      </c>
      <c r="B2859" s="312" t="s">
        <v>5553</v>
      </c>
      <c r="C2859" s="312" t="s">
        <v>105</v>
      </c>
      <c r="D2859" s="312" t="s">
        <v>5473</v>
      </c>
      <c r="E2859" s="312" t="s">
        <v>3480</v>
      </c>
      <c r="F2859" s="312">
        <v>1708</v>
      </c>
      <c r="G2859" s="312" t="s">
        <v>3481</v>
      </c>
      <c r="H2859" s="312">
        <v>1710</v>
      </c>
      <c r="I2859" s="312" t="s">
        <v>3480</v>
      </c>
      <c r="J2859" s="312">
        <v>1909</v>
      </c>
      <c r="K2859" s="312" t="s">
        <v>3482</v>
      </c>
    </row>
    <row r="2860" spans="1:11">
      <c r="A2860" s="312" t="s">
        <v>5554</v>
      </c>
      <c r="B2860" s="312" t="s">
        <v>5555</v>
      </c>
      <c r="C2860" s="312" t="s">
        <v>105</v>
      </c>
      <c r="D2860" s="312" t="s">
        <v>5473</v>
      </c>
      <c r="E2860" s="312" t="s">
        <v>3480</v>
      </c>
      <c r="F2860" s="312">
        <v>1708</v>
      </c>
      <c r="G2860" s="312" t="s">
        <v>3481</v>
      </c>
      <c r="H2860" s="312">
        <v>1710</v>
      </c>
      <c r="I2860" s="312" t="s">
        <v>3480</v>
      </c>
      <c r="J2860" s="312">
        <v>1909</v>
      </c>
      <c r="K2860" s="312" t="s">
        <v>3482</v>
      </c>
    </row>
    <row r="2861" spans="1:11">
      <c r="A2861" s="312" t="s">
        <v>5556</v>
      </c>
      <c r="B2861" s="312" t="s">
        <v>5557</v>
      </c>
      <c r="C2861" s="312" t="s">
        <v>105</v>
      </c>
      <c r="D2861" s="312" t="s">
        <v>5473</v>
      </c>
      <c r="E2861" s="312" t="s">
        <v>3480</v>
      </c>
      <c r="F2861" s="312">
        <v>1708</v>
      </c>
      <c r="G2861" s="312" t="s">
        <v>3481</v>
      </c>
      <c r="H2861" s="312">
        <v>1710</v>
      </c>
      <c r="I2861" s="312" t="s">
        <v>3480</v>
      </c>
      <c r="J2861" s="312">
        <v>1909</v>
      </c>
      <c r="K2861" s="312" t="s">
        <v>3482</v>
      </c>
    </row>
    <row r="2862" spans="1:11">
      <c r="A2862" s="312" t="s">
        <v>5558</v>
      </c>
      <c r="B2862" s="312" t="s">
        <v>5559</v>
      </c>
      <c r="C2862" s="312" t="s">
        <v>105</v>
      </c>
      <c r="D2862" s="312" t="s">
        <v>5473</v>
      </c>
      <c r="E2862" s="312" t="s">
        <v>3480</v>
      </c>
      <c r="F2862" s="312">
        <v>1708</v>
      </c>
      <c r="G2862" s="312" t="s">
        <v>3481</v>
      </c>
      <c r="H2862" s="312">
        <v>1710</v>
      </c>
      <c r="I2862" s="312" t="s">
        <v>3480</v>
      </c>
      <c r="J2862" s="312">
        <v>1909</v>
      </c>
      <c r="K2862" s="312" t="s">
        <v>3482</v>
      </c>
    </row>
    <row r="2863" spans="1:11">
      <c r="A2863" s="312" t="s">
        <v>5560</v>
      </c>
      <c r="B2863" s="312" t="s">
        <v>5561</v>
      </c>
      <c r="C2863" s="312" t="s">
        <v>105</v>
      </c>
      <c r="D2863" s="312" t="s">
        <v>5473</v>
      </c>
      <c r="E2863" s="312" t="s">
        <v>3480</v>
      </c>
      <c r="F2863" s="312">
        <v>1708</v>
      </c>
      <c r="G2863" s="312" t="s">
        <v>3481</v>
      </c>
      <c r="H2863" s="312">
        <v>1710</v>
      </c>
      <c r="I2863" s="312" t="s">
        <v>3480</v>
      </c>
      <c r="J2863" s="312">
        <v>1909</v>
      </c>
      <c r="K2863" s="312" t="s">
        <v>3482</v>
      </c>
    </row>
    <row r="2864" spans="1:11">
      <c r="A2864" s="312" t="s">
        <v>5562</v>
      </c>
      <c r="B2864" s="312" t="s">
        <v>5563</v>
      </c>
      <c r="C2864" s="312" t="s">
        <v>105</v>
      </c>
      <c r="D2864" s="312" t="s">
        <v>5473</v>
      </c>
      <c r="E2864" s="312" t="s">
        <v>3480</v>
      </c>
      <c r="F2864" s="312">
        <v>1708</v>
      </c>
      <c r="G2864" s="312" t="s">
        <v>3481</v>
      </c>
      <c r="H2864" s="312">
        <v>1710</v>
      </c>
      <c r="I2864" s="312" t="s">
        <v>3480</v>
      </c>
      <c r="J2864" s="312">
        <v>1909</v>
      </c>
      <c r="K2864" s="312" t="s">
        <v>3482</v>
      </c>
    </row>
    <row r="2865" spans="1:11">
      <c r="A2865" s="312" t="s">
        <v>5564</v>
      </c>
      <c r="B2865" s="312" t="s">
        <v>5565</v>
      </c>
      <c r="C2865" s="312" t="s">
        <v>105</v>
      </c>
      <c r="D2865" s="312" t="s">
        <v>5473</v>
      </c>
      <c r="E2865" s="312" t="s">
        <v>3480</v>
      </c>
      <c r="F2865" s="312">
        <v>1708</v>
      </c>
      <c r="G2865" s="312" t="s">
        <v>3481</v>
      </c>
      <c r="H2865" s="312">
        <v>1710</v>
      </c>
      <c r="I2865" s="312" t="s">
        <v>3480</v>
      </c>
      <c r="J2865" s="312">
        <v>1909</v>
      </c>
      <c r="K2865" s="312" t="s">
        <v>3482</v>
      </c>
    </row>
    <row r="2866" spans="1:11">
      <c r="A2866" s="312" t="s">
        <v>5566</v>
      </c>
      <c r="B2866" s="312" t="s">
        <v>5567</v>
      </c>
      <c r="C2866" s="312" t="s">
        <v>105</v>
      </c>
      <c r="D2866" s="312" t="s">
        <v>5473</v>
      </c>
      <c r="E2866" s="312" t="s">
        <v>3480</v>
      </c>
      <c r="F2866" s="312">
        <v>1708</v>
      </c>
      <c r="G2866" s="312" t="s">
        <v>3481</v>
      </c>
      <c r="H2866" s="312">
        <v>1710</v>
      </c>
      <c r="I2866" s="312" t="s">
        <v>3480</v>
      </c>
      <c r="J2866" s="312">
        <v>1909</v>
      </c>
      <c r="K2866" s="312" t="s">
        <v>3482</v>
      </c>
    </row>
    <row r="2867" spans="1:11">
      <c r="A2867" s="312" t="s">
        <v>5568</v>
      </c>
      <c r="B2867" s="312" t="s">
        <v>5569</v>
      </c>
      <c r="C2867" s="312" t="s">
        <v>105</v>
      </c>
      <c r="D2867" s="312" t="s">
        <v>5473</v>
      </c>
      <c r="E2867" s="312" t="s">
        <v>3480</v>
      </c>
      <c r="F2867" s="312">
        <v>1708</v>
      </c>
      <c r="G2867" s="312" t="s">
        <v>3481</v>
      </c>
      <c r="H2867" s="312">
        <v>1710</v>
      </c>
      <c r="I2867" s="312" t="s">
        <v>3480</v>
      </c>
      <c r="J2867" s="312">
        <v>1909</v>
      </c>
      <c r="K2867" s="312" t="s">
        <v>3482</v>
      </c>
    </row>
    <row r="2868" spans="1:11">
      <c r="A2868" s="312" t="s">
        <v>5570</v>
      </c>
      <c r="B2868" s="312" t="s">
        <v>5571</v>
      </c>
      <c r="C2868" s="312" t="s">
        <v>105</v>
      </c>
      <c r="D2868" s="312" t="s">
        <v>5473</v>
      </c>
      <c r="E2868" s="312" t="s">
        <v>3480</v>
      </c>
      <c r="F2868" s="312">
        <v>1708</v>
      </c>
      <c r="G2868" s="312" t="s">
        <v>3481</v>
      </c>
      <c r="H2868" s="312">
        <v>1710</v>
      </c>
      <c r="I2868" s="312" t="s">
        <v>3480</v>
      </c>
      <c r="J2868" s="312">
        <v>1909</v>
      </c>
      <c r="K2868" s="312" t="s">
        <v>3482</v>
      </c>
    </row>
    <row r="2869" spans="1:11">
      <c r="A2869" s="312" t="s">
        <v>5572</v>
      </c>
      <c r="B2869" s="312" t="s">
        <v>5573</v>
      </c>
      <c r="C2869" s="312" t="s">
        <v>105</v>
      </c>
      <c r="D2869" s="312" t="s">
        <v>5473</v>
      </c>
      <c r="E2869" s="312" t="s">
        <v>3480</v>
      </c>
      <c r="F2869" s="312">
        <v>1708</v>
      </c>
      <c r="G2869" s="312" t="s">
        <v>3481</v>
      </c>
      <c r="H2869" s="312">
        <v>1710</v>
      </c>
      <c r="I2869" s="312" t="s">
        <v>3480</v>
      </c>
      <c r="J2869" s="312">
        <v>1909</v>
      </c>
      <c r="K2869" s="312" t="s">
        <v>3482</v>
      </c>
    </row>
    <row r="2870" spans="1:11">
      <c r="A2870" s="312" t="s">
        <v>5574</v>
      </c>
      <c r="B2870" s="312" t="s">
        <v>5575</v>
      </c>
      <c r="C2870" s="312" t="s">
        <v>105</v>
      </c>
      <c r="D2870" s="312" t="s">
        <v>5473</v>
      </c>
      <c r="E2870" s="312" t="s">
        <v>3480</v>
      </c>
      <c r="F2870" s="312">
        <v>1708</v>
      </c>
      <c r="G2870" s="312" t="s">
        <v>3481</v>
      </c>
      <c r="H2870" s="312">
        <v>1710</v>
      </c>
      <c r="I2870" s="312" t="s">
        <v>3480</v>
      </c>
      <c r="J2870" s="312">
        <v>1909</v>
      </c>
      <c r="K2870" s="312" t="s">
        <v>3482</v>
      </c>
    </row>
    <row r="2871" spans="1:11">
      <c r="A2871" s="312" t="s">
        <v>5576</v>
      </c>
      <c r="B2871" s="312" t="s">
        <v>5577</v>
      </c>
      <c r="C2871" s="312" t="s">
        <v>105</v>
      </c>
      <c r="D2871" s="312" t="s">
        <v>5473</v>
      </c>
      <c r="E2871" s="312" t="s">
        <v>3480</v>
      </c>
      <c r="F2871" s="312">
        <v>1708</v>
      </c>
      <c r="G2871" s="312" t="s">
        <v>3481</v>
      </c>
      <c r="H2871" s="312">
        <v>1710</v>
      </c>
      <c r="I2871" s="312" t="s">
        <v>3480</v>
      </c>
      <c r="J2871" s="312">
        <v>1909</v>
      </c>
      <c r="K2871" s="312" t="s">
        <v>3482</v>
      </c>
    </row>
    <row r="2872" spans="1:11">
      <c r="A2872" s="312" t="s">
        <v>5578</v>
      </c>
      <c r="B2872" s="312" t="s">
        <v>5579</v>
      </c>
      <c r="C2872" s="312" t="s">
        <v>105</v>
      </c>
      <c r="D2872" s="312" t="s">
        <v>5473</v>
      </c>
      <c r="E2872" s="312" t="s">
        <v>3480</v>
      </c>
      <c r="F2872" s="312">
        <v>1708</v>
      </c>
      <c r="G2872" s="312" t="s">
        <v>3481</v>
      </c>
      <c r="H2872" s="312">
        <v>1710</v>
      </c>
      <c r="I2872" s="312" t="s">
        <v>3480</v>
      </c>
      <c r="J2872" s="312">
        <v>1909</v>
      </c>
      <c r="K2872" s="312" t="s">
        <v>3482</v>
      </c>
    </row>
    <row r="2873" spans="1:11">
      <c r="A2873" s="312" t="s">
        <v>5580</v>
      </c>
      <c r="B2873" s="312" t="s">
        <v>5581</v>
      </c>
      <c r="C2873" s="312" t="s">
        <v>105</v>
      </c>
      <c r="D2873" s="312" t="s">
        <v>5473</v>
      </c>
      <c r="E2873" s="312" t="s">
        <v>3480</v>
      </c>
      <c r="F2873" s="312">
        <v>1708</v>
      </c>
      <c r="G2873" s="312" t="s">
        <v>3481</v>
      </c>
      <c r="H2873" s="312">
        <v>1710</v>
      </c>
      <c r="I2873" s="312" t="s">
        <v>3480</v>
      </c>
      <c r="J2873" s="312">
        <v>1909</v>
      </c>
      <c r="K2873" s="312" t="s">
        <v>3482</v>
      </c>
    </row>
    <row r="2874" spans="1:11">
      <c r="A2874" s="312" t="s">
        <v>5582</v>
      </c>
      <c r="B2874" s="312" t="s">
        <v>5583</v>
      </c>
      <c r="C2874" s="312" t="s">
        <v>105</v>
      </c>
      <c r="D2874" s="312" t="s">
        <v>5473</v>
      </c>
      <c r="E2874" s="312" t="s">
        <v>3480</v>
      </c>
      <c r="F2874" s="312">
        <v>1708</v>
      </c>
      <c r="G2874" s="312" t="s">
        <v>3481</v>
      </c>
      <c r="H2874" s="312">
        <v>1710</v>
      </c>
      <c r="I2874" s="312" t="s">
        <v>3480</v>
      </c>
      <c r="J2874" s="312">
        <v>1909</v>
      </c>
      <c r="K2874" s="312" t="s">
        <v>3482</v>
      </c>
    </row>
    <row r="2875" spans="1:11">
      <c r="A2875" s="312" t="s">
        <v>5584</v>
      </c>
      <c r="B2875" s="312" t="s">
        <v>5585</v>
      </c>
      <c r="C2875" s="312" t="s">
        <v>105</v>
      </c>
      <c r="D2875" s="312" t="s">
        <v>5473</v>
      </c>
      <c r="E2875" s="312" t="s">
        <v>3480</v>
      </c>
      <c r="F2875" s="312">
        <v>1708</v>
      </c>
      <c r="G2875" s="312" t="s">
        <v>3481</v>
      </c>
      <c r="H2875" s="312">
        <v>1710</v>
      </c>
      <c r="I2875" s="312" t="s">
        <v>3480</v>
      </c>
      <c r="J2875" s="312">
        <v>1909</v>
      </c>
      <c r="K2875" s="312" t="s">
        <v>3482</v>
      </c>
    </row>
    <row r="2876" spans="1:11">
      <c r="A2876" s="312" t="s">
        <v>5586</v>
      </c>
      <c r="B2876" s="312" t="s">
        <v>5587</v>
      </c>
      <c r="C2876" s="312" t="s">
        <v>105</v>
      </c>
      <c r="D2876" s="312" t="s">
        <v>5473</v>
      </c>
      <c r="E2876" s="312" t="s">
        <v>3480</v>
      </c>
      <c r="F2876" s="312">
        <v>1708</v>
      </c>
      <c r="G2876" s="312" t="s">
        <v>3481</v>
      </c>
      <c r="H2876" s="312">
        <v>1710</v>
      </c>
      <c r="I2876" s="312" t="s">
        <v>3480</v>
      </c>
      <c r="J2876" s="312">
        <v>1909</v>
      </c>
      <c r="K2876" s="312" t="s">
        <v>3482</v>
      </c>
    </row>
    <row r="2877" spans="1:11">
      <c r="A2877" s="312" t="s">
        <v>5588</v>
      </c>
      <c r="B2877" s="312" t="s">
        <v>5589</v>
      </c>
      <c r="C2877" s="312" t="s">
        <v>105</v>
      </c>
      <c r="D2877" s="312" t="s">
        <v>5473</v>
      </c>
      <c r="E2877" s="312" t="s">
        <v>3480</v>
      </c>
      <c r="F2877" s="312">
        <v>1708</v>
      </c>
      <c r="G2877" s="312" t="s">
        <v>3481</v>
      </c>
      <c r="H2877" s="312">
        <v>1710</v>
      </c>
      <c r="I2877" s="312" t="s">
        <v>3480</v>
      </c>
      <c r="J2877" s="312">
        <v>1909</v>
      </c>
      <c r="K2877" s="312" t="s">
        <v>3482</v>
      </c>
    </row>
    <row r="2878" spans="1:11">
      <c r="A2878" s="312" t="s">
        <v>5590</v>
      </c>
      <c r="B2878" s="312" t="s">
        <v>5591</v>
      </c>
      <c r="C2878" s="312" t="s">
        <v>105</v>
      </c>
      <c r="D2878" s="312" t="s">
        <v>5473</v>
      </c>
      <c r="E2878" s="312" t="s">
        <v>3480</v>
      </c>
      <c r="F2878" s="312">
        <v>1708</v>
      </c>
      <c r="G2878" s="312" t="s">
        <v>3481</v>
      </c>
      <c r="H2878" s="312">
        <v>1710</v>
      </c>
      <c r="I2878" s="312" t="s">
        <v>3480</v>
      </c>
      <c r="J2878" s="312">
        <v>1909</v>
      </c>
      <c r="K2878" s="312" t="s">
        <v>3482</v>
      </c>
    </row>
    <row r="2879" spans="1:11">
      <c r="A2879" s="312" t="s">
        <v>5592</v>
      </c>
      <c r="B2879" s="312" t="s">
        <v>5593</v>
      </c>
      <c r="C2879" s="312" t="s">
        <v>105</v>
      </c>
      <c r="D2879" s="312" t="s">
        <v>5473</v>
      </c>
      <c r="E2879" s="312" t="s">
        <v>3480</v>
      </c>
      <c r="F2879" s="312">
        <v>1708</v>
      </c>
      <c r="G2879" s="312" t="s">
        <v>3481</v>
      </c>
      <c r="H2879" s="312">
        <v>1710</v>
      </c>
      <c r="I2879" s="312" t="s">
        <v>3480</v>
      </c>
      <c r="J2879" s="312">
        <v>1909</v>
      </c>
      <c r="K2879" s="312" t="s">
        <v>3482</v>
      </c>
    </row>
    <row r="2880" spans="1:11">
      <c r="A2880" s="312" t="s">
        <v>5594</v>
      </c>
      <c r="B2880" s="312" t="s">
        <v>5595</v>
      </c>
      <c r="C2880" s="312" t="s">
        <v>105</v>
      </c>
      <c r="D2880" s="312" t="s">
        <v>5473</v>
      </c>
      <c r="E2880" s="312" t="s">
        <v>3480</v>
      </c>
      <c r="F2880" s="312">
        <v>1708</v>
      </c>
      <c r="G2880" s="312" t="s">
        <v>3481</v>
      </c>
      <c r="H2880" s="312">
        <v>1710</v>
      </c>
      <c r="I2880" s="312" t="s">
        <v>3480</v>
      </c>
      <c r="J2880" s="312">
        <v>1909</v>
      </c>
      <c r="K2880" s="312" t="s">
        <v>3482</v>
      </c>
    </row>
    <row r="2881" spans="1:11">
      <c r="A2881" s="312" t="s">
        <v>5596</v>
      </c>
      <c r="B2881" s="312" t="s">
        <v>5597</v>
      </c>
      <c r="C2881" s="312" t="s">
        <v>105</v>
      </c>
      <c r="D2881" s="312" t="s">
        <v>5473</v>
      </c>
      <c r="E2881" s="312" t="s">
        <v>3480</v>
      </c>
      <c r="F2881" s="312">
        <v>1708</v>
      </c>
      <c r="G2881" s="312" t="s">
        <v>3481</v>
      </c>
      <c r="H2881" s="312">
        <v>1710</v>
      </c>
      <c r="I2881" s="312" t="s">
        <v>3480</v>
      </c>
      <c r="J2881" s="312">
        <v>1909</v>
      </c>
      <c r="K2881" s="312" t="s">
        <v>3482</v>
      </c>
    </row>
    <row r="2882" spans="1:11">
      <c r="A2882" s="312" t="s">
        <v>5598</v>
      </c>
      <c r="B2882" s="312" t="s">
        <v>5599</v>
      </c>
      <c r="C2882" s="312" t="s">
        <v>105</v>
      </c>
      <c r="D2882" s="312" t="s">
        <v>5473</v>
      </c>
      <c r="E2882" s="312" t="s">
        <v>3480</v>
      </c>
      <c r="F2882" s="312">
        <v>1708</v>
      </c>
      <c r="G2882" s="312" t="s">
        <v>3481</v>
      </c>
      <c r="H2882" s="312">
        <v>1710</v>
      </c>
      <c r="I2882" s="312" t="s">
        <v>3480</v>
      </c>
      <c r="J2882" s="312">
        <v>1909</v>
      </c>
      <c r="K2882" s="312" t="s">
        <v>3482</v>
      </c>
    </row>
    <row r="2883" spans="1:11">
      <c r="A2883" s="312" t="s">
        <v>5600</v>
      </c>
      <c r="B2883" s="312" t="s">
        <v>5601</v>
      </c>
      <c r="C2883" s="312" t="s">
        <v>105</v>
      </c>
      <c r="D2883" s="312" t="s">
        <v>5473</v>
      </c>
      <c r="E2883" s="312" t="s">
        <v>3480</v>
      </c>
      <c r="F2883" s="312">
        <v>1708</v>
      </c>
      <c r="G2883" s="312" t="s">
        <v>3481</v>
      </c>
      <c r="H2883" s="312">
        <v>1710</v>
      </c>
      <c r="I2883" s="312" t="s">
        <v>3480</v>
      </c>
      <c r="J2883" s="312">
        <v>1909</v>
      </c>
      <c r="K2883" s="312" t="s">
        <v>3482</v>
      </c>
    </row>
    <row r="2884" spans="1:11">
      <c r="A2884" s="312" t="s">
        <v>5602</v>
      </c>
      <c r="B2884" s="312" t="s">
        <v>5603</v>
      </c>
      <c r="C2884" s="312" t="s">
        <v>105</v>
      </c>
      <c r="D2884" s="312" t="s">
        <v>5473</v>
      </c>
      <c r="E2884" s="312" t="s">
        <v>3480</v>
      </c>
      <c r="F2884" s="312">
        <v>1708</v>
      </c>
      <c r="G2884" s="312" t="s">
        <v>3481</v>
      </c>
      <c r="H2884" s="312">
        <v>1710</v>
      </c>
      <c r="I2884" s="312" t="s">
        <v>3480</v>
      </c>
      <c r="J2884" s="312">
        <v>1909</v>
      </c>
      <c r="K2884" s="312" t="s">
        <v>3482</v>
      </c>
    </row>
    <row r="2885" spans="1:11">
      <c r="A2885" s="312" t="s">
        <v>5604</v>
      </c>
      <c r="B2885" s="312" t="s">
        <v>5605</v>
      </c>
      <c r="C2885" s="312" t="s">
        <v>105</v>
      </c>
      <c r="D2885" s="312" t="s">
        <v>5473</v>
      </c>
      <c r="E2885" s="312" t="s">
        <v>3480</v>
      </c>
      <c r="F2885" s="312">
        <v>1708</v>
      </c>
      <c r="G2885" s="312" t="s">
        <v>3481</v>
      </c>
      <c r="H2885" s="312">
        <v>1710</v>
      </c>
      <c r="I2885" s="312" t="s">
        <v>3480</v>
      </c>
      <c r="J2885" s="312">
        <v>1909</v>
      </c>
      <c r="K2885" s="312" t="s">
        <v>3482</v>
      </c>
    </row>
    <row r="2886" spans="1:11">
      <c r="A2886" s="312" t="s">
        <v>5606</v>
      </c>
      <c r="B2886" s="312" t="s">
        <v>5607</v>
      </c>
      <c r="C2886" s="312" t="s">
        <v>105</v>
      </c>
      <c r="D2886" s="312" t="s">
        <v>5473</v>
      </c>
      <c r="E2886" s="312" t="s">
        <v>3480</v>
      </c>
      <c r="F2886" s="312">
        <v>1708</v>
      </c>
      <c r="G2886" s="312" t="s">
        <v>3481</v>
      </c>
      <c r="H2886" s="312">
        <v>1710</v>
      </c>
      <c r="I2886" s="312" t="s">
        <v>3480</v>
      </c>
      <c r="J2886" s="312">
        <v>1909</v>
      </c>
      <c r="K2886" s="312" t="s">
        <v>3482</v>
      </c>
    </row>
    <row r="2887" spans="1:11">
      <c r="A2887" s="312" t="s">
        <v>5608</v>
      </c>
      <c r="B2887" s="312" t="s">
        <v>5609</v>
      </c>
      <c r="C2887" s="312" t="s">
        <v>105</v>
      </c>
      <c r="D2887" s="312" t="s">
        <v>5473</v>
      </c>
      <c r="E2887" s="312" t="s">
        <v>3480</v>
      </c>
      <c r="F2887" s="312">
        <v>1708</v>
      </c>
      <c r="G2887" s="312" t="s">
        <v>3481</v>
      </c>
      <c r="H2887" s="312">
        <v>1710</v>
      </c>
      <c r="I2887" s="312" t="s">
        <v>3480</v>
      </c>
      <c r="J2887" s="312">
        <v>1909</v>
      </c>
      <c r="K2887" s="312" t="s">
        <v>3482</v>
      </c>
    </row>
    <row r="2888" spans="1:11">
      <c r="A2888" s="312" t="s">
        <v>5610</v>
      </c>
      <c r="B2888" s="312" t="s">
        <v>5611</v>
      </c>
      <c r="C2888" s="312" t="s">
        <v>105</v>
      </c>
      <c r="D2888" s="312" t="s">
        <v>5473</v>
      </c>
      <c r="E2888" s="312" t="s">
        <v>3480</v>
      </c>
      <c r="F2888" s="312">
        <v>1708</v>
      </c>
      <c r="G2888" s="312" t="s">
        <v>3481</v>
      </c>
      <c r="H2888" s="312">
        <v>1710</v>
      </c>
      <c r="I2888" s="312" t="s">
        <v>3480</v>
      </c>
      <c r="J2888" s="312">
        <v>1909</v>
      </c>
      <c r="K2888" s="312" t="s">
        <v>3482</v>
      </c>
    </row>
    <row r="2889" spans="1:11">
      <c r="A2889" s="312" t="s">
        <v>5734</v>
      </c>
      <c r="B2889" s="1" t="s">
        <v>5735</v>
      </c>
      <c r="C2889" s="312" t="s">
        <v>105</v>
      </c>
      <c r="D2889" s="312" t="s">
        <v>5736</v>
      </c>
      <c r="E2889" s="312" t="s">
        <v>3480</v>
      </c>
      <c r="F2889" s="312">
        <v>1708</v>
      </c>
      <c r="G2889" s="312" t="s">
        <v>3481</v>
      </c>
      <c r="H2889" s="312">
        <v>1710</v>
      </c>
      <c r="I2889" s="312" t="s">
        <v>3480</v>
      </c>
      <c r="J2889" s="312">
        <v>1909</v>
      </c>
      <c r="K2889" s="312" t="s">
        <v>3482</v>
      </c>
    </row>
    <row r="2890" spans="1:11">
      <c r="A2890" s="312" t="s">
        <v>5737</v>
      </c>
      <c r="B2890" s="312" t="s">
        <v>5738</v>
      </c>
      <c r="C2890" s="312" t="s">
        <v>105</v>
      </c>
      <c r="D2890" s="312" t="s">
        <v>5736</v>
      </c>
      <c r="E2890" s="312" t="s">
        <v>3480</v>
      </c>
      <c r="F2890" s="312">
        <v>1708</v>
      </c>
      <c r="G2890" s="312" t="s">
        <v>3481</v>
      </c>
      <c r="H2890" s="312">
        <v>1710</v>
      </c>
      <c r="I2890" s="312" t="s">
        <v>3480</v>
      </c>
      <c r="J2890" s="312">
        <v>1909</v>
      </c>
      <c r="K2890" s="312" t="s">
        <v>3482</v>
      </c>
    </row>
    <row r="2891" spans="1:11">
      <c r="A2891" s="312" t="s">
        <v>5739</v>
      </c>
      <c r="B2891" s="312" t="s">
        <v>5740</v>
      </c>
      <c r="C2891" s="312" t="s">
        <v>105</v>
      </c>
      <c r="D2891" s="312" t="s">
        <v>5736</v>
      </c>
      <c r="E2891" s="312" t="s">
        <v>3480</v>
      </c>
      <c r="F2891" s="312">
        <v>1708</v>
      </c>
      <c r="G2891" s="312" t="s">
        <v>3481</v>
      </c>
      <c r="H2891" s="312">
        <v>1710</v>
      </c>
      <c r="I2891" s="312" t="s">
        <v>3480</v>
      </c>
      <c r="J2891" s="312">
        <v>1909</v>
      </c>
      <c r="K2891" s="312" t="s">
        <v>3482</v>
      </c>
    </row>
    <row r="2892" spans="1:11">
      <c r="A2892" s="312" t="s">
        <v>5741</v>
      </c>
      <c r="B2892" s="312" t="s">
        <v>5742</v>
      </c>
      <c r="C2892" s="312" t="s">
        <v>105</v>
      </c>
      <c r="D2892" s="312" t="s">
        <v>5736</v>
      </c>
      <c r="E2892" s="312" t="s">
        <v>3480</v>
      </c>
      <c r="F2892" s="312">
        <v>1708</v>
      </c>
      <c r="G2892" s="312" t="s">
        <v>3481</v>
      </c>
      <c r="H2892" s="312">
        <v>1710</v>
      </c>
      <c r="I2892" s="312" t="s">
        <v>3480</v>
      </c>
      <c r="J2892" s="312">
        <v>1909</v>
      </c>
      <c r="K2892" s="312" t="s">
        <v>3482</v>
      </c>
    </row>
    <row r="2893" spans="1:11">
      <c r="A2893" s="312" t="s">
        <v>5743</v>
      </c>
      <c r="B2893" s="312" t="s">
        <v>5744</v>
      </c>
      <c r="C2893" s="312" t="s">
        <v>105</v>
      </c>
      <c r="D2893" s="312" t="s">
        <v>5736</v>
      </c>
      <c r="E2893" s="312" t="s">
        <v>3480</v>
      </c>
      <c r="F2893" s="312">
        <v>1708</v>
      </c>
      <c r="G2893" s="312" t="s">
        <v>3481</v>
      </c>
      <c r="H2893" s="312">
        <v>1710</v>
      </c>
      <c r="I2893" s="312" t="s">
        <v>3480</v>
      </c>
      <c r="J2893" s="312">
        <v>1909</v>
      </c>
      <c r="K2893" s="312" t="s">
        <v>3482</v>
      </c>
    </row>
    <row r="2894" spans="1:11">
      <c r="A2894" s="312" t="s">
        <v>5612</v>
      </c>
      <c r="B2894" s="312" t="s">
        <v>5613</v>
      </c>
      <c r="C2894" s="312" t="s">
        <v>105</v>
      </c>
      <c r="D2894" s="312" t="s">
        <v>5614</v>
      </c>
      <c r="E2894" s="312" t="s">
        <v>3480</v>
      </c>
      <c r="F2894" s="312">
        <v>1708</v>
      </c>
      <c r="G2894" s="312" t="s">
        <v>3481</v>
      </c>
      <c r="H2894" s="312">
        <v>1710</v>
      </c>
      <c r="I2894" s="312" t="s">
        <v>3480</v>
      </c>
      <c r="J2894" s="312">
        <v>1909</v>
      </c>
      <c r="K2894" s="312" t="s">
        <v>3482</v>
      </c>
    </row>
    <row r="2895" spans="1:11">
      <c r="A2895" s="312" t="s">
        <v>5615</v>
      </c>
      <c r="B2895" s="312" t="s">
        <v>5616</v>
      </c>
      <c r="C2895" s="312" t="s">
        <v>105</v>
      </c>
      <c r="D2895" s="312" t="s">
        <v>5614</v>
      </c>
      <c r="E2895" s="312" t="s">
        <v>3480</v>
      </c>
      <c r="F2895" s="312">
        <v>1708</v>
      </c>
      <c r="G2895" s="312" t="s">
        <v>3481</v>
      </c>
      <c r="H2895" s="312">
        <v>1710</v>
      </c>
      <c r="I2895" s="312" t="s">
        <v>3480</v>
      </c>
      <c r="J2895" s="312">
        <v>1909</v>
      </c>
      <c r="K2895" s="312" t="s">
        <v>3482</v>
      </c>
    </row>
    <row r="2896" spans="1:11">
      <c r="A2896" s="312" t="s">
        <v>5617</v>
      </c>
      <c r="B2896" s="312" t="s">
        <v>5618</v>
      </c>
      <c r="C2896" s="312" t="s">
        <v>105</v>
      </c>
      <c r="D2896" s="312" t="s">
        <v>5614</v>
      </c>
      <c r="E2896" s="312" t="s">
        <v>3480</v>
      </c>
      <c r="F2896" s="312">
        <v>1708</v>
      </c>
      <c r="G2896" s="312" t="s">
        <v>3481</v>
      </c>
      <c r="H2896" s="312">
        <v>1710</v>
      </c>
      <c r="I2896" s="312" t="s">
        <v>3480</v>
      </c>
      <c r="J2896" s="312">
        <v>1909</v>
      </c>
      <c r="K2896" s="312" t="s">
        <v>3482</v>
      </c>
    </row>
    <row r="2897" spans="1:11">
      <c r="A2897" s="312" t="s">
        <v>5619</v>
      </c>
      <c r="B2897" s="312" t="s">
        <v>5620</v>
      </c>
      <c r="C2897" s="312" t="s">
        <v>105</v>
      </c>
      <c r="D2897" s="312" t="s">
        <v>5614</v>
      </c>
      <c r="E2897" s="312" t="s">
        <v>3480</v>
      </c>
      <c r="F2897" s="312">
        <v>1708</v>
      </c>
      <c r="G2897" s="312" t="s">
        <v>3481</v>
      </c>
      <c r="H2897" s="312">
        <v>1710</v>
      </c>
      <c r="I2897" s="312" t="s">
        <v>3480</v>
      </c>
      <c r="J2897" s="312">
        <v>1909</v>
      </c>
      <c r="K2897" s="312" t="s">
        <v>3482</v>
      </c>
    </row>
    <row r="2898" spans="1:11">
      <c r="A2898" s="312" t="s">
        <v>5621</v>
      </c>
      <c r="B2898" s="312" t="s">
        <v>5622</v>
      </c>
      <c r="C2898" s="312" t="s">
        <v>105</v>
      </c>
      <c r="D2898" s="312" t="s">
        <v>5614</v>
      </c>
      <c r="E2898" s="312" t="s">
        <v>3480</v>
      </c>
      <c r="F2898" s="312">
        <v>1708</v>
      </c>
      <c r="G2898" s="312" t="s">
        <v>3481</v>
      </c>
      <c r="H2898" s="312">
        <v>1710</v>
      </c>
      <c r="I2898" s="312" t="s">
        <v>3480</v>
      </c>
      <c r="J2898" s="312">
        <v>1909</v>
      </c>
      <c r="K2898" s="312" t="s">
        <v>3482</v>
      </c>
    </row>
    <row r="2899" spans="1:11">
      <c r="A2899" s="312" t="s">
        <v>5623</v>
      </c>
      <c r="B2899" s="312" t="s">
        <v>5624</v>
      </c>
      <c r="C2899" s="312" t="s">
        <v>105</v>
      </c>
      <c r="D2899" s="312" t="s">
        <v>5614</v>
      </c>
      <c r="E2899" s="312" t="s">
        <v>3480</v>
      </c>
      <c r="F2899" s="312">
        <v>1708</v>
      </c>
      <c r="G2899" s="312" t="s">
        <v>3481</v>
      </c>
      <c r="H2899" s="312">
        <v>1710</v>
      </c>
      <c r="I2899" s="312" t="s">
        <v>3480</v>
      </c>
      <c r="J2899" s="312">
        <v>1909</v>
      </c>
      <c r="K2899" s="312" t="s">
        <v>3482</v>
      </c>
    </row>
    <row r="2900" spans="1:11">
      <c r="A2900" s="312" t="s">
        <v>5625</v>
      </c>
      <c r="B2900" s="312" t="s">
        <v>5626</v>
      </c>
      <c r="C2900" s="312" t="s">
        <v>105</v>
      </c>
      <c r="D2900" s="312" t="s">
        <v>5614</v>
      </c>
      <c r="E2900" s="312" t="s">
        <v>3480</v>
      </c>
      <c r="F2900" s="312">
        <v>1708</v>
      </c>
      <c r="G2900" s="312" t="s">
        <v>3481</v>
      </c>
      <c r="H2900" s="312">
        <v>1710</v>
      </c>
      <c r="I2900" s="312" t="s">
        <v>3480</v>
      </c>
      <c r="J2900" s="312">
        <v>1909</v>
      </c>
      <c r="K2900" s="312" t="s">
        <v>3482</v>
      </c>
    </row>
    <row r="2901" spans="1:11">
      <c r="A2901" s="312" t="s">
        <v>5627</v>
      </c>
      <c r="B2901" s="312" t="s">
        <v>5628</v>
      </c>
      <c r="C2901" s="312" t="s">
        <v>105</v>
      </c>
      <c r="D2901" s="312" t="s">
        <v>5614</v>
      </c>
      <c r="E2901" s="312" t="s">
        <v>3480</v>
      </c>
      <c r="F2901" s="312">
        <v>1708</v>
      </c>
      <c r="G2901" s="312" t="s">
        <v>3481</v>
      </c>
      <c r="H2901" s="312">
        <v>1710</v>
      </c>
      <c r="I2901" s="312" t="s">
        <v>3480</v>
      </c>
      <c r="J2901" s="312">
        <v>1909</v>
      </c>
      <c r="K2901" s="312" t="s">
        <v>3482</v>
      </c>
    </row>
    <row r="2902" spans="1:11">
      <c r="A2902" s="312" t="s">
        <v>5462</v>
      </c>
      <c r="B2902" s="312" t="s">
        <v>5463</v>
      </c>
      <c r="C2902" s="312" t="s">
        <v>105</v>
      </c>
      <c r="D2902" s="312" t="s">
        <v>5464</v>
      </c>
      <c r="E2902" s="312" t="s">
        <v>3480</v>
      </c>
      <c r="F2902" s="312">
        <v>1708</v>
      </c>
      <c r="G2902" s="312" t="s">
        <v>3481</v>
      </c>
      <c r="H2902" s="312">
        <v>1710</v>
      </c>
      <c r="I2902" s="312" t="s">
        <v>3480</v>
      </c>
      <c r="J2902" s="312">
        <v>1909</v>
      </c>
      <c r="K2902" s="312" t="s">
        <v>3482</v>
      </c>
    </row>
    <row r="2903" spans="1:11">
      <c r="A2903" s="312" t="s">
        <v>5465</v>
      </c>
      <c r="B2903" s="312" t="s">
        <v>5466</v>
      </c>
      <c r="C2903" s="312" t="s">
        <v>105</v>
      </c>
      <c r="D2903" s="312" t="s">
        <v>5464</v>
      </c>
      <c r="E2903" s="312" t="s">
        <v>3480</v>
      </c>
      <c r="F2903" s="312">
        <v>1708</v>
      </c>
      <c r="G2903" s="312" t="s">
        <v>3481</v>
      </c>
      <c r="H2903" s="312">
        <v>1710</v>
      </c>
      <c r="I2903" s="312" t="s">
        <v>3480</v>
      </c>
      <c r="J2903" s="312">
        <v>1909</v>
      </c>
      <c r="K2903" s="312" t="s">
        <v>3482</v>
      </c>
    </row>
    <row r="2904" spans="1:11">
      <c r="A2904" s="312" t="s">
        <v>5467</v>
      </c>
      <c r="B2904" s="312" t="s">
        <v>5468</v>
      </c>
      <c r="C2904" s="312" t="s">
        <v>105</v>
      </c>
      <c r="D2904" s="312" t="s">
        <v>5464</v>
      </c>
      <c r="E2904" s="312" t="s">
        <v>3480</v>
      </c>
      <c r="F2904" s="312">
        <v>1708</v>
      </c>
      <c r="G2904" s="312" t="s">
        <v>3481</v>
      </c>
      <c r="H2904" s="312">
        <v>1710</v>
      </c>
      <c r="I2904" s="312" t="s">
        <v>3480</v>
      </c>
      <c r="J2904" s="312">
        <v>1909</v>
      </c>
      <c r="K2904" s="312" t="s">
        <v>3482</v>
      </c>
    </row>
    <row r="2905" spans="1:11">
      <c r="A2905" s="312" t="s">
        <v>5469</v>
      </c>
      <c r="B2905" s="312" t="s">
        <v>5470</v>
      </c>
      <c r="C2905" s="312" t="s">
        <v>105</v>
      </c>
      <c r="D2905" s="312" t="s">
        <v>5464</v>
      </c>
      <c r="E2905" s="312" t="s">
        <v>3480</v>
      </c>
      <c r="F2905" s="312">
        <v>1708</v>
      </c>
      <c r="G2905" s="312" t="s">
        <v>3481</v>
      </c>
      <c r="H2905" s="312">
        <v>1710</v>
      </c>
      <c r="I2905" s="312" t="s">
        <v>3480</v>
      </c>
      <c r="J2905" s="312">
        <v>1909</v>
      </c>
      <c r="K2905" s="312" t="s">
        <v>3482</v>
      </c>
    </row>
    <row r="2906" spans="1:11">
      <c r="A2906" s="312" t="s">
        <v>5448</v>
      </c>
      <c r="B2906" s="312" t="s">
        <v>5449</v>
      </c>
      <c r="C2906" s="312" t="s">
        <v>105</v>
      </c>
      <c r="D2906" s="312" t="s">
        <v>5450</v>
      </c>
      <c r="E2906" s="312" t="s">
        <v>3480</v>
      </c>
      <c r="F2906" s="312">
        <v>1708</v>
      </c>
      <c r="G2906" s="312" t="s">
        <v>3481</v>
      </c>
      <c r="H2906" s="312">
        <v>1710</v>
      </c>
      <c r="I2906" s="312" t="s">
        <v>3480</v>
      </c>
      <c r="J2906" s="312">
        <v>1909</v>
      </c>
      <c r="K2906" s="312" t="s">
        <v>3482</v>
      </c>
    </row>
    <row r="2907" spans="1:11">
      <c r="A2907" s="312" t="s">
        <v>5451</v>
      </c>
      <c r="B2907" s="312" t="s">
        <v>5452</v>
      </c>
      <c r="C2907" s="312" t="s">
        <v>105</v>
      </c>
      <c r="D2907" s="312" t="s">
        <v>5450</v>
      </c>
      <c r="E2907" s="312" t="s">
        <v>3480</v>
      </c>
      <c r="F2907" s="312">
        <v>1708</v>
      </c>
      <c r="G2907" s="312" t="s">
        <v>3481</v>
      </c>
      <c r="H2907" s="312">
        <v>1710</v>
      </c>
      <c r="I2907" s="312" t="s">
        <v>3480</v>
      </c>
      <c r="J2907" s="312">
        <v>1909</v>
      </c>
      <c r="K2907" s="312" t="s">
        <v>3482</v>
      </c>
    </row>
    <row r="2908" spans="1:11">
      <c r="A2908" s="312" t="s">
        <v>5453</v>
      </c>
      <c r="B2908" s="312" t="s">
        <v>5454</v>
      </c>
      <c r="C2908" s="312" t="s">
        <v>105</v>
      </c>
      <c r="D2908" s="312" t="s">
        <v>5450</v>
      </c>
      <c r="E2908" s="312" t="s">
        <v>3480</v>
      </c>
      <c r="F2908" s="312">
        <v>1708</v>
      </c>
      <c r="G2908" s="312" t="s">
        <v>3481</v>
      </c>
      <c r="H2908" s="312">
        <v>1710</v>
      </c>
      <c r="I2908" s="312" t="s">
        <v>3480</v>
      </c>
      <c r="J2908" s="312">
        <v>1909</v>
      </c>
      <c r="K2908" s="312" t="s">
        <v>3482</v>
      </c>
    </row>
    <row r="2909" spans="1:11">
      <c r="A2909" s="312" t="s">
        <v>5457</v>
      </c>
      <c r="B2909" s="312" t="s">
        <v>5458</v>
      </c>
      <c r="C2909" s="312" t="s">
        <v>105</v>
      </c>
      <c r="D2909" s="312" t="s">
        <v>5450</v>
      </c>
      <c r="E2909" s="312" t="s">
        <v>3480</v>
      </c>
      <c r="F2909" s="312">
        <v>1708</v>
      </c>
      <c r="G2909" s="312" t="s">
        <v>3481</v>
      </c>
      <c r="H2909" s="312">
        <v>1710</v>
      </c>
      <c r="I2909" s="312" t="s">
        <v>3480</v>
      </c>
      <c r="J2909" s="312">
        <v>1909</v>
      </c>
      <c r="K2909" s="312" t="s">
        <v>3482</v>
      </c>
    </row>
    <row r="2910" spans="1:11">
      <c r="A2910" s="312" t="s">
        <v>5633</v>
      </c>
      <c r="B2910" s="312" t="s">
        <v>5634</v>
      </c>
      <c r="C2910" s="312" t="s">
        <v>105</v>
      </c>
      <c r="D2910" s="312" t="s">
        <v>5450</v>
      </c>
      <c r="E2910" s="312" t="s">
        <v>886</v>
      </c>
      <c r="F2910" s="312">
        <v>1857</v>
      </c>
      <c r="G2910" s="312" t="s">
        <v>887</v>
      </c>
      <c r="H2910" s="312">
        <v>1858</v>
      </c>
      <c r="I2910" s="312" t="s">
        <v>886</v>
      </c>
      <c r="J2910" s="312">
        <v>1924</v>
      </c>
      <c r="K2910" s="312" t="s">
        <v>888</v>
      </c>
    </row>
    <row r="2911" spans="1:11">
      <c r="A2911" s="312" t="s">
        <v>5635</v>
      </c>
      <c r="B2911" s="312" t="s">
        <v>5636</v>
      </c>
      <c r="C2911" s="312" t="s">
        <v>105</v>
      </c>
      <c r="D2911" s="312" t="s">
        <v>5450</v>
      </c>
      <c r="E2911" s="312" t="s">
        <v>167</v>
      </c>
      <c r="F2911" s="312">
        <v>1705</v>
      </c>
      <c r="G2911" s="312" t="s">
        <v>168</v>
      </c>
      <c r="H2911" s="312">
        <v>1707</v>
      </c>
      <c r="I2911" s="312" t="s">
        <v>167</v>
      </c>
      <c r="J2911" s="312">
        <v>1899</v>
      </c>
      <c r="K2911" s="312" t="s">
        <v>169</v>
      </c>
    </row>
    <row r="2912" spans="1:11">
      <c r="A2912" s="312" t="s">
        <v>5637</v>
      </c>
      <c r="B2912" s="312" t="s">
        <v>5638</v>
      </c>
      <c r="C2912" s="312" t="s">
        <v>105</v>
      </c>
      <c r="D2912" s="312" t="s">
        <v>5450</v>
      </c>
      <c r="E2912" s="312" t="s">
        <v>5639</v>
      </c>
      <c r="F2912" s="312">
        <v>1680</v>
      </c>
      <c r="G2912" s="312" t="s">
        <v>5640</v>
      </c>
      <c r="H2912" s="312">
        <v>1682</v>
      </c>
      <c r="I2912" s="312" t="s">
        <v>5639</v>
      </c>
      <c r="J2912" s="312">
        <v>1911</v>
      </c>
      <c r="K2912" s="312" t="s">
        <v>5641</v>
      </c>
    </row>
    <row r="2913" spans="1:11">
      <c r="A2913" s="312" t="s">
        <v>5642</v>
      </c>
      <c r="B2913" s="312" t="s">
        <v>5643</v>
      </c>
      <c r="C2913" s="312" t="s">
        <v>105</v>
      </c>
      <c r="D2913" s="312" t="s">
        <v>5450</v>
      </c>
      <c r="E2913" s="312" t="s">
        <v>5639</v>
      </c>
      <c r="F2913" s="312">
        <v>1680</v>
      </c>
      <c r="G2913" s="312" t="s">
        <v>5640</v>
      </c>
      <c r="H2913" s="312">
        <v>1682</v>
      </c>
      <c r="I2913" s="312" t="s">
        <v>5639</v>
      </c>
      <c r="J2913" s="312">
        <v>1911</v>
      </c>
      <c r="K2913" s="312" t="s">
        <v>5641</v>
      </c>
    </row>
    <row r="2914" spans="1:11">
      <c r="A2914" s="312" t="s">
        <v>5644</v>
      </c>
      <c r="B2914" s="312" t="s">
        <v>5645</v>
      </c>
      <c r="C2914" s="312" t="s">
        <v>105</v>
      </c>
      <c r="D2914" s="312" t="s">
        <v>5450</v>
      </c>
      <c r="E2914" s="312" t="s">
        <v>5639</v>
      </c>
      <c r="F2914" s="312">
        <v>1680</v>
      </c>
      <c r="G2914" s="312" t="s">
        <v>5640</v>
      </c>
      <c r="H2914" s="312">
        <v>1682</v>
      </c>
      <c r="I2914" s="312" t="s">
        <v>5639</v>
      </c>
      <c r="J2914" s="312">
        <v>1911</v>
      </c>
      <c r="K2914" s="312" t="s">
        <v>5641</v>
      </c>
    </row>
    <row r="2915" spans="1:11">
      <c r="A2915" s="312" t="s">
        <v>5646</v>
      </c>
      <c r="B2915" s="312" t="s">
        <v>5647</v>
      </c>
      <c r="C2915" s="312" t="s">
        <v>105</v>
      </c>
      <c r="D2915" s="312" t="s">
        <v>5450</v>
      </c>
      <c r="E2915" s="312" t="s">
        <v>5639</v>
      </c>
      <c r="F2915" s="312">
        <v>1680</v>
      </c>
      <c r="G2915" s="312" t="s">
        <v>5640</v>
      </c>
      <c r="H2915" s="312">
        <v>1682</v>
      </c>
      <c r="I2915" s="312" t="s">
        <v>5639</v>
      </c>
      <c r="J2915" s="312">
        <v>1911</v>
      </c>
      <c r="K2915" s="312" t="s">
        <v>5641</v>
      </c>
    </row>
    <row r="2916" spans="1:11">
      <c r="A2916" s="312" t="s">
        <v>5648</v>
      </c>
      <c r="B2916" s="312" t="s">
        <v>5649</v>
      </c>
      <c r="C2916" s="312" t="s">
        <v>105</v>
      </c>
      <c r="D2916" s="312" t="s">
        <v>5450</v>
      </c>
      <c r="E2916" s="312" t="s">
        <v>5639</v>
      </c>
      <c r="F2916" s="312">
        <v>1680</v>
      </c>
      <c r="G2916" s="312" t="s">
        <v>5640</v>
      </c>
      <c r="H2916" s="312">
        <v>1682</v>
      </c>
      <c r="I2916" s="312" t="s">
        <v>5639</v>
      </c>
      <c r="J2916" s="312">
        <v>1911</v>
      </c>
      <c r="K2916" s="312" t="s">
        <v>5641</v>
      </c>
    </row>
    <row r="2917" spans="1:11">
      <c r="A2917" s="312" t="s">
        <v>5443</v>
      </c>
      <c r="B2917" s="312" t="s">
        <v>5444</v>
      </c>
      <c r="C2917" s="312" t="s">
        <v>105</v>
      </c>
      <c r="D2917" s="312" t="s">
        <v>5445</v>
      </c>
      <c r="E2917" s="312" t="s">
        <v>3480</v>
      </c>
      <c r="F2917" s="312">
        <v>1708</v>
      </c>
      <c r="G2917" s="312" t="s">
        <v>3481</v>
      </c>
      <c r="H2917" s="312">
        <v>1710</v>
      </c>
      <c r="I2917" s="312" t="s">
        <v>3480</v>
      </c>
      <c r="J2917" s="312">
        <v>1909</v>
      </c>
      <c r="K2917" s="312" t="s">
        <v>3482</v>
      </c>
    </row>
    <row r="2918" spans="1:11">
      <c r="A2918" s="312" t="s">
        <v>5446</v>
      </c>
      <c r="B2918" s="312" t="s">
        <v>5447</v>
      </c>
      <c r="C2918" s="312" t="s">
        <v>105</v>
      </c>
      <c r="D2918" s="312" t="s">
        <v>5445</v>
      </c>
      <c r="E2918" s="312" t="s">
        <v>3480</v>
      </c>
      <c r="F2918" s="312">
        <v>1708</v>
      </c>
      <c r="G2918" s="312" t="s">
        <v>3481</v>
      </c>
      <c r="H2918" s="312">
        <v>1710</v>
      </c>
      <c r="I2918" s="312" t="s">
        <v>3480</v>
      </c>
      <c r="J2918" s="312">
        <v>1909</v>
      </c>
      <c r="K2918" s="312" t="s">
        <v>3482</v>
      </c>
    </row>
    <row r="2919" spans="1:11">
      <c r="A2919" s="312" t="s">
        <v>5455</v>
      </c>
      <c r="B2919" s="312" t="s">
        <v>5456</v>
      </c>
      <c r="C2919" s="312" t="s">
        <v>105</v>
      </c>
      <c r="D2919" s="312" t="s">
        <v>5445</v>
      </c>
      <c r="E2919" s="312" t="s">
        <v>3480</v>
      </c>
      <c r="F2919" s="312">
        <v>1708</v>
      </c>
      <c r="G2919" s="312" t="s">
        <v>3481</v>
      </c>
      <c r="H2919" s="312">
        <v>1710</v>
      </c>
      <c r="I2919" s="312" t="s">
        <v>3480</v>
      </c>
      <c r="J2919" s="312">
        <v>1909</v>
      </c>
      <c r="K2919" s="312" t="s">
        <v>3482</v>
      </c>
    </row>
    <row r="2920" spans="1:11">
      <c r="A2920" s="312" t="s">
        <v>3733</v>
      </c>
      <c r="B2920" s="312" t="s">
        <v>3734</v>
      </c>
      <c r="C2920" s="312" t="s">
        <v>105</v>
      </c>
      <c r="D2920" s="312" t="s">
        <v>3735</v>
      </c>
      <c r="E2920" s="312" t="s">
        <v>3736</v>
      </c>
      <c r="F2920" s="312">
        <v>1697</v>
      </c>
      <c r="G2920" s="312" t="s">
        <v>3737</v>
      </c>
      <c r="H2920" s="312">
        <v>1702</v>
      </c>
      <c r="I2920" s="312" t="s">
        <v>3736</v>
      </c>
      <c r="J2920" s="312">
        <v>1906</v>
      </c>
      <c r="K2920" s="312" t="s">
        <v>3738</v>
      </c>
    </row>
    <row r="2921" spans="1:11">
      <c r="A2921" s="312" t="s">
        <v>3745</v>
      </c>
      <c r="B2921" s="312" t="s">
        <v>3746</v>
      </c>
      <c r="C2921" s="312" t="s">
        <v>105</v>
      </c>
      <c r="D2921" s="312" t="s">
        <v>3735</v>
      </c>
      <c r="E2921" s="312" t="s">
        <v>3736</v>
      </c>
      <c r="F2921" s="312">
        <v>1697</v>
      </c>
      <c r="G2921" s="312" t="s">
        <v>3737</v>
      </c>
      <c r="H2921" s="312">
        <v>1702</v>
      </c>
      <c r="I2921" s="312" t="s">
        <v>3736</v>
      </c>
      <c r="J2921" s="312">
        <v>1906</v>
      </c>
      <c r="K2921" s="312" t="s">
        <v>3738</v>
      </c>
    </row>
    <row r="2922" spans="1:11">
      <c r="A2922" s="312" t="s">
        <v>3747</v>
      </c>
      <c r="B2922" s="312" t="s">
        <v>3748</v>
      </c>
      <c r="C2922" s="312" t="s">
        <v>105</v>
      </c>
      <c r="D2922" s="312" t="s">
        <v>3735</v>
      </c>
      <c r="E2922" s="312" t="s">
        <v>3736</v>
      </c>
      <c r="F2922" s="312">
        <v>1697</v>
      </c>
      <c r="G2922" s="312" t="s">
        <v>3737</v>
      </c>
      <c r="H2922" s="312">
        <v>1702</v>
      </c>
      <c r="I2922" s="312" t="s">
        <v>3736</v>
      </c>
      <c r="J2922" s="312">
        <v>1906</v>
      </c>
      <c r="K2922" s="312" t="s">
        <v>3738</v>
      </c>
    </row>
    <row r="2923" spans="1:11">
      <c r="A2923" s="312" t="s">
        <v>814</v>
      </c>
      <c r="B2923" s="312" t="s">
        <v>815</v>
      </c>
      <c r="C2923" s="312" t="s">
        <v>105</v>
      </c>
      <c r="D2923" s="312" t="s">
        <v>816</v>
      </c>
      <c r="E2923" s="312" t="s">
        <v>817</v>
      </c>
      <c r="F2923" s="312">
        <v>1897</v>
      </c>
      <c r="G2923" s="312" t="s">
        <v>818</v>
      </c>
      <c r="H2923" s="312">
        <v>1898</v>
      </c>
      <c r="I2923" s="312" t="s">
        <v>817</v>
      </c>
      <c r="J2923" s="312">
        <v>1932</v>
      </c>
      <c r="K2923" s="312" t="s">
        <v>819</v>
      </c>
    </row>
    <row r="2924" spans="1:11">
      <c r="A2924" s="312" t="s">
        <v>820</v>
      </c>
      <c r="B2924" s="312" t="s">
        <v>821</v>
      </c>
      <c r="C2924" s="312" t="s">
        <v>105</v>
      </c>
      <c r="D2924" s="312" t="s">
        <v>816</v>
      </c>
      <c r="E2924" s="312" t="s">
        <v>817</v>
      </c>
      <c r="F2924" s="312">
        <v>1897</v>
      </c>
      <c r="G2924" s="312" t="s">
        <v>818</v>
      </c>
      <c r="H2924" s="312">
        <v>1898</v>
      </c>
      <c r="I2924" s="312" t="s">
        <v>817</v>
      </c>
      <c r="J2924" s="312">
        <v>1932</v>
      </c>
      <c r="K2924" s="312" t="s">
        <v>819</v>
      </c>
    </row>
    <row r="2925" spans="1:11">
      <c r="A2925" s="312" t="s">
        <v>822</v>
      </c>
      <c r="B2925" s="312" t="s">
        <v>823</v>
      </c>
      <c r="C2925" s="312" t="s">
        <v>105</v>
      </c>
      <c r="D2925" s="312" t="s">
        <v>816</v>
      </c>
      <c r="E2925" s="312" t="s">
        <v>817</v>
      </c>
      <c r="F2925" s="312">
        <v>1897</v>
      </c>
      <c r="G2925" s="312" t="s">
        <v>818</v>
      </c>
      <c r="H2925" s="312">
        <v>1898</v>
      </c>
      <c r="I2925" s="312" t="s">
        <v>817</v>
      </c>
      <c r="J2925" s="312">
        <v>1932</v>
      </c>
      <c r="K2925" s="312" t="s">
        <v>819</v>
      </c>
    </row>
    <row r="2926" spans="1:11">
      <c r="A2926" s="312" t="s">
        <v>824</v>
      </c>
      <c r="B2926" s="312" t="s">
        <v>825</v>
      </c>
      <c r="C2926" s="312" t="s">
        <v>105</v>
      </c>
      <c r="D2926" s="312" t="s">
        <v>816</v>
      </c>
      <c r="E2926" s="312" t="s">
        <v>817</v>
      </c>
      <c r="F2926" s="312">
        <v>1897</v>
      </c>
      <c r="G2926" s="312" t="s">
        <v>818</v>
      </c>
      <c r="H2926" s="312">
        <v>1898</v>
      </c>
      <c r="I2926" s="312" t="s">
        <v>817</v>
      </c>
      <c r="J2926" s="312">
        <v>1932</v>
      </c>
      <c r="K2926" s="312" t="s">
        <v>819</v>
      </c>
    </row>
    <row r="2927" spans="1:11">
      <c r="A2927" s="312" t="s">
        <v>2758</v>
      </c>
      <c r="B2927" s="312" t="s">
        <v>2759</v>
      </c>
      <c r="C2927" s="312" t="s">
        <v>105</v>
      </c>
      <c r="D2927" s="312" t="s">
        <v>2760</v>
      </c>
      <c r="E2927" s="312" t="s">
        <v>886</v>
      </c>
      <c r="F2927" s="312">
        <v>1857</v>
      </c>
      <c r="G2927" s="312" t="s">
        <v>887</v>
      </c>
      <c r="H2927" s="312">
        <v>1858</v>
      </c>
      <c r="I2927" s="312" t="s">
        <v>886</v>
      </c>
      <c r="J2927" s="312">
        <v>1924</v>
      </c>
      <c r="K2927" s="312" t="s">
        <v>888</v>
      </c>
    </row>
    <row r="2928" spans="1:11">
      <c r="A2928" s="312" t="s">
        <v>2761</v>
      </c>
      <c r="B2928" s="312" t="s">
        <v>2762</v>
      </c>
      <c r="C2928" s="312" t="s">
        <v>105</v>
      </c>
      <c r="D2928" s="312" t="s">
        <v>2760</v>
      </c>
      <c r="E2928" s="312" t="s">
        <v>886</v>
      </c>
      <c r="F2928" s="312">
        <v>1857</v>
      </c>
      <c r="G2928" s="312" t="s">
        <v>887</v>
      </c>
      <c r="H2928" s="312">
        <v>1858</v>
      </c>
      <c r="I2928" s="312" t="s">
        <v>886</v>
      </c>
      <c r="J2928" s="312">
        <v>1924</v>
      </c>
      <c r="K2928" s="312" t="s">
        <v>888</v>
      </c>
    </row>
    <row r="2929" spans="1:11">
      <c r="A2929" s="312" t="s">
        <v>3714</v>
      </c>
      <c r="B2929" s="312" t="s">
        <v>3715</v>
      </c>
      <c r="C2929" s="312" t="s">
        <v>105</v>
      </c>
      <c r="D2929" s="312" t="s">
        <v>2760</v>
      </c>
      <c r="E2929" s="312" t="s">
        <v>886</v>
      </c>
      <c r="F2929" s="312">
        <v>1857</v>
      </c>
      <c r="G2929" s="312" t="s">
        <v>887</v>
      </c>
      <c r="H2929" s="312">
        <v>1858</v>
      </c>
      <c r="I2929" s="312" t="s">
        <v>886</v>
      </c>
      <c r="J2929" s="312">
        <v>1924</v>
      </c>
      <c r="K2929" s="312" t="s">
        <v>888</v>
      </c>
    </row>
    <row r="2930" spans="1:11">
      <c r="A2930" s="312" t="s">
        <v>3716</v>
      </c>
      <c r="B2930" s="312" t="s">
        <v>3717</v>
      </c>
      <c r="C2930" s="312" t="s">
        <v>105</v>
      </c>
      <c r="D2930" s="312" t="s">
        <v>2760</v>
      </c>
      <c r="E2930" s="312" t="s">
        <v>886</v>
      </c>
      <c r="F2930" s="312">
        <v>1857</v>
      </c>
      <c r="G2930" s="312" t="s">
        <v>887</v>
      </c>
      <c r="H2930" s="312">
        <v>1858</v>
      </c>
      <c r="I2930" s="312" t="s">
        <v>886</v>
      </c>
      <c r="J2930" s="312">
        <v>1924</v>
      </c>
      <c r="K2930" s="312" t="s">
        <v>888</v>
      </c>
    </row>
    <row r="2931" spans="1:11">
      <c r="A2931" s="312" t="s">
        <v>3739</v>
      </c>
      <c r="B2931" s="312" t="s">
        <v>3740</v>
      </c>
      <c r="C2931" s="312" t="s">
        <v>105</v>
      </c>
      <c r="D2931" s="312" t="s">
        <v>2760</v>
      </c>
      <c r="E2931" s="312" t="s">
        <v>886</v>
      </c>
      <c r="F2931" s="312">
        <v>1857</v>
      </c>
      <c r="G2931" s="312" t="s">
        <v>887</v>
      </c>
      <c r="H2931" s="312">
        <v>1858</v>
      </c>
      <c r="I2931" s="312" t="s">
        <v>886</v>
      </c>
      <c r="J2931" s="312">
        <v>1924</v>
      </c>
      <c r="K2931" s="312" t="s">
        <v>888</v>
      </c>
    </row>
    <row r="2932" spans="1:11">
      <c r="A2932" s="312" t="s">
        <v>3741</v>
      </c>
      <c r="B2932" s="312" t="s">
        <v>3742</v>
      </c>
      <c r="C2932" s="312" t="s">
        <v>105</v>
      </c>
      <c r="D2932" s="312" t="s">
        <v>2760</v>
      </c>
      <c r="E2932" s="312" t="s">
        <v>886</v>
      </c>
      <c r="F2932" s="312">
        <v>1857</v>
      </c>
      <c r="G2932" s="312" t="s">
        <v>887</v>
      </c>
      <c r="H2932" s="312">
        <v>1858</v>
      </c>
      <c r="I2932" s="312" t="s">
        <v>886</v>
      </c>
      <c r="J2932" s="312">
        <v>1924</v>
      </c>
      <c r="K2932" s="312" t="s">
        <v>888</v>
      </c>
    </row>
    <row r="2933" spans="1:11">
      <c r="A2933" s="312" t="s">
        <v>4092</v>
      </c>
      <c r="B2933" s="312" t="s">
        <v>4093</v>
      </c>
      <c r="C2933" s="312" t="s">
        <v>105</v>
      </c>
      <c r="D2933" s="312" t="s">
        <v>4094</v>
      </c>
      <c r="E2933" s="312" t="s">
        <v>167</v>
      </c>
      <c r="F2933" s="312">
        <v>1705</v>
      </c>
      <c r="G2933" s="312" t="s">
        <v>168</v>
      </c>
      <c r="H2933" s="312">
        <v>1707</v>
      </c>
      <c r="I2933" s="312" t="s">
        <v>167</v>
      </c>
      <c r="J2933" s="312">
        <v>1899</v>
      </c>
      <c r="K2933" s="312" t="s">
        <v>169</v>
      </c>
    </row>
    <row r="2934" spans="1:11">
      <c r="A2934" s="312" t="s">
        <v>4095</v>
      </c>
      <c r="B2934" s="312" t="s">
        <v>4096</v>
      </c>
      <c r="C2934" s="312" t="s">
        <v>105</v>
      </c>
      <c r="D2934" s="312" t="s">
        <v>4094</v>
      </c>
      <c r="E2934" s="312" t="s">
        <v>167</v>
      </c>
      <c r="F2934" s="312">
        <v>1705</v>
      </c>
      <c r="G2934" s="312" t="s">
        <v>168</v>
      </c>
      <c r="H2934" s="312">
        <v>1707</v>
      </c>
      <c r="I2934" s="312" t="s">
        <v>167</v>
      </c>
      <c r="J2934" s="312">
        <v>1899</v>
      </c>
      <c r="K2934" s="312" t="s">
        <v>169</v>
      </c>
    </row>
    <row r="2935" spans="1:11">
      <c r="A2935" s="312" t="s">
        <v>3677</v>
      </c>
      <c r="B2935" s="312" t="s">
        <v>3678</v>
      </c>
      <c r="C2935" s="312" t="s">
        <v>105</v>
      </c>
      <c r="D2935" s="312" t="s">
        <v>3679</v>
      </c>
      <c r="E2935" s="312" t="s">
        <v>886</v>
      </c>
      <c r="F2935" s="312">
        <v>1857</v>
      </c>
      <c r="G2935" s="312" t="s">
        <v>887</v>
      </c>
      <c r="H2935" s="312">
        <v>1858</v>
      </c>
      <c r="I2935" s="312" t="s">
        <v>886</v>
      </c>
      <c r="J2935" s="312">
        <v>1924</v>
      </c>
      <c r="K2935" s="312" t="s">
        <v>888</v>
      </c>
    </row>
    <row r="2936" spans="1:11">
      <c r="A2936" s="312" t="s">
        <v>3680</v>
      </c>
      <c r="B2936" s="312" t="s">
        <v>3681</v>
      </c>
      <c r="C2936" s="312" t="s">
        <v>105</v>
      </c>
      <c r="D2936" s="312" t="s">
        <v>3679</v>
      </c>
      <c r="E2936" s="312" t="s">
        <v>886</v>
      </c>
      <c r="F2936" s="312">
        <v>1857</v>
      </c>
      <c r="G2936" s="312" t="s">
        <v>887</v>
      </c>
      <c r="H2936" s="312">
        <v>1858</v>
      </c>
      <c r="I2936" s="312" t="s">
        <v>886</v>
      </c>
      <c r="J2936" s="312">
        <v>1924</v>
      </c>
      <c r="K2936" s="312" t="s">
        <v>888</v>
      </c>
    </row>
    <row r="2937" spans="1:11">
      <c r="A2937" s="312" t="s">
        <v>3682</v>
      </c>
      <c r="B2937" s="312" t="s">
        <v>3683</v>
      </c>
      <c r="C2937" s="312" t="s">
        <v>105</v>
      </c>
      <c r="D2937" s="312" t="s">
        <v>3679</v>
      </c>
      <c r="E2937" s="312" t="s">
        <v>886</v>
      </c>
      <c r="F2937" s="312">
        <v>1857</v>
      </c>
      <c r="G2937" s="312" t="s">
        <v>887</v>
      </c>
      <c r="H2937" s="312">
        <v>1858</v>
      </c>
      <c r="I2937" s="312" t="s">
        <v>886</v>
      </c>
      <c r="J2937" s="312">
        <v>1924</v>
      </c>
      <c r="K2937" s="312" t="s">
        <v>888</v>
      </c>
    </row>
    <row r="2938" spans="1:11">
      <c r="A2938" s="312" t="s">
        <v>3684</v>
      </c>
      <c r="B2938" s="312" t="s">
        <v>3685</v>
      </c>
      <c r="C2938" s="312" t="s">
        <v>105</v>
      </c>
      <c r="D2938" s="312" t="s">
        <v>3679</v>
      </c>
      <c r="E2938" s="312" t="s">
        <v>886</v>
      </c>
      <c r="F2938" s="312">
        <v>1857</v>
      </c>
      <c r="G2938" s="312" t="s">
        <v>887</v>
      </c>
      <c r="H2938" s="312">
        <v>1858</v>
      </c>
      <c r="I2938" s="312" t="s">
        <v>886</v>
      </c>
      <c r="J2938" s="312">
        <v>1924</v>
      </c>
      <c r="K2938" s="312" t="s">
        <v>888</v>
      </c>
    </row>
    <row r="2939" spans="1:11">
      <c r="A2939" s="312" t="s">
        <v>3686</v>
      </c>
      <c r="B2939" s="312" t="s">
        <v>3687</v>
      </c>
      <c r="C2939" s="312" t="s">
        <v>105</v>
      </c>
      <c r="D2939" s="312" t="s">
        <v>3679</v>
      </c>
      <c r="E2939" s="312" t="s">
        <v>886</v>
      </c>
      <c r="F2939" s="312">
        <v>1857</v>
      </c>
      <c r="G2939" s="312" t="s">
        <v>887</v>
      </c>
      <c r="H2939" s="312">
        <v>1858</v>
      </c>
      <c r="I2939" s="312" t="s">
        <v>886</v>
      </c>
      <c r="J2939" s="312">
        <v>1924</v>
      </c>
      <c r="K2939" s="312" t="s">
        <v>888</v>
      </c>
    </row>
    <row r="2940" spans="1:11">
      <c r="A2940" s="312" t="s">
        <v>3688</v>
      </c>
      <c r="B2940" s="312" t="s">
        <v>3689</v>
      </c>
      <c r="C2940" s="312" t="s">
        <v>105</v>
      </c>
      <c r="D2940" s="312" t="s">
        <v>3679</v>
      </c>
      <c r="E2940" s="312" t="s">
        <v>886</v>
      </c>
      <c r="F2940" s="312">
        <v>1857</v>
      </c>
      <c r="G2940" s="312" t="s">
        <v>887</v>
      </c>
      <c r="H2940" s="312">
        <v>1858</v>
      </c>
      <c r="I2940" s="312" t="s">
        <v>886</v>
      </c>
      <c r="J2940" s="312">
        <v>1924</v>
      </c>
      <c r="K2940" s="312" t="s">
        <v>888</v>
      </c>
    </row>
    <row r="2941" spans="1:11">
      <c r="A2941" s="312" t="s">
        <v>3690</v>
      </c>
      <c r="B2941" s="312" t="s">
        <v>3691</v>
      </c>
      <c r="C2941" s="312" t="s">
        <v>105</v>
      </c>
      <c r="D2941" s="312" t="s">
        <v>3679</v>
      </c>
      <c r="E2941" s="312" t="s">
        <v>886</v>
      </c>
      <c r="F2941" s="312">
        <v>1857</v>
      </c>
      <c r="G2941" s="312" t="s">
        <v>887</v>
      </c>
      <c r="H2941" s="312">
        <v>1858</v>
      </c>
      <c r="I2941" s="312" t="s">
        <v>886</v>
      </c>
      <c r="J2941" s="312">
        <v>1924</v>
      </c>
      <c r="K2941" s="312" t="s">
        <v>888</v>
      </c>
    </row>
    <row r="2942" spans="1:11">
      <c r="A2942" s="312" t="s">
        <v>3692</v>
      </c>
      <c r="B2942" s="312" t="s">
        <v>3693</v>
      </c>
      <c r="C2942" s="312" t="s">
        <v>105</v>
      </c>
      <c r="D2942" s="312" t="s">
        <v>3679</v>
      </c>
      <c r="E2942" s="312" t="s">
        <v>886</v>
      </c>
      <c r="F2942" s="312">
        <v>1857</v>
      </c>
      <c r="G2942" s="312" t="s">
        <v>887</v>
      </c>
      <c r="H2942" s="312">
        <v>1858</v>
      </c>
      <c r="I2942" s="312" t="s">
        <v>886</v>
      </c>
      <c r="J2942" s="312">
        <v>1924</v>
      </c>
      <c r="K2942" s="312" t="s">
        <v>888</v>
      </c>
    </row>
    <row r="2943" spans="1:11">
      <c r="A2943" s="312" t="s">
        <v>3694</v>
      </c>
      <c r="B2943" s="312" t="s">
        <v>3695</v>
      </c>
      <c r="C2943" s="312" t="s">
        <v>105</v>
      </c>
      <c r="D2943" s="312" t="s">
        <v>3679</v>
      </c>
      <c r="E2943" s="312" t="s">
        <v>886</v>
      </c>
      <c r="F2943" s="312">
        <v>1857</v>
      </c>
      <c r="G2943" s="312" t="s">
        <v>887</v>
      </c>
      <c r="H2943" s="312">
        <v>1858</v>
      </c>
      <c r="I2943" s="312" t="s">
        <v>886</v>
      </c>
      <c r="J2943" s="312">
        <v>1924</v>
      </c>
      <c r="K2943" s="312" t="s">
        <v>888</v>
      </c>
    </row>
    <row r="2944" spans="1:11">
      <c r="A2944" s="312" t="s">
        <v>3696</v>
      </c>
      <c r="B2944" s="312" t="s">
        <v>3697</v>
      </c>
      <c r="C2944" s="312" t="s">
        <v>105</v>
      </c>
      <c r="D2944" s="312" t="s">
        <v>3679</v>
      </c>
      <c r="E2944" s="312" t="s">
        <v>886</v>
      </c>
      <c r="F2944" s="312">
        <v>1857</v>
      </c>
      <c r="G2944" s="312" t="s">
        <v>887</v>
      </c>
      <c r="H2944" s="312">
        <v>1858</v>
      </c>
      <c r="I2944" s="312" t="s">
        <v>886</v>
      </c>
      <c r="J2944" s="312">
        <v>1924</v>
      </c>
      <c r="K2944" s="312" t="s">
        <v>888</v>
      </c>
    </row>
    <row r="2945" spans="1:11">
      <c r="A2945" s="312" t="s">
        <v>3698</v>
      </c>
      <c r="B2945" s="312" t="s">
        <v>3699</v>
      </c>
      <c r="C2945" s="312" t="s">
        <v>105</v>
      </c>
      <c r="D2945" s="312" t="s">
        <v>3679</v>
      </c>
      <c r="E2945" s="312" t="s">
        <v>886</v>
      </c>
      <c r="F2945" s="312">
        <v>1857</v>
      </c>
      <c r="G2945" s="312" t="s">
        <v>887</v>
      </c>
      <c r="H2945" s="312">
        <v>1858</v>
      </c>
      <c r="I2945" s="312" t="s">
        <v>886</v>
      </c>
      <c r="J2945" s="312">
        <v>1924</v>
      </c>
      <c r="K2945" s="312" t="s">
        <v>888</v>
      </c>
    </row>
    <row r="2946" spans="1:11">
      <c r="A2946" s="312" t="s">
        <v>3700</v>
      </c>
      <c r="B2946" s="312" t="s">
        <v>3701</v>
      </c>
      <c r="C2946" s="312" t="s">
        <v>105</v>
      </c>
      <c r="D2946" s="312" t="s">
        <v>3679</v>
      </c>
      <c r="E2946" s="312" t="s">
        <v>886</v>
      </c>
      <c r="F2946" s="312">
        <v>1857</v>
      </c>
      <c r="G2946" s="312" t="s">
        <v>887</v>
      </c>
      <c r="H2946" s="312">
        <v>1858</v>
      </c>
      <c r="I2946" s="312" t="s">
        <v>886</v>
      </c>
      <c r="J2946" s="312">
        <v>1924</v>
      </c>
      <c r="K2946" s="312" t="s">
        <v>888</v>
      </c>
    </row>
    <row r="2947" spans="1:11">
      <c r="A2947" s="312" t="s">
        <v>3702</v>
      </c>
      <c r="B2947" s="312" t="s">
        <v>3703</v>
      </c>
      <c r="C2947" s="312" t="s">
        <v>105</v>
      </c>
      <c r="D2947" s="312" t="s">
        <v>3679</v>
      </c>
      <c r="E2947" s="312" t="s">
        <v>886</v>
      </c>
      <c r="F2947" s="312">
        <v>1857</v>
      </c>
      <c r="G2947" s="312" t="s">
        <v>887</v>
      </c>
      <c r="H2947" s="312">
        <v>1858</v>
      </c>
      <c r="I2947" s="312" t="s">
        <v>886</v>
      </c>
      <c r="J2947" s="312">
        <v>1924</v>
      </c>
      <c r="K2947" s="312" t="s">
        <v>888</v>
      </c>
    </row>
    <row r="2948" spans="1:11">
      <c r="A2948" s="312" t="s">
        <v>3704</v>
      </c>
      <c r="B2948" s="312" t="s">
        <v>3705</v>
      </c>
      <c r="C2948" s="312" t="s">
        <v>105</v>
      </c>
      <c r="D2948" s="312" t="s">
        <v>3679</v>
      </c>
      <c r="E2948" s="312" t="s">
        <v>886</v>
      </c>
      <c r="F2948" s="312">
        <v>1857</v>
      </c>
      <c r="G2948" s="312" t="s">
        <v>887</v>
      </c>
      <c r="H2948" s="312">
        <v>1858</v>
      </c>
      <c r="I2948" s="312" t="s">
        <v>886</v>
      </c>
      <c r="J2948" s="312">
        <v>1924</v>
      </c>
      <c r="K2948" s="312" t="s">
        <v>888</v>
      </c>
    </row>
    <row r="2949" spans="1:11">
      <c r="A2949" s="312" t="s">
        <v>3706</v>
      </c>
      <c r="B2949" s="312" t="s">
        <v>3707</v>
      </c>
      <c r="C2949" s="312" t="s">
        <v>105</v>
      </c>
      <c r="D2949" s="312" t="s">
        <v>3679</v>
      </c>
      <c r="E2949" s="312" t="s">
        <v>886</v>
      </c>
      <c r="F2949" s="312">
        <v>1857</v>
      </c>
      <c r="G2949" s="312" t="s">
        <v>887</v>
      </c>
      <c r="H2949" s="312">
        <v>1858</v>
      </c>
      <c r="I2949" s="312" t="s">
        <v>886</v>
      </c>
      <c r="J2949" s="312">
        <v>1924</v>
      </c>
      <c r="K2949" s="312" t="s">
        <v>888</v>
      </c>
    </row>
    <row r="2950" spans="1:11">
      <c r="A2950" s="312" t="s">
        <v>3708</v>
      </c>
      <c r="B2950" s="312" t="s">
        <v>3709</v>
      </c>
      <c r="C2950" s="312" t="s">
        <v>105</v>
      </c>
      <c r="D2950" s="312" t="s">
        <v>3679</v>
      </c>
      <c r="E2950" s="312" t="s">
        <v>886</v>
      </c>
      <c r="F2950" s="312">
        <v>1857</v>
      </c>
      <c r="G2950" s="312" t="s">
        <v>887</v>
      </c>
      <c r="H2950" s="312">
        <v>1858</v>
      </c>
      <c r="I2950" s="312" t="s">
        <v>886</v>
      </c>
      <c r="J2950" s="312">
        <v>1924</v>
      </c>
      <c r="K2950" s="312" t="s">
        <v>888</v>
      </c>
    </row>
    <row r="2951" spans="1:11">
      <c r="A2951" s="312" t="s">
        <v>3710</v>
      </c>
      <c r="B2951" s="312" t="s">
        <v>3711</v>
      </c>
      <c r="C2951" s="312" t="s">
        <v>105</v>
      </c>
      <c r="D2951" s="312" t="s">
        <v>3679</v>
      </c>
      <c r="E2951" s="312" t="s">
        <v>886</v>
      </c>
      <c r="F2951" s="312">
        <v>1857</v>
      </c>
      <c r="G2951" s="312" t="s">
        <v>887</v>
      </c>
      <c r="H2951" s="312">
        <v>1858</v>
      </c>
      <c r="I2951" s="312" t="s">
        <v>886</v>
      </c>
      <c r="J2951" s="312">
        <v>1924</v>
      </c>
      <c r="K2951" s="312" t="s">
        <v>888</v>
      </c>
    </row>
    <row r="2952" spans="1:11">
      <c r="A2952" s="312" t="s">
        <v>3712</v>
      </c>
      <c r="B2952" s="312" t="s">
        <v>3713</v>
      </c>
      <c r="C2952" s="312" t="s">
        <v>105</v>
      </c>
      <c r="D2952" s="312" t="s">
        <v>3679</v>
      </c>
      <c r="E2952" s="312" t="s">
        <v>886</v>
      </c>
      <c r="F2952" s="312">
        <v>1857</v>
      </c>
      <c r="G2952" s="312" t="s">
        <v>887</v>
      </c>
      <c r="H2952" s="312">
        <v>1858</v>
      </c>
      <c r="I2952" s="312" t="s">
        <v>886</v>
      </c>
      <c r="J2952" s="312">
        <v>1924</v>
      </c>
      <c r="K2952" s="312" t="s">
        <v>888</v>
      </c>
    </row>
    <row r="2953" spans="1:11">
      <c r="A2953" s="312" t="s">
        <v>4336</v>
      </c>
      <c r="B2953" s="312" t="s">
        <v>4337</v>
      </c>
      <c r="C2953" s="312" t="s">
        <v>105</v>
      </c>
      <c r="D2953" s="312" t="s">
        <v>3679</v>
      </c>
      <c r="E2953" s="312" t="s">
        <v>107</v>
      </c>
      <c r="F2953" s="312">
        <v>1825</v>
      </c>
      <c r="G2953" s="312" t="s">
        <v>108</v>
      </c>
      <c r="H2953" s="312">
        <v>1827</v>
      </c>
      <c r="I2953" s="312" t="s">
        <v>107</v>
      </c>
      <c r="J2953" s="312">
        <v>1913</v>
      </c>
      <c r="K2953" s="312" t="s">
        <v>109</v>
      </c>
    </row>
    <row r="2954" spans="1:11">
      <c r="A2954" s="312" t="s">
        <v>3807</v>
      </c>
      <c r="B2954" s="312" t="s">
        <v>3808</v>
      </c>
      <c r="C2954" s="312" t="s">
        <v>105</v>
      </c>
      <c r="D2954" s="312" t="s">
        <v>3809</v>
      </c>
      <c r="E2954" s="312" t="s">
        <v>107</v>
      </c>
      <c r="F2954" s="312">
        <v>1825</v>
      </c>
      <c r="G2954" s="312" t="s">
        <v>108</v>
      </c>
      <c r="H2954" s="312">
        <v>1827</v>
      </c>
      <c r="I2954" s="312" t="s">
        <v>107</v>
      </c>
      <c r="J2954" s="312">
        <v>1913</v>
      </c>
      <c r="K2954" s="312" t="s">
        <v>109</v>
      </c>
    </row>
    <row r="2955" spans="1:11">
      <c r="A2955" s="312" t="s">
        <v>3810</v>
      </c>
      <c r="B2955" s="312" t="s">
        <v>3811</v>
      </c>
      <c r="C2955" s="312" t="s">
        <v>105</v>
      </c>
      <c r="D2955" s="312" t="s">
        <v>3809</v>
      </c>
      <c r="E2955" s="312" t="s">
        <v>107</v>
      </c>
      <c r="F2955" s="312">
        <v>1825</v>
      </c>
      <c r="G2955" s="312" t="s">
        <v>108</v>
      </c>
      <c r="H2955" s="312">
        <v>1827</v>
      </c>
      <c r="I2955" s="312" t="s">
        <v>107</v>
      </c>
      <c r="J2955" s="312">
        <v>1913</v>
      </c>
      <c r="K2955" s="312" t="s">
        <v>109</v>
      </c>
    </row>
    <row r="2956" spans="1:11">
      <c r="A2956" s="312" t="s">
        <v>3812</v>
      </c>
      <c r="B2956" s="312" t="s">
        <v>3813</v>
      </c>
      <c r="C2956" s="312" t="s">
        <v>105</v>
      </c>
      <c r="D2956" s="312" t="s">
        <v>3809</v>
      </c>
      <c r="E2956" s="312" t="s">
        <v>107</v>
      </c>
      <c r="F2956" s="312">
        <v>1825</v>
      </c>
      <c r="G2956" s="312" t="s">
        <v>108</v>
      </c>
      <c r="H2956" s="312">
        <v>1827</v>
      </c>
      <c r="I2956" s="312" t="s">
        <v>107</v>
      </c>
      <c r="J2956" s="312">
        <v>1913</v>
      </c>
      <c r="K2956" s="312" t="s">
        <v>109</v>
      </c>
    </row>
    <row r="2957" spans="1:11">
      <c r="A2957" s="312" t="s">
        <v>3814</v>
      </c>
      <c r="B2957" s="312" t="s">
        <v>3815</v>
      </c>
      <c r="C2957" s="312" t="s">
        <v>105</v>
      </c>
      <c r="D2957" s="312" t="s">
        <v>3809</v>
      </c>
      <c r="E2957" s="312" t="s">
        <v>107</v>
      </c>
      <c r="F2957" s="312">
        <v>1825</v>
      </c>
      <c r="G2957" s="312" t="s">
        <v>108</v>
      </c>
      <c r="H2957" s="312">
        <v>1827</v>
      </c>
      <c r="I2957" s="312" t="s">
        <v>107</v>
      </c>
      <c r="J2957" s="312">
        <v>1913</v>
      </c>
      <c r="K2957" s="312" t="s">
        <v>109</v>
      </c>
    </row>
    <row r="2958" spans="1:11">
      <c r="A2958" s="312" t="s">
        <v>3105</v>
      </c>
      <c r="B2958" s="312" t="s">
        <v>3106</v>
      </c>
      <c r="C2958" s="312" t="s">
        <v>105</v>
      </c>
      <c r="D2958" s="312" t="s">
        <v>3107</v>
      </c>
      <c r="E2958" s="312" t="s">
        <v>167</v>
      </c>
      <c r="F2958" s="312">
        <v>1705</v>
      </c>
      <c r="G2958" s="312" t="s">
        <v>168</v>
      </c>
      <c r="H2958" s="312">
        <v>1707</v>
      </c>
      <c r="I2958" s="312" t="s">
        <v>167</v>
      </c>
      <c r="J2958" s="312">
        <v>1899</v>
      </c>
      <c r="K2958" s="312" t="s">
        <v>169</v>
      </c>
    </row>
    <row r="2959" spans="1:11">
      <c r="A2959" s="312" t="s">
        <v>5943</v>
      </c>
      <c r="B2959" s="312" t="s">
        <v>5944</v>
      </c>
      <c r="C2959" s="312" t="s">
        <v>105</v>
      </c>
      <c r="D2959" s="312" t="s">
        <v>5945</v>
      </c>
      <c r="E2959" s="312" t="s">
        <v>107</v>
      </c>
      <c r="F2959" s="312">
        <v>1825</v>
      </c>
      <c r="G2959" s="312" t="s">
        <v>108</v>
      </c>
      <c r="H2959" s="312">
        <v>1827</v>
      </c>
      <c r="I2959" s="312" t="s">
        <v>107</v>
      </c>
      <c r="J2959" s="312">
        <v>1913</v>
      </c>
      <c r="K2959" s="312" t="s">
        <v>109</v>
      </c>
    </row>
  </sheetData>
  <sortState xmlns:xlrd2="http://schemas.microsoft.com/office/spreadsheetml/2017/richdata2" ref="A49:K50">
    <sortCondition ref="A49:A5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29797-0A78-49B7-B786-6028DA5D8CA4}">
  <sheetPr codeName="Sheet7"/>
  <dimension ref="A1:L480"/>
  <sheetViews>
    <sheetView workbookViewId="0">
      <pane xSplit="1" ySplit="1" topLeftCell="B2" activePane="bottomRight" state="frozen"/>
      <selection pane="topRight" activeCell="B1" sqref="B1"/>
      <selection pane="bottomLeft" activeCell="A2" sqref="A2"/>
      <selection pane="bottomRight" activeCell="C54" sqref="C54"/>
    </sheetView>
  </sheetViews>
  <sheetFormatPr defaultRowHeight="14.4"/>
  <cols>
    <col min="1" max="1" width="5.5546875" customWidth="1"/>
    <col min="2" max="2" width="13.44140625" customWidth="1"/>
    <col min="3" max="3" width="58.44140625" customWidth="1"/>
  </cols>
  <sheetData>
    <row r="1" spans="1:12">
      <c r="A1" s="312" t="s">
        <v>6256</v>
      </c>
      <c r="B1" s="312" t="s">
        <v>6257</v>
      </c>
      <c r="C1" s="312" t="s">
        <v>6258</v>
      </c>
      <c r="D1" s="312" t="s">
        <v>6259</v>
      </c>
      <c r="E1" s="312" t="s">
        <v>6260</v>
      </c>
      <c r="F1" s="312" t="s">
        <v>6261</v>
      </c>
      <c r="G1" s="312" t="s">
        <v>6262</v>
      </c>
      <c r="H1" s="312" t="s">
        <v>6263</v>
      </c>
      <c r="I1" s="312" t="s">
        <v>6264</v>
      </c>
      <c r="J1" s="312" t="s">
        <v>6265</v>
      </c>
      <c r="K1" s="312" t="s">
        <v>6266</v>
      </c>
      <c r="L1" s="312" t="s">
        <v>6267</v>
      </c>
    </row>
    <row r="2" spans="1:12">
      <c r="A2" s="312">
        <v>716</v>
      </c>
      <c r="B2" s="312" t="s">
        <v>6268</v>
      </c>
      <c r="C2" s="312" t="s">
        <v>6269</v>
      </c>
      <c r="D2" s="312" t="s">
        <v>6270</v>
      </c>
      <c r="E2" s="312">
        <v>1</v>
      </c>
      <c r="F2" s="312">
        <v>1636799510916</v>
      </c>
      <c r="G2" s="312" t="s">
        <v>105</v>
      </c>
      <c r="H2" s="312" t="s">
        <v>105</v>
      </c>
      <c r="I2" s="312">
        <v>7.9080000000000004</v>
      </c>
      <c r="J2" s="312">
        <v>46.860999999999997</v>
      </c>
      <c r="K2" s="312" t="s">
        <v>6271</v>
      </c>
      <c r="L2" s="312" t="s">
        <v>6272</v>
      </c>
    </row>
    <row r="3" spans="1:12">
      <c r="A3" s="312">
        <v>768</v>
      </c>
      <c r="B3" s="312" t="s">
        <v>6273</v>
      </c>
      <c r="C3" s="312" t="s">
        <v>6274</v>
      </c>
      <c r="D3" s="312" t="s">
        <v>6275</v>
      </c>
      <c r="E3" s="312">
        <v>1</v>
      </c>
      <c r="F3" s="312">
        <v>1636799513428</v>
      </c>
      <c r="G3" s="312" t="s">
        <v>105</v>
      </c>
      <c r="H3" s="312" t="s">
        <v>105</v>
      </c>
      <c r="I3" s="312">
        <v>25.231000000000002</v>
      </c>
      <c r="J3" s="312">
        <v>42.761000000000003</v>
      </c>
      <c r="K3" s="312" t="s">
        <v>6276</v>
      </c>
      <c r="L3" s="312" t="s">
        <v>6277</v>
      </c>
    </row>
    <row r="4" spans="1:12">
      <c r="A4" s="312">
        <v>717</v>
      </c>
      <c r="B4" s="312" t="s">
        <v>6278</v>
      </c>
      <c r="C4" s="312" t="s">
        <v>6279</v>
      </c>
      <c r="D4" s="312" t="s">
        <v>6280</v>
      </c>
      <c r="E4" s="312">
        <v>1</v>
      </c>
      <c r="F4" s="312">
        <v>1636799516657</v>
      </c>
      <c r="G4" s="312" t="s">
        <v>105</v>
      </c>
      <c r="H4" s="312" t="s">
        <v>105</v>
      </c>
      <c r="I4" s="312">
        <v>0</v>
      </c>
      <c r="J4" s="312">
        <v>0</v>
      </c>
      <c r="K4" s="312" t="s">
        <v>6281</v>
      </c>
      <c r="L4" s="312" t="s">
        <v>6282</v>
      </c>
    </row>
    <row r="5" spans="1:12">
      <c r="A5" s="312">
        <v>718</v>
      </c>
      <c r="B5" s="312" t="s">
        <v>6283</v>
      </c>
      <c r="C5" s="312" t="s">
        <v>6284</v>
      </c>
      <c r="D5" s="312" t="s">
        <v>6285</v>
      </c>
      <c r="E5" s="312">
        <v>0</v>
      </c>
      <c r="F5" s="312">
        <v>0</v>
      </c>
      <c r="G5" s="312" t="s">
        <v>105</v>
      </c>
      <c r="H5" s="312" t="s">
        <v>105</v>
      </c>
      <c r="I5" s="312">
        <v>0</v>
      </c>
      <c r="J5" s="312">
        <v>0</v>
      </c>
      <c r="K5" s="312" t="s">
        <v>6286</v>
      </c>
      <c r="L5" s="312" t="s">
        <v>105</v>
      </c>
    </row>
    <row r="6" spans="1:12">
      <c r="A6" s="312">
        <v>719</v>
      </c>
      <c r="B6" s="312" t="s">
        <v>6287</v>
      </c>
      <c r="C6" s="312" t="s">
        <v>6288</v>
      </c>
      <c r="D6" s="312" t="s">
        <v>6289</v>
      </c>
      <c r="E6" s="312">
        <v>1</v>
      </c>
      <c r="F6" s="312">
        <v>1636799515813</v>
      </c>
      <c r="G6" s="312" t="s">
        <v>105</v>
      </c>
      <c r="H6" s="312" t="s">
        <v>105</v>
      </c>
      <c r="I6" s="312">
        <v>100.84399999999999</v>
      </c>
      <c r="J6" s="312">
        <v>15.7</v>
      </c>
      <c r="K6" s="312" t="s">
        <v>6290</v>
      </c>
      <c r="L6" s="312" t="s">
        <v>6291</v>
      </c>
    </row>
    <row r="7" spans="1:12">
      <c r="A7" s="312">
        <v>720</v>
      </c>
      <c r="B7" s="312" t="s">
        <v>6292</v>
      </c>
      <c r="C7" s="312" t="s">
        <v>6293</v>
      </c>
      <c r="D7" s="312" t="s">
        <v>6294</v>
      </c>
      <c r="E7" s="312">
        <v>1</v>
      </c>
      <c r="F7" s="312">
        <v>1636799516859</v>
      </c>
      <c r="G7" s="312" t="s">
        <v>105</v>
      </c>
      <c r="H7" s="312" t="s">
        <v>105</v>
      </c>
      <c r="I7" s="312">
        <v>15.337999999999999</v>
      </c>
      <c r="J7" s="312">
        <v>49.743000000000002</v>
      </c>
      <c r="K7" s="312" t="s">
        <v>6295</v>
      </c>
      <c r="L7" s="312" t="s">
        <v>6296</v>
      </c>
    </row>
    <row r="8" spans="1:12">
      <c r="A8" s="312">
        <v>769</v>
      </c>
      <c r="B8" s="312" t="s">
        <v>6297</v>
      </c>
      <c r="C8" s="312" t="s">
        <v>6298</v>
      </c>
      <c r="D8" s="312" t="s">
        <v>6299</v>
      </c>
      <c r="E8" s="312">
        <v>1</v>
      </c>
      <c r="F8" s="312">
        <v>1636799523836</v>
      </c>
      <c r="G8" s="312" t="s">
        <v>105</v>
      </c>
      <c r="H8" s="312" t="s">
        <v>105</v>
      </c>
      <c r="I8" s="312">
        <v>28.599</v>
      </c>
      <c r="J8" s="312">
        <v>47.192999999999998</v>
      </c>
      <c r="K8" s="312" t="s">
        <v>6300</v>
      </c>
      <c r="L8" s="312" t="s">
        <v>6301</v>
      </c>
    </row>
    <row r="9" spans="1:12">
      <c r="A9" s="312">
        <v>721</v>
      </c>
      <c r="B9" s="312" t="s">
        <v>6302</v>
      </c>
      <c r="C9" s="312" t="s">
        <v>6303</v>
      </c>
      <c r="D9" s="312" t="s">
        <v>6304</v>
      </c>
      <c r="E9" s="312">
        <v>1</v>
      </c>
      <c r="F9" s="312">
        <v>1636799509933</v>
      </c>
      <c r="G9" s="312" t="s">
        <v>105</v>
      </c>
      <c r="H9" s="312" t="s">
        <v>105</v>
      </c>
      <c r="I9" s="312">
        <v>-75.552000000000007</v>
      </c>
      <c r="J9" s="312">
        <v>-9.3260000000000005</v>
      </c>
      <c r="K9" s="312" t="s">
        <v>6305</v>
      </c>
      <c r="L9" s="312" t="s">
        <v>6306</v>
      </c>
    </row>
    <row r="10" spans="1:12">
      <c r="A10" s="312">
        <v>826</v>
      </c>
      <c r="B10" s="312" t="s">
        <v>6307</v>
      </c>
      <c r="C10" s="312" t="s">
        <v>6308</v>
      </c>
      <c r="D10" s="312" t="s">
        <v>6309</v>
      </c>
      <c r="E10" s="312">
        <v>1</v>
      </c>
      <c r="F10" s="312">
        <v>1636799519081</v>
      </c>
      <c r="G10" s="312" t="s">
        <v>105</v>
      </c>
      <c r="H10" s="312" t="s">
        <v>105</v>
      </c>
      <c r="I10" s="312">
        <v>-1.2070000000000001</v>
      </c>
      <c r="J10" s="312">
        <v>7.96</v>
      </c>
      <c r="K10" s="312" t="s">
        <v>6310</v>
      </c>
      <c r="L10" s="312" t="s">
        <v>6311</v>
      </c>
    </row>
    <row r="11" spans="1:12">
      <c r="A11" s="312">
        <v>829</v>
      </c>
      <c r="B11" s="312" t="s">
        <v>6312</v>
      </c>
      <c r="C11" s="312" t="s">
        <v>6313</v>
      </c>
      <c r="D11" s="312" t="s">
        <v>6314</v>
      </c>
      <c r="E11" s="312">
        <v>1</v>
      </c>
      <c r="F11" s="312">
        <v>1636799516713</v>
      </c>
      <c r="G11" s="312" t="s">
        <v>105</v>
      </c>
      <c r="H11" s="312" t="s">
        <v>105</v>
      </c>
      <c r="I11" s="312">
        <v>0</v>
      </c>
      <c r="J11" s="312">
        <v>0</v>
      </c>
      <c r="K11" s="312" t="s">
        <v>6315</v>
      </c>
      <c r="L11" s="312" t="s">
        <v>6316</v>
      </c>
    </row>
    <row r="12" spans="1:12">
      <c r="A12" s="312">
        <v>830</v>
      </c>
      <c r="B12" s="312" t="s">
        <v>6317</v>
      </c>
      <c r="C12" s="312" t="s">
        <v>6318</v>
      </c>
      <c r="D12" s="312" t="s">
        <v>6319</v>
      </c>
      <c r="E12" s="312">
        <v>1</v>
      </c>
      <c r="F12" s="312">
        <v>1636799514446</v>
      </c>
      <c r="G12" s="312" t="s">
        <v>105</v>
      </c>
      <c r="H12" s="312" t="s">
        <v>105</v>
      </c>
      <c r="I12" s="312">
        <v>103.80800000000001</v>
      </c>
      <c r="J12" s="312">
        <v>1.351</v>
      </c>
      <c r="K12" s="312" t="s">
        <v>6320</v>
      </c>
      <c r="L12" s="312" t="s">
        <v>6321</v>
      </c>
    </row>
    <row r="13" spans="1:12">
      <c r="A13" s="312">
        <v>865</v>
      </c>
      <c r="B13" s="312" t="s">
        <v>6322</v>
      </c>
      <c r="C13" s="312" t="s">
        <v>6323</v>
      </c>
      <c r="D13" s="312" t="s">
        <v>6324</v>
      </c>
      <c r="E13" s="312">
        <v>1</v>
      </c>
      <c r="F13" s="312">
        <v>1636799509890</v>
      </c>
      <c r="G13" s="312" t="s">
        <v>105</v>
      </c>
      <c r="H13" s="312" t="s">
        <v>105</v>
      </c>
      <c r="I13" s="312">
        <v>23.896999999999998</v>
      </c>
      <c r="J13" s="312">
        <v>55.335999999999999</v>
      </c>
      <c r="K13" s="312" t="s">
        <v>6325</v>
      </c>
      <c r="L13" s="312" t="s">
        <v>6326</v>
      </c>
    </row>
    <row r="14" spans="1:12">
      <c r="A14" s="312">
        <v>722</v>
      </c>
      <c r="B14" s="312" t="s">
        <v>6327</v>
      </c>
      <c r="C14" s="312" t="s">
        <v>6328</v>
      </c>
      <c r="D14" s="312" t="s">
        <v>6329</v>
      </c>
      <c r="E14" s="312">
        <v>1</v>
      </c>
      <c r="F14" s="312">
        <v>1636799512960</v>
      </c>
      <c r="G14" s="312" t="s">
        <v>105</v>
      </c>
      <c r="H14" s="312" t="s">
        <v>105</v>
      </c>
      <c r="I14" s="312">
        <v>-71.755868958199997</v>
      </c>
      <c r="J14" s="312">
        <v>53.390446308999998</v>
      </c>
      <c r="K14" s="312" t="s">
        <v>6330</v>
      </c>
      <c r="L14" s="312" t="s">
        <v>6331</v>
      </c>
    </row>
    <row r="15" spans="1:12">
      <c r="A15" s="312">
        <v>723</v>
      </c>
      <c r="B15" s="312" t="s">
        <v>6332</v>
      </c>
      <c r="C15" s="312" t="s">
        <v>6333</v>
      </c>
      <c r="D15" s="312" t="s">
        <v>6334</v>
      </c>
      <c r="E15" s="312">
        <v>0</v>
      </c>
      <c r="F15" s="312">
        <v>0</v>
      </c>
      <c r="G15" s="312" t="s">
        <v>105</v>
      </c>
      <c r="H15" s="312" t="s">
        <v>105</v>
      </c>
      <c r="I15" s="312">
        <v>0</v>
      </c>
      <c r="J15" s="312">
        <v>0</v>
      </c>
      <c r="K15" s="312" t="s">
        <v>6335</v>
      </c>
      <c r="L15" s="312" t="s">
        <v>105</v>
      </c>
    </row>
    <row r="16" spans="1:12">
      <c r="A16" s="312">
        <v>784</v>
      </c>
      <c r="B16" s="312" t="s">
        <v>6336</v>
      </c>
      <c r="C16" s="312" t="s">
        <v>6337</v>
      </c>
      <c r="D16" s="312" t="s">
        <v>6338</v>
      </c>
      <c r="E16" s="312">
        <v>1</v>
      </c>
      <c r="F16" s="312">
        <v>1636799513685</v>
      </c>
      <c r="G16" s="312" t="s">
        <v>105</v>
      </c>
      <c r="H16" s="312" t="s">
        <v>105</v>
      </c>
      <c r="I16" s="312">
        <v>0</v>
      </c>
      <c r="J16" s="312">
        <v>0</v>
      </c>
      <c r="K16" s="312" t="s">
        <v>6339</v>
      </c>
      <c r="L16" s="312" t="s">
        <v>6340</v>
      </c>
    </row>
    <row r="17" spans="1:12">
      <c r="A17" s="312">
        <v>724</v>
      </c>
      <c r="B17" s="312" t="s">
        <v>6341</v>
      </c>
      <c r="C17" s="312" t="s">
        <v>6342</v>
      </c>
      <c r="D17" s="312" t="s">
        <v>6343</v>
      </c>
      <c r="E17" s="312">
        <v>1</v>
      </c>
      <c r="F17" s="312">
        <v>1636799516191</v>
      </c>
      <c r="G17" s="312" t="s">
        <v>105</v>
      </c>
      <c r="H17" s="312" t="s">
        <v>105</v>
      </c>
      <c r="I17" s="312">
        <v>-53.088999999999999</v>
      </c>
      <c r="J17" s="312">
        <v>-10.772</v>
      </c>
      <c r="K17" s="312" t="s">
        <v>6344</v>
      </c>
      <c r="L17" s="312" t="s">
        <v>6345</v>
      </c>
    </row>
    <row r="18" spans="1:12">
      <c r="A18" s="312">
        <v>827</v>
      </c>
      <c r="B18" s="312" t="s">
        <v>6346</v>
      </c>
      <c r="C18" s="312" t="s">
        <v>6347</v>
      </c>
      <c r="D18" s="312" t="s">
        <v>6348</v>
      </c>
      <c r="E18" s="312">
        <v>1</v>
      </c>
      <c r="F18" s="312">
        <v>1636799513594</v>
      </c>
      <c r="G18" s="312" t="s">
        <v>105</v>
      </c>
      <c r="H18" s="312" t="s">
        <v>105</v>
      </c>
      <c r="I18" s="312">
        <v>0</v>
      </c>
      <c r="J18" s="312">
        <v>0</v>
      </c>
      <c r="K18" s="312" t="s">
        <v>6349</v>
      </c>
      <c r="L18" s="312" t="s">
        <v>6350</v>
      </c>
    </row>
    <row r="19" spans="1:12">
      <c r="A19" s="312">
        <v>725</v>
      </c>
      <c r="B19" s="312" t="s">
        <v>6351</v>
      </c>
      <c r="C19" s="312" t="s">
        <v>6352</v>
      </c>
      <c r="D19" s="312" t="s">
        <v>6353</v>
      </c>
      <c r="E19" s="312">
        <v>1</v>
      </c>
      <c r="F19" s="312">
        <v>1636799511312</v>
      </c>
      <c r="G19" s="312" t="s">
        <v>105</v>
      </c>
      <c r="H19" s="312" t="s">
        <v>105</v>
      </c>
      <c r="I19" s="312">
        <v>78.961768913399993</v>
      </c>
      <c r="J19" s="312">
        <v>59.970127667699998</v>
      </c>
      <c r="K19" s="312" t="s">
        <v>6354</v>
      </c>
      <c r="L19" s="312" t="s">
        <v>6355</v>
      </c>
    </row>
    <row r="20" spans="1:12">
      <c r="A20" s="312">
        <v>833</v>
      </c>
      <c r="B20" s="312" t="s">
        <v>6356</v>
      </c>
      <c r="C20" s="312" t="s">
        <v>6357</v>
      </c>
      <c r="D20" s="312" t="s">
        <v>6358</v>
      </c>
      <c r="E20" s="312">
        <v>1</v>
      </c>
      <c r="F20" s="312">
        <v>1636799511010</v>
      </c>
      <c r="G20" s="312" t="s">
        <v>105</v>
      </c>
      <c r="H20" s="312" t="s">
        <v>105</v>
      </c>
      <c r="I20" s="312">
        <v>26.32</v>
      </c>
      <c r="J20" s="312">
        <v>-14.614000000000001</v>
      </c>
      <c r="K20" s="312" t="s">
        <v>6359</v>
      </c>
      <c r="L20" s="312" t="s">
        <v>6360</v>
      </c>
    </row>
    <row r="21" spans="1:12">
      <c r="A21" s="312">
        <v>866</v>
      </c>
      <c r="B21" s="312" t="s">
        <v>6361</v>
      </c>
      <c r="C21" s="312" t="s">
        <v>6362</v>
      </c>
      <c r="D21" s="312" t="s">
        <v>6363</v>
      </c>
      <c r="E21" s="312">
        <v>1</v>
      </c>
      <c r="F21" s="312">
        <v>1636799516825</v>
      </c>
      <c r="G21" s="312" t="s">
        <v>105</v>
      </c>
      <c r="H21" s="312" t="s">
        <v>105</v>
      </c>
      <c r="I21" s="312">
        <v>50.561999999999998</v>
      </c>
      <c r="J21" s="312">
        <v>26.018999999999998</v>
      </c>
      <c r="K21" s="312" t="s">
        <v>6364</v>
      </c>
      <c r="L21" s="312" t="s">
        <v>6365</v>
      </c>
    </row>
    <row r="22" spans="1:12">
      <c r="A22" s="312">
        <v>726</v>
      </c>
      <c r="B22" s="312" t="s">
        <v>6366</v>
      </c>
      <c r="C22" s="312" t="s">
        <v>6367</v>
      </c>
      <c r="D22" s="312" t="s">
        <v>6368</v>
      </c>
      <c r="E22" s="312">
        <v>1</v>
      </c>
      <c r="F22" s="312">
        <v>1636799517837</v>
      </c>
      <c r="G22" s="312" t="s">
        <v>105</v>
      </c>
      <c r="H22" s="312" t="s">
        <v>105</v>
      </c>
      <c r="I22" s="312">
        <v>9.8510000000000009</v>
      </c>
      <c r="J22" s="312">
        <v>51.11</v>
      </c>
      <c r="K22" s="312" t="s">
        <v>6369</v>
      </c>
      <c r="L22" s="312" t="s">
        <v>6370</v>
      </c>
    </row>
    <row r="23" spans="1:12">
      <c r="A23" s="312">
        <v>727</v>
      </c>
      <c r="B23" s="312" t="s">
        <v>6371</v>
      </c>
      <c r="C23" s="312" t="s">
        <v>6372</v>
      </c>
      <c r="D23" s="312" t="s">
        <v>6373</v>
      </c>
      <c r="E23" s="312">
        <v>1</v>
      </c>
      <c r="F23" s="312">
        <v>1636799523165</v>
      </c>
      <c r="G23" s="312" t="s">
        <v>105</v>
      </c>
      <c r="H23" s="312" t="s">
        <v>105</v>
      </c>
      <c r="I23" s="312">
        <v>47.375999999999998</v>
      </c>
      <c r="J23" s="312">
        <v>29.475999999999999</v>
      </c>
      <c r="K23" s="312" t="s">
        <v>6374</v>
      </c>
      <c r="L23" s="312" t="s">
        <v>6375</v>
      </c>
    </row>
    <row r="24" spans="1:12">
      <c r="A24" s="312">
        <v>728</v>
      </c>
      <c r="B24" s="312" t="s">
        <v>6376</v>
      </c>
      <c r="C24" s="312" t="s">
        <v>6377</v>
      </c>
      <c r="D24" s="312" t="s">
        <v>6378</v>
      </c>
      <c r="E24" s="312">
        <v>1</v>
      </c>
      <c r="F24" s="312">
        <v>1636799524242</v>
      </c>
      <c r="G24" s="312" t="s">
        <v>105</v>
      </c>
      <c r="H24" s="312" t="s">
        <v>105</v>
      </c>
      <c r="I24" s="312">
        <v>19.491</v>
      </c>
      <c r="J24" s="312">
        <v>48.707000000000001</v>
      </c>
      <c r="K24" s="312" t="s">
        <v>6379</v>
      </c>
      <c r="L24" s="312" t="s">
        <v>6380</v>
      </c>
    </row>
    <row r="25" spans="1:12">
      <c r="A25" s="312">
        <v>729</v>
      </c>
      <c r="B25" s="312" t="s">
        <v>6381</v>
      </c>
      <c r="C25" s="312" t="s">
        <v>6382</v>
      </c>
      <c r="D25" s="312" t="s">
        <v>6383</v>
      </c>
      <c r="E25" s="312">
        <v>1</v>
      </c>
      <c r="F25" s="312">
        <v>1636799516728</v>
      </c>
      <c r="G25" s="312" t="s">
        <v>105</v>
      </c>
      <c r="H25" s="312" t="s">
        <v>105</v>
      </c>
      <c r="I25" s="312">
        <v>14.912000000000001</v>
      </c>
      <c r="J25" s="312">
        <v>47.683</v>
      </c>
      <c r="K25" s="312" t="s">
        <v>6384</v>
      </c>
      <c r="L25" s="312" t="s">
        <v>6385</v>
      </c>
    </row>
    <row r="26" spans="1:12">
      <c r="A26" s="312">
        <v>730</v>
      </c>
      <c r="B26" s="312" t="s">
        <v>6386</v>
      </c>
      <c r="C26" s="312" t="s">
        <v>6387</v>
      </c>
      <c r="D26" s="312" t="s">
        <v>6388</v>
      </c>
      <c r="E26" s="312">
        <v>1</v>
      </c>
      <c r="F26" s="312">
        <v>1636799514431</v>
      </c>
      <c r="G26" s="312" t="s">
        <v>105</v>
      </c>
      <c r="H26" s="312" t="s">
        <v>105</v>
      </c>
      <c r="I26" s="312">
        <v>0</v>
      </c>
      <c r="J26" s="312">
        <v>0</v>
      </c>
      <c r="K26" s="312" t="s">
        <v>6389</v>
      </c>
      <c r="L26" s="312" t="s">
        <v>6390</v>
      </c>
    </row>
    <row r="27" spans="1:12">
      <c r="A27" s="312">
        <v>731</v>
      </c>
      <c r="B27" s="312" t="s">
        <v>6391</v>
      </c>
      <c r="C27" s="312" t="s">
        <v>6392</v>
      </c>
      <c r="D27" s="312" t="s">
        <v>6393</v>
      </c>
      <c r="E27" s="312">
        <v>1</v>
      </c>
      <c r="F27" s="312">
        <v>1636799512909</v>
      </c>
      <c r="G27" s="312" t="s">
        <v>105</v>
      </c>
      <c r="H27" s="312" t="s">
        <v>105</v>
      </c>
      <c r="I27" s="312">
        <v>0</v>
      </c>
      <c r="J27" s="312">
        <v>0</v>
      </c>
      <c r="K27" s="312" t="s">
        <v>6394</v>
      </c>
      <c r="L27" s="312" t="s">
        <v>6395</v>
      </c>
    </row>
    <row r="28" spans="1:12">
      <c r="A28" s="312">
        <v>732</v>
      </c>
      <c r="B28" s="312" t="s">
        <v>6396</v>
      </c>
      <c r="C28" s="312" t="s">
        <v>6397</v>
      </c>
      <c r="D28" s="312" t="s">
        <v>6398</v>
      </c>
      <c r="E28" s="312">
        <v>1</v>
      </c>
      <c r="F28" s="312">
        <v>1636799513831</v>
      </c>
      <c r="G28" s="312" t="s">
        <v>105</v>
      </c>
      <c r="H28" s="312" t="s">
        <v>105</v>
      </c>
      <c r="I28" s="312">
        <v>24.969000000000001</v>
      </c>
      <c r="J28" s="312">
        <v>45.844000000000001</v>
      </c>
      <c r="K28" s="312" t="s">
        <v>6399</v>
      </c>
      <c r="L28" s="312" t="s">
        <v>6400</v>
      </c>
    </row>
    <row r="29" spans="1:12">
      <c r="A29" s="312">
        <v>733</v>
      </c>
      <c r="B29" s="312" t="s">
        <v>6401</v>
      </c>
      <c r="C29" s="312" t="s">
        <v>6402</v>
      </c>
      <c r="D29" s="312" t="s">
        <v>6403</v>
      </c>
      <c r="E29" s="312">
        <v>1</v>
      </c>
      <c r="F29" s="312">
        <v>1636799524184</v>
      </c>
      <c r="G29" s="312" t="s">
        <v>105</v>
      </c>
      <c r="H29" s="312" t="s">
        <v>105</v>
      </c>
      <c r="I29" s="312">
        <v>-98.605999999999995</v>
      </c>
      <c r="J29" s="312">
        <v>39.622</v>
      </c>
      <c r="K29" s="312" t="s">
        <v>6404</v>
      </c>
      <c r="L29" s="312" t="s">
        <v>6405</v>
      </c>
    </row>
    <row r="30" spans="1:12">
      <c r="A30" s="312">
        <v>734</v>
      </c>
      <c r="B30" s="312" t="s">
        <v>6406</v>
      </c>
      <c r="C30" s="312" t="s">
        <v>6407</v>
      </c>
      <c r="D30" s="312" t="s">
        <v>6408</v>
      </c>
      <c r="E30" s="312">
        <v>1</v>
      </c>
      <c r="F30" s="312">
        <v>1636799512585</v>
      </c>
      <c r="G30" s="312" t="s">
        <v>105</v>
      </c>
      <c r="H30" s="312" t="s">
        <v>105</v>
      </c>
      <c r="I30" s="312">
        <v>0</v>
      </c>
      <c r="J30" s="312">
        <v>0</v>
      </c>
      <c r="K30" s="312" t="s">
        <v>6409</v>
      </c>
      <c r="L30" s="312" t="s">
        <v>6410</v>
      </c>
    </row>
    <row r="31" spans="1:12">
      <c r="A31" s="312">
        <v>735</v>
      </c>
      <c r="B31" s="312" t="s">
        <v>6411</v>
      </c>
      <c r="C31" s="312" t="s">
        <v>6412</v>
      </c>
      <c r="D31" s="312" t="s">
        <v>6413</v>
      </c>
      <c r="E31" s="312">
        <v>1</v>
      </c>
      <c r="F31" s="312">
        <v>1636799516504</v>
      </c>
      <c r="G31" s="312" t="s">
        <v>105</v>
      </c>
      <c r="H31" s="312" t="s">
        <v>105</v>
      </c>
      <c r="I31" s="312">
        <v>0</v>
      </c>
      <c r="J31" s="312">
        <v>0</v>
      </c>
      <c r="K31" s="312" t="s">
        <v>6414</v>
      </c>
      <c r="L31" s="312" t="s">
        <v>6415</v>
      </c>
    </row>
    <row r="32" spans="1:12">
      <c r="A32" s="312">
        <v>736</v>
      </c>
      <c r="B32" s="312" t="s">
        <v>6416</v>
      </c>
      <c r="C32" s="312" t="s">
        <v>6417</v>
      </c>
      <c r="D32" s="312" t="s">
        <v>6418</v>
      </c>
      <c r="E32" s="312">
        <v>1</v>
      </c>
      <c r="F32" s="312">
        <v>1636799523784</v>
      </c>
      <c r="G32" s="312" t="s">
        <v>105</v>
      </c>
      <c r="H32" s="312" t="s">
        <v>105</v>
      </c>
      <c r="I32" s="312">
        <v>19.401</v>
      </c>
      <c r="J32" s="312">
        <v>52.125</v>
      </c>
      <c r="K32" s="312" t="s">
        <v>6419</v>
      </c>
      <c r="L32" s="312" t="s">
        <v>6420</v>
      </c>
    </row>
    <row r="33" spans="1:12">
      <c r="A33" s="312">
        <v>737</v>
      </c>
      <c r="B33" s="312" t="s">
        <v>6421</v>
      </c>
      <c r="C33" s="312" t="s">
        <v>6422</v>
      </c>
      <c r="D33" s="312" t="s">
        <v>6423</v>
      </c>
      <c r="E33" s="312">
        <v>1</v>
      </c>
      <c r="F33" s="312">
        <v>1636799523741</v>
      </c>
      <c r="G33" s="312" t="s">
        <v>105</v>
      </c>
      <c r="H33" s="312" t="s">
        <v>105</v>
      </c>
      <c r="I33" s="312">
        <v>12.8</v>
      </c>
      <c r="J33" s="312">
        <v>42.7</v>
      </c>
      <c r="K33" s="312" t="s">
        <v>6424</v>
      </c>
      <c r="L33" s="312" t="s">
        <v>6425</v>
      </c>
    </row>
    <row r="34" spans="1:12">
      <c r="A34" s="312">
        <v>738</v>
      </c>
      <c r="B34" s="312" t="s">
        <v>6426</v>
      </c>
      <c r="C34" s="312" t="s">
        <v>6427</v>
      </c>
      <c r="D34" s="312" t="s">
        <v>6428</v>
      </c>
      <c r="E34" s="312">
        <v>1</v>
      </c>
      <c r="F34" s="312">
        <v>1636799513880</v>
      </c>
      <c r="G34" s="312" t="s">
        <v>105</v>
      </c>
      <c r="H34" s="312" t="s">
        <v>105</v>
      </c>
      <c r="I34" s="312">
        <v>5.3890000000000002</v>
      </c>
      <c r="J34" s="312">
        <v>52.076999999999998</v>
      </c>
      <c r="K34" s="312" t="s">
        <v>6429</v>
      </c>
      <c r="L34" s="312" t="s">
        <v>6430</v>
      </c>
    </row>
    <row r="35" spans="1:12">
      <c r="A35" s="312">
        <v>739</v>
      </c>
      <c r="B35" s="312" t="s">
        <v>6431</v>
      </c>
      <c r="C35" s="312" t="s">
        <v>6432</v>
      </c>
      <c r="D35" s="312" t="s">
        <v>6433</v>
      </c>
      <c r="E35" s="312">
        <v>1</v>
      </c>
      <c r="F35" s="312">
        <v>1636799523702</v>
      </c>
      <c r="G35" s="312" t="s">
        <v>105</v>
      </c>
      <c r="H35" s="312" t="s">
        <v>105</v>
      </c>
      <c r="I35" s="312">
        <v>8.74</v>
      </c>
      <c r="J35" s="312">
        <v>61.152000000000001</v>
      </c>
      <c r="K35" s="312" t="s">
        <v>6434</v>
      </c>
      <c r="L35" s="312" t="s">
        <v>6435</v>
      </c>
    </row>
    <row r="36" spans="1:12">
      <c r="A36" s="312">
        <v>740</v>
      </c>
      <c r="B36" s="312" t="s">
        <v>6436</v>
      </c>
      <c r="C36" s="312" t="s">
        <v>6437</v>
      </c>
      <c r="D36" s="312" t="s">
        <v>6438</v>
      </c>
      <c r="E36" s="312">
        <v>1</v>
      </c>
      <c r="F36" s="312">
        <v>1636799523211</v>
      </c>
      <c r="G36" s="312" t="s">
        <v>105</v>
      </c>
      <c r="H36" s="312" t="s">
        <v>105</v>
      </c>
      <c r="I36" s="312">
        <v>21.765999999999998</v>
      </c>
      <c r="J36" s="312">
        <v>39.665999999999997</v>
      </c>
      <c r="K36" s="312" t="s">
        <v>6439</v>
      </c>
      <c r="L36" s="312" t="s">
        <v>6440</v>
      </c>
    </row>
    <row r="37" spans="1:12">
      <c r="A37" s="312">
        <v>741</v>
      </c>
      <c r="B37" s="312" t="s">
        <v>6441</v>
      </c>
      <c r="C37" s="312" t="s">
        <v>6442</v>
      </c>
      <c r="D37" s="312" t="s">
        <v>6443</v>
      </c>
      <c r="E37" s="312">
        <v>1</v>
      </c>
      <c r="F37" s="312">
        <v>1636799511030</v>
      </c>
      <c r="G37" s="312" t="s">
        <v>105</v>
      </c>
      <c r="H37" s="312" t="s">
        <v>105</v>
      </c>
      <c r="I37" s="312">
        <v>0</v>
      </c>
      <c r="J37" s="312">
        <v>0</v>
      </c>
      <c r="K37" s="312" t="s">
        <v>6444</v>
      </c>
      <c r="L37" s="312" t="s">
        <v>6445</v>
      </c>
    </row>
    <row r="38" spans="1:12">
      <c r="A38" s="312">
        <v>742</v>
      </c>
      <c r="B38" s="312" t="s">
        <v>6446</v>
      </c>
      <c r="C38" s="312" t="s">
        <v>6447</v>
      </c>
      <c r="D38" s="312" t="s">
        <v>6448</v>
      </c>
      <c r="E38" s="312">
        <v>1</v>
      </c>
      <c r="F38" s="312">
        <v>1636799516382</v>
      </c>
      <c r="G38" s="312" t="s">
        <v>105</v>
      </c>
      <c r="H38" s="312" t="s">
        <v>105</v>
      </c>
      <c r="I38" s="312">
        <v>139.06800000000001</v>
      </c>
      <c r="J38" s="312">
        <v>36.491</v>
      </c>
      <c r="K38" s="312" t="s">
        <v>6449</v>
      </c>
      <c r="L38" s="312" t="s">
        <v>6450</v>
      </c>
    </row>
    <row r="39" spans="1:12">
      <c r="A39" s="312">
        <v>743</v>
      </c>
      <c r="B39" s="312" t="s">
        <v>6451</v>
      </c>
      <c r="C39" s="312" t="s">
        <v>6452</v>
      </c>
      <c r="D39" s="312" t="s">
        <v>6453</v>
      </c>
      <c r="E39" s="312">
        <v>1</v>
      </c>
      <c r="F39" s="312">
        <v>1636799513873</v>
      </c>
      <c r="G39" s="312" t="s">
        <v>105</v>
      </c>
      <c r="H39" s="312" t="s">
        <v>105</v>
      </c>
      <c r="I39" s="312">
        <v>172.23500000000001</v>
      </c>
      <c r="J39" s="312">
        <v>-42.634</v>
      </c>
      <c r="K39" s="312" t="s">
        <v>6454</v>
      </c>
      <c r="L39" s="312" t="s">
        <v>6455</v>
      </c>
    </row>
    <row r="40" spans="1:12">
      <c r="A40" s="312">
        <v>744</v>
      </c>
      <c r="B40" s="312" t="s">
        <v>6456</v>
      </c>
      <c r="C40" s="312" t="s">
        <v>6457</v>
      </c>
      <c r="D40" s="312" t="s">
        <v>6458</v>
      </c>
      <c r="E40" s="312">
        <v>1</v>
      </c>
      <c r="F40" s="312">
        <v>1636799523627</v>
      </c>
      <c r="G40" s="312" t="s">
        <v>105</v>
      </c>
      <c r="H40" s="312" t="s">
        <v>105</v>
      </c>
      <c r="I40" s="312">
        <v>102.19499999999999</v>
      </c>
      <c r="J40" s="312">
        <v>4.2009999999999996</v>
      </c>
      <c r="K40" s="312" t="s">
        <v>6459</v>
      </c>
      <c r="L40" s="312" t="s">
        <v>6460</v>
      </c>
    </row>
    <row r="41" spans="1:12">
      <c r="A41" s="312">
        <v>745</v>
      </c>
      <c r="B41" s="312" t="s">
        <v>6461</v>
      </c>
      <c r="C41" s="312" t="s">
        <v>6462</v>
      </c>
      <c r="D41" s="312" t="s">
        <v>6463</v>
      </c>
      <c r="E41" s="312">
        <v>1</v>
      </c>
      <c r="F41" s="312">
        <v>1636799517818</v>
      </c>
      <c r="G41" s="312" t="s">
        <v>105</v>
      </c>
      <c r="H41" s="312" t="s">
        <v>105</v>
      </c>
      <c r="I41" s="312">
        <v>0</v>
      </c>
      <c r="J41" s="312">
        <v>0</v>
      </c>
      <c r="K41" s="312" t="s">
        <v>6462</v>
      </c>
      <c r="L41" s="312" t="s">
        <v>6464</v>
      </c>
    </row>
    <row r="42" spans="1:12">
      <c r="A42" s="312">
        <v>746</v>
      </c>
      <c r="B42" s="312" t="s">
        <v>6465</v>
      </c>
      <c r="C42" s="312" t="s">
        <v>6466</v>
      </c>
      <c r="D42" s="312" t="s">
        <v>6467</v>
      </c>
      <c r="E42" s="312">
        <v>1</v>
      </c>
      <c r="F42" s="312">
        <v>1636799523548</v>
      </c>
      <c r="G42" s="312" t="s">
        <v>105</v>
      </c>
      <c r="H42" s="312" t="s">
        <v>105</v>
      </c>
      <c r="I42" s="312">
        <v>-82.239574961599999</v>
      </c>
      <c r="J42" s="312">
        <v>40.8119077976</v>
      </c>
      <c r="K42" s="312" t="s">
        <v>6468</v>
      </c>
      <c r="L42" s="312" t="s">
        <v>6469</v>
      </c>
    </row>
    <row r="43" spans="1:12">
      <c r="A43" s="312">
        <v>747</v>
      </c>
      <c r="B43" s="312" t="s">
        <v>6470</v>
      </c>
      <c r="C43" s="312" t="s">
        <v>6471</v>
      </c>
      <c r="D43" s="312" t="s">
        <v>6472</v>
      </c>
      <c r="E43" s="312">
        <v>1</v>
      </c>
      <c r="F43" s="312">
        <v>1636799523567</v>
      </c>
      <c r="G43" s="312" t="s">
        <v>105</v>
      </c>
      <c r="H43" s="312" t="s">
        <v>105</v>
      </c>
      <c r="I43" s="312">
        <v>-86.475241172599993</v>
      </c>
      <c r="J43" s="312">
        <v>34.9951368575</v>
      </c>
      <c r="K43" s="312" t="s">
        <v>6473</v>
      </c>
      <c r="L43" s="312" t="s">
        <v>6474</v>
      </c>
    </row>
    <row r="44" spans="1:12">
      <c r="A44" s="312">
        <v>748</v>
      </c>
      <c r="B44" s="312" t="s">
        <v>6475</v>
      </c>
      <c r="C44" s="312" t="s">
        <v>6476</v>
      </c>
      <c r="D44" s="312" t="s">
        <v>6477</v>
      </c>
      <c r="E44" s="312">
        <v>1</v>
      </c>
      <c r="F44" s="312">
        <v>1636799513877</v>
      </c>
      <c r="G44" s="312" t="s">
        <v>105</v>
      </c>
      <c r="H44" s="312" t="s">
        <v>105</v>
      </c>
      <c r="I44" s="312">
        <v>120.946207233</v>
      </c>
      <c r="J44" s="312">
        <v>23.753704392700001</v>
      </c>
      <c r="K44" s="312" t="s">
        <v>6478</v>
      </c>
      <c r="L44" s="312" t="s">
        <v>6479</v>
      </c>
    </row>
    <row r="45" spans="1:12">
      <c r="A45" s="312">
        <v>749</v>
      </c>
      <c r="B45" s="312" t="s">
        <v>6480</v>
      </c>
      <c r="C45" s="312" t="s">
        <v>6481</v>
      </c>
      <c r="D45" s="312" t="s">
        <v>6482</v>
      </c>
      <c r="E45" s="312">
        <v>1</v>
      </c>
      <c r="F45" s="312">
        <v>1636799514479</v>
      </c>
      <c r="G45" s="312" t="s">
        <v>105</v>
      </c>
      <c r="H45" s="312" t="s">
        <v>105</v>
      </c>
      <c r="I45" s="312">
        <v>96.040999999999997</v>
      </c>
      <c r="J45" s="312">
        <v>21.718</v>
      </c>
      <c r="K45" s="312" t="s">
        <v>6483</v>
      </c>
      <c r="L45" s="312" t="s">
        <v>6484</v>
      </c>
    </row>
    <row r="46" spans="1:12">
      <c r="A46" s="312">
        <v>750</v>
      </c>
      <c r="B46" s="312" t="s">
        <v>6485</v>
      </c>
      <c r="C46" s="312" t="s">
        <v>6486</v>
      </c>
      <c r="D46" s="312" t="s">
        <v>6487</v>
      </c>
      <c r="E46" s="312">
        <v>1</v>
      </c>
      <c r="F46" s="312">
        <v>1636799516308</v>
      </c>
      <c r="G46" s="312" t="s">
        <v>105</v>
      </c>
      <c r="H46" s="312" t="s">
        <v>105</v>
      </c>
      <c r="I46" s="312">
        <v>114.252</v>
      </c>
      <c r="J46" s="312">
        <v>-0.97599999999999998</v>
      </c>
      <c r="K46" s="312" t="s">
        <v>6256</v>
      </c>
      <c r="L46" s="312" t="s">
        <v>6488</v>
      </c>
    </row>
    <row r="47" spans="1:12">
      <c r="A47" s="312">
        <v>751</v>
      </c>
      <c r="B47" s="312" t="s">
        <v>6489</v>
      </c>
      <c r="C47" s="312" t="s">
        <v>6490</v>
      </c>
      <c r="D47" s="312" t="s">
        <v>6491</v>
      </c>
      <c r="E47" s="312">
        <v>1</v>
      </c>
      <c r="F47" s="312">
        <v>1636799516785</v>
      </c>
      <c r="G47" s="312" t="s">
        <v>105</v>
      </c>
      <c r="H47" s="312" t="s">
        <v>105</v>
      </c>
      <c r="I47" s="312">
        <v>136.18899999999999</v>
      </c>
      <c r="J47" s="312">
        <v>-24.972999999999999</v>
      </c>
      <c r="K47" s="312" t="s">
        <v>6492</v>
      </c>
      <c r="L47" s="312" t="s">
        <v>6493</v>
      </c>
    </row>
    <row r="48" spans="1:12">
      <c r="A48" s="312">
        <v>752</v>
      </c>
      <c r="B48" s="312" t="s">
        <v>6494</v>
      </c>
      <c r="C48" s="312" t="s">
        <v>6495</v>
      </c>
      <c r="D48" s="312" t="s">
        <v>6496</v>
      </c>
      <c r="E48" s="312">
        <v>1</v>
      </c>
      <c r="F48" s="312">
        <v>1636799511054</v>
      </c>
      <c r="G48" s="312" t="s">
        <v>105</v>
      </c>
      <c r="H48" s="312" t="s">
        <v>105</v>
      </c>
      <c r="I48" s="312">
        <v>-65.167000000000002</v>
      </c>
      <c r="J48" s="312">
        <v>-35.377000000000002</v>
      </c>
      <c r="K48" s="312" t="s">
        <v>6497</v>
      </c>
      <c r="L48" s="312" t="s">
        <v>6498</v>
      </c>
    </row>
    <row r="49" spans="1:12">
      <c r="A49" s="312">
        <v>753</v>
      </c>
      <c r="B49" s="312" t="s">
        <v>6499</v>
      </c>
      <c r="C49" s="312" t="s">
        <v>6500</v>
      </c>
      <c r="D49" s="312" t="s">
        <v>6501</v>
      </c>
      <c r="E49" s="312">
        <v>1</v>
      </c>
      <c r="F49" s="312">
        <v>1636799511072</v>
      </c>
      <c r="G49" s="312" t="s">
        <v>105</v>
      </c>
      <c r="H49" s="312" t="s">
        <v>105</v>
      </c>
      <c r="I49" s="312">
        <v>26.271999999999998</v>
      </c>
      <c r="J49" s="312">
        <v>64.504000000000005</v>
      </c>
      <c r="K49" s="312" t="s">
        <v>6502</v>
      </c>
      <c r="L49" s="312" t="s">
        <v>6503</v>
      </c>
    </row>
    <row r="50" spans="1:12">
      <c r="A50" s="312">
        <v>754</v>
      </c>
      <c r="B50" s="312" t="s">
        <v>6504</v>
      </c>
      <c r="C50" s="312" t="s">
        <v>6505</v>
      </c>
      <c r="D50" s="312" t="s">
        <v>6506</v>
      </c>
      <c r="E50" s="312">
        <v>1</v>
      </c>
      <c r="F50" s="312">
        <v>1636799514653</v>
      </c>
      <c r="G50" s="312" t="s">
        <v>105</v>
      </c>
      <c r="H50" s="312" t="s">
        <v>105</v>
      </c>
      <c r="I50" s="312">
        <v>-65.624398272400001</v>
      </c>
      <c r="J50" s="312">
        <v>-10.1194147825</v>
      </c>
      <c r="K50" s="312" t="s">
        <v>6507</v>
      </c>
      <c r="L50" s="312" t="s">
        <v>6508</v>
      </c>
    </row>
    <row r="51" spans="1:12">
      <c r="A51" s="312">
        <v>755</v>
      </c>
      <c r="B51" s="312" t="s">
        <v>6509</v>
      </c>
      <c r="C51" s="312" t="s">
        <v>6510</v>
      </c>
      <c r="D51" s="312" t="s">
        <v>6511</v>
      </c>
      <c r="E51" s="312">
        <v>1</v>
      </c>
      <c r="F51" s="312">
        <v>1636799524289</v>
      </c>
      <c r="G51" s="312" t="s">
        <v>105</v>
      </c>
      <c r="H51" s="312" t="s">
        <v>105</v>
      </c>
      <c r="I51" s="312">
        <v>35.179000000000002</v>
      </c>
      <c r="J51" s="312">
        <v>39.061</v>
      </c>
      <c r="K51" s="312" t="s">
        <v>6512</v>
      </c>
      <c r="L51" s="312" t="s">
        <v>6513</v>
      </c>
    </row>
    <row r="52" spans="1:12">
      <c r="A52" s="312">
        <v>756</v>
      </c>
      <c r="B52" s="312" t="s">
        <v>6514</v>
      </c>
      <c r="C52" s="312" t="s">
        <v>6515</v>
      </c>
      <c r="D52" s="312" t="s">
        <v>6516</v>
      </c>
      <c r="E52" s="312">
        <v>1</v>
      </c>
      <c r="F52" s="312">
        <v>1636799510969</v>
      </c>
      <c r="G52" s="312" t="s">
        <v>105</v>
      </c>
      <c r="H52" s="312" t="s">
        <v>105</v>
      </c>
      <c r="I52" s="312">
        <v>-8.0579999999999998</v>
      </c>
      <c r="J52" s="312">
        <v>40.308999999999997</v>
      </c>
      <c r="K52" s="312" t="s">
        <v>6517</v>
      </c>
      <c r="L52" s="312" t="s">
        <v>6518</v>
      </c>
    </row>
    <row r="53" spans="1:12">
      <c r="A53" s="312">
        <v>757</v>
      </c>
      <c r="B53" s="312" t="s">
        <v>6519</v>
      </c>
      <c r="C53" s="312" t="s">
        <v>6520</v>
      </c>
      <c r="D53" s="312" t="s">
        <v>6521</v>
      </c>
      <c r="E53" s="312">
        <v>1</v>
      </c>
      <c r="F53" s="312">
        <v>1636799516691</v>
      </c>
      <c r="G53" s="312" t="s">
        <v>105</v>
      </c>
      <c r="H53" s="312" t="s">
        <v>105</v>
      </c>
      <c r="I53" s="312">
        <v>0</v>
      </c>
      <c r="J53" s="312">
        <v>0</v>
      </c>
      <c r="K53" s="312" t="s">
        <v>6522</v>
      </c>
      <c r="L53" s="312" t="s">
        <v>6523</v>
      </c>
    </row>
    <row r="54" spans="1:12">
      <c r="A54" s="312">
        <v>758</v>
      </c>
      <c r="B54" s="312" t="s">
        <v>6524</v>
      </c>
      <c r="C54" s="312" t="s">
        <v>6525</v>
      </c>
      <c r="D54" s="312" t="s">
        <v>6526</v>
      </c>
      <c r="E54" s="312">
        <v>1</v>
      </c>
      <c r="F54" s="312">
        <v>1636799514373</v>
      </c>
      <c r="G54" s="312" t="s">
        <v>105</v>
      </c>
      <c r="H54" s="312" t="s">
        <v>105</v>
      </c>
      <c r="I54" s="312">
        <v>2.5499999999999998</v>
      </c>
      <c r="J54" s="312">
        <v>46.564999999999998</v>
      </c>
      <c r="K54" s="312" t="s">
        <v>6527</v>
      </c>
      <c r="L54" s="312" t="s">
        <v>6528</v>
      </c>
    </row>
    <row r="55" spans="1:12">
      <c r="A55" s="312">
        <v>759</v>
      </c>
      <c r="B55" s="312" t="s">
        <v>6529</v>
      </c>
      <c r="C55" s="312" t="s">
        <v>6530</v>
      </c>
      <c r="D55" s="312" t="s">
        <v>6531</v>
      </c>
      <c r="E55" s="312">
        <v>1</v>
      </c>
      <c r="F55" s="312">
        <v>1636799514695</v>
      </c>
      <c r="G55" s="312" t="s">
        <v>105</v>
      </c>
      <c r="H55" s="312" t="s">
        <v>105</v>
      </c>
      <c r="I55" s="312">
        <v>-5.556</v>
      </c>
      <c r="J55" s="312">
        <v>7.6319999999999997</v>
      </c>
      <c r="K55" s="312" t="s">
        <v>6532</v>
      </c>
      <c r="L55" s="312" t="s">
        <v>6533</v>
      </c>
    </row>
    <row r="56" spans="1:12">
      <c r="A56" s="312">
        <v>760</v>
      </c>
      <c r="B56" s="312" t="s">
        <v>6534</v>
      </c>
      <c r="C56" s="312" t="s">
        <v>6535</v>
      </c>
      <c r="D56" s="312" t="s">
        <v>6536</v>
      </c>
      <c r="E56" s="312">
        <v>1</v>
      </c>
      <c r="F56" s="312">
        <v>1636799514398</v>
      </c>
      <c r="G56" s="312" t="s">
        <v>105</v>
      </c>
      <c r="H56" s="312" t="s">
        <v>105</v>
      </c>
      <c r="I56" s="312">
        <v>-1.6</v>
      </c>
      <c r="J56" s="312">
        <v>53</v>
      </c>
      <c r="K56" s="312" t="s">
        <v>6537</v>
      </c>
      <c r="L56" s="312" t="s">
        <v>6538</v>
      </c>
    </row>
    <row r="57" spans="1:12">
      <c r="A57" s="312">
        <v>761</v>
      </c>
      <c r="B57" s="312" t="s">
        <v>6539</v>
      </c>
      <c r="C57" s="312" t="s">
        <v>6540</v>
      </c>
      <c r="D57" s="312" t="s">
        <v>6541</v>
      </c>
      <c r="E57" s="312">
        <v>1</v>
      </c>
      <c r="F57" s="312">
        <v>1636799524205</v>
      </c>
      <c r="G57" s="312" t="s">
        <v>105</v>
      </c>
      <c r="H57" s="312" t="s">
        <v>105</v>
      </c>
      <c r="I57" s="312">
        <v>30.05</v>
      </c>
      <c r="J57" s="312">
        <v>13.832000000000001</v>
      </c>
      <c r="K57" s="312" t="s">
        <v>6542</v>
      </c>
      <c r="L57" s="312" t="s">
        <v>6543</v>
      </c>
    </row>
    <row r="58" spans="1:12">
      <c r="A58" s="312">
        <v>762</v>
      </c>
      <c r="B58" s="312" t="s">
        <v>6544</v>
      </c>
      <c r="C58" s="312" t="s">
        <v>6545</v>
      </c>
      <c r="D58" s="312" t="s">
        <v>6546</v>
      </c>
      <c r="E58" s="312">
        <v>1</v>
      </c>
      <c r="F58" s="312">
        <v>1636799523106</v>
      </c>
      <c r="G58" s="312" t="s">
        <v>105</v>
      </c>
      <c r="H58" s="312" t="s">
        <v>105</v>
      </c>
      <c r="I58" s="312">
        <v>0</v>
      </c>
      <c r="J58" s="312">
        <v>0</v>
      </c>
      <c r="K58" s="312" t="s">
        <v>6547</v>
      </c>
      <c r="L58" s="312" t="s">
        <v>6548</v>
      </c>
    </row>
    <row r="59" spans="1:12">
      <c r="A59" s="312">
        <v>763</v>
      </c>
      <c r="B59" s="312" t="s">
        <v>6549</v>
      </c>
      <c r="C59" s="312" t="s">
        <v>6550</v>
      </c>
      <c r="D59" s="312" t="s">
        <v>6551</v>
      </c>
      <c r="E59" s="312">
        <v>1</v>
      </c>
      <c r="F59" s="312">
        <v>1636799516645</v>
      </c>
      <c r="G59" s="312" t="s">
        <v>105</v>
      </c>
      <c r="H59" s="312" t="s">
        <v>105</v>
      </c>
      <c r="I59" s="312">
        <v>0</v>
      </c>
      <c r="J59" s="312">
        <v>0</v>
      </c>
      <c r="K59" s="312" t="s">
        <v>6552</v>
      </c>
      <c r="L59" s="312" t="s">
        <v>6553</v>
      </c>
    </row>
    <row r="60" spans="1:12">
      <c r="A60" s="312">
        <v>764</v>
      </c>
      <c r="B60" s="312" t="s">
        <v>6554</v>
      </c>
      <c r="C60" s="312" t="s">
        <v>6555</v>
      </c>
      <c r="D60" s="312" t="s">
        <v>6556</v>
      </c>
      <c r="E60" s="312">
        <v>1</v>
      </c>
      <c r="F60" s="312">
        <v>1636799523510</v>
      </c>
      <c r="G60" s="312" t="s">
        <v>105</v>
      </c>
      <c r="H60" s="312" t="s">
        <v>105</v>
      </c>
      <c r="I60" s="312">
        <v>6.4211032562300003</v>
      </c>
      <c r="J60" s="312">
        <v>48.597508391600002</v>
      </c>
      <c r="K60" s="312" t="s">
        <v>6555</v>
      </c>
      <c r="L60" s="312" t="s">
        <v>6557</v>
      </c>
    </row>
    <row r="61" spans="1:12">
      <c r="A61" s="312">
        <v>765</v>
      </c>
      <c r="B61" s="312" t="s">
        <v>6558</v>
      </c>
      <c r="C61" s="312" t="s">
        <v>6559</v>
      </c>
      <c r="D61" s="312" t="s">
        <v>6560</v>
      </c>
      <c r="E61" s="312">
        <v>1</v>
      </c>
      <c r="F61" s="312">
        <v>1636799516074</v>
      </c>
      <c r="G61" s="312" t="s">
        <v>105</v>
      </c>
      <c r="H61" s="312" t="s">
        <v>105</v>
      </c>
      <c r="I61" s="312">
        <v>128.10300000000001</v>
      </c>
      <c r="J61" s="312">
        <v>36.503999999999998</v>
      </c>
      <c r="K61" s="312" t="s">
        <v>6561</v>
      </c>
      <c r="L61" s="312" t="s">
        <v>6562</v>
      </c>
    </row>
    <row r="62" spans="1:12">
      <c r="A62" s="312">
        <v>766</v>
      </c>
      <c r="B62" s="312" t="s">
        <v>6563</v>
      </c>
      <c r="C62" s="312" t="s">
        <v>6564</v>
      </c>
      <c r="D62" s="312" t="s">
        <v>6565</v>
      </c>
      <c r="E62" s="312">
        <v>1</v>
      </c>
      <c r="F62" s="312">
        <v>1636799514458</v>
      </c>
      <c r="G62" s="312" t="s">
        <v>105</v>
      </c>
      <c r="H62" s="312" t="s">
        <v>105</v>
      </c>
      <c r="I62" s="312">
        <v>23.120999999999999</v>
      </c>
      <c r="J62" s="312">
        <v>-30.558</v>
      </c>
      <c r="K62" s="312" t="s">
        <v>6566</v>
      </c>
      <c r="L62" s="312" t="s">
        <v>6567</v>
      </c>
    </row>
    <row r="63" spans="1:12">
      <c r="A63" s="312">
        <v>767</v>
      </c>
      <c r="B63" s="312" t="s">
        <v>6568</v>
      </c>
      <c r="C63" s="312" t="s">
        <v>6569</v>
      </c>
      <c r="D63" s="312" t="s">
        <v>6570</v>
      </c>
      <c r="E63" s="312">
        <v>1</v>
      </c>
      <c r="F63" s="312">
        <v>1636799514423</v>
      </c>
      <c r="G63" s="312" t="s">
        <v>105</v>
      </c>
      <c r="H63" s="312" t="s">
        <v>105</v>
      </c>
      <c r="I63" s="312">
        <v>0</v>
      </c>
      <c r="J63" s="312">
        <v>0</v>
      </c>
      <c r="K63" s="312" t="s">
        <v>6571</v>
      </c>
      <c r="L63" s="312" t="s">
        <v>6572</v>
      </c>
    </row>
    <row r="64" spans="1:12">
      <c r="A64" s="312">
        <v>770</v>
      </c>
      <c r="B64" s="312" t="s">
        <v>6573</v>
      </c>
      <c r="C64" s="312" t="s">
        <v>6574</v>
      </c>
      <c r="D64" s="312" t="s">
        <v>6575</v>
      </c>
      <c r="E64" s="312">
        <v>1</v>
      </c>
      <c r="F64" s="312">
        <v>1636799516350</v>
      </c>
      <c r="G64" s="312" t="s">
        <v>105</v>
      </c>
      <c r="H64" s="312" t="s">
        <v>105</v>
      </c>
      <c r="I64" s="312">
        <v>78.5</v>
      </c>
      <c r="J64" s="312">
        <v>21</v>
      </c>
      <c r="K64" s="312" t="s">
        <v>6576</v>
      </c>
      <c r="L64" s="312" t="s">
        <v>6577</v>
      </c>
    </row>
    <row r="65" spans="1:12">
      <c r="A65" s="312">
        <v>771</v>
      </c>
      <c r="B65" s="312" t="s">
        <v>6578</v>
      </c>
      <c r="C65" s="312" t="s">
        <v>6579</v>
      </c>
      <c r="D65" s="312" t="s">
        <v>6580</v>
      </c>
      <c r="E65" s="312">
        <v>1</v>
      </c>
      <c r="F65" s="312">
        <v>1636799513262</v>
      </c>
      <c r="G65" s="312" t="s">
        <v>105</v>
      </c>
      <c r="H65" s="312" t="s">
        <v>105</v>
      </c>
      <c r="I65" s="312">
        <v>4.6639999999999997</v>
      </c>
      <c r="J65" s="312">
        <v>50.643000000000001</v>
      </c>
      <c r="K65" s="312" t="s">
        <v>6581</v>
      </c>
      <c r="L65" s="312" t="s">
        <v>6582</v>
      </c>
    </row>
    <row r="66" spans="1:12">
      <c r="A66" s="312">
        <v>772</v>
      </c>
      <c r="B66" s="312" t="s">
        <v>6583</v>
      </c>
      <c r="C66" s="312" t="s">
        <v>6584</v>
      </c>
      <c r="D66" s="312" t="s">
        <v>6585</v>
      </c>
      <c r="E66" s="312">
        <v>1</v>
      </c>
      <c r="F66" s="312">
        <v>1636799512560</v>
      </c>
      <c r="G66" s="312" t="s">
        <v>105</v>
      </c>
      <c r="H66" s="312" t="s">
        <v>105</v>
      </c>
      <c r="I66" s="312">
        <v>0</v>
      </c>
      <c r="J66" s="312">
        <v>0</v>
      </c>
      <c r="K66" s="312" t="s">
        <v>6586</v>
      </c>
      <c r="L66" s="312" t="s">
        <v>6587</v>
      </c>
    </row>
    <row r="67" spans="1:12">
      <c r="A67" s="312">
        <v>773</v>
      </c>
      <c r="B67" s="312" t="s">
        <v>6588</v>
      </c>
      <c r="C67" s="312" t="s">
        <v>6589</v>
      </c>
      <c r="D67" s="312" t="s">
        <v>6590</v>
      </c>
      <c r="E67" s="312">
        <v>1</v>
      </c>
      <c r="F67" s="312">
        <v>1636799516058</v>
      </c>
      <c r="G67" s="312" t="s">
        <v>105</v>
      </c>
      <c r="H67" s="312" t="s">
        <v>105</v>
      </c>
      <c r="I67" s="312">
        <v>-8.1519999999999992</v>
      </c>
      <c r="J67" s="312">
        <v>53.177</v>
      </c>
      <c r="K67" s="312" t="s">
        <v>6591</v>
      </c>
      <c r="L67" s="312" t="s">
        <v>6592</v>
      </c>
    </row>
    <row r="68" spans="1:12">
      <c r="A68" s="312">
        <v>774</v>
      </c>
      <c r="B68" s="312" t="s">
        <v>6593</v>
      </c>
      <c r="C68" s="312" t="s">
        <v>6594</v>
      </c>
      <c r="D68" s="312" t="s">
        <v>6595</v>
      </c>
      <c r="E68" s="312">
        <v>1</v>
      </c>
      <c r="F68" s="312">
        <v>1636799524328</v>
      </c>
      <c r="G68" s="312" t="s">
        <v>105</v>
      </c>
      <c r="H68" s="312" t="s">
        <v>105</v>
      </c>
      <c r="I68" s="312">
        <v>0</v>
      </c>
      <c r="J68" s="312">
        <v>0</v>
      </c>
      <c r="K68" s="312" t="s">
        <v>6596</v>
      </c>
      <c r="L68" s="312" t="s">
        <v>6597</v>
      </c>
    </row>
    <row r="69" spans="1:12">
      <c r="A69" s="312">
        <v>775</v>
      </c>
      <c r="B69" s="312" t="s">
        <v>6598</v>
      </c>
      <c r="C69" s="312" t="s">
        <v>6599</v>
      </c>
      <c r="D69" s="312" t="s">
        <v>6600</v>
      </c>
      <c r="E69" s="312">
        <v>1</v>
      </c>
      <c r="F69" s="312">
        <v>1636799516472</v>
      </c>
      <c r="G69" s="312" t="s">
        <v>105</v>
      </c>
      <c r="H69" s="312" t="s">
        <v>105</v>
      </c>
      <c r="I69" s="312">
        <v>106.514</v>
      </c>
      <c r="J69" s="312">
        <v>33.42</v>
      </c>
      <c r="K69" s="312" t="s">
        <v>6601</v>
      </c>
      <c r="L69" s="312" t="s">
        <v>6602</v>
      </c>
    </row>
    <row r="70" spans="1:12">
      <c r="A70" s="312">
        <v>776</v>
      </c>
      <c r="B70" s="312" t="s">
        <v>6603</v>
      </c>
      <c r="C70" s="312" t="s">
        <v>6604</v>
      </c>
      <c r="D70" s="312" t="s">
        <v>6605</v>
      </c>
      <c r="E70" s="312">
        <v>1</v>
      </c>
      <c r="F70" s="312">
        <v>1636799516648</v>
      </c>
      <c r="G70" s="312" t="s">
        <v>105</v>
      </c>
      <c r="H70" s="312" t="s">
        <v>105</v>
      </c>
      <c r="I70" s="312">
        <v>0</v>
      </c>
      <c r="J70" s="312">
        <v>0</v>
      </c>
      <c r="K70" s="312" t="s">
        <v>6606</v>
      </c>
      <c r="L70" s="312" t="s">
        <v>6607</v>
      </c>
    </row>
    <row r="71" spans="1:12">
      <c r="A71" s="312">
        <v>777</v>
      </c>
      <c r="B71" s="312" t="s">
        <v>6608</v>
      </c>
      <c r="C71" s="312" t="s">
        <v>6609</v>
      </c>
      <c r="D71" s="312" t="s">
        <v>6610</v>
      </c>
      <c r="E71" s="312">
        <v>1</v>
      </c>
      <c r="F71" s="312">
        <v>1636799523085</v>
      </c>
      <c r="G71" s="312" t="s">
        <v>105</v>
      </c>
      <c r="H71" s="312" t="s">
        <v>105</v>
      </c>
      <c r="I71" s="312">
        <v>0</v>
      </c>
      <c r="J71" s="312">
        <v>0</v>
      </c>
      <c r="K71" s="312" t="s">
        <v>6611</v>
      </c>
      <c r="L71" s="312" t="s">
        <v>6612</v>
      </c>
    </row>
    <row r="72" spans="1:12">
      <c r="A72" s="312">
        <v>778</v>
      </c>
      <c r="B72" s="312" t="s">
        <v>6613</v>
      </c>
      <c r="C72" s="312" t="s">
        <v>6614</v>
      </c>
      <c r="D72" s="312" t="s">
        <v>6615</v>
      </c>
      <c r="E72" s="312">
        <v>1</v>
      </c>
      <c r="F72" s="312">
        <v>1636799519315</v>
      </c>
      <c r="G72" s="312" t="s">
        <v>105</v>
      </c>
      <c r="H72" s="312" t="s">
        <v>105</v>
      </c>
      <c r="I72" s="312">
        <v>39.616</v>
      </c>
      <c r="J72" s="312">
        <v>8.6259999999999994</v>
      </c>
      <c r="K72" s="312" t="s">
        <v>6616</v>
      </c>
      <c r="L72" s="312" t="s">
        <v>6617</v>
      </c>
    </row>
    <row r="73" spans="1:12">
      <c r="A73" s="312">
        <v>779</v>
      </c>
      <c r="B73" s="312" t="s">
        <v>6618</v>
      </c>
      <c r="C73" s="312" t="s">
        <v>6619</v>
      </c>
      <c r="D73" s="312" t="s">
        <v>6620</v>
      </c>
      <c r="E73" s="312">
        <v>1</v>
      </c>
      <c r="F73" s="312">
        <v>1636799523842</v>
      </c>
      <c r="G73" s="312" t="s">
        <v>105</v>
      </c>
      <c r="H73" s="312" t="s">
        <v>105</v>
      </c>
      <c r="I73" s="312">
        <v>19.254000000000001</v>
      </c>
      <c r="J73" s="312">
        <v>42.792000000000002</v>
      </c>
      <c r="K73" s="312" t="s">
        <v>6621</v>
      </c>
      <c r="L73" s="312" t="s">
        <v>6622</v>
      </c>
    </row>
    <row r="74" spans="1:12">
      <c r="A74" s="312">
        <v>780</v>
      </c>
      <c r="B74" s="312" t="s">
        <v>6623</v>
      </c>
      <c r="C74" s="312" t="s">
        <v>6624</v>
      </c>
      <c r="D74" s="312" t="s">
        <v>6625</v>
      </c>
      <c r="E74" s="312">
        <v>1</v>
      </c>
      <c r="F74" s="312">
        <v>1636799514352</v>
      </c>
      <c r="G74" s="312" t="s">
        <v>105</v>
      </c>
      <c r="H74" s="312" t="s">
        <v>105</v>
      </c>
      <c r="I74" s="312">
        <v>-69.433000000000007</v>
      </c>
      <c r="J74" s="312">
        <v>-23.388999999999999</v>
      </c>
      <c r="K74" s="312" t="s">
        <v>6626</v>
      </c>
      <c r="L74" s="312" t="s">
        <v>6627</v>
      </c>
    </row>
    <row r="75" spans="1:12">
      <c r="A75" s="312">
        <v>781</v>
      </c>
      <c r="B75" s="312" t="s">
        <v>6628</v>
      </c>
      <c r="C75" s="312" t="s">
        <v>6629</v>
      </c>
      <c r="D75" s="312" t="s">
        <v>6630</v>
      </c>
      <c r="E75" s="312">
        <v>1</v>
      </c>
      <c r="F75" s="312">
        <v>1636799523776</v>
      </c>
      <c r="G75" s="312" t="s">
        <v>105</v>
      </c>
      <c r="H75" s="312" t="s">
        <v>105</v>
      </c>
      <c r="I75" s="312">
        <v>122.46599999999999</v>
      </c>
      <c r="J75" s="312">
        <v>11.118</v>
      </c>
      <c r="K75" s="312" t="s">
        <v>6631</v>
      </c>
      <c r="L75" s="312" t="s">
        <v>6632</v>
      </c>
    </row>
    <row r="76" spans="1:12">
      <c r="A76" s="312">
        <v>782</v>
      </c>
      <c r="B76" s="312" t="s">
        <v>6633</v>
      </c>
      <c r="C76" s="312" t="s">
        <v>6634</v>
      </c>
      <c r="D76" s="312" t="s">
        <v>6635</v>
      </c>
      <c r="E76" s="312">
        <v>1</v>
      </c>
      <c r="F76" s="312">
        <v>1636799524349</v>
      </c>
      <c r="G76" s="312" t="s">
        <v>105</v>
      </c>
      <c r="H76" s="312" t="s">
        <v>105</v>
      </c>
      <c r="I76" s="312">
        <v>0</v>
      </c>
      <c r="J76" s="312">
        <v>0</v>
      </c>
      <c r="K76" s="312" t="s">
        <v>6636</v>
      </c>
      <c r="L76" s="312" t="s">
        <v>6637</v>
      </c>
    </row>
    <row r="77" spans="1:12">
      <c r="A77" s="312">
        <v>783</v>
      </c>
      <c r="B77" s="312" t="s">
        <v>6638</v>
      </c>
      <c r="C77" s="312" t="s">
        <v>6639</v>
      </c>
      <c r="D77" s="312" t="s">
        <v>6640</v>
      </c>
      <c r="E77" s="312">
        <v>1</v>
      </c>
      <c r="F77" s="312">
        <v>1636799513094</v>
      </c>
      <c r="G77" s="312" t="s">
        <v>105</v>
      </c>
      <c r="H77" s="312" t="s">
        <v>105</v>
      </c>
      <c r="I77" s="312">
        <v>0</v>
      </c>
      <c r="J77" s="312">
        <v>0</v>
      </c>
      <c r="K77" s="312" t="s">
        <v>6641</v>
      </c>
      <c r="L77" s="312" t="s">
        <v>6642</v>
      </c>
    </row>
    <row r="78" spans="1:12">
      <c r="A78" s="312">
        <v>785</v>
      </c>
      <c r="B78" s="312" t="s">
        <v>6643</v>
      </c>
      <c r="C78" s="312" t="s">
        <v>6644</v>
      </c>
      <c r="D78" s="312" t="s">
        <v>6645</v>
      </c>
      <c r="E78" s="312">
        <v>1</v>
      </c>
      <c r="F78" s="312">
        <v>1636799513340</v>
      </c>
      <c r="G78" s="312" t="s">
        <v>105</v>
      </c>
      <c r="H78" s="312" t="s">
        <v>105</v>
      </c>
      <c r="I78" s="312">
        <v>0</v>
      </c>
      <c r="J78" s="312">
        <v>0</v>
      </c>
      <c r="K78" s="312" t="s">
        <v>6646</v>
      </c>
      <c r="L78" s="312" t="s">
        <v>6647</v>
      </c>
    </row>
    <row r="79" spans="1:12">
      <c r="A79" s="312">
        <v>786</v>
      </c>
      <c r="B79" s="312" t="s">
        <v>6648</v>
      </c>
      <c r="C79" s="312" t="s">
        <v>6649</v>
      </c>
      <c r="D79" s="312" t="s">
        <v>6650</v>
      </c>
      <c r="E79" s="312">
        <v>1</v>
      </c>
      <c r="F79" s="312">
        <v>1636799523794</v>
      </c>
      <c r="G79" s="312" t="s">
        <v>105</v>
      </c>
      <c r="H79" s="312" t="s">
        <v>105</v>
      </c>
      <c r="I79" s="312">
        <v>37.857999999999997</v>
      </c>
      <c r="J79" s="312">
        <v>0.53</v>
      </c>
      <c r="K79" s="312" t="s">
        <v>6651</v>
      </c>
      <c r="L79" s="312" t="s">
        <v>6652</v>
      </c>
    </row>
    <row r="80" spans="1:12">
      <c r="A80" s="312">
        <v>787</v>
      </c>
      <c r="B80" s="312" t="s">
        <v>6653</v>
      </c>
      <c r="C80" s="312" t="s">
        <v>6654</v>
      </c>
      <c r="D80" s="312" t="s">
        <v>6655</v>
      </c>
      <c r="E80" s="312">
        <v>1</v>
      </c>
      <c r="F80" s="312">
        <v>1636799513815</v>
      </c>
      <c r="G80" s="312" t="s">
        <v>105</v>
      </c>
      <c r="H80" s="312" t="s">
        <v>105</v>
      </c>
      <c r="I80" s="312">
        <v>-5.758</v>
      </c>
      <c r="J80" s="312">
        <v>32.706000000000003</v>
      </c>
      <c r="K80" s="312" t="s">
        <v>6656</v>
      </c>
      <c r="L80" s="312" t="s">
        <v>6657</v>
      </c>
    </row>
    <row r="81" spans="1:12">
      <c r="A81" s="312">
        <v>788</v>
      </c>
      <c r="B81" s="312" t="s">
        <v>6658</v>
      </c>
      <c r="C81" s="312" t="s">
        <v>6659</v>
      </c>
      <c r="D81" s="312" t="s">
        <v>6660</v>
      </c>
      <c r="E81" s="312">
        <v>1</v>
      </c>
      <c r="F81" s="312">
        <v>1636799513395</v>
      </c>
      <c r="G81" s="312" t="s">
        <v>105</v>
      </c>
      <c r="H81" s="312" t="s">
        <v>105</v>
      </c>
      <c r="I81" s="312">
        <v>14.442</v>
      </c>
      <c r="J81" s="312">
        <v>35.89</v>
      </c>
      <c r="K81" s="312" t="s">
        <v>6661</v>
      </c>
      <c r="L81" s="312" t="s">
        <v>6662</v>
      </c>
    </row>
    <row r="82" spans="1:12">
      <c r="A82" s="312">
        <v>789</v>
      </c>
      <c r="B82" s="312" t="s">
        <v>6663</v>
      </c>
      <c r="C82" s="312" t="s">
        <v>6664</v>
      </c>
      <c r="D82" s="312" t="s">
        <v>6665</v>
      </c>
      <c r="E82" s="312">
        <v>1</v>
      </c>
      <c r="F82" s="312">
        <v>1636799513841</v>
      </c>
      <c r="G82" s="312" t="s">
        <v>105</v>
      </c>
      <c r="H82" s="312" t="s">
        <v>105</v>
      </c>
      <c r="I82" s="312">
        <v>0</v>
      </c>
      <c r="J82" s="312">
        <v>0</v>
      </c>
      <c r="K82" s="312" t="s">
        <v>6666</v>
      </c>
      <c r="L82" s="312" t="s">
        <v>6667</v>
      </c>
    </row>
    <row r="83" spans="1:12">
      <c r="A83" s="312">
        <v>790</v>
      </c>
      <c r="B83" s="312" t="s">
        <v>6668</v>
      </c>
      <c r="C83" s="312" t="s">
        <v>6669</v>
      </c>
      <c r="D83" s="312" t="s">
        <v>6670</v>
      </c>
      <c r="E83" s="312">
        <v>1</v>
      </c>
      <c r="F83" s="312">
        <v>1636799516653</v>
      </c>
      <c r="G83" s="312" t="s">
        <v>105</v>
      </c>
      <c r="H83" s="312" t="s">
        <v>105</v>
      </c>
      <c r="I83" s="312">
        <v>0</v>
      </c>
      <c r="J83" s="312">
        <v>0</v>
      </c>
      <c r="K83" s="312" t="s">
        <v>6671</v>
      </c>
      <c r="L83" s="312" t="s">
        <v>6672</v>
      </c>
    </row>
    <row r="84" spans="1:12">
      <c r="A84" s="312">
        <v>791</v>
      </c>
      <c r="B84" s="312" t="s">
        <v>6673</v>
      </c>
      <c r="C84" s="312" t="s">
        <v>6674</v>
      </c>
      <c r="D84" s="312" t="s">
        <v>6675</v>
      </c>
      <c r="E84" s="312">
        <v>1</v>
      </c>
      <c r="F84" s="312">
        <v>1636799523860</v>
      </c>
      <c r="G84" s="312" t="s">
        <v>105</v>
      </c>
      <c r="H84" s="312" t="s">
        <v>105</v>
      </c>
      <c r="I84" s="312">
        <v>21.6981140778</v>
      </c>
      <c r="J84" s="312">
        <v>41.599712524099999</v>
      </c>
      <c r="K84" s="312" t="s">
        <v>6676</v>
      </c>
      <c r="L84" s="312" t="s">
        <v>6677</v>
      </c>
    </row>
    <row r="85" spans="1:12">
      <c r="A85" s="312">
        <v>792</v>
      </c>
      <c r="B85" s="312" t="s">
        <v>6678</v>
      </c>
      <c r="C85" s="312" t="s">
        <v>6679</v>
      </c>
      <c r="D85" s="312" t="s">
        <v>6680</v>
      </c>
      <c r="E85" s="312">
        <v>1</v>
      </c>
      <c r="F85" s="312">
        <v>1636799523048</v>
      </c>
      <c r="G85" s="312" t="s">
        <v>105</v>
      </c>
      <c r="H85" s="312" t="s">
        <v>105</v>
      </c>
      <c r="I85" s="312">
        <v>0</v>
      </c>
      <c r="J85" s="312">
        <v>0</v>
      </c>
      <c r="K85" s="312" t="s">
        <v>6681</v>
      </c>
      <c r="L85" s="312" t="s">
        <v>6682</v>
      </c>
    </row>
    <row r="86" spans="1:12">
      <c r="A86" s="312">
        <v>793</v>
      </c>
      <c r="B86" s="312" t="s">
        <v>6683</v>
      </c>
      <c r="C86" s="312" t="s">
        <v>6684</v>
      </c>
      <c r="D86" s="312" t="s">
        <v>6685</v>
      </c>
      <c r="E86" s="312">
        <v>1</v>
      </c>
      <c r="F86" s="312">
        <v>1636799513702</v>
      </c>
      <c r="G86" s="312" t="s">
        <v>105</v>
      </c>
      <c r="H86" s="312" t="s">
        <v>105</v>
      </c>
      <c r="I86" s="312">
        <v>-83.945999999999998</v>
      </c>
      <c r="J86" s="312">
        <v>9.9710000000000001</v>
      </c>
      <c r="K86" s="312" t="s">
        <v>6686</v>
      </c>
      <c r="L86" s="312" t="s">
        <v>6687</v>
      </c>
    </row>
    <row r="87" spans="1:12">
      <c r="A87" s="312">
        <v>794</v>
      </c>
      <c r="B87" s="312" t="s">
        <v>6688</v>
      </c>
      <c r="C87" s="312" t="s">
        <v>6689</v>
      </c>
      <c r="D87" s="312" t="s">
        <v>6690</v>
      </c>
      <c r="E87" s="312">
        <v>1</v>
      </c>
      <c r="F87" s="312">
        <v>1636799523819</v>
      </c>
      <c r="G87" s="312" t="s">
        <v>105</v>
      </c>
      <c r="H87" s="312" t="s">
        <v>105</v>
      </c>
      <c r="I87" s="312">
        <v>25.640999999999998</v>
      </c>
      <c r="J87" s="312">
        <v>56.857999999999997</v>
      </c>
      <c r="K87" s="312" t="s">
        <v>6691</v>
      </c>
      <c r="L87" s="312" t="s">
        <v>6692</v>
      </c>
    </row>
    <row r="88" spans="1:12">
      <c r="A88" s="312">
        <v>795</v>
      </c>
      <c r="B88" s="312" t="s">
        <v>6693</v>
      </c>
      <c r="C88" s="312" t="s">
        <v>6694</v>
      </c>
      <c r="D88" s="312" t="s">
        <v>6695</v>
      </c>
      <c r="E88" s="312">
        <v>1</v>
      </c>
      <c r="F88" s="312">
        <v>1636799513718</v>
      </c>
      <c r="G88" s="312" t="s">
        <v>105</v>
      </c>
      <c r="H88" s="312" t="s">
        <v>105</v>
      </c>
      <c r="I88" s="312">
        <v>0</v>
      </c>
      <c r="J88" s="312">
        <v>0</v>
      </c>
      <c r="K88" s="312" t="s">
        <v>6696</v>
      </c>
      <c r="L88" s="312" t="s">
        <v>6697</v>
      </c>
    </row>
    <row r="89" spans="1:12">
      <c r="A89" s="312">
        <v>796</v>
      </c>
      <c r="B89" s="312" t="s">
        <v>6698</v>
      </c>
      <c r="C89" s="312" t="s">
        <v>6699</v>
      </c>
      <c r="D89" s="312" t="s">
        <v>6700</v>
      </c>
      <c r="E89" s="312">
        <v>1</v>
      </c>
      <c r="F89" s="312">
        <v>1636799516642</v>
      </c>
      <c r="G89" s="312" t="s">
        <v>105</v>
      </c>
      <c r="H89" s="312" t="s">
        <v>105</v>
      </c>
      <c r="I89" s="312">
        <v>0</v>
      </c>
      <c r="J89" s="312">
        <v>0</v>
      </c>
      <c r="K89" s="312" t="s">
        <v>6701</v>
      </c>
      <c r="L89" s="312" t="s">
        <v>6702</v>
      </c>
    </row>
    <row r="90" spans="1:12">
      <c r="A90" s="312">
        <v>797</v>
      </c>
      <c r="B90" s="312" t="s">
        <v>6703</v>
      </c>
      <c r="C90" s="312" t="s">
        <v>6704</v>
      </c>
      <c r="D90" s="312" t="s">
        <v>6705</v>
      </c>
      <c r="E90" s="312">
        <v>1</v>
      </c>
      <c r="F90" s="312">
        <v>1636799523178</v>
      </c>
      <c r="G90" s="312" t="s">
        <v>105</v>
      </c>
      <c r="H90" s="312" t="s">
        <v>105</v>
      </c>
      <c r="I90" s="312">
        <v>0</v>
      </c>
      <c r="J90" s="312">
        <v>0</v>
      </c>
      <c r="K90" s="312" t="s">
        <v>6706</v>
      </c>
      <c r="L90" s="312" t="s">
        <v>6707</v>
      </c>
    </row>
    <row r="91" spans="1:12">
      <c r="A91" s="312">
        <v>798</v>
      </c>
      <c r="B91" s="312" t="s">
        <v>6708</v>
      </c>
      <c r="C91" s="312" t="s">
        <v>6709</v>
      </c>
      <c r="D91" s="312" t="s">
        <v>6710</v>
      </c>
      <c r="E91" s="312">
        <v>1</v>
      </c>
      <c r="F91" s="312">
        <v>1636799516560</v>
      </c>
      <c r="G91" s="312" t="s">
        <v>105</v>
      </c>
      <c r="H91" s="312" t="s">
        <v>105</v>
      </c>
      <c r="I91" s="312">
        <v>0</v>
      </c>
      <c r="J91" s="312">
        <v>0</v>
      </c>
      <c r="K91" s="312" t="s">
        <v>6711</v>
      </c>
      <c r="L91" s="312" t="s">
        <v>6712</v>
      </c>
    </row>
    <row r="92" spans="1:12">
      <c r="A92" s="312">
        <v>799</v>
      </c>
      <c r="B92" s="312" t="s">
        <v>6713</v>
      </c>
      <c r="C92" s="312" t="s">
        <v>6714</v>
      </c>
      <c r="D92" s="312" t="s">
        <v>6715</v>
      </c>
      <c r="E92" s="312">
        <v>1</v>
      </c>
      <c r="F92" s="312">
        <v>1636799523898</v>
      </c>
      <c r="G92" s="312" t="s">
        <v>105</v>
      </c>
      <c r="H92" s="312" t="s">
        <v>105</v>
      </c>
      <c r="I92" s="312">
        <v>20.806000000000001</v>
      </c>
      <c r="J92" s="312">
        <v>44.031999999999996</v>
      </c>
      <c r="K92" s="312" t="s">
        <v>6716</v>
      </c>
      <c r="L92" s="312" t="s">
        <v>6717</v>
      </c>
    </row>
    <row r="93" spans="1:12">
      <c r="A93" s="312">
        <v>800</v>
      </c>
      <c r="B93" s="312" t="s">
        <v>6718</v>
      </c>
      <c r="C93" s="312" t="s">
        <v>6719</v>
      </c>
      <c r="D93" s="312" t="s">
        <v>6720</v>
      </c>
      <c r="E93" s="312">
        <v>1</v>
      </c>
      <c r="F93" s="312">
        <v>1636799513457</v>
      </c>
      <c r="G93" s="312" t="s">
        <v>105</v>
      </c>
      <c r="H93" s="312" t="s">
        <v>105</v>
      </c>
      <c r="I93" s="312">
        <v>0</v>
      </c>
      <c r="J93" s="312">
        <v>0</v>
      </c>
      <c r="K93" s="312" t="s">
        <v>6721</v>
      </c>
      <c r="L93" s="312" t="s">
        <v>6722</v>
      </c>
    </row>
    <row r="94" spans="1:12">
      <c r="A94" s="312">
        <v>801</v>
      </c>
      <c r="B94" s="312" t="s">
        <v>6723</v>
      </c>
      <c r="C94" s="312" t="s">
        <v>6724</v>
      </c>
      <c r="D94" s="312" t="s">
        <v>6725</v>
      </c>
      <c r="E94" s="312">
        <v>1</v>
      </c>
      <c r="F94" s="312">
        <v>1636799524246</v>
      </c>
      <c r="G94" s="312" t="s">
        <v>105</v>
      </c>
      <c r="H94" s="312" t="s">
        <v>105</v>
      </c>
      <c r="I94" s="312">
        <v>-88.866</v>
      </c>
      <c r="J94" s="312">
        <v>13.736000000000001</v>
      </c>
      <c r="K94" s="312" t="s">
        <v>6726</v>
      </c>
      <c r="L94" s="312" t="s">
        <v>6727</v>
      </c>
    </row>
    <row r="95" spans="1:12">
      <c r="A95" s="312">
        <v>802</v>
      </c>
      <c r="B95" s="312" t="s">
        <v>6728</v>
      </c>
      <c r="C95" s="312" t="s">
        <v>6729</v>
      </c>
      <c r="D95" s="312" t="s">
        <v>6730</v>
      </c>
      <c r="E95" s="312">
        <v>1</v>
      </c>
      <c r="F95" s="312">
        <v>1636799524226</v>
      </c>
      <c r="G95" s="312" t="s">
        <v>105</v>
      </c>
      <c r="H95" s="312" t="s">
        <v>105</v>
      </c>
      <c r="I95" s="312">
        <v>15.27</v>
      </c>
      <c r="J95" s="312">
        <v>62.011000000000003</v>
      </c>
      <c r="K95" s="312" t="s">
        <v>6731</v>
      </c>
      <c r="L95" s="312" t="s">
        <v>6732</v>
      </c>
    </row>
    <row r="96" spans="1:12">
      <c r="A96" s="312">
        <v>803</v>
      </c>
      <c r="B96" s="312" t="s">
        <v>6733</v>
      </c>
      <c r="C96" s="312" t="s">
        <v>6734</v>
      </c>
      <c r="D96" s="312" t="s">
        <v>6735</v>
      </c>
      <c r="E96" s="312">
        <v>1</v>
      </c>
      <c r="F96" s="312">
        <v>1636799516856</v>
      </c>
      <c r="G96" s="312" t="s">
        <v>105</v>
      </c>
      <c r="H96" s="312" t="s">
        <v>105</v>
      </c>
      <c r="I96" s="312">
        <v>33.219000000000001</v>
      </c>
      <c r="J96" s="312">
        <v>35.042999999999999</v>
      </c>
      <c r="K96" s="312" t="s">
        <v>6736</v>
      </c>
      <c r="L96" s="312" t="s">
        <v>6737</v>
      </c>
    </row>
    <row r="97" spans="1:12">
      <c r="A97" s="312">
        <v>804</v>
      </c>
      <c r="B97" s="312" t="s">
        <v>6738</v>
      </c>
      <c r="C97" s="312" t="s">
        <v>6739</v>
      </c>
      <c r="D97" s="312" t="s">
        <v>6740</v>
      </c>
      <c r="E97" s="312">
        <v>1</v>
      </c>
      <c r="F97" s="312">
        <v>1636799516537</v>
      </c>
      <c r="G97" s="312" t="s">
        <v>105</v>
      </c>
      <c r="H97" s="312" t="s">
        <v>105</v>
      </c>
      <c r="I97" s="312">
        <v>0</v>
      </c>
      <c r="J97" s="312">
        <v>0</v>
      </c>
      <c r="K97" s="312" t="s">
        <v>6741</v>
      </c>
      <c r="L97" s="312" t="s">
        <v>6742</v>
      </c>
    </row>
    <row r="98" spans="1:12">
      <c r="A98" s="312">
        <v>805</v>
      </c>
      <c r="B98" s="312" t="s">
        <v>6743</v>
      </c>
      <c r="C98" s="312" t="s">
        <v>6744</v>
      </c>
      <c r="D98" s="312" t="s">
        <v>6745</v>
      </c>
      <c r="E98" s="312">
        <v>1</v>
      </c>
      <c r="F98" s="312">
        <v>1636799523577</v>
      </c>
      <c r="G98" s="312" t="s">
        <v>105</v>
      </c>
      <c r="H98" s="312" t="s">
        <v>105</v>
      </c>
      <c r="I98" s="312">
        <v>-99.212648742799999</v>
      </c>
      <c r="J98" s="312">
        <v>30.917217431499999</v>
      </c>
      <c r="K98" s="312" t="s">
        <v>6746</v>
      </c>
      <c r="L98" s="312" t="s">
        <v>6747</v>
      </c>
    </row>
    <row r="99" spans="1:12">
      <c r="A99" s="312">
        <v>806</v>
      </c>
      <c r="B99" s="312" t="s">
        <v>6748</v>
      </c>
      <c r="C99" s="312" t="s">
        <v>6749</v>
      </c>
      <c r="D99" s="312" t="s">
        <v>6750</v>
      </c>
      <c r="E99" s="312">
        <v>1</v>
      </c>
      <c r="F99" s="312">
        <v>1636799516708</v>
      </c>
      <c r="G99" s="312" t="s">
        <v>105</v>
      </c>
      <c r="H99" s="312" t="s">
        <v>105</v>
      </c>
      <c r="I99" s="312">
        <v>0</v>
      </c>
      <c r="J99" s="312">
        <v>0</v>
      </c>
      <c r="K99" s="312" t="s">
        <v>6751</v>
      </c>
      <c r="L99" s="312" t="s">
        <v>6752</v>
      </c>
    </row>
    <row r="100" spans="1:12">
      <c r="A100" s="312">
        <v>807</v>
      </c>
      <c r="B100" s="312" t="s">
        <v>6753</v>
      </c>
      <c r="C100" s="312" t="s">
        <v>6754</v>
      </c>
      <c r="D100" s="312" t="s">
        <v>6755</v>
      </c>
      <c r="E100" s="312">
        <v>1</v>
      </c>
      <c r="F100" s="312">
        <v>1636799515776</v>
      </c>
      <c r="G100" s="312" t="s">
        <v>105</v>
      </c>
      <c r="H100" s="312" t="s">
        <v>105</v>
      </c>
      <c r="I100" s="312">
        <v>-3.649</v>
      </c>
      <c r="J100" s="312">
        <v>40.226999999999997</v>
      </c>
      <c r="K100" s="312" t="s">
        <v>6756</v>
      </c>
      <c r="L100" s="312" t="s">
        <v>6757</v>
      </c>
    </row>
    <row r="101" spans="1:12">
      <c r="A101" s="312">
        <v>808</v>
      </c>
      <c r="B101" s="312" t="s">
        <v>6758</v>
      </c>
      <c r="C101" s="312" t="s">
        <v>6759</v>
      </c>
      <c r="D101" s="312" t="s">
        <v>6760</v>
      </c>
      <c r="E101" s="312">
        <v>1</v>
      </c>
      <c r="F101" s="312">
        <v>1636799519071</v>
      </c>
      <c r="G101" s="312" t="s">
        <v>105</v>
      </c>
      <c r="H101" s="312" t="s">
        <v>105</v>
      </c>
      <c r="I101" s="312">
        <v>25.792999999999999</v>
      </c>
      <c r="J101" s="312">
        <v>58.673999999999999</v>
      </c>
      <c r="K101" s="312" t="s">
        <v>6761</v>
      </c>
      <c r="L101" s="312" t="s">
        <v>6762</v>
      </c>
    </row>
    <row r="102" spans="1:12">
      <c r="A102" s="312">
        <v>809</v>
      </c>
      <c r="B102" s="312" t="s">
        <v>6763</v>
      </c>
      <c r="C102" s="312" t="s">
        <v>6764</v>
      </c>
      <c r="D102" s="312" t="s">
        <v>6765</v>
      </c>
      <c r="E102" s="312">
        <v>1</v>
      </c>
      <c r="F102" s="312">
        <v>1636799514440</v>
      </c>
      <c r="G102" s="312" t="s">
        <v>105</v>
      </c>
      <c r="H102" s="312" t="s">
        <v>105</v>
      </c>
      <c r="I102" s="312">
        <v>63.17</v>
      </c>
      <c r="J102" s="312">
        <v>41.75</v>
      </c>
      <c r="K102" s="312" t="s">
        <v>6766</v>
      </c>
      <c r="L102" s="312" t="s">
        <v>6767</v>
      </c>
    </row>
    <row r="103" spans="1:12">
      <c r="A103" s="312">
        <v>810</v>
      </c>
      <c r="B103" s="312" t="s">
        <v>6768</v>
      </c>
      <c r="C103" s="312" t="s">
        <v>6769</v>
      </c>
      <c r="D103" s="312" t="s">
        <v>6770</v>
      </c>
      <c r="E103" s="312">
        <v>1</v>
      </c>
      <c r="F103" s="312">
        <v>1636799515234</v>
      </c>
      <c r="G103" s="312" t="s">
        <v>105</v>
      </c>
      <c r="H103" s="312" t="s">
        <v>105</v>
      </c>
      <c r="I103" s="312">
        <v>6.0880000000000001</v>
      </c>
      <c r="J103" s="312">
        <v>49.771000000000001</v>
      </c>
      <c r="K103" s="312" t="s">
        <v>6771</v>
      </c>
      <c r="L103" s="312" t="s">
        <v>6772</v>
      </c>
    </row>
    <row r="104" spans="1:12">
      <c r="A104" s="312">
        <v>811</v>
      </c>
      <c r="B104" s="312" t="s">
        <v>6773</v>
      </c>
      <c r="C104" s="312" t="s">
        <v>6774</v>
      </c>
      <c r="D104" s="312" t="s">
        <v>6775</v>
      </c>
      <c r="E104" s="312">
        <v>1</v>
      </c>
      <c r="F104" s="312">
        <v>1636799521811</v>
      </c>
      <c r="G104" s="312" t="s">
        <v>105</v>
      </c>
      <c r="H104" s="312" t="s">
        <v>105</v>
      </c>
      <c r="I104" s="312">
        <v>0</v>
      </c>
      <c r="J104" s="312">
        <v>0</v>
      </c>
      <c r="K104" s="312" t="s">
        <v>6776</v>
      </c>
      <c r="L104" s="312" t="s">
        <v>6777</v>
      </c>
    </row>
    <row r="105" spans="1:12">
      <c r="A105" s="312">
        <v>812</v>
      </c>
      <c r="B105" s="312" t="s">
        <v>6778</v>
      </c>
      <c r="C105" s="312" t="s">
        <v>6779</v>
      </c>
      <c r="D105" s="312" t="s">
        <v>6780</v>
      </c>
      <c r="E105" s="312">
        <v>1</v>
      </c>
      <c r="F105" s="312">
        <v>1636799524296</v>
      </c>
      <c r="G105" s="312" t="s">
        <v>105</v>
      </c>
      <c r="H105" s="312" t="s">
        <v>105</v>
      </c>
      <c r="I105" s="312">
        <v>0</v>
      </c>
      <c r="J105" s="312">
        <v>0</v>
      </c>
      <c r="K105" s="312" t="s">
        <v>6781</v>
      </c>
      <c r="L105" s="312" t="s">
        <v>6782</v>
      </c>
    </row>
    <row r="106" spans="1:12">
      <c r="A106" s="312">
        <v>813</v>
      </c>
      <c r="B106" s="312" t="s">
        <v>6783</v>
      </c>
      <c r="C106" s="312" t="s">
        <v>6784</v>
      </c>
      <c r="D106" s="312" t="s">
        <v>6785</v>
      </c>
      <c r="E106" s="312">
        <v>1</v>
      </c>
      <c r="F106" s="312">
        <v>1636799524230</v>
      </c>
      <c r="G106" s="312" t="s">
        <v>105</v>
      </c>
      <c r="H106" s="312" t="s">
        <v>105</v>
      </c>
      <c r="I106" s="312">
        <v>14.827</v>
      </c>
      <c r="J106" s="312">
        <v>46.124000000000002</v>
      </c>
      <c r="K106" s="312" t="s">
        <v>6786</v>
      </c>
      <c r="L106" s="312" t="s">
        <v>6787</v>
      </c>
    </row>
    <row r="107" spans="1:12">
      <c r="A107" s="312">
        <v>814</v>
      </c>
      <c r="B107" s="312" t="s">
        <v>6788</v>
      </c>
      <c r="C107" s="312" t="s">
        <v>6789</v>
      </c>
      <c r="D107" s="312" t="s">
        <v>6790</v>
      </c>
      <c r="E107" s="312">
        <v>1</v>
      </c>
      <c r="F107" s="312">
        <v>1636799524057</v>
      </c>
      <c r="G107" s="312" t="s">
        <v>105</v>
      </c>
      <c r="H107" s="312" t="s">
        <v>105</v>
      </c>
      <c r="I107" s="312">
        <v>97.037377687499998</v>
      </c>
      <c r="J107" s="312">
        <v>61.847380320699997</v>
      </c>
      <c r="K107" s="312" t="s">
        <v>6791</v>
      </c>
      <c r="L107" s="312" t="s">
        <v>6792</v>
      </c>
    </row>
    <row r="108" spans="1:12">
      <c r="A108" s="312">
        <v>815</v>
      </c>
      <c r="B108" s="312" t="s">
        <v>6793</v>
      </c>
      <c r="C108" s="312" t="s">
        <v>6794</v>
      </c>
      <c r="D108" s="312" t="s">
        <v>6795</v>
      </c>
      <c r="E108" s="312">
        <v>1</v>
      </c>
      <c r="F108" s="312">
        <v>1636799516528</v>
      </c>
      <c r="G108" s="312" t="s">
        <v>105</v>
      </c>
      <c r="H108" s="312" t="s">
        <v>105</v>
      </c>
      <c r="I108" s="312">
        <v>0</v>
      </c>
      <c r="J108" s="312">
        <v>0</v>
      </c>
      <c r="K108" s="312" t="s">
        <v>6796</v>
      </c>
      <c r="L108" s="312" t="s">
        <v>6797</v>
      </c>
    </row>
    <row r="109" spans="1:12">
      <c r="A109" s="312">
        <v>816</v>
      </c>
      <c r="B109" s="1" t="s">
        <v>6798</v>
      </c>
      <c r="C109" s="312" t="s">
        <v>6799</v>
      </c>
      <c r="D109" s="312" t="s">
        <v>6800</v>
      </c>
      <c r="E109" s="312">
        <v>1</v>
      </c>
      <c r="F109" s="312">
        <v>1636799516544</v>
      </c>
      <c r="G109" s="312" t="s">
        <v>105</v>
      </c>
      <c r="H109" s="312" t="s">
        <v>105</v>
      </c>
      <c r="I109" s="312">
        <v>0</v>
      </c>
      <c r="J109" s="312">
        <v>0</v>
      </c>
      <c r="K109" s="312" t="s">
        <v>6801</v>
      </c>
      <c r="L109" s="312" t="s">
        <v>6802</v>
      </c>
    </row>
    <row r="110" spans="1:12">
      <c r="A110" s="312">
        <v>817</v>
      </c>
      <c r="B110" s="312" t="s">
        <v>6803</v>
      </c>
      <c r="C110" s="312" t="s">
        <v>6804</v>
      </c>
      <c r="D110" s="312" t="s">
        <v>6805</v>
      </c>
      <c r="E110" s="312">
        <v>1</v>
      </c>
      <c r="F110" s="312">
        <v>1636799514775</v>
      </c>
      <c r="G110" s="312" t="s">
        <v>105</v>
      </c>
      <c r="H110" s="312" t="s">
        <v>105</v>
      </c>
      <c r="I110" s="312">
        <v>23.654</v>
      </c>
      <c r="J110" s="312">
        <v>-2.8759999999999999</v>
      </c>
      <c r="K110" s="312" t="s">
        <v>6806</v>
      </c>
      <c r="L110" s="312" t="s">
        <v>6807</v>
      </c>
    </row>
    <row r="111" spans="1:12">
      <c r="A111" s="312">
        <v>818</v>
      </c>
      <c r="B111" s="312" t="s">
        <v>6808</v>
      </c>
      <c r="C111" s="312" t="s">
        <v>6809</v>
      </c>
      <c r="D111" s="312" t="s">
        <v>6810</v>
      </c>
      <c r="E111" s="312">
        <v>1</v>
      </c>
      <c r="F111" s="312">
        <v>1636799513986</v>
      </c>
      <c r="G111" s="312" t="s">
        <v>105</v>
      </c>
      <c r="H111" s="312" t="s">
        <v>105</v>
      </c>
      <c r="I111" s="312">
        <v>9.2639999999999993</v>
      </c>
      <c r="J111" s="312">
        <v>56.058</v>
      </c>
      <c r="K111" s="312" t="s">
        <v>6811</v>
      </c>
      <c r="L111" s="312" t="s">
        <v>6812</v>
      </c>
    </row>
    <row r="112" spans="1:12">
      <c r="A112" s="312">
        <v>819</v>
      </c>
      <c r="B112" s="312" t="s">
        <v>6813</v>
      </c>
      <c r="C112" s="312" t="s">
        <v>6814</v>
      </c>
      <c r="D112" s="312" t="s">
        <v>6815</v>
      </c>
      <c r="E112" s="312">
        <v>1</v>
      </c>
      <c r="F112" s="312">
        <v>1636799513299</v>
      </c>
      <c r="G112" s="312" t="s">
        <v>105</v>
      </c>
      <c r="H112" s="312" t="s">
        <v>105</v>
      </c>
      <c r="I112" s="312">
        <v>31.388000000000002</v>
      </c>
      <c r="J112" s="312">
        <v>49.015999999999998</v>
      </c>
      <c r="K112" s="312" t="s">
        <v>6816</v>
      </c>
      <c r="L112" s="312" t="s">
        <v>6817</v>
      </c>
    </row>
    <row r="113" spans="1:12">
      <c r="A113" s="312">
        <v>820</v>
      </c>
      <c r="B113" s="312" t="s">
        <v>6818</v>
      </c>
      <c r="C113" s="312" t="s">
        <v>6819</v>
      </c>
      <c r="D113" s="312" t="s">
        <v>6820</v>
      </c>
      <c r="E113" s="312">
        <v>1</v>
      </c>
      <c r="F113" s="312">
        <v>1636799512063</v>
      </c>
      <c r="G113" s="312" t="s">
        <v>105</v>
      </c>
      <c r="H113" s="312" t="s">
        <v>105</v>
      </c>
      <c r="I113" s="312">
        <v>18.821874206899999</v>
      </c>
      <c r="J113" s="312">
        <v>50.670368223300002</v>
      </c>
      <c r="K113" s="312" t="s">
        <v>6821</v>
      </c>
      <c r="L113" s="312" t="s">
        <v>6822</v>
      </c>
    </row>
    <row r="114" spans="1:12">
      <c r="A114" s="312">
        <v>821</v>
      </c>
      <c r="B114" s="1" t="s">
        <v>6823</v>
      </c>
      <c r="C114" s="312" t="s">
        <v>6824</v>
      </c>
      <c r="D114" s="312" t="s">
        <v>6825</v>
      </c>
      <c r="E114" s="312">
        <v>1</v>
      </c>
      <c r="F114" s="312">
        <v>1636799511034</v>
      </c>
      <c r="G114" s="312" t="s">
        <v>105</v>
      </c>
      <c r="H114" s="312" t="s">
        <v>105</v>
      </c>
      <c r="I114" s="312">
        <v>-156.350435076</v>
      </c>
      <c r="J114" s="312">
        <v>20.2519006094</v>
      </c>
      <c r="K114" s="312" t="s">
        <v>6826</v>
      </c>
      <c r="L114" s="312" t="s">
        <v>6827</v>
      </c>
    </row>
    <row r="115" spans="1:12">
      <c r="A115" s="312">
        <v>870</v>
      </c>
      <c r="B115" s="312" t="s">
        <v>6828</v>
      </c>
      <c r="C115" s="312" t="s">
        <v>6829</v>
      </c>
      <c r="D115" s="312" t="s">
        <v>6830</v>
      </c>
      <c r="E115" s="312">
        <v>1</v>
      </c>
      <c r="F115" s="312">
        <v>1636799516807</v>
      </c>
      <c r="G115" s="312" t="s">
        <v>105</v>
      </c>
      <c r="H115" s="312" t="s">
        <v>105</v>
      </c>
      <c r="I115" s="312">
        <v>47.395000000000003</v>
      </c>
      <c r="J115" s="312">
        <v>40.43</v>
      </c>
      <c r="K115" s="312" t="s">
        <v>6831</v>
      </c>
      <c r="L115" s="312" t="s">
        <v>6832</v>
      </c>
    </row>
    <row r="116" spans="1:12">
      <c r="A116" s="312">
        <v>822</v>
      </c>
      <c r="B116" s="312" t="s">
        <v>6833</v>
      </c>
      <c r="C116" s="312" t="s">
        <v>6834</v>
      </c>
      <c r="D116" s="312" t="s">
        <v>6835</v>
      </c>
      <c r="E116" s="312">
        <v>1</v>
      </c>
      <c r="F116" s="312">
        <v>1636799511525</v>
      </c>
      <c r="G116" s="312" t="s">
        <v>105</v>
      </c>
      <c r="H116" s="312" t="s">
        <v>105</v>
      </c>
      <c r="I116" s="312">
        <v>0</v>
      </c>
      <c r="J116" s="312">
        <v>0</v>
      </c>
      <c r="K116" s="312" t="s">
        <v>6834</v>
      </c>
      <c r="L116" s="312" t="s">
        <v>6836</v>
      </c>
    </row>
    <row r="117" spans="1:12">
      <c r="A117" s="312">
        <v>823</v>
      </c>
      <c r="B117" s="312" t="s">
        <v>6837</v>
      </c>
      <c r="C117" s="312" t="s">
        <v>6838</v>
      </c>
      <c r="D117" s="312" t="s">
        <v>6839</v>
      </c>
      <c r="E117" s="312">
        <v>1</v>
      </c>
      <c r="F117" s="312">
        <v>1636799513978</v>
      </c>
      <c r="G117" s="312" t="s">
        <v>105</v>
      </c>
      <c r="H117" s="312" t="s">
        <v>105</v>
      </c>
      <c r="I117" s="312">
        <v>20.068000000000001</v>
      </c>
      <c r="J117" s="312">
        <v>41.143000000000001</v>
      </c>
      <c r="K117" s="312" t="s">
        <v>6840</v>
      </c>
      <c r="L117" s="312" t="s">
        <v>6841</v>
      </c>
    </row>
    <row r="118" spans="1:12">
      <c r="A118" s="312">
        <v>871</v>
      </c>
      <c r="B118" s="312" t="s">
        <v>6842</v>
      </c>
      <c r="C118" s="312" t="s">
        <v>6843</v>
      </c>
      <c r="D118" s="312" t="s">
        <v>6844</v>
      </c>
      <c r="E118" s="312">
        <v>1</v>
      </c>
      <c r="F118" s="312">
        <v>1636799513134</v>
      </c>
      <c r="G118" s="312" t="s">
        <v>105</v>
      </c>
      <c r="H118" s="312" t="s">
        <v>105</v>
      </c>
      <c r="I118" s="312">
        <v>0</v>
      </c>
      <c r="J118" s="312">
        <v>0</v>
      </c>
      <c r="K118" s="312" t="s">
        <v>6845</v>
      </c>
      <c r="L118" s="312" t="s">
        <v>6846</v>
      </c>
    </row>
    <row r="119" spans="1:12">
      <c r="A119" s="312">
        <v>872</v>
      </c>
      <c r="B119" s="312" t="s">
        <v>6847</v>
      </c>
      <c r="C119" s="312" t="s">
        <v>6848</v>
      </c>
      <c r="D119" s="312" t="s">
        <v>6849</v>
      </c>
      <c r="E119" s="312">
        <v>1</v>
      </c>
      <c r="F119" s="312">
        <v>1636799524302</v>
      </c>
      <c r="G119" s="312" t="s">
        <v>105</v>
      </c>
      <c r="H119" s="312" t="s">
        <v>105</v>
      </c>
      <c r="I119" s="312">
        <v>0</v>
      </c>
      <c r="J119" s="312">
        <v>0</v>
      </c>
      <c r="K119" s="312" t="s">
        <v>6850</v>
      </c>
      <c r="L119" s="312" t="s">
        <v>6851</v>
      </c>
    </row>
    <row r="120" spans="1:12">
      <c r="A120" s="312">
        <v>881</v>
      </c>
      <c r="B120" s="312" t="s">
        <v>6852</v>
      </c>
      <c r="C120" s="312" t="s">
        <v>6853</v>
      </c>
      <c r="D120" s="312" t="s">
        <v>6854</v>
      </c>
      <c r="E120" s="312">
        <v>1</v>
      </c>
      <c r="F120" s="312">
        <v>1636799516646</v>
      </c>
      <c r="G120" s="312" t="s">
        <v>105</v>
      </c>
      <c r="H120" s="312" t="s">
        <v>105</v>
      </c>
      <c r="I120" s="312">
        <v>0</v>
      </c>
      <c r="J120" s="312">
        <v>0</v>
      </c>
      <c r="K120" s="312" t="s">
        <v>6855</v>
      </c>
      <c r="L120" s="312" t="s">
        <v>6856</v>
      </c>
    </row>
    <row r="121" spans="1:12">
      <c r="A121" s="312">
        <v>824</v>
      </c>
      <c r="B121" s="312" t="s">
        <v>6857</v>
      </c>
      <c r="C121" s="312" t="s">
        <v>6858</v>
      </c>
      <c r="D121" s="312" t="s">
        <v>6859</v>
      </c>
      <c r="E121" s="312">
        <v>1</v>
      </c>
      <c r="F121" s="312">
        <v>1636799518317</v>
      </c>
      <c r="G121" s="312" t="s">
        <v>105</v>
      </c>
      <c r="H121" s="312" t="s">
        <v>105</v>
      </c>
      <c r="I121" s="312">
        <v>-91.968294306199994</v>
      </c>
      <c r="J121" s="312">
        <v>58.710599754100002</v>
      </c>
      <c r="K121" s="312" t="s">
        <v>6860</v>
      </c>
      <c r="L121" s="312" t="s">
        <v>6861</v>
      </c>
    </row>
    <row r="122" spans="1:12">
      <c r="A122" s="312">
        <v>825</v>
      </c>
      <c r="B122" s="312" t="s">
        <v>6862</v>
      </c>
      <c r="C122" s="312" t="s">
        <v>6863</v>
      </c>
      <c r="D122" s="312" t="s">
        <v>6864</v>
      </c>
      <c r="E122" s="312">
        <v>1</v>
      </c>
      <c r="F122" s="312">
        <v>1636799513734</v>
      </c>
      <c r="G122" s="312" t="s">
        <v>105</v>
      </c>
      <c r="H122" s="312" t="s">
        <v>105</v>
      </c>
      <c r="I122" s="312">
        <v>-64.671000000000006</v>
      </c>
      <c r="J122" s="312">
        <v>-16.715</v>
      </c>
      <c r="K122" s="312" t="s">
        <v>6865</v>
      </c>
      <c r="L122" s="312" t="s">
        <v>6866</v>
      </c>
    </row>
    <row r="123" spans="1:12">
      <c r="A123" s="312">
        <v>828</v>
      </c>
      <c r="B123" s="312" t="s">
        <v>6867</v>
      </c>
      <c r="C123" s="312" t="s">
        <v>6868</v>
      </c>
      <c r="D123" s="312" t="s">
        <v>6869</v>
      </c>
      <c r="E123" s="312">
        <v>1</v>
      </c>
      <c r="F123" s="312">
        <v>1636799511346</v>
      </c>
      <c r="G123" s="312" t="s">
        <v>105</v>
      </c>
      <c r="H123" s="312" t="s">
        <v>105</v>
      </c>
      <c r="I123" s="312">
        <v>34.823</v>
      </c>
      <c r="J123" s="312">
        <v>-6.27</v>
      </c>
      <c r="K123" s="312" t="s">
        <v>6870</v>
      </c>
      <c r="L123" s="312" t="s">
        <v>6871</v>
      </c>
    </row>
    <row r="124" spans="1:12">
      <c r="A124" s="312">
        <v>831</v>
      </c>
      <c r="B124" s="312" t="s">
        <v>6872</v>
      </c>
      <c r="C124" s="312" t="s">
        <v>6873</v>
      </c>
      <c r="D124" s="312" t="s">
        <v>6874</v>
      </c>
      <c r="E124" s="312">
        <v>1</v>
      </c>
      <c r="F124" s="312">
        <v>1636799513648</v>
      </c>
      <c r="G124" s="312" t="s">
        <v>105</v>
      </c>
      <c r="H124" s="312" t="s">
        <v>105</v>
      </c>
      <c r="I124" s="312">
        <v>0</v>
      </c>
      <c r="J124" s="312">
        <v>0</v>
      </c>
      <c r="K124" s="312" t="s">
        <v>6875</v>
      </c>
      <c r="L124" s="312" t="s">
        <v>6876</v>
      </c>
    </row>
    <row r="125" spans="1:12">
      <c r="A125" s="312">
        <v>832</v>
      </c>
      <c r="B125" s="312" t="s">
        <v>6877</v>
      </c>
      <c r="C125" s="312" t="s">
        <v>6878</v>
      </c>
      <c r="D125" s="312" t="s">
        <v>6879</v>
      </c>
      <c r="E125" s="312">
        <v>1</v>
      </c>
      <c r="F125" s="312">
        <v>1636799523800</v>
      </c>
      <c r="G125" s="312" t="s">
        <v>105</v>
      </c>
      <c r="H125" s="312" t="s">
        <v>105</v>
      </c>
      <c r="I125" s="312">
        <v>74.555000000000007</v>
      </c>
      <c r="J125" s="312">
        <v>41.465000000000003</v>
      </c>
      <c r="K125" s="312" t="s">
        <v>6880</v>
      </c>
      <c r="L125" s="312" t="s">
        <v>6881</v>
      </c>
    </row>
    <row r="126" spans="1:12">
      <c r="A126" s="312">
        <v>834</v>
      </c>
      <c r="B126" s="312" t="s">
        <v>6882</v>
      </c>
      <c r="C126" s="312" t="s">
        <v>6883</v>
      </c>
      <c r="D126" s="312" t="s">
        <v>6884</v>
      </c>
      <c r="E126" s="312">
        <v>1</v>
      </c>
      <c r="F126" s="312">
        <v>1636799516555</v>
      </c>
      <c r="G126" s="312" t="s">
        <v>105</v>
      </c>
      <c r="H126" s="312" t="s">
        <v>105</v>
      </c>
      <c r="I126" s="312">
        <v>0</v>
      </c>
      <c r="J126" s="312">
        <v>0</v>
      </c>
      <c r="K126" s="312" t="s">
        <v>6885</v>
      </c>
      <c r="L126" s="312" t="s">
        <v>6886</v>
      </c>
    </row>
    <row r="127" spans="1:12">
      <c r="A127" s="312">
        <v>835</v>
      </c>
      <c r="B127" s="312" t="s">
        <v>6887</v>
      </c>
      <c r="C127" s="312" t="s">
        <v>6888</v>
      </c>
      <c r="D127" s="312" t="s">
        <v>6889</v>
      </c>
      <c r="E127" s="312">
        <v>1</v>
      </c>
      <c r="F127" s="312">
        <v>1636799512046</v>
      </c>
      <c r="G127" s="312" t="s">
        <v>105</v>
      </c>
      <c r="H127" s="312" t="s">
        <v>105</v>
      </c>
      <c r="I127" s="312">
        <v>0</v>
      </c>
      <c r="J127" s="312">
        <v>0</v>
      </c>
      <c r="K127" s="312" t="s">
        <v>6888</v>
      </c>
      <c r="L127" s="312" t="s">
        <v>6890</v>
      </c>
    </row>
    <row r="128" spans="1:12">
      <c r="A128" s="312">
        <v>836</v>
      </c>
      <c r="B128" s="312" t="s">
        <v>6891</v>
      </c>
      <c r="C128" s="312" t="s">
        <v>6892</v>
      </c>
      <c r="D128" s="312" t="s">
        <v>6893</v>
      </c>
      <c r="E128" s="312">
        <v>1</v>
      </c>
      <c r="F128" s="312">
        <v>1636799511088</v>
      </c>
      <c r="G128" s="312" t="s">
        <v>105</v>
      </c>
      <c r="H128" s="312" t="s">
        <v>105</v>
      </c>
      <c r="I128" s="312">
        <v>-18.48</v>
      </c>
      <c r="J128" s="312">
        <v>64.763999999999996</v>
      </c>
      <c r="K128" s="312" t="s">
        <v>6894</v>
      </c>
      <c r="L128" s="312" t="s">
        <v>6895</v>
      </c>
    </row>
    <row r="129" spans="1:12">
      <c r="A129" s="312">
        <v>837</v>
      </c>
      <c r="B129" s="312" t="s">
        <v>6896</v>
      </c>
      <c r="C129" s="312" t="s">
        <v>6897</v>
      </c>
      <c r="D129" s="312" t="s">
        <v>6898</v>
      </c>
      <c r="E129" s="312">
        <v>1</v>
      </c>
      <c r="F129" s="312">
        <v>1636799514702</v>
      </c>
      <c r="G129" s="312" t="s">
        <v>105</v>
      </c>
      <c r="H129" s="312" t="s">
        <v>105</v>
      </c>
      <c r="I129" s="312">
        <v>-78.497</v>
      </c>
      <c r="J129" s="312">
        <v>-1.385</v>
      </c>
      <c r="K129" s="312" t="s">
        <v>6899</v>
      </c>
      <c r="L129" s="312" t="s">
        <v>6900</v>
      </c>
    </row>
    <row r="130" spans="1:12">
      <c r="A130" s="312">
        <v>838</v>
      </c>
      <c r="B130" s="312" t="s">
        <v>6901</v>
      </c>
      <c r="C130" s="312" t="s">
        <v>6902</v>
      </c>
      <c r="D130" s="312" t="s">
        <v>6903</v>
      </c>
      <c r="E130" s="312">
        <v>1</v>
      </c>
      <c r="F130" s="312">
        <v>1636799516110</v>
      </c>
      <c r="G130" s="312" t="s">
        <v>105</v>
      </c>
      <c r="H130" s="312" t="s">
        <v>105</v>
      </c>
      <c r="I130" s="312">
        <v>-102.535</v>
      </c>
      <c r="J130" s="312">
        <v>23.951000000000001</v>
      </c>
      <c r="K130" s="312" t="s">
        <v>6904</v>
      </c>
      <c r="L130" s="312" t="s">
        <v>6905</v>
      </c>
    </row>
    <row r="131" spans="1:12">
      <c r="A131" s="312">
        <v>839</v>
      </c>
      <c r="B131" s="312" t="s">
        <v>6906</v>
      </c>
      <c r="C131" s="312" t="s">
        <v>6907</v>
      </c>
      <c r="D131" s="312" t="s">
        <v>6908</v>
      </c>
      <c r="E131" s="312">
        <v>1</v>
      </c>
      <c r="F131" s="312">
        <v>1636799516666</v>
      </c>
      <c r="G131" s="312" t="s">
        <v>105</v>
      </c>
      <c r="H131" s="312" t="s">
        <v>105</v>
      </c>
      <c r="I131" s="312">
        <v>0</v>
      </c>
      <c r="J131" s="312">
        <v>0</v>
      </c>
      <c r="K131" s="312" t="s">
        <v>6909</v>
      </c>
      <c r="L131" s="312" t="s">
        <v>6910</v>
      </c>
    </row>
    <row r="132" spans="1:12">
      <c r="A132" s="312">
        <v>840</v>
      </c>
      <c r="B132" s="312" t="s">
        <v>6911</v>
      </c>
      <c r="C132" s="312" t="s">
        <v>6912</v>
      </c>
      <c r="D132" s="312" t="s">
        <v>6913</v>
      </c>
      <c r="E132" s="312">
        <v>1</v>
      </c>
      <c r="F132" s="312">
        <v>1636799512595</v>
      </c>
      <c r="G132" s="312" t="s">
        <v>105</v>
      </c>
      <c r="H132" s="312" t="s">
        <v>105</v>
      </c>
      <c r="I132" s="312">
        <v>38.506</v>
      </c>
      <c r="J132" s="312">
        <v>35.012999999999998</v>
      </c>
      <c r="K132" s="312" t="s">
        <v>6914</v>
      </c>
      <c r="L132" s="312" t="s">
        <v>6915</v>
      </c>
    </row>
    <row r="133" spans="1:12">
      <c r="A133" s="312">
        <v>841</v>
      </c>
      <c r="B133" s="312" t="s">
        <v>6916</v>
      </c>
      <c r="C133" s="312" t="s">
        <v>6917</v>
      </c>
      <c r="D133" s="312" t="s">
        <v>6918</v>
      </c>
      <c r="E133" s="312">
        <v>1</v>
      </c>
      <c r="F133" s="312">
        <v>1636799516685</v>
      </c>
      <c r="G133" s="312" t="s">
        <v>105</v>
      </c>
      <c r="H133" s="312" t="s">
        <v>105</v>
      </c>
      <c r="I133" s="312">
        <v>0</v>
      </c>
      <c r="J133" s="312">
        <v>0</v>
      </c>
      <c r="K133" s="312" t="s">
        <v>6919</v>
      </c>
      <c r="L133" s="312" t="s">
        <v>6920</v>
      </c>
    </row>
    <row r="134" spans="1:12">
      <c r="A134" s="312">
        <v>842</v>
      </c>
      <c r="B134" s="312" t="s">
        <v>6921</v>
      </c>
      <c r="C134" s="312" t="s">
        <v>6922</v>
      </c>
      <c r="D134" s="312" t="s">
        <v>6923</v>
      </c>
      <c r="E134" s="312">
        <v>1</v>
      </c>
      <c r="F134" s="312">
        <v>1636799513159</v>
      </c>
      <c r="G134" s="312" t="s">
        <v>105</v>
      </c>
      <c r="H134" s="312" t="s">
        <v>105</v>
      </c>
      <c r="I134" s="312">
        <v>0</v>
      </c>
      <c r="J134" s="312">
        <v>0</v>
      </c>
      <c r="K134" s="312" t="s">
        <v>6924</v>
      </c>
      <c r="L134" s="312" t="s">
        <v>6925</v>
      </c>
    </row>
    <row r="135" spans="1:12">
      <c r="A135" s="312">
        <v>843</v>
      </c>
      <c r="B135" s="312" t="s">
        <v>6926</v>
      </c>
      <c r="C135" s="312" t="s">
        <v>6927</v>
      </c>
      <c r="D135" s="312" t="s">
        <v>6928</v>
      </c>
      <c r="E135" s="312">
        <v>1</v>
      </c>
      <c r="F135" s="312">
        <v>1636799516019</v>
      </c>
      <c r="G135" s="312" t="s">
        <v>105</v>
      </c>
      <c r="H135" s="312" t="s">
        <v>105</v>
      </c>
      <c r="I135" s="312">
        <v>-109.43300000000001</v>
      </c>
      <c r="J135" s="312">
        <v>59.081000000000003</v>
      </c>
      <c r="K135" s="312" t="s">
        <v>6929</v>
      </c>
      <c r="L135" s="312" t="s">
        <v>6930</v>
      </c>
    </row>
    <row r="136" spans="1:12">
      <c r="A136" s="312">
        <v>844</v>
      </c>
      <c r="B136" s="312" t="s">
        <v>6931</v>
      </c>
      <c r="C136" s="312" t="s">
        <v>6932</v>
      </c>
      <c r="D136" s="312" t="s">
        <v>6933</v>
      </c>
      <c r="E136" s="312">
        <v>1</v>
      </c>
      <c r="F136" s="312">
        <v>1636799523608</v>
      </c>
      <c r="G136" s="312" t="s">
        <v>105</v>
      </c>
      <c r="H136" s="312" t="s">
        <v>105</v>
      </c>
      <c r="I136" s="312">
        <v>0</v>
      </c>
      <c r="J136" s="312">
        <v>0</v>
      </c>
      <c r="K136" s="312" t="s">
        <v>6934</v>
      </c>
      <c r="L136" s="312" t="s">
        <v>6935</v>
      </c>
    </row>
    <row r="137" spans="1:12">
      <c r="A137" s="312">
        <v>845</v>
      </c>
      <c r="B137" s="312" t="s">
        <v>6936</v>
      </c>
      <c r="C137" s="312" t="s">
        <v>6937</v>
      </c>
      <c r="D137" s="312" t="s">
        <v>6938</v>
      </c>
      <c r="E137" s="312">
        <v>1</v>
      </c>
      <c r="F137" s="312">
        <v>1636799523850</v>
      </c>
      <c r="G137" s="312" t="s">
        <v>105</v>
      </c>
      <c r="H137" s="312" t="s">
        <v>105</v>
      </c>
      <c r="I137" s="312">
        <v>46.706000000000003</v>
      </c>
      <c r="J137" s="312">
        <v>-19.373999999999999</v>
      </c>
      <c r="K137" s="312" t="s">
        <v>6939</v>
      </c>
      <c r="L137" s="312" t="s">
        <v>6940</v>
      </c>
    </row>
    <row r="138" spans="1:12">
      <c r="A138" s="312">
        <v>846</v>
      </c>
      <c r="B138" s="312" t="s">
        <v>6941</v>
      </c>
      <c r="C138" s="312" t="s">
        <v>6942</v>
      </c>
      <c r="D138" s="312" t="s">
        <v>6943</v>
      </c>
      <c r="E138" s="312">
        <v>1</v>
      </c>
      <c r="F138" s="312">
        <v>1636799513606</v>
      </c>
      <c r="G138" s="312" t="s">
        <v>105</v>
      </c>
      <c r="H138" s="312" t="s">
        <v>105</v>
      </c>
      <c r="I138" s="312">
        <v>0</v>
      </c>
      <c r="J138" s="312">
        <v>0</v>
      </c>
      <c r="K138" s="312" t="s">
        <v>6944</v>
      </c>
      <c r="L138" s="312" t="s">
        <v>6945</v>
      </c>
    </row>
    <row r="139" spans="1:12">
      <c r="A139" s="312">
        <v>847</v>
      </c>
      <c r="B139" s="312" t="s">
        <v>6946</v>
      </c>
      <c r="C139" s="312" t="s">
        <v>6947</v>
      </c>
      <c r="D139" s="312" t="s">
        <v>6948</v>
      </c>
      <c r="E139" s="312">
        <v>1</v>
      </c>
      <c r="F139" s="312">
        <v>1636799517501</v>
      </c>
      <c r="G139" s="312" t="s">
        <v>105</v>
      </c>
      <c r="H139" s="312" t="s">
        <v>105</v>
      </c>
      <c r="I139" s="312">
        <v>0</v>
      </c>
      <c r="J139" s="312">
        <v>0</v>
      </c>
      <c r="K139" s="312" t="s">
        <v>6947</v>
      </c>
      <c r="L139" s="312" t="s">
        <v>6949</v>
      </c>
    </row>
    <row r="140" spans="1:12">
      <c r="A140" s="312">
        <v>848</v>
      </c>
      <c r="B140" s="312" t="s">
        <v>6950</v>
      </c>
      <c r="C140" s="312" t="s">
        <v>6951</v>
      </c>
      <c r="D140" s="312" t="s">
        <v>6952</v>
      </c>
      <c r="E140" s="312">
        <v>1</v>
      </c>
      <c r="F140" s="312">
        <v>1636799523786</v>
      </c>
      <c r="G140" s="312" t="s">
        <v>105</v>
      </c>
      <c r="H140" s="312" t="s">
        <v>105</v>
      </c>
      <c r="I140" s="312">
        <v>-77.319999999999993</v>
      </c>
      <c r="J140" s="312">
        <v>18.151</v>
      </c>
      <c r="K140" s="312" t="s">
        <v>6953</v>
      </c>
      <c r="L140" s="312" t="s">
        <v>6954</v>
      </c>
    </row>
    <row r="141" spans="1:12">
      <c r="A141" s="312">
        <v>849</v>
      </c>
      <c r="B141" s="312" t="s">
        <v>6955</v>
      </c>
      <c r="C141" s="312" t="s">
        <v>6956</v>
      </c>
      <c r="D141" s="312" t="s">
        <v>6957</v>
      </c>
      <c r="E141" s="312">
        <v>1</v>
      </c>
      <c r="F141" s="312">
        <v>1636799513754</v>
      </c>
      <c r="G141" s="312" t="s">
        <v>105</v>
      </c>
      <c r="H141" s="312" t="s">
        <v>105</v>
      </c>
      <c r="I141" s="312">
        <v>43.771999999999998</v>
      </c>
      <c r="J141" s="312">
        <v>33.048000000000002</v>
      </c>
      <c r="K141" s="312" t="s">
        <v>6958</v>
      </c>
      <c r="L141" s="312" t="s">
        <v>6959</v>
      </c>
    </row>
    <row r="142" spans="1:12">
      <c r="A142" s="312">
        <v>850</v>
      </c>
      <c r="B142" s="312" t="s">
        <v>6960</v>
      </c>
      <c r="C142" s="312" t="s">
        <v>6961</v>
      </c>
      <c r="D142" s="312" t="s">
        <v>6962</v>
      </c>
      <c r="E142" s="312">
        <v>1</v>
      </c>
      <c r="F142" s="312">
        <v>1636799520226</v>
      </c>
      <c r="G142" s="312" t="s">
        <v>105</v>
      </c>
      <c r="H142" s="312" t="s">
        <v>105</v>
      </c>
      <c r="I142" s="312">
        <v>-143.141803538</v>
      </c>
      <c r="J142" s="312">
        <v>60.532782903399998</v>
      </c>
      <c r="K142" s="312" t="s">
        <v>6963</v>
      </c>
      <c r="L142" s="312" t="s">
        <v>6964</v>
      </c>
    </row>
    <row r="143" spans="1:12">
      <c r="A143" s="312">
        <v>851</v>
      </c>
      <c r="B143" s="312" t="s">
        <v>6965</v>
      </c>
      <c r="C143" s="312" t="s">
        <v>6966</v>
      </c>
      <c r="D143" s="312" t="s">
        <v>6967</v>
      </c>
      <c r="E143" s="312">
        <v>1</v>
      </c>
      <c r="F143" s="312">
        <v>1636799513508</v>
      </c>
      <c r="G143" s="312" t="s">
        <v>105</v>
      </c>
      <c r="H143" s="312" t="s">
        <v>105</v>
      </c>
      <c r="I143" s="312">
        <v>0</v>
      </c>
      <c r="J143" s="312">
        <v>0</v>
      </c>
      <c r="K143" s="312" t="s">
        <v>6968</v>
      </c>
      <c r="L143" s="312" t="s">
        <v>6969</v>
      </c>
    </row>
    <row r="144" spans="1:12">
      <c r="A144" s="312">
        <v>852</v>
      </c>
      <c r="B144" s="312" t="s">
        <v>6970</v>
      </c>
      <c r="C144" s="312" t="s">
        <v>6971</v>
      </c>
      <c r="D144" s="312" t="s">
        <v>6972</v>
      </c>
      <c r="E144" s="312">
        <v>1</v>
      </c>
      <c r="F144" s="312">
        <v>1636799516508</v>
      </c>
      <c r="G144" s="312" t="s">
        <v>105</v>
      </c>
      <c r="H144" s="312" t="s">
        <v>105</v>
      </c>
      <c r="I144" s="312">
        <v>0</v>
      </c>
      <c r="J144" s="312">
        <v>0</v>
      </c>
      <c r="K144" s="312" t="s">
        <v>6973</v>
      </c>
      <c r="L144" s="312" t="s">
        <v>6974</v>
      </c>
    </row>
    <row r="145" spans="1:12">
      <c r="A145" s="312">
        <v>853</v>
      </c>
      <c r="B145" s="312" t="s">
        <v>6975</v>
      </c>
      <c r="C145" s="312" t="s">
        <v>6976</v>
      </c>
      <c r="D145" s="312" t="s">
        <v>6977</v>
      </c>
      <c r="E145" s="312">
        <v>1</v>
      </c>
      <c r="F145" s="312">
        <v>1636799523857</v>
      </c>
      <c r="G145" s="312" t="s">
        <v>105</v>
      </c>
      <c r="H145" s="312" t="s">
        <v>105</v>
      </c>
      <c r="I145" s="312">
        <v>51.191000000000003</v>
      </c>
      <c r="J145" s="312">
        <v>25.315999999999999</v>
      </c>
      <c r="K145" s="312" t="s">
        <v>6978</v>
      </c>
      <c r="L145" s="312" t="s">
        <v>6979</v>
      </c>
    </row>
    <row r="146" spans="1:12">
      <c r="A146" s="312">
        <v>854</v>
      </c>
      <c r="B146" s="312" t="s">
        <v>6980</v>
      </c>
      <c r="C146" s="312" t="s">
        <v>6981</v>
      </c>
      <c r="D146" s="312" t="s">
        <v>6982</v>
      </c>
      <c r="E146" s="312">
        <v>1</v>
      </c>
      <c r="F146" s="312">
        <v>1636799513893</v>
      </c>
      <c r="G146" s="312" t="s">
        <v>105</v>
      </c>
      <c r="H146" s="312" t="s">
        <v>105</v>
      </c>
      <c r="I146" s="312">
        <v>-73.075999999999993</v>
      </c>
      <c r="J146" s="312">
        <v>3.9</v>
      </c>
      <c r="K146" s="312" t="s">
        <v>6983</v>
      </c>
      <c r="L146" s="312" t="s">
        <v>6984</v>
      </c>
    </row>
    <row r="147" spans="1:12">
      <c r="A147" s="312">
        <v>855</v>
      </c>
      <c r="B147" s="312" t="s">
        <v>6985</v>
      </c>
      <c r="C147" s="312" t="s">
        <v>6986</v>
      </c>
      <c r="D147" s="312" t="s">
        <v>6987</v>
      </c>
      <c r="E147" s="312">
        <v>1</v>
      </c>
      <c r="F147" s="312">
        <v>1636799523160</v>
      </c>
      <c r="G147" s="312" t="s">
        <v>105</v>
      </c>
      <c r="H147" s="312" t="s">
        <v>105</v>
      </c>
      <c r="I147" s="312">
        <v>0</v>
      </c>
      <c r="J147" s="312">
        <v>0</v>
      </c>
      <c r="K147" s="312" t="s">
        <v>6988</v>
      </c>
      <c r="L147" s="312" t="s">
        <v>6989</v>
      </c>
    </row>
    <row r="148" spans="1:12">
      <c r="A148" s="312">
        <v>856</v>
      </c>
      <c r="B148" s="312" t="s">
        <v>6990</v>
      </c>
      <c r="C148" s="312" t="s">
        <v>6991</v>
      </c>
      <c r="D148" s="312" t="s">
        <v>6992</v>
      </c>
      <c r="E148" s="312">
        <v>1</v>
      </c>
      <c r="F148" s="312">
        <v>1636799513075</v>
      </c>
      <c r="G148" s="312" t="s">
        <v>105</v>
      </c>
      <c r="H148" s="312" t="s">
        <v>105</v>
      </c>
      <c r="I148" s="312">
        <v>0</v>
      </c>
      <c r="J148" s="312">
        <v>0</v>
      </c>
      <c r="K148" s="312" t="s">
        <v>6993</v>
      </c>
      <c r="L148" s="312" t="s">
        <v>6994</v>
      </c>
    </row>
    <row r="149" spans="1:12">
      <c r="A149" s="312">
        <v>857</v>
      </c>
      <c r="B149" s="312" t="s">
        <v>6995</v>
      </c>
      <c r="C149" s="312" t="s">
        <v>6996</v>
      </c>
      <c r="D149" s="312" t="s">
        <v>6997</v>
      </c>
      <c r="E149" s="312">
        <v>1</v>
      </c>
      <c r="F149" s="312">
        <v>1636799513411</v>
      </c>
      <c r="G149" s="312" t="s">
        <v>105</v>
      </c>
      <c r="H149" s="312" t="s">
        <v>105</v>
      </c>
      <c r="I149" s="312">
        <v>0</v>
      </c>
      <c r="J149" s="312">
        <v>0</v>
      </c>
      <c r="K149" s="312" t="s">
        <v>6998</v>
      </c>
      <c r="L149" s="312" t="s">
        <v>6999</v>
      </c>
    </row>
    <row r="150" spans="1:12">
      <c r="A150" s="312">
        <v>951</v>
      </c>
      <c r="B150" s="312" t="s">
        <v>7000</v>
      </c>
      <c r="C150" s="312" t="s">
        <v>7001</v>
      </c>
      <c r="D150" s="312" t="s">
        <v>7002</v>
      </c>
      <c r="E150" s="312">
        <v>1</v>
      </c>
      <c r="F150" s="312">
        <v>1636799513619</v>
      </c>
      <c r="G150" s="312" t="s">
        <v>105</v>
      </c>
      <c r="H150" s="312" t="s">
        <v>105</v>
      </c>
      <c r="I150" s="312">
        <v>0</v>
      </c>
      <c r="J150" s="312">
        <v>0</v>
      </c>
      <c r="K150" s="312" t="s">
        <v>7003</v>
      </c>
      <c r="L150" s="312" t="s">
        <v>7004</v>
      </c>
    </row>
    <row r="151" spans="1:12">
      <c r="A151" s="312">
        <v>858</v>
      </c>
      <c r="B151" s="312" t="s">
        <v>7005</v>
      </c>
      <c r="C151" s="312" t="s">
        <v>7006</v>
      </c>
      <c r="D151" s="312" t="s">
        <v>7007</v>
      </c>
      <c r="E151" s="312">
        <v>1</v>
      </c>
      <c r="F151" s="312">
        <v>1636799512630</v>
      </c>
      <c r="G151" s="312" t="s">
        <v>105</v>
      </c>
      <c r="H151" s="312" t="s">
        <v>105</v>
      </c>
      <c r="I151" s="312">
        <v>48.668009206800001</v>
      </c>
      <c r="J151" s="312">
        <v>28.5463502064</v>
      </c>
      <c r="K151" s="312" t="s">
        <v>7008</v>
      </c>
      <c r="L151" s="312" t="s">
        <v>7009</v>
      </c>
    </row>
    <row r="152" spans="1:12">
      <c r="A152" s="312">
        <v>859</v>
      </c>
      <c r="B152" s="312" t="s">
        <v>7010</v>
      </c>
      <c r="C152" s="312" t="s">
        <v>7011</v>
      </c>
      <c r="D152" s="312" t="s">
        <v>7012</v>
      </c>
      <c r="E152" s="312">
        <v>1</v>
      </c>
      <c r="F152" s="312">
        <v>1636799512743</v>
      </c>
      <c r="G152" s="312" t="s">
        <v>105</v>
      </c>
      <c r="H152" s="312" t="s">
        <v>105</v>
      </c>
      <c r="I152" s="312">
        <v>0</v>
      </c>
      <c r="J152" s="312">
        <v>0</v>
      </c>
      <c r="K152" s="312" t="s">
        <v>7013</v>
      </c>
      <c r="L152" s="312" t="s">
        <v>7014</v>
      </c>
    </row>
    <row r="153" spans="1:12">
      <c r="A153" s="312">
        <v>960</v>
      </c>
      <c r="B153" s="312" t="s">
        <v>7015</v>
      </c>
      <c r="C153" s="312" t="s">
        <v>7016</v>
      </c>
      <c r="D153" s="312" t="s">
        <v>7017</v>
      </c>
      <c r="E153" s="312">
        <v>1</v>
      </c>
      <c r="F153" s="312">
        <v>1636799513697</v>
      </c>
      <c r="G153" s="312" t="s">
        <v>105</v>
      </c>
      <c r="H153" s="312" t="s">
        <v>105</v>
      </c>
      <c r="I153" s="312">
        <v>0</v>
      </c>
      <c r="J153" s="312">
        <v>0</v>
      </c>
      <c r="K153" s="312" t="s">
        <v>7018</v>
      </c>
      <c r="L153" s="312" t="s">
        <v>7019</v>
      </c>
    </row>
    <row r="154" spans="1:12">
      <c r="A154" s="312">
        <v>860</v>
      </c>
      <c r="B154" s="312" t="s">
        <v>7020</v>
      </c>
      <c r="C154" s="312" t="s">
        <v>7021</v>
      </c>
      <c r="D154" s="312" t="s">
        <v>7022</v>
      </c>
      <c r="E154" s="312">
        <v>1</v>
      </c>
      <c r="F154" s="312">
        <v>1636799511100</v>
      </c>
      <c r="G154" s="312" t="s">
        <v>105</v>
      </c>
      <c r="H154" s="312" t="s">
        <v>105</v>
      </c>
      <c r="I154" s="312">
        <v>0</v>
      </c>
      <c r="J154" s="312">
        <v>0</v>
      </c>
      <c r="K154" s="312" t="s">
        <v>7023</v>
      </c>
      <c r="L154" s="312" t="s">
        <v>7024</v>
      </c>
    </row>
    <row r="155" spans="1:12">
      <c r="A155" s="312">
        <v>961</v>
      </c>
      <c r="B155" s="312" t="s">
        <v>7025</v>
      </c>
      <c r="C155" s="312" t="s">
        <v>7026</v>
      </c>
      <c r="D155" s="312" t="s">
        <v>7027</v>
      </c>
      <c r="E155" s="312">
        <v>1</v>
      </c>
      <c r="F155" s="312">
        <v>1636799511013</v>
      </c>
      <c r="G155" s="312" t="s">
        <v>105</v>
      </c>
      <c r="H155" s="312" t="s">
        <v>105</v>
      </c>
      <c r="I155" s="312">
        <v>29.872</v>
      </c>
      <c r="J155" s="312">
        <v>-19</v>
      </c>
      <c r="K155" s="312" t="s">
        <v>7028</v>
      </c>
      <c r="L155" s="312" t="s">
        <v>7029</v>
      </c>
    </row>
    <row r="156" spans="1:12">
      <c r="A156" s="312">
        <v>962</v>
      </c>
      <c r="B156" s="312" t="s">
        <v>7030</v>
      </c>
      <c r="C156" s="312" t="s">
        <v>7031</v>
      </c>
      <c r="D156" s="312" t="s">
        <v>7032</v>
      </c>
      <c r="E156" s="312">
        <v>1</v>
      </c>
      <c r="F156" s="312">
        <v>1636799515817</v>
      </c>
      <c r="G156" s="312" t="s">
        <v>105</v>
      </c>
      <c r="H156" s="312" t="s">
        <v>105</v>
      </c>
      <c r="I156" s="312">
        <v>9.5960000000000001</v>
      </c>
      <c r="J156" s="312">
        <v>35.383000000000003</v>
      </c>
      <c r="K156" s="312" t="s">
        <v>7033</v>
      </c>
      <c r="L156" s="312" t="s">
        <v>7034</v>
      </c>
    </row>
    <row r="157" spans="1:12">
      <c r="A157" s="312">
        <v>1100</v>
      </c>
      <c r="B157" s="312" t="s">
        <v>7035</v>
      </c>
      <c r="C157" s="312" t="s">
        <v>7036</v>
      </c>
      <c r="D157" s="312" t="s">
        <v>105</v>
      </c>
      <c r="E157" s="312">
        <v>0</v>
      </c>
      <c r="F157" s="312">
        <v>1636799516854</v>
      </c>
      <c r="G157" s="312" t="s">
        <v>105</v>
      </c>
      <c r="H157" s="312" t="s">
        <v>105</v>
      </c>
      <c r="I157" s="312">
        <v>-172.16124929893999</v>
      </c>
      <c r="J157" s="312">
        <v>-13.7545956540405</v>
      </c>
      <c r="K157" s="312" t="s">
        <v>7037</v>
      </c>
      <c r="L157" s="312" t="s">
        <v>7038</v>
      </c>
    </row>
    <row r="158" spans="1:12">
      <c r="A158" s="312">
        <v>861</v>
      </c>
      <c r="B158" s="312" t="s">
        <v>7039</v>
      </c>
      <c r="C158" s="312" t="s">
        <v>7040</v>
      </c>
      <c r="D158" s="312" t="s">
        <v>7041</v>
      </c>
      <c r="E158" s="312">
        <v>1</v>
      </c>
      <c r="F158" s="312">
        <v>1636799514681</v>
      </c>
      <c r="G158" s="312" t="s">
        <v>105</v>
      </c>
      <c r="H158" s="312" t="s">
        <v>105</v>
      </c>
      <c r="I158" s="312">
        <v>0</v>
      </c>
      <c r="J158" s="312">
        <v>0</v>
      </c>
      <c r="K158" s="312" t="s">
        <v>7042</v>
      </c>
      <c r="L158" s="312" t="s">
        <v>7043</v>
      </c>
    </row>
    <row r="159" spans="1:12">
      <c r="A159" s="312">
        <v>862</v>
      </c>
      <c r="B159" s="312" t="s">
        <v>7044</v>
      </c>
      <c r="C159" s="312" t="s">
        <v>7045</v>
      </c>
      <c r="D159" s="312" t="s">
        <v>7046</v>
      </c>
      <c r="E159" s="312">
        <v>1</v>
      </c>
      <c r="F159" s="312">
        <v>1636799523582</v>
      </c>
      <c r="G159" s="312" t="s">
        <v>105</v>
      </c>
      <c r="H159" s="312" t="s">
        <v>105</v>
      </c>
      <c r="I159" s="312">
        <v>-90.397999999999996</v>
      </c>
      <c r="J159" s="312">
        <v>15.256</v>
      </c>
      <c r="K159" s="312" t="s">
        <v>7047</v>
      </c>
      <c r="L159" s="312" t="s">
        <v>7048</v>
      </c>
    </row>
    <row r="160" spans="1:12">
      <c r="A160" s="312">
        <v>863</v>
      </c>
      <c r="B160" s="312" t="s">
        <v>7049</v>
      </c>
      <c r="C160" s="312" t="s">
        <v>7050</v>
      </c>
      <c r="D160" s="312" t="s">
        <v>7051</v>
      </c>
      <c r="E160" s="312">
        <v>1</v>
      </c>
      <c r="F160" s="312">
        <v>1636799513442</v>
      </c>
      <c r="G160" s="312" t="s">
        <v>105</v>
      </c>
      <c r="H160" s="312" t="s">
        <v>105</v>
      </c>
      <c r="I160" s="312">
        <v>0</v>
      </c>
      <c r="J160" s="312">
        <v>0</v>
      </c>
      <c r="K160" s="312" t="s">
        <v>7052</v>
      </c>
      <c r="L160" s="312" t="s">
        <v>7053</v>
      </c>
    </row>
    <row r="161" spans="1:12">
      <c r="A161" s="312">
        <v>864</v>
      </c>
      <c r="B161" s="312" t="s">
        <v>7054</v>
      </c>
      <c r="C161" s="312" t="s">
        <v>7055</v>
      </c>
      <c r="D161" s="312" t="s">
        <v>7056</v>
      </c>
      <c r="E161" s="312">
        <v>1</v>
      </c>
      <c r="F161" s="312">
        <v>1636799516550</v>
      </c>
      <c r="G161" s="312" t="s">
        <v>105</v>
      </c>
      <c r="H161" s="312" t="s">
        <v>105</v>
      </c>
      <c r="I161" s="312">
        <v>0</v>
      </c>
      <c r="J161" s="312">
        <v>0</v>
      </c>
      <c r="K161" s="312" t="s">
        <v>7057</v>
      </c>
      <c r="L161" s="312" t="s">
        <v>7058</v>
      </c>
    </row>
    <row r="162" spans="1:12">
      <c r="A162" s="312">
        <v>867</v>
      </c>
      <c r="B162" s="312" t="s">
        <v>7059</v>
      </c>
      <c r="C162" s="312" t="s">
        <v>7060</v>
      </c>
      <c r="D162" s="312" t="s">
        <v>7061</v>
      </c>
      <c r="E162" s="312">
        <v>1</v>
      </c>
      <c r="F162" s="312">
        <v>1636799522999</v>
      </c>
      <c r="G162" s="312" t="s">
        <v>105</v>
      </c>
      <c r="H162" s="312" t="s">
        <v>105</v>
      </c>
      <c r="I162" s="312">
        <v>0</v>
      </c>
      <c r="J162" s="312">
        <v>0</v>
      </c>
      <c r="K162" s="312" t="s">
        <v>7062</v>
      </c>
      <c r="L162" s="312" t="s">
        <v>7063</v>
      </c>
    </row>
    <row r="163" spans="1:12">
      <c r="A163" s="312">
        <v>868</v>
      </c>
      <c r="B163" s="312" t="s">
        <v>7064</v>
      </c>
      <c r="C163" s="312" t="s">
        <v>7065</v>
      </c>
      <c r="D163" s="312" t="s">
        <v>7066</v>
      </c>
      <c r="E163" s="312">
        <v>1</v>
      </c>
      <c r="F163" s="312">
        <v>1636799516717</v>
      </c>
      <c r="G163" s="312" t="s">
        <v>105</v>
      </c>
      <c r="H163" s="312" t="s">
        <v>105</v>
      </c>
      <c r="I163" s="312">
        <v>0</v>
      </c>
      <c r="J163" s="312">
        <v>0</v>
      </c>
      <c r="K163" s="312" t="s">
        <v>7067</v>
      </c>
      <c r="L163" s="312" t="s">
        <v>7068</v>
      </c>
    </row>
    <row r="164" spans="1:12">
      <c r="A164" s="312">
        <v>869</v>
      </c>
      <c r="B164" s="312" t="s">
        <v>7069</v>
      </c>
      <c r="C164" s="312" t="s">
        <v>7070</v>
      </c>
      <c r="D164" s="312" t="s">
        <v>7071</v>
      </c>
      <c r="E164" s="312">
        <v>1</v>
      </c>
      <c r="F164" s="312">
        <v>1636799513104</v>
      </c>
      <c r="G164" s="312" t="s">
        <v>105</v>
      </c>
      <c r="H164" s="312" t="s">
        <v>105</v>
      </c>
      <c r="I164" s="312">
        <v>0</v>
      </c>
      <c r="J164" s="312">
        <v>0</v>
      </c>
      <c r="K164" s="312" t="s">
        <v>7072</v>
      </c>
      <c r="L164" s="312" t="s">
        <v>7073</v>
      </c>
    </row>
    <row r="165" spans="1:12">
      <c r="A165" s="312">
        <v>873</v>
      </c>
      <c r="B165" s="312" t="s">
        <v>7074</v>
      </c>
      <c r="C165" s="312" t="s">
        <v>7075</v>
      </c>
      <c r="D165" s="312" t="s">
        <v>7076</v>
      </c>
      <c r="E165" s="312">
        <v>1</v>
      </c>
      <c r="F165" s="312">
        <v>1636799513670</v>
      </c>
      <c r="G165" s="312" t="s">
        <v>105</v>
      </c>
      <c r="H165" s="312" t="s">
        <v>105</v>
      </c>
      <c r="I165" s="312">
        <v>0</v>
      </c>
      <c r="J165" s="312">
        <v>0</v>
      </c>
      <c r="K165" s="312" t="s">
        <v>7077</v>
      </c>
      <c r="L165" s="312" t="s">
        <v>7078</v>
      </c>
    </row>
    <row r="166" spans="1:12">
      <c r="A166" s="312">
        <v>874</v>
      </c>
      <c r="B166" s="312" t="s">
        <v>7079</v>
      </c>
      <c r="C166" s="312" t="s">
        <v>7080</v>
      </c>
      <c r="D166" s="312" t="s">
        <v>7081</v>
      </c>
      <c r="E166" s="312">
        <v>1</v>
      </c>
      <c r="F166" s="312">
        <v>1636799513748</v>
      </c>
      <c r="G166" s="312" t="s">
        <v>105</v>
      </c>
      <c r="H166" s="312" t="s">
        <v>105</v>
      </c>
      <c r="I166" s="312">
        <v>19.134</v>
      </c>
      <c r="J166" s="312">
        <v>47.07</v>
      </c>
      <c r="K166" s="312" t="s">
        <v>7082</v>
      </c>
      <c r="L166" s="312" t="s">
        <v>7083</v>
      </c>
    </row>
    <row r="167" spans="1:12">
      <c r="A167" s="312">
        <v>875</v>
      </c>
      <c r="B167" s="312" t="s">
        <v>7084</v>
      </c>
      <c r="C167" s="312" t="s">
        <v>7085</v>
      </c>
      <c r="D167" s="312" t="s">
        <v>7086</v>
      </c>
      <c r="E167" s="312">
        <v>1</v>
      </c>
      <c r="F167" s="312">
        <v>1636799510926</v>
      </c>
      <c r="G167" s="312" t="s">
        <v>105</v>
      </c>
      <c r="H167" s="312" t="s">
        <v>105</v>
      </c>
      <c r="I167" s="312">
        <v>0</v>
      </c>
      <c r="J167" s="312">
        <v>0</v>
      </c>
      <c r="K167" s="312" t="s">
        <v>7087</v>
      </c>
      <c r="L167" s="312" t="s">
        <v>7088</v>
      </c>
    </row>
    <row r="168" spans="1:12">
      <c r="A168" s="312">
        <v>876</v>
      </c>
      <c r="B168" s="312" t="s">
        <v>7089</v>
      </c>
      <c r="C168" s="312" t="s">
        <v>7090</v>
      </c>
      <c r="D168" s="312" t="s">
        <v>7091</v>
      </c>
      <c r="E168" s="312">
        <v>1</v>
      </c>
      <c r="F168" s="312">
        <v>1636799513350</v>
      </c>
      <c r="G168" s="312" t="s">
        <v>105</v>
      </c>
      <c r="H168" s="312" t="s">
        <v>105</v>
      </c>
      <c r="I168" s="312">
        <v>0</v>
      </c>
      <c r="J168" s="312">
        <v>0</v>
      </c>
      <c r="K168" s="312" t="s">
        <v>7092</v>
      </c>
      <c r="L168" s="312" t="s">
        <v>7093</v>
      </c>
    </row>
    <row r="169" spans="1:12">
      <c r="A169" s="312">
        <v>877</v>
      </c>
      <c r="B169" s="312" t="s">
        <v>7094</v>
      </c>
      <c r="C169" s="312" t="s">
        <v>7095</v>
      </c>
      <c r="D169" s="312" t="s">
        <v>7096</v>
      </c>
      <c r="E169" s="312">
        <v>1</v>
      </c>
      <c r="F169" s="312">
        <v>1636799513579</v>
      </c>
      <c r="G169" s="312" t="s">
        <v>105</v>
      </c>
      <c r="H169" s="312" t="s">
        <v>105</v>
      </c>
      <c r="I169" s="312">
        <v>0</v>
      </c>
      <c r="J169" s="312">
        <v>0</v>
      </c>
      <c r="K169" s="312" t="s">
        <v>7097</v>
      </c>
      <c r="L169" s="312" t="s">
        <v>7098</v>
      </c>
    </row>
    <row r="170" spans="1:12">
      <c r="A170" s="312">
        <v>878</v>
      </c>
      <c r="B170" s="312" t="s">
        <v>7099</v>
      </c>
      <c r="C170" s="312" t="s">
        <v>7100</v>
      </c>
      <c r="D170" s="312" t="s">
        <v>7101</v>
      </c>
      <c r="E170" s="312">
        <v>1</v>
      </c>
      <c r="F170" s="312">
        <v>1636799512938</v>
      </c>
      <c r="G170" s="312" t="s">
        <v>105</v>
      </c>
      <c r="H170" s="312" t="s">
        <v>105</v>
      </c>
      <c r="I170" s="312">
        <v>0</v>
      </c>
      <c r="J170" s="312">
        <v>0</v>
      </c>
      <c r="K170" s="312" t="s">
        <v>7102</v>
      </c>
      <c r="L170" s="312" t="s">
        <v>7103</v>
      </c>
    </row>
    <row r="171" spans="1:12">
      <c r="A171" s="312">
        <v>879</v>
      </c>
      <c r="B171" s="312" t="s">
        <v>7104</v>
      </c>
      <c r="C171" s="312" t="s">
        <v>7105</v>
      </c>
      <c r="D171" s="312" t="s">
        <v>7106</v>
      </c>
      <c r="E171" s="312">
        <v>1</v>
      </c>
      <c r="F171" s="312">
        <v>1636799509905</v>
      </c>
      <c r="G171" s="312" t="s">
        <v>105</v>
      </c>
      <c r="H171" s="312" t="s">
        <v>105</v>
      </c>
      <c r="I171" s="312">
        <v>18.023</v>
      </c>
      <c r="J171" s="312">
        <v>27.044</v>
      </c>
      <c r="K171" s="312" t="s">
        <v>7107</v>
      </c>
      <c r="L171" s="312" t="s">
        <v>7108</v>
      </c>
    </row>
    <row r="172" spans="1:12">
      <c r="A172" s="312">
        <v>880</v>
      </c>
      <c r="B172" s="312" t="s">
        <v>7109</v>
      </c>
      <c r="C172" s="312" t="s">
        <v>7110</v>
      </c>
      <c r="D172" s="312" t="s">
        <v>7111</v>
      </c>
      <c r="E172" s="312">
        <v>1</v>
      </c>
      <c r="F172" s="312">
        <v>1636799516672</v>
      </c>
      <c r="G172" s="312" t="s">
        <v>105</v>
      </c>
      <c r="H172" s="312" t="s">
        <v>105</v>
      </c>
      <c r="I172" s="312">
        <v>0</v>
      </c>
      <c r="J172" s="312">
        <v>0</v>
      </c>
      <c r="K172" s="312" t="s">
        <v>7112</v>
      </c>
      <c r="L172" s="312" t="s">
        <v>7113</v>
      </c>
    </row>
    <row r="173" spans="1:12">
      <c r="A173" s="312">
        <v>882</v>
      </c>
      <c r="B173" s="312" t="s">
        <v>7114</v>
      </c>
      <c r="C173" s="312" t="s">
        <v>7115</v>
      </c>
      <c r="D173" s="312" t="s">
        <v>7116</v>
      </c>
      <c r="E173" s="312">
        <v>1</v>
      </c>
      <c r="F173" s="312">
        <v>1636799523806</v>
      </c>
      <c r="G173" s="312" t="s">
        <v>105</v>
      </c>
      <c r="H173" s="312" t="s">
        <v>105</v>
      </c>
      <c r="I173" s="312">
        <v>104.56399999999999</v>
      </c>
      <c r="J173" s="312">
        <v>12.714</v>
      </c>
      <c r="K173" s="312" t="s">
        <v>7117</v>
      </c>
      <c r="L173" s="312" t="s">
        <v>7118</v>
      </c>
    </row>
    <row r="174" spans="1:12">
      <c r="A174" s="312">
        <v>883</v>
      </c>
      <c r="B174" s="312" t="s">
        <v>7119</v>
      </c>
      <c r="C174" s="312" t="s">
        <v>7120</v>
      </c>
      <c r="D174" s="312" t="s">
        <v>7121</v>
      </c>
      <c r="E174" s="312">
        <v>1</v>
      </c>
      <c r="F174" s="312">
        <v>1636799512639</v>
      </c>
      <c r="G174" s="312" t="s">
        <v>105</v>
      </c>
      <c r="H174" s="312" t="s">
        <v>105</v>
      </c>
      <c r="I174" s="312">
        <v>0</v>
      </c>
      <c r="J174" s="312">
        <v>0</v>
      </c>
      <c r="K174" s="312" t="s">
        <v>7122</v>
      </c>
      <c r="L174" s="312" t="s">
        <v>7123</v>
      </c>
    </row>
    <row r="175" spans="1:12">
      <c r="A175" s="312">
        <v>884</v>
      </c>
      <c r="B175" s="312" t="s">
        <v>7124</v>
      </c>
      <c r="C175" s="312" t="s">
        <v>7125</v>
      </c>
      <c r="D175" s="312" t="s">
        <v>7126</v>
      </c>
      <c r="E175" s="312">
        <v>1</v>
      </c>
      <c r="F175" s="312">
        <v>1636799516820</v>
      </c>
      <c r="G175" s="312" t="s">
        <v>105</v>
      </c>
      <c r="H175" s="312" t="s">
        <v>105</v>
      </c>
      <c r="I175" s="312">
        <v>89.941000000000003</v>
      </c>
      <c r="J175" s="312">
        <v>24.218</v>
      </c>
      <c r="K175" s="312" t="s">
        <v>7127</v>
      </c>
      <c r="L175" s="312" t="s">
        <v>7128</v>
      </c>
    </row>
    <row r="176" spans="1:12">
      <c r="A176" s="312">
        <v>885</v>
      </c>
      <c r="B176" s="312" t="s">
        <v>7129</v>
      </c>
      <c r="C176" s="312" t="s">
        <v>7130</v>
      </c>
      <c r="D176" s="312" t="s">
        <v>7131</v>
      </c>
      <c r="E176" s="312">
        <v>1</v>
      </c>
      <c r="F176" s="312">
        <v>1636799513723</v>
      </c>
      <c r="G176" s="312" t="s">
        <v>105</v>
      </c>
      <c r="H176" s="312" t="s">
        <v>105</v>
      </c>
      <c r="I176" s="312">
        <v>17.786000000000001</v>
      </c>
      <c r="J176" s="312">
        <v>44.168999999999997</v>
      </c>
      <c r="K176" s="312" t="s">
        <v>7132</v>
      </c>
      <c r="L176" s="312" t="s">
        <v>7133</v>
      </c>
    </row>
    <row r="177" spans="1:12">
      <c r="A177" s="312">
        <v>886</v>
      </c>
      <c r="B177" s="312" t="s">
        <v>7134</v>
      </c>
      <c r="C177" s="312" t="s">
        <v>7135</v>
      </c>
      <c r="D177" s="312" t="s">
        <v>7136</v>
      </c>
      <c r="E177" s="312">
        <v>1</v>
      </c>
      <c r="F177" s="312">
        <v>1636799516676</v>
      </c>
      <c r="G177" s="312" t="s">
        <v>105</v>
      </c>
      <c r="H177" s="312" t="s">
        <v>105</v>
      </c>
      <c r="I177" s="312">
        <v>0</v>
      </c>
      <c r="J177" s="312">
        <v>0</v>
      </c>
      <c r="K177" s="312" t="s">
        <v>7137</v>
      </c>
      <c r="L177" s="312" t="s">
        <v>7138</v>
      </c>
    </row>
    <row r="178" spans="1:12">
      <c r="A178" s="312">
        <v>887</v>
      </c>
      <c r="B178" s="312" t="s">
        <v>7139</v>
      </c>
      <c r="C178" s="312" t="s">
        <v>7140</v>
      </c>
      <c r="D178" s="312" t="s">
        <v>7141</v>
      </c>
      <c r="E178" s="312">
        <v>1</v>
      </c>
      <c r="F178" s="312">
        <v>1636799524267</v>
      </c>
      <c r="G178" s="312" t="s">
        <v>105</v>
      </c>
      <c r="H178" s="312" t="s">
        <v>105</v>
      </c>
      <c r="I178" s="312">
        <v>59.384</v>
      </c>
      <c r="J178" s="312">
        <v>39.122</v>
      </c>
      <c r="K178" s="312" t="s">
        <v>7142</v>
      </c>
      <c r="L178" s="312" t="s">
        <v>7143</v>
      </c>
    </row>
    <row r="179" spans="1:12">
      <c r="A179" s="312">
        <v>888</v>
      </c>
      <c r="B179" s="312" t="s">
        <v>7144</v>
      </c>
      <c r="C179" s="312" t="s">
        <v>7145</v>
      </c>
      <c r="D179" s="312" t="s">
        <v>7146</v>
      </c>
      <c r="E179" s="312">
        <v>1</v>
      </c>
      <c r="F179" s="312">
        <v>1636799524300</v>
      </c>
      <c r="G179" s="312" t="s">
        <v>105</v>
      </c>
      <c r="H179" s="312" t="s">
        <v>105</v>
      </c>
      <c r="I179" s="312">
        <v>0</v>
      </c>
      <c r="J179" s="312">
        <v>0</v>
      </c>
      <c r="K179" s="312" t="s">
        <v>7147</v>
      </c>
      <c r="L179" s="312" t="s">
        <v>7148</v>
      </c>
    </row>
    <row r="180" spans="1:12">
      <c r="A180" s="312">
        <v>889</v>
      </c>
      <c r="B180" s="312" t="s">
        <v>7149</v>
      </c>
      <c r="C180" s="312" t="s">
        <v>7150</v>
      </c>
      <c r="D180" s="312" t="s">
        <v>7151</v>
      </c>
      <c r="E180" s="312">
        <v>1</v>
      </c>
      <c r="F180" s="312">
        <v>1636799513543</v>
      </c>
      <c r="G180" s="312" t="s">
        <v>105</v>
      </c>
      <c r="H180" s="312" t="s">
        <v>105</v>
      </c>
      <c r="I180" s="312">
        <v>0</v>
      </c>
      <c r="J180" s="312">
        <v>0</v>
      </c>
      <c r="K180" s="312" t="s">
        <v>7152</v>
      </c>
      <c r="L180" s="312" t="s">
        <v>7153</v>
      </c>
    </row>
    <row r="181" spans="1:12">
      <c r="A181" s="312">
        <v>890</v>
      </c>
      <c r="B181" s="312" t="s">
        <v>7154</v>
      </c>
      <c r="C181" s="312" t="s">
        <v>7155</v>
      </c>
      <c r="D181" s="312" t="s">
        <v>7156</v>
      </c>
      <c r="E181" s="312">
        <v>1</v>
      </c>
      <c r="F181" s="312">
        <v>1636799523594</v>
      </c>
      <c r="G181" s="312" t="s">
        <v>105</v>
      </c>
      <c r="H181" s="312" t="s">
        <v>105</v>
      </c>
      <c r="I181" s="312">
        <v>16.693000000000001</v>
      </c>
      <c r="J181" s="312">
        <v>45.722999999999999</v>
      </c>
      <c r="K181" s="312" t="s">
        <v>7157</v>
      </c>
      <c r="L181" s="312" t="s">
        <v>7158</v>
      </c>
    </row>
    <row r="182" spans="1:12">
      <c r="A182" s="312">
        <v>891</v>
      </c>
      <c r="B182" s="312" t="s">
        <v>7159</v>
      </c>
      <c r="C182" s="312" t="s">
        <v>7160</v>
      </c>
      <c r="D182" s="312" t="s">
        <v>7161</v>
      </c>
      <c r="E182" s="312">
        <v>1</v>
      </c>
      <c r="F182" s="312">
        <v>1636799519082</v>
      </c>
      <c r="G182" s="312" t="s">
        <v>105</v>
      </c>
      <c r="H182" s="312" t="s">
        <v>105</v>
      </c>
      <c r="I182" s="312">
        <v>-5.3449999999999998</v>
      </c>
      <c r="J182" s="312">
        <v>36.137999999999998</v>
      </c>
      <c r="K182" s="312" t="s">
        <v>7162</v>
      </c>
      <c r="L182" s="312" t="s">
        <v>7163</v>
      </c>
    </row>
    <row r="183" spans="1:12">
      <c r="A183" s="312">
        <v>892</v>
      </c>
      <c r="B183" s="312" t="s">
        <v>7164</v>
      </c>
      <c r="C183" s="312" t="s">
        <v>7165</v>
      </c>
      <c r="D183" s="312" t="s">
        <v>7166</v>
      </c>
      <c r="E183" s="312">
        <v>1</v>
      </c>
      <c r="F183" s="312">
        <v>1636799511822</v>
      </c>
      <c r="G183" s="312" t="s">
        <v>105</v>
      </c>
      <c r="H183" s="312" t="s">
        <v>105</v>
      </c>
      <c r="I183" s="312">
        <v>0</v>
      </c>
      <c r="J183" s="312">
        <v>0</v>
      </c>
      <c r="K183" s="312" t="s">
        <v>7165</v>
      </c>
      <c r="L183" s="312" t="s">
        <v>7167</v>
      </c>
    </row>
    <row r="184" spans="1:12">
      <c r="A184" s="312">
        <v>893</v>
      </c>
      <c r="B184" s="312" t="s">
        <v>7168</v>
      </c>
      <c r="C184" s="312" t="s">
        <v>7169</v>
      </c>
      <c r="D184" s="312" t="s">
        <v>7170</v>
      </c>
      <c r="E184" s="312">
        <v>1</v>
      </c>
      <c r="F184" s="312">
        <v>1636799512688</v>
      </c>
      <c r="G184" s="312" t="s">
        <v>105</v>
      </c>
      <c r="H184" s="312" t="s">
        <v>105</v>
      </c>
      <c r="I184" s="312">
        <v>0</v>
      </c>
      <c r="J184" s="312">
        <v>0</v>
      </c>
      <c r="K184" s="312" t="s">
        <v>7171</v>
      </c>
      <c r="L184" s="312" t="s">
        <v>7172</v>
      </c>
    </row>
    <row r="185" spans="1:12">
      <c r="A185" s="312">
        <v>894</v>
      </c>
      <c r="B185" s="312" t="s">
        <v>7173</v>
      </c>
      <c r="C185" s="312" t="s">
        <v>7174</v>
      </c>
      <c r="D185" s="312" t="s">
        <v>7175</v>
      </c>
      <c r="E185" s="312">
        <v>1</v>
      </c>
      <c r="F185" s="312">
        <v>1636799523064</v>
      </c>
      <c r="G185" s="312" t="s">
        <v>105</v>
      </c>
      <c r="H185" s="312" t="s">
        <v>105</v>
      </c>
      <c r="I185" s="312">
        <v>0</v>
      </c>
      <c r="J185" s="312">
        <v>0</v>
      </c>
      <c r="K185" s="312" t="s">
        <v>7176</v>
      </c>
      <c r="L185" s="312" t="s">
        <v>7177</v>
      </c>
    </row>
    <row r="186" spans="1:12">
      <c r="A186" s="312">
        <v>895</v>
      </c>
      <c r="B186" s="312" t="s">
        <v>7178</v>
      </c>
      <c r="C186" s="312" t="s">
        <v>7179</v>
      </c>
      <c r="D186" s="312" t="s">
        <v>7180</v>
      </c>
      <c r="E186" s="312">
        <v>1</v>
      </c>
      <c r="F186" s="312">
        <v>1636799515753</v>
      </c>
      <c r="G186" s="312" t="s">
        <v>105</v>
      </c>
      <c r="H186" s="312" t="s">
        <v>105</v>
      </c>
      <c r="I186" s="312">
        <v>9.3979999999999997</v>
      </c>
      <c r="J186" s="312">
        <v>17.425999999999998</v>
      </c>
      <c r="K186" s="312" t="s">
        <v>7181</v>
      </c>
      <c r="L186" s="312" t="s">
        <v>7182</v>
      </c>
    </row>
    <row r="187" spans="1:12">
      <c r="A187" s="312">
        <v>896</v>
      </c>
      <c r="B187" s="312" t="s">
        <v>7183</v>
      </c>
      <c r="C187" s="312" t="s">
        <v>7184</v>
      </c>
      <c r="D187" s="312" t="s">
        <v>7185</v>
      </c>
      <c r="E187" s="312">
        <v>1</v>
      </c>
      <c r="F187" s="312">
        <v>1636799513559</v>
      </c>
      <c r="G187" s="312" t="s">
        <v>105</v>
      </c>
      <c r="H187" s="312" t="s">
        <v>105</v>
      </c>
      <c r="I187" s="312">
        <v>0</v>
      </c>
      <c r="J187" s="312">
        <v>0</v>
      </c>
      <c r="K187" s="312" t="s">
        <v>7186</v>
      </c>
      <c r="L187" s="312" t="s">
        <v>7187</v>
      </c>
    </row>
    <row r="188" spans="1:12">
      <c r="A188" s="312">
        <v>897</v>
      </c>
      <c r="B188" s="312" t="s">
        <v>7188</v>
      </c>
      <c r="C188" s="312" t="s">
        <v>7189</v>
      </c>
      <c r="D188" s="312" t="s">
        <v>7190</v>
      </c>
      <c r="E188" s="312">
        <v>1</v>
      </c>
      <c r="F188" s="312">
        <v>1636799515737</v>
      </c>
      <c r="G188" s="312" t="s">
        <v>105</v>
      </c>
      <c r="H188" s="312" t="s">
        <v>105</v>
      </c>
      <c r="I188" s="312">
        <v>57.406999999999996</v>
      </c>
      <c r="J188" s="312">
        <v>21.655999999999999</v>
      </c>
      <c r="K188" s="312" t="s">
        <v>7191</v>
      </c>
      <c r="L188" s="312" t="s">
        <v>7192</v>
      </c>
    </row>
    <row r="189" spans="1:12">
      <c r="A189" s="312">
        <v>898</v>
      </c>
      <c r="B189" s="312" t="s">
        <v>7193</v>
      </c>
      <c r="C189" s="312" t="s">
        <v>7194</v>
      </c>
      <c r="D189" s="312" t="s">
        <v>7195</v>
      </c>
      <c r="E189" s="312">
        <v>1</v>
      </c>
      <c r="F189" s="312">
        <v>1636799516644</v>
      </c>
      <c r="G189" s="312" t="s">
        <v>105</v>
      </c>
      <c r="H189" s="312" t="s">
        <v>105</v>
      </c>
      <c r="I189" s="312">
        <v>0</v>
      </c>
      <c r="J189" s="312">
        <v>0</v>
      </c>
      <c r="K189" s="312" t="s">
        <v>7196</v>
      </c>
      <c r="L189" s="312" t="s">
        <v>7197</v>
      </c>
    </row>
    <row r="190" spans="1:12">
      <c r="A190" s="312">
        <v>899</v>
      </c>
      <c r="B190" s="312" t="s">
        <v>7198</v>
      </c>
      <c r="C190" s="312" t="s">
        <v>7199</v>
      </c>
      <c r="D190" s="312" t="s">
        <v>7200</v>
      </c>
      <c r="E190" s="312">
        <v>1</v>
      </c>
      <c r="F190" s="312">
        <v>1636799513172</v>
      </c>
      <c r="G190" s="312" t="s">
        <v>105</v>
      </c>
      <c r="H190" s="312" t="s">
        <v>105</v>
      </c>
      <c r="I190" s="312">
        <v>0</v>
      </c>
      <c r="J190" s="312">
        <v>0</v>
      </c>
      <c r="K190" s="312" t="s">
        <v>7201</v>
      </c>
      <c r="L190" s="312" t="s">
        <v>7202</v>
      </c>
    </row>
    <row r="191" spans="1:12">
      <c r="A191" s="312">
        <v>900</v>
      </c>
      <c r="B191" s="312" t="s">
        <v>7203</v>
      </c>
      <c r="C191" s="312" t="s">
        <v>7204</v>
      </c>
      <c r="D191" s="312" t="s">
        <v>7205</v>
      </c>
      <c r="E191" s="312">
        <v>1</v>
      </c>
      <c r="F191" s="312">
        <v>1636799517142</v>
      </c>
      <c r="G191" s="312" t="s">
        <v>105</v>
      </c>
      <c r="H191" s="312" t="s">
        <v>105</v>
      </c>
      <c r="I191" s="312">
        <v>0</v>
      </c>
      <c r="J191" s="312">
        <v>0</v>
      </c>
      <c r="K191" s="312" t="s">
        <v>7204</v>
      </c>
      <c r="L191" s="312" t="s">
        <v>7206</v>
      </c>
    </row>
    <row r="192" spans="1:12">
      <c r="A192" s="312">
        <v>901</v>
      </c>
      <c r="B192" s="312" t="s">
        <v>7207</v>
      </c>
      <c r="C192" s="312" t="s">
        <v>7208</v>
      </c>
      <c r="D192" s="312" t="s">
        <v>7209</v>
      </c>
      <c r="E192" s="312">
        <v>1</v>
      </c>
      <c r="F192" s="312">
        <v>1636799516846</v>
      </c>
      <c r="G192" s="312" t="s">
        <v>105</v>
      </c>
      <c r="H192" s="312" t="s">
        <v>105</v>
      </c>
      <c r="I192" s="312">
        <v>44.563000000000002</v>
      </c>
      <c r="J192" s="312">
        <v>40.533999999999999</v>
      </c>
      <c r="K192" s="312" t="s">
        <v>7210</v>
      </c>
      <c r="L192" s="312" t="s">
        <v>7211</v>
      </c>
    </row>
    <row r="193" spans="1:12">
      <c r="A193" s="312">
        <v>902</v>
      </c>
      <c r="B193" s="312" t="s">
        <v>7212</v>
      </c>
      <c r="C193" s="312" t="s">
        <v>7213</v>
      </c>
      <c r="D193" s="312" t="s">
        <v>7214</v>
      </c>
      <c r="E193" s="312">
        <v>1</v>
      </c>
      <c r="F193" s="312">
        <v>1636799512702</v>
      </c>
      <c r="G193" s="312" t="s">
        <v>105</v>
      </c>
      <c r="H193" s="312" t="s">
        <v>105</v>
      </c>
      <c r="I193" s="312">
        <v>0</v>
      </c>
      <c r="J193" s="312">
        <v>0</v>
      </c>
      <c r="K193" s="312" t="s">
        <v>7215</v>
      </c>
      <c r="L193" s="312" t="s">
        <v>7216</v>
      </c>
    </row>
    <row r="194" spans="1:12">
      <c r="A194" s="312">
        <v>903</v>
      </c>
      <c r="B194" s="312" t="s">
        <v>7217</v>
      </c>
      <c r="C194" s="312" t="s">
        <v>7218</v>
      </c>
      <c r="D194" s="312" t="s">
        <v>7219</v>
      </c>
      <c r="E194" s="312">
        <v>1</v>
      </c>
      <c r="F194" s="312">
        <v>1636799511004</v>
      </c>
      <c r="G194" s="312" t="s">
        <v>105</v>
      </c>
      <c r="H194" s="312" t="s">
        <v>105</v>
      </c>
      <c r="I194" s="312">
        <v>48.354999999999997</v>
      </c>
      <c r="J194" s="312">
        <v>15.807</v>
      </c>
      <c r="K194" s="312" t="s">
        <v>7220</v>
      </c>
      <c r="L194" s="312" t="s">
        <v>7221</v>
      </c>
    </row>
    <row r="195" spans="1:12">
      <c r="A195" s="312">
        <v>904</v>
      </c>
      <c r="B195" s="312" t="s">
        <v>7222</v>
      </c>
      <c r="C195" s="312" t="s">
        <v>7223</v>
      </c>
      <c r="D195" s="312" t="s">
        <v>7224</v>
      </c>
      <c r="E195" s="312">
        <v>1</v>
      </c>
      <c r="F195" s="312">
        <v>1636799516650</v>
      </c>
      <c r="G195" s="312" t="s">
        <v>105</v>
      </c>
      <c r="H195" s="312" t="s">
        <v>105</v>
      </c>
      <c r="I195" s="312">
        <v>0</v>
      </c>
      <c r="J195" s="312">
        <v>0</v>
      </c>
      <c r="K195" s="312" t="s">
        <v>7225</v>
      </c>
      <c r="L195" s="312" t="s">
        <v>7226</v>
      </c>
    </row>
    <row r="196" spans="1:12">
      <c r="A196" s="312">
        <v>905</v>
      </c>
      <c r="B196" s="312" t="s">
        <v>7227</v>
      </c>
      <c r="C196" s="312" t="s">
        <v>7228</v>
      </c>
      <c r="D196" s="312" t="s">
        <v>7229</v>
      </c>
      <c r="E196" s="312">
        <v>1</v>
      </c>
      <c r="F196" s="312">
        <v>1636799513389</v>
      </c>
      <c r="G196" s="312" t="s">
        <v>105</v>
      </c>
      <c r="H196" s="312" t="s">
        <v>105</v>
      </c>
      <c r="I196" s="312">
        <v>54.301000000000002</v>
      </c>
      <c r="J196" s="312">
        <v>32.564999999999998</v>
      </c>
      <c r="K196" s="312" t="s">
        <v>7230</v>
      </c>
      <c r="L196" s="312" t="s">
        <v>7231</v>
      </c>
    </row>
    <row r="197" spans="1:12">
      <c r="A197" s="312">
        <v>906</v>
      </c>
      <c r="B197" s="312" t="s">
        <v>7232</v>
      </c>
      <c r="C197" s="312" t="s">
        <v>7233</v>
      </c>
      <c r="D197" s="312" t="s">
        <v>7234</v>
      </c>
      <c r="E197" s="312">
        <v>1</v>
      </c>
      <c r="F197" s="312">
        <v>1636799515788</v>
      </c>
      <c r="G197" s="312" t="s">
        <v>105</v>
      </c>
      <c r="H197" s="312" t="s">
        <v>105</v>
      </c>
      <c r="I197" s="312">
        <v>44.585000000000001</v>
      </c>
      <c r="J197" s="312">
        <v>24.023</v>
      </c>
      <c r="K197" s="312" t="s">
        <v>7235</v>
      </c>
      <c r="L197" s="312" t="s">
        <v>7236</v>
      </c>
    </row>
    <row r="198" spans="1:12">
      <c r="A198" s="312">
        <v>907</v>
      </c>
      <c r="B198" s="312" t="s">
        <v>7237</v>
      </c>
      <c r="C198" s="312" t="s">
        <v>7238</v>
      </c>
      <c r="D198" s="312" t="s">
        <v>7239</v>
      </c>
      <c r="E198" s="312">
        <v>1</v>
      </c>
      <c r="F198" s="312">
        <v>1636799523814</v>
      </c>
      <c r="G198" s="312" t="s">
        <v>105</v>
      </c>
      <c r="H198" s="312" t="s">
        <v>105</v>
      </c>
      <c r="I198" s="312">
        <v>80.703999999999994</v>
      </c>
      <c r="J198" s="312">
        <v>7.6120000000000001</v>
      </c>
      <c r="K198" s="312" t="s">
        <v>7240</v>
      </c>
      <c r="L198" s="312" t="s">
        <v>7241</v>
      </c>
    </row>
    <row r="199" spans="1:12">
      <c r="A199" s="312">
        <v>908</v>
      </c>
      <c r="B199" s="312" t="s">
        <v>7242</v>
      </c>
      <c r="C199" s="312" t="s">
        <v>7243</v>
      </c>
      <c r="D199" s="312" t="s">
        <v>7244</v>
      </c>
      <c r="E199" s="312">
        <v>1</v>
      </c>
      <c r="F199" s="312">
        <v>1636799516831</v>
      </c>
      <c r="G199" s="312" t="s">
        <v>105</v>
      </c>
      <c r="H199" s="312" t="s">
        <v>105</v>
      </c>
      <c r="I199" s="312">
        <v>12.276999999999999</v>
      </c>
      <c r="J199" s="312">
        <v>5.133</v>
      </c>
      <c r="K199" s="312" t="s">
        <v>7245</v>
      </c>
      <c r="L199" s="312" t="s">
        <v>7246</v>
      </c>
    </row>
    <row r="200" spans="1:12">
      <c r="A200" s="312">
        <v>909</v>
      </c>
      <c r="B200" s="312" t="s">
        <v>7247</v>
      </c>
      <c r="C200" s="312" t="s">
        <v>7248</v>
      </c>
      <c r="D200" s="312" t="s">
        <v>7249</v>
      </c>
      <c r="E200" s="312">
        <v>1</v>
      </c>
      <c r="F200" s="312">
        <v>1636799513274</v>
      </c>
      <c r="G200" s="312" t="s">
        <v>105</v>
      </c>
      <c r="H200" s="312" t="s">
        <v>105</v>
      </c>
      <c r="I200" s="312">
        <v>28.047000000000001</v>
      </c>
      <c r="J200" s="312">
        <v>53.54</v>
      </c>
      <c r="K200" s="312" t="s">
        <v>7250</v>
      </c>
      <c r="L200" s="312" t="s">
        <v>7251</v>
      </c>
    </row>
    <row r="201" spans="1:12">
      <c r="A201" s="312">
        <v>910</v>
      </c>
      <c r="B201" s="312" t="s">
        <v>7252</v>
      </c>
      <c r="C201" s="312" t="s">
        <v>7253</v>
      </c>
      <c r="D201" s="312" t="s">
        <v>7254</v>
      </c>
      <c r="E201" s="312">
        <v>1</v>
      </c>
      <c r="F201" s="312">
        <v>1636799513224</v>
      </c>
      <c r="G201" s="312" t="s">
        <v>105</v>
      </c>
      <c r="H201" s="312" t="s">
        <v>105</v>
      </c>
      <c r="I201" s="312">
        <v>0</v>
      </c>
      <c r="J201" s="312">
        <v>0</v>
      </c>
      <c r="K201" s="312" t="s">
        <v>7255</v>
      </c>
      <c r="L201" s="312" t="s">
        <v>7256</v>
      </c>
    </row>
    <row r="202" spans="1:12">
      <c r="A202" s="312">
        <v>911</v>
      </c>
      <c r="B202" s="312" t="s">
        <v>7257</v>
      </c>
      <c r="C202" s="312" t="s">
        <v>7258</v>
      </c>
      <c r="D202" s="312" t="s">
        <v>7259</v>
      </c>
      <c r="E202" s="312">
        <v>1</v>
      </c>
      <c r="F202" s="312">
        <v>1636799514441</v>
      </c>
      <c r="G202" s="312" t="s">
        <v>105</v>
      </c>
      <c r="H202" s="312" t="s">
        <v>105</v>
      </c>
      <c r="I202" s="312">
        <v>0</v>
      </c>
      <c r="J202" s="312">
        <v>0</v>
      </c>
      <c r="K202" s="312" t="s">
        <v>7260</v>
      </c>
      <c r="L202" s="312" t="s">
        <v>7261</v>
      </c>
    </row>
    <row r="203" spans="1:12">
      <c r="A203" s="312">
        <v>912</v>
      </c>
      <c r="B203" s="312" t="s">
        <v>7262</v>
      </c>
      <c r="C203" s="312" t="s">
        <v>7263</v>
      </c>
      <c r="D203" s="312" t="s">
        <v>7264</v>
      </c>
      <c r="E203" s="312">
        <v>1</v>
      </c>
      <c r="F203" s="312">
        <v>1636799513785</v>
      </c>
      <c r="G203" s="312" t="s">
        <v>105</v>
      </c>
      <c r="H203" s="312" t="s">
        <v>105</v>
      </c>
      <c r="I203" s="312">
        <v>67.301000000000002</v>
      </c>
      <c r="J203" s="312">
        <v>48.16</v>
      </c>
      <c r="K203" s="312" t="s">
        <v>7265</v>
      </c>
      <c r="L203" s="312" t="s">
        <v>7266</v>
      </c>
    </row>
    <row r="204" spans="1:12">
      <c r="A204" s="312">
        <v>913</v>
      </c>
      <c r="B204" s="312" t="s">
        <v>7267</v>
      </c>
      <c r="C204" s="312" t="s">
        <v>7268</v>
      </c>
      <c r="D204" s="312" t="s">
        <v>7269</v>
      </c>
      <c r="E204" s="312">
        <v>1</v>
      </c>
      <c r="F204" s="312">
        <v>1636799513660</v>
      </c>
      <c r="G204" s="312" t="s">
        <v>105</v>
      </c>
      <c r="H204" s="312" t="s">
        <v>105</v>
      </c>
      <c r="I204" s="312">
        <v>0</v>
      </c>
      <c r="J204" s="312">
        <v>0</v>
      </c>
      <c r="K204" s="312" t="s">
        <v>7270</v>
      </c>
      <c r="L204" s="312" t="s">
        <v>7271</v>
      </c>
    </row>
    <row r="205" spans="1:12">
      <c r="A205" s="312">
        <v>914</v>
      </c>
      <c r="B205" s="312" t="s">
        <v>7272</v>
      </c>
      <c r="C205" s="312" t="s">
        <v>7273</v>
      </c>
      <c r="D205" s="312" t="s">
        <v>7274</v>
      </c>
      <c r="E205" s="312">
        <v>1</v>
      </c>
      <c r="F205" s="312">
        <v>1636799520106</v>
      </c>
      <c r="G205" s="312" t="s">
        <v>105</v>
      </c>
      <c r="H205" s="312" t="s">
        <v>105</v>
      </c>
      <c r="I205" s="312">
        <v>136.40672124400001</v>
      </c>
      <c r="J205" s="312">
        <v>-25.282886914599999</v>
      </c>
      <c r="K205" s="312" t="s">
        <v>7275</v>
      </c>
      <c r="L205" s="312" t="s">
        <v>7276</v>
      </c>
    </row>
    <row r="206" spans="1:12">
      <c r="A206" s="312">
        <v>915</v>
      </c>
      <c r="B206" s="312" t="s">
        <v>7277</v>
      </c>
      <c r="C206" s="312" t="s">
        <v>7278</v>
      </c>
      <c r="D206" s="312" t="s">
        <v>7279</v>
      </c>
      <c r="E206" s="312">
        <v>1</v>
      </c>
      <c r="F206" s="312">
        <v>1636799514415</v>
      </c>
      <c r="G206" s="312" t="s">
        <v>105</v>
      </c>
      <c r="H206" s="312" t="s">
        <v>105</v>
      </c>
      <c r="I206" s="312">
        <v>-80.92</v>
      </c>
      <c r="J206" s="312">
        <v>8.3840000000000003</v>
      </c>
      <c r="K206" s="312" t="s">
        <v>7280</v>
      </c>
      <c r="L206" s="312" t="s">
        <v>7281</v>
      </c>
    </row>
    <row r="207" spans="1:12">
      <c r="A207" s="312">
        <v>916</v>
      </c>
      <c r="B207" s="312" t="s">
        <v>7282</v>
      </c>
      <c r="C207" s="312" t="s">
        <v>7283</v>
      </c>
      <c r="D207" s="312" t="s">
        <v>7284</v>
      </c>
      <c r="E207" s="312">
        <v>1</v>
      </c>
      <c r="F207" s="312">
        <v>1636799523809</v>
      </c>
      <c r="G207" s="312" t="s">
        <v>105</v>
      </c>
      <c r="H207" s="312" t="s">
        <v>105</v>
      </c>
      <c r="I207" s="312">
        <v>35.887999999999998</v>
      </c>
      <c r="J207" s="312">
        <v>33.92</v>
      </c>
      <c r="K207" s="312" t="s">
        <v>7285</v>
      </c>
      <c r="L207" s="312" t="s">
        <v>7286</v>
      </c>
    </row>
    <row r="208" spans="1:12">
      <c r="A208" s="312">
        <v>917</v>
      </c>
      <c r="B208" s="312" t="s">
        <v>7287</v>
      </c>
      <c r="C208" s="312" t="s">
        <v>7288</v>
      </c>
      <c r="D208" s="312" t="s">
        <v>7289</v>
      </c>
      <c r="E208" s="312">
        <v>1</v>
      </c>
      <c r="F208" s="312">
        <v>1636799515763</v>
      </c>
      <c r="G208" s="312" t="s">
        <v>105</v>
      </c>
      <c r="H208" s="312" t="s">
        <v>105</v>
      </c>
      <c r="I208" s="312">
        <v>83.938999999999993</v>
      </c>
      <c r="J208" s="312">
        <v>28.253</v>
      </c>
      <c r="K208" s="312" t="s">
        <v>7290</v>
      </c>
      <c r="L208" s="312" t="s">
        <v>7291</v>
      </c>
    </row>
    <row r="209" spans="1:12">
      <c r="A209" s="312">
        <v>918</v>
      </c>
      <c r="B209" s="312" t="s">
        <v>7292</v>
      </c>
      <c r="C209" s="312" t="s">
        <v>7293</v>
      </c>
      <c r="D209" s="312" t="s">
        <v>7294</v>
      </c>
      <c r="E209" s="312">
        <v>1</v>
      </c>
      <c r="F209" s="312">
        <v>1636799518877</v>
      </c>
      <c r="G209" s="312" t="s">
        <v>105</v>
      </c>
      <c r="H209" s="312" t="s">
        <v>105</v>
      </c>
      <c r="I209" s="312">
        <v>-70.728999999999999</v>
      </c>
      <c r="J209" s="312">
        <v>19.015000000000001</v>
      </c>
      <c r="K209" s="312" t="s">
        <v>7295</v>
      </c>
      <c r="L209" s="312" t="s">
        <v>7296</v>
      </c>
    </row>
    <row r="210" spans="1:12">
      <c r="A210" s="312">
        <v>919</v>
      </c>
      <c r="B210" s="312" t="s">
        <v>7297</v>
      </c>
      <c r="C210" s="312" t="s">
        <v>7298</v>
      </c>
      <c r="D210" s="312" t="s">
        <v>7299</v>
      </c>
      <c r="E210" s="312">
        <v>1</v>
      </c>
      <c r="F210" s="312">
        <v>1636799513128</v>
      </c>
      <c r="G210" s="312" t="s">
        <v>105</v>
      </c>
      <c r="H210" s="312" t="s">
        <v>105</v>
      </c>
      <c r="I210" s="312">
        <v>0</v>
      </c>
      <c r="J210" s="312">
        <v>0</v>
      </c>
      <c r="K210" s="312" t="s">
        <v>7300</v>
      </c>
      <c r="L210" s="312" t="s">
        <v>7301</v>
      </c>
    </row>
    <row r="211" spans="1:12">
      <c r="A211" s="312">
        <v>920</v>
      </c>
      <c r="B211" s="312" t="s">
        <v>7302</v>
      </c>
      <c r="C211" s="312" t="s">
        <v>7303</v>
      </c>
      <c r="D211" s="312" t="s">
        <v>7304</v>
      </c>
      <c r="E211" s="312">
        <v>1</v>
      </c>
      <c r="F211" s="312">
        <v>1636799516649</v>
      </c>
      <c r="G211" s="312" t="s">
        <v>105</v>
      </c>
      <c r="H211" s="312" t="s">
        <v>105</v>
      </c>
      <c r="I211" s="312">
        <v>0</v>
      </c>
      <c r="J211" s="312">
        <v>0</v>
      </c>
      <c r="K211" s="312" t="s">
        <v>7305</v>
      </c>
      <c r="L211" s="312" t="s">
        <v>7306</v>
      </c>
    </row>
    <row r="212" spans="1:12">
      <c r="A212" s="312">
        <v>921</v>
      </c>
      <c r="B212" s="312" t="s">
        <v>7307</v>
      </c>
      <c r="C212" s="312" t="s">
        <v>7308</v>
      </c>
      <c r="D212" s="312" t="s">
        <v>7309</v>
      </c>
      <c r="E212" s="312">
        <v>1</v>
      </c>
      <c r="F212" s="312">
        <v>1636799516563</v>
      </c>
      <c r="G212" s="312" t="s">
        <v>105</v>
      </c>
      <c r="H212" s="312" t="s">
        <v>105</v>
      </c>
      <c r="I212" s="312">
        <v>0</v>
      </c>
      <c r="J212" s="312">
        <v>0</v>
      </c>
      <c r="K212" s="312" t="s">
        <v>7310</v>
      </c>
      <c r="L212" s="312" t="s">
        <v>7311</v>
      </c>
    </row>
    <row r="213" spans="1:12">
      <c r="A213" s="312">
        <v>922</v>
      </c>
      <c r="B213" s="312" t="s">
        <v>7312</v>
      </c>
      <c r="C213" s="312" t="s">
        <v>7313</v>
      </c>
      <c r="D213" s="312" t="s">
        <v>7314</v>
      </c>
      <c r="E213" s="312">
        <v>1</v>
      </c>
      <c r="F213" s="312">
        <v>1636799516523</v>
      </c>
      <c r="G213" s="312" t="s">
        <v>105</v>
      </c>
      <c r="H213" s="312" t="s">
        <v>105</v>
      </c>
      <c r="I213" s="312">
        <v>0</v>
      </c>
      <c r="J213" s="312">
        <v>0</v>
      </c>
      <c r="K213" s="312" t="s">
        <v>7315</v>
      </c>
      <c r="L213" s="312" t="s">
        <v>7316</v>
      </c>
    </row>
    <row r="214" spans="1:12">
      <c r="A214" s="312">
        <v>923</v>
      </c>
      <c r="B214" s="312" t="s">
        <v>7317</v>
      </c>
      <c r="C214" s="312" t="s">
        <v>7318</v>
      </c>
      <c r="D214" s="312" t="s">
        <v>7319</v>
      </c>
      <c r="E214" s="312">
        <v>1</v>
      </c>
      <c r="F214" s="312">
        <v>1636799516694</v>
      </c>
      <c r="G214" s="312" t="s">
        <v>105</v>
      </c>
      <c r="H214" s="312" t="s">
        <v>105</v>
      </c>
      <c r="I214" s="312">
        <v>0</v>
      </c>
      <c r="J214" s="312">
        <v>0</v>
      </c>
      <c r="K214" s="312" t="s">
        <v>7320</v>
      </c>
      <c r="L214" s="312" t="s">
        <v>7321</v>
      </c>
    </row>
    <row r="215" spans="1:12">
      <c r="A215" s="312">
        <v>924</v>
      </c>
      <c r="B215" s="312" t="s">
        <v>7322</v>
      </c>
      <c r="C215" s="312" t="s">
        <v>7323</v>
      </c>
      <c r="D215" s="312" t="s">
        <v>7324</v>
      </c>
      <c r="E215" s="312">
        <v>1</v>
      </c>
      <c r="F215" s="312">
        <v>1636799523113</v>
      </c>
      <c r="G215" s="312" t="s">
        <v>105</v>
      </c>
      <c r="H215" s="312" t="s">
        <v>105</v>
      </c>
      <c r="I215" s="312">
        <v>0</v>
      </c>
      <c r="J215" s="312">
        <v>0</v>
      </c>
      <c r="K215" s="312" t="s">
        <v>7325</v>
      </c>
      <c r="L215" s="312" t="s">
        <v>7326</v>
      </c>
    </row>
    <row r="216" spans="1:12">
      <c r="A216" s="312">
        <v>925</v>
      </c>
      <c r="B216" s="312" t="s">
        <v>7327</v>
      </c>
      <c r="C216" s="312" t="s">
        <v>7328</v>
      </c>
      <c r="D216" s="312" t="s">
        <v>7329</v>
      </c>
      <c r="E216" s="312">
        <v>1</v>
      </c>
      <c r="F216" s="312">
        <v>1636799523727</v>
      </c>
      <c r="G216" s="312" t="s">
        <v>105</v>
      </c>
      <c r="H216" s="312" t="s">
        <v>105</v>
      </c>
      <c r="I216" s="312">
        <v>34.850999999999999</v>
      </c>
      <c r="J216" s="312">
        <v>31.026</v>
      </c>
      <c r="K216" s="312" t="s">
        <v>7330</v>
      </c>
      <c r="L216" s="312" t="s">
        <v>7331</v>
      </c>
    </row>
    <row r="217" spans="1:12">
      <c r="A217" s="312">
        <v>926</v>
      </c>
      <c r="B217" s="312" t="s">
        <v>7332</v>
      </c>
      <c r="C217" s="312" t="s">
        <v>7333</v>
      </c>
      <c r="D217" s="312" t="s">
        <v>7334</v>
      </c>
      <c r="E217" s="312">
        <v>1</v>
      </c>
      <c r="F217" s="312">
        <v>1636799514258</v>
      </c>
      <c r="G217" s="312" t="s">
        <v>105</v>
      </c>
      <c r="H217" s="312" t="s">
        <v>105</v>
      </c>
      <c r="I217" s="312">
        <v>0</v>
      </c>
      <c r="J217" s="312">
        <v>0</v>
      </c>
      <c r="K217" s="312" t="s">
        <v>7333</v>
      </c>
      <c r="L217" s="312" t="s">
        <v>7335</v>
      </c>
    </row>
    <row r="218" spans="1:12">
      <c r="A218" s="312">
        <v>927</v>
      </c>
      <c r="B218" s="312" t="s">
        <v>7336</v>
      </c>
      <c r="C218" s="312" t="s">
        <v>7337</v>
      </c>
      <c r="D218" s="312" t="s">
        <v>7338</v>
      </c>
      <c r="E218" s="312">
        <v>1</v>
      </c>
      <c r="F218" s="312">
        <v>1636799510381</v>
      </c>
      <c r="G218" s="312" t="s">
        <v>105</v>
      </c>
      <c r="H218" s="312" t="s">
        <v>105</v>
      </c>
      <c r="I218" s="312">
        <v>-14.881</v>
      </c>
      <c r="J218" s="312">
        <v>15.013</v>
      </c>
      <c r="K218" s="312" t="s">
        <v>7339</v>
      </c>
      <c r="L218" s="312" t="s">
        <v>7340</v>
      </c>
    </row>
    <row r="219" spans="1:12">
      <c r="A219" s="312">
        <v>928</v>
      </c>
      <c r="B219" s="312" t="s">
        <v>7341</v>
      </c>
      <c r="C219" s="312" t="s">
        <v>7342</v>
      </c>
      <c r="D219" s="312" t="s">
        <v>7343</v>
      </c>
      <c r="E219" s="312">
        <v>1</v>
      </c>
      <c r="F219" s="312">
        <v>1636799513240</v>
      </c>
      <c r="G219" s="312" t="s">
        <v>105</v>
      </c>
      <c r="H219" s="312" t="s">
        <v>105</v>
      </c>
      <c r="I219" s="312">
        <v>0</v>
      </c>
      <c r="J219" s="312">
        <v>0</v>
      </c>
      <c r="K219" s="312" t="s">
        <v>7344</v>
      </c>
      <c r="L219" s="312" t="s">
        <v>7345</v>
      </c>
    </row>
    <row r="220" spans="1:12">
      <c r="A220" s="312">
        <v>929</v>
      </c>
      <c r="B220" s="312" t="s">
        <v>7346</v>
      </c>
      <c r="C220" s="312" t="s">
        <v>7347</v>
      </c>
      <c r="D220" s="312" t="s">
        <v>7348</v>
      </c>
      <c r="E220" s="312">
        <v>1</v>
      </c>
      <c r="F220" s="312">
        <v>1636799513796</v>
      </c>
      <c r="G220" s="312" t="s">
        <v>105</v>
      </c>
      <c r="H220" s="312" t="s">
        <v>105</v>
      </c>
      <c r="I220" s="312">
        <v>11.797000000000001</v>
      </c>
      <c r="J220" s="312">
        <v>-0.59099999999999997</v>
      </c>
      <c r="K220" s="312" t="s">
        <v>7349</v>
      </c>
      <c r="L220" s="312" t="s">
        <v>7350</v>
      </c>
    </row>
    <row r="221" spans="1:12">
      <c r="A221" s="312">
        <v>930</v>
      </c>
      <c r="B221" s="312" t="s">
        <v>7351</v>
      </c>
      <c r="C221" s="312" t="s">
        <v>7352</v>
      </c>
      <c r="D221" s="312" t="s">
        <v>7353</v>
      </c>
      <c r="E221" s="312">
        <v>1</v>
      </c>
      <c r="F221" s="312">
        <v>1636799515711</v>
      </c>
      <c r="G221" s="312" t="s">
        <v>105</v>
      </c>
      <c r="H221" s="312" t="s">
        <v>105</v>
      </c>
      <c r="I221" s="312">
        <v>18.883737374799999</v>
      </c>
      <c r="J221" s="312">
        <v>63.764116301500003</v>
      </c>
      <c r="K221" s="312" t="s">
        <v>7354</v>
      </c>
      <c r="L221" s="312" t="s">
        <v>7355</v>
      </c>
    </row>
    <row r="222" spans="1:12">
      <c r="A222" s="312">
        <v>931</v>
      </c>
      <c r="B222" s="312" t="s">
        <v>7356</v>
      </c>
      <c r="C222" s="312" t="s">
        <v>7357</v>
      </c>
      <c r="D222" s="312" t="s">
        <v>7358</v>
      </c>
      <c r="E222" s="312">
        <v>1</v>
      </c>
      <c r="F222" s="312">
        <v>1636799510999</v>
      </c>
      <c r="G222" s="312" t="s">
        <v>105</v>
      </c>
      <c r="H222" s="312" t="s">
        <v>105</v>
      </c>
      <c r="I222" s="312">
        <v>105.31399999999999</v>
      </c>
      <c r="J222" s="312">
        <v>21.491</v>
      </c>
      <c r="K222" s="312" t="s">
        <v>7359</v>
      </c>
      <c r="L222" s="312" t="s">
        <v>7360</v>
      </c>
    </row>
    <row r="223" spans="1:12">
      <c r="A223" s="312">
        <v>932</v>
      </c>
      <c r="B223" s="312" t="s">
        <v>7361</v>
      </c>
      <c r="C223" s="312" t="s">
        <v>7362</v>
      </c>
      <c r="D223" s="312" t="s">
        <v>7363</v>
      </c>
      <c r="E223" s="312">
        <v>1</v>
      </c>
      <c r="F223" s="312">
        <v>1636799512968</v>
      </c>
      <c r="G223" s="312" t="s">
        <v>105</v>
      </c>
      <c r="H223" s="312" t="s">
        <v>105</v>
      </c>
      <c r="I223" s="312">
        <v>0</v>
      </c>
      <c r="J223" s="312">
        <v>0</v>
      </c>
      <c r="K223" s="312" t="s">
        <v>7364</v>
      </c>
      <c r="L223" s="312" t="s">
        <v>7365</v>
      </c>
    </row>
    <row r="224" spans="1:12">
      <c r="A224" s="312">
        <v>933</v>
      </c>
      <c r="B224" s="312" t="s">
        <v>7366</v>
      </c>
      <c r="C224" s="312" t="s">
        <v>7367</v>
      </c>
      <c r="D224" s="312" t="s">
        <v>7368</v>
      </c>
      <c r="E224" s="312">
        <v>1</v>
      </c>
      <c r="F224" s="312">
        <v>1636799524367</v>
      </c>
      <c r="G224" s="312" t="s">
        <v>105</v>
      </c>
      <c r="H224" s="312" t="s">
        <v>105</v>
      </c>
      <c r="I224" s="312">
        <v>0</v>
      </c>
      <c r="J224" s="312">
        <v>0</v>
      </c>
      <c r="K224" s="312" t="s">
        <v>7369</v>
      </c>
      <c r="L224" s="312" t="s">
        <v>7370</v>
      </c>
    </row>
    <row r="225" spans="1:12">
      <c r="A225" s="312">
        <v>934</v>
      </c>
      <c r="B225" s="312" t="s">
        <v>7371</v>
      </c>
      <c r="C225" s="312" t="s">
        <v>7372</v>
      </c>
      <c r="D225" s="312" t="s">
        <v>7373</v>
      </c>
      <c r="E225" s="312">
        <v>1</v>
      </c>
      <c r="F225" s="312">
        <v>1636799517939</v>
      </c>
      <c r="G225" s="312" t="s">
        <v>105</v>
      </c>
      <c r="H225" s="312" t="s">
        <v>105</v>
      </c>
      <c r="I225" s="312">
        <v>10.804950138400001</v>
      </c>
      <c r="J225" s="312">
        <v>46.0922152861</v>
      </c>
      <c r="K225" s="312" t="s">
        <v>7374</v>
      </c>
      <c r="L225" s="312" t="s">
        <v>7375</v>
      </c>
    </row>
    <row r="226" spans="1:12">
      <c r="A226" s="312">
        <v>935</v>
      </c>
      <c r="B226" s="312" t="s">
        <v>7376</v>
      </c>
      <c r="C226" s="312" t="s">
        <v>7377</v>
      </c>
      <c r="D226" s="312" t="s">
        <v>7378</v>
      </c>
      <c r="E226" s="312">
        <v>1</v>
      </c>
      <c r="F226" s="312">
        <v>1636799514405</v>
      </c>
      <c r="G226" s="312" t="s">
        <v>105</v>
      </c>
      <c r="H226" s="312" t="s">
        <v>105</v>
      </c>
      <c r="I226" s="312">
        <v>-86.863</v>
      </c>
      <c r="J226" s="312">
        <v>14.819000000000001</v>
      </c>
      <c r="K226" s="312" t="s">
        <v>7379</v>
      </c>
      <c r="L226" s="312" t="s">
        <v>7380</v>
      </c>
    </row>
    <row r="227" spans="1:12">
      <c r="A227" s="312">
        <v>936</v>
      </c>
      <c r="B227" s="312" t="s">
        <v>7381</v>
      </c>
      <c r="C227" s="312" t="s">
        <v>7382</v>
      </c>
      <c r="D227" s="312" t="s">
        <v>7383</v>
      </c>
      <c r="E227" s="312">
        <v>1</v>
      </c>
      <c r="F227" s="312">
        <v>1636799524308</v>
      </c>
      <c r="G227" s="312" t="s">
        <v>105</v>
      </c>
      <c r="H227" s="312" t="s">
        <v>105</v>
      </c>
      <c r="I227" s="312">
        <v>0</v>
      </c>
      <c r="J227" s="312">
        <v>0</v>
      </c>
      <c r="K227" s="312" t="s">
        <v>7384</v>
      </c>
      <c r="L227" s="312" t="s">
        <v>7385</v>
      </c>
    </row>
    <row r="228" spans="1:12">
      <c r="A228" s="312">
        <v>937</v>
      </c>
      <c r="B228" s="312" t="s">
        <v>7386</v>
      </c>
      <c r="C228" s="312" t="s">
        <v>7387</v>
      </c>
      <c r="D228" s="312" t="s">
        <v>7388</v>
      </c>
      <c r="E228" s="312">
        <v>1</v>
      </c>
      <c r="F228" s="312">
        <v>1636799523885</v>
      </c>
      <c r="G228" s="312" t="s">
        <v>105</v>
      </c>
      <c r="H228" s="312" t="s">
        <v>105</v>
      </c>
      <c r="I228" s="312">
        <v>102.876</v>
      </c>
      <c r="J228" s="312">
        <v>46.055999999999997</v>
      </c>
      <c r="K228" s="312" t="s">
        <v>7389</v>
      </c>
      <c r="L228" s="312" t="s">
        <v>7390</v>
      </c>
    </row>
    <row r="229" spans="1:12">
      <c r="A229" s="312">
        <v>938</v>
      </c>
      <c r="B229" s="312" t="s">
        <v>7391</v>
      </c>
      <c r="C229" s="312" t="s">
        <v>7392</v>
      </c>
      <c r="D229" s="312" t="s">
        <v>7393</v>
      </c>
      <c r="E229" s="312">
        <v>1</v>
      </c>
      <c r="F229" s="312">
        <v>1636799513267</v>
      </c>
      <c r="G229" s="312" t="s">
        <v>105</v>
      </c>
      <c r="H229" s="312" t="s">
        <v>105</v>
      </c>
      <c r="I229" s="312">
        <v>2.4689999999999999</v>
      </c>
      <c r="J229" s="312">
        <v>10.541</v>
      </c>
      <c r="K229" s="312" t="s">
        <v>7394</v>
      </c>
      <c r="L229" s="312" t="s">
        <v>7395</v>
      </c>
    </row>
    <row r="230" spans="1:12">
      <c r="A230" s="312">
        <v>939</v>
      </c>
      <c r="B230" s="312" t="s">
        <v>7396</v>
      </c>
      <c r="C230" s="312" t="s">
        <v>7397</v>
      </c>
      <c r="D230" s="312" t="s">
        <v>7398</v>
      </c>
      <c r="E230" s="312">
        <v>1</v>
      </c>
      <c r="F230" s="312">
        <v>1636799516530</v>
      </c>
      <c r="G230" s="312" t="s">
        <v>105</v>
      </c>
      <c r="H230" s="312" t="s">
        <v>105</v>
      </c>
      <c r="I230" s="312">
        <v>0</v>
      </c>
      <c r="J230" s="312">
        <v>0</v>
      </c>
      <c r="K230" s="312" t="s">
        <v>7399</v>
      </c>
      <c r="L230" s="312" t="s">
        <v>7400</v>
      </c>
    </row>
    <row r="231" spans="1:12">
      <c r="A231" s="312">
        <v>940</v>
      </c>
      <c r="B231" s="312" t="s">
        <v>7401</v>
      </c>
      <c r="C231" s="312" t="s">
        <v>7402</v>
      </c>
      <c r="D231" s="312" t="s">
        <v>7403</v>
      </c>
      <c r="E231" s="312">
        <v>1</v>
      </c>
      <c r="F231" s="312">
        <v>1636799524076</v>
      </c>
      <c r="G231" s="312" t="s">
        <v>105</v>
      </c>
      <c r="H231" s="312" t="s">
        <v>105</v>
      </c>
      <c r="I231" s="312">
        <v>29.917000000000002</v>
      </c>
      <c r="J231" s="312">
        <v>-1.998</v>
      </c>
      <c r="K231" s="312" t="s">
        <v>7404</v>
      </c>
      <c r="L231" s="312" t="s">
        <v>7405</v>
      </c>
    </row>
    <row r="232" spans="1:12">
      <c r="A232" s="312">
        <v>941</v>
      </c>
      <c r="B232" s="312" t="s">
        <v>7406</v>
      </c>
      <c r="C232" s="312" t="s">
        <v>7407</v>
      </c>
      <c r="D232" s="312" t="s">
        <v>7408</v>
      </c>
      <c r="E232" s="312">
        <v>1</v>
      </c>
      <c r="F232" s="312">
        <v>1636799513823</v>
      </c>
      <c r="G232" s="312" t="s">
        <v>105</v>
      </c>
      <c r="H232" s="312" t="s">
        <v>105</v>
      </c>
      <c r="I232" s="312">
        <v>17.218</v>
      </c>
      <c r="J232" s="312">
        <v>-22.132999999999999</v>
      </c>
      <c r="K232" s="312" t="s">
        <v>7409</v>
      </c>
      <c r="L232" s="312" t="s">
        <v>7410</v>
      </c>
    </row>
    <row r="233" spans="1:12">
      <c r="A233" s="312">
        <v>942</v>
      </c>
      <c r="B233" s="312" t="s">
        <v>7411</v>
      </c>
      <c r="C233" s="312" t="s">
        <v>7412</v>
      </c>
      <c r="D233" s="312" t="s">
        <v>7413</v>
      </c>
      <c r="E233" s="312">
        <v>1</v>
      </c>
      <c r="F233" s="312">
        <v>1636799518882</v>
      </c>
      <c r="G233" s="312" t="s">
        <v>105</v>
      </c>
      <c r="H233" s="312" t="s">
        <v>105</v>
      </c>
      <c r="I233" s="312">
        <v>2.6320000000000001</v>
      </c>
      <c r="J233" s="312">
        <v>28.163</v>
      </c>
      <c r="K233" s="312" t="s">
        <v>7414</v>
      </c>
      <c r="L233" s="312" t="s">
        <v>7415</v>
      </c>
    </row>
    <row r="234" spans="1:12">
      <c r="A234" s="312">
        <v>943</v>
      </c>
      <c r="B234" s="312" t="s">
        <v>7416</v>
      </c>
      <c r="C234" s="312" t="s">
        <v>7417</v>
      </c>
      <c r="D234" s="312" t="s">
        <v>7418</v>
      </c>
      <c r="E234" s="312">
        <v>1</v>
      </c>
      <c r="F234" s="312">
        <v>1636799513065</v>
      </c>
      <c r="G234" s="312" t="s">
        <v>105</v>
      </c>
      <c r="H234" s="312" t="s">
        <v>105</v>
      </c>
      <c r="I234" s="312">
        <v>69.42</v>
      </c>
      <c r="J234" s="312">
        <v>38.664999999999999</v>
      </c>
      <c r="K234" s="312" t="s">
        <v>7419</v>
      </c>
      <c r="L234" s="312" t="s">
        <v>7420</v>
      </c>
    </row>
    <row r="235" spans="1:12">
      <c r="A235" s="312">
        <v>944</v>
      </c>
      <c r="B235" s="312" t="s">
        <v>7421</v>
      </c>
      <c r="C235" s="312" t="s">
        <v>7422</v>
      </c>
      <c r="D235" s="312" t="s">
        <v>7423</v>
      </c>
      <c r="E235" s="312">
        <v>1</v>
      </c>
      <c r="F235" s="312">
        <v>1636799516976</v>
      </c>
      <c r="G235" s="312" t="s">
        <v>105</v>
      </c>
      <c r="H235" s="312" t="s">
        <v>105</v>
      </c>
      <c r="I235" s="312">
        <v>0</v>
      </c>
      <c r="J235" s="312">
        <v>0</v>
      </c>
      <c r="K235" s="312" t="s">
        <v>7424</v>
      </c>
      <c r="L235" s="312" t="s">
        <v>7425</v>
      </c>
    </row>
    <row r="236" spans="1:12">
      <c r="A236" s="312">
        <v>965</v>
      </c>
      <c r="B236" s="312" t="s">
        <v>7426</v>
      </c>
      <c r="C236" s="312" t="s">
        <v>7427</v>
      </c>
      <c r="D236" s="312" t="s">
        <v>7428</v>
      </c>
      <c r="E236" s="312">
        <v>1</v>
      </c>
      <c r="F236" s="312">
        <v>1636799516809</v>
      </c>
      <c r="G236" s="312" t="s">
        <v>105</v>
      </c>
      <c r="H236" s="312" t="s">
        <v>105</v>
      </c>
      <c r="I236" s="312">
        <v>0</v>
      </c>
      <c r="J236" s="312">
        <v>0</v>
      </c>
      <c r="K236" s="312" t="s">
        <v>7429</v>
      </c>
      <c r="L236" s="312" t="s">
        <v>7430</v>
      </c>
    </row>
    <row r="237" spans="1:12">
      <c r="A237" s="312">
        <v>1101</v>
      </c>
      <c r="B237" s="312" t="s">
        <v>7431</v>
      </c>
      <c r="C237" s="312" t="s">
        <v>7432</v>
      </c>
      <c r="D237" s="312" t="s">
        <v>105</v>
      </c>
      <c r="E237" s="312">
        <v>0</v>
      </c>
      <c r="F237" s="312">
        <v>1636799516860</v>
      </c>
      <c r="G237" s="312" t="s">
        <v>105</v>
      </c>
      <c r="H237" s="312" t="s">
        <v>105</v>
      </c>
      <c r="I237" s="312">
        <v>45.142172275703402</v>
      </c>
      <c r="J237" s="312">
        <v>-12.8174007569617</v>
      </c>
      <c r="K237" s="312" t="s">
        <v>7433</v>
      </c>
      <c r="L237" s="312" t="s">
        <v>7434</v>
      </c>
    </row>
    <row r="238" spans="1:12">
      <c r="A238" s="312">
        <v>1177</v>
      </c>
      <c r="B238" s="312" t="s">
        <v>7435</v>
      </c>
      <c r="C238" s="312" t="s">
        <v>7436</v>
      </c>
      <c r="D238" s="312" t="s">
        <v>105</v>
      </c>
      <c r="E238" s="312">
        <v>0</v>
      </c>
      <c r="F238" s="312">
        <v>1636799523164</v>
      </c>
      <c r="G238" s="312" t="s">
        <v>105</v>
      </c>
      <c r="H238" s="312" t="s">
        <v>105</v>
      </c>
      <c r="I238" s="312">
        <v>-61.529380684645403</v>
      </c>
      <c r="J238" s="312">
        <v>16.208271878577101</v>
      </c>
      <c r="K238" s="312" t="s">
        <v>7437</v>
      </c>
      <c r="L238" s="312" t="s">
        <v>7438</v>
      </c>
    </row>
    <row r="239" spans="1:12">
      <c r="A239" s="312">
        <v>1178</v>
      </c>
      <c r="B239" s="312" t="s">
        <v>7439</v>
      </c>
      <c r="C239" s="312" t="s">
        <v>7440</v>
      </c>
      <c r="D239" s="312" t="s">
        <v>105</v>
      </c>
      <c r="E239" s="312">
        <v>0</v>
      </c>
      <c r="F239" s="312">
        <v>1636799523181</v>
      </c>
      <c r="G239" s="312" t="s">
        <v>105</v>
      </c>
      <c r="H239" s="312" t="s">
        <v>105</v>
      </c>
      <c r="I239" s="312">
        <v>10.332271089908099</v>
      </c>
      <c r="J239" s="312">
        <v>1.7064777327954701</v>
      </c>
      <c r="K239" s="312" t="s">
        <v>7441</v>
      </c>
      <c r="L239" s="312" t="s">
        <v>7442</v>
      </c>
    </row>
    <row r="240" spans="1:12">
      <c r="A240" s="312">
        <v>1179</v>
      </c>
      <c r="B240" s="1" t="s">
        <v>7443</v>
      </c>
      <c r="C240" s="312" t="s">
        <v>7444</v>
      </c>
      <c r="D240" s="312" t="s">
        <v>105</v>
      </c>
      <c r="E240" s="312">
        <v>0</v>
      </c>
      <c r="F240" s="312">
        <v>1636799523215</v>
      </c>
      <c r="G240" s="312" t="s">
        <v>105</v>
      </c>
      <c r="H240" s="312" t="s">
        <v>105</v>
      </c>
      <c r="I240" s="312">
        <v>-80.877025890665493</v>
      </c>
      <c r="J240" s="312">
        <v>19.426331163817899</v>
      </c>
      <c r="K240" s="312" t="s">
        <v>7445</v>
      </c>
      <c r="L240" s="312" t="s">
        <v>7446</v>
      </c>
    </row>
    <row r="241" spans="1:12">
      <c r="A241" s="312">
        <v>1183</v>
      </c>
      <c r="B241" s="312" t="s">
        <v>7447</v>
      </c>
      <c r="C241" s="312" t="s">
        <v>7448</v>
      </c>
      <c r="D241" s="312" t="s">
        <v>105</v>
      </c>
      <c r="E241" s="312">
        <v>0</v>
      </c>
      <c r="F241" s="312">
        <v>1636799523571</v>
      </c>
      <c r="G241" s="312" t="s">
        <v>105</v>
      </c>
      <c r="H241" s="312" t="s">
        <v>105</v>
      </c>
      <c r="I241" s="312">
        <v>-97.900957507454507</v>
      </c>
      <c r="J241" s="312">
        <v>36.185029804263301</v>
      </c>
      <c r="K241" s="312" t="s">
        <v>7449</v>
      </c>
      <c r="L241" s="312" t="s">
        <v>7450</v>
      </c>
    </row>
    <row r="242" spans="1:12">
      <c r="A242" s="312">
        <v>945</v>
      </c>
      <c r="B242" s="312" t="s">
        <v>7451</v>
      </c>
      <c r="C242" s="312" t="s">
        <v>7452</v>
      </c>
      <c r="D242" s="312" t="s">
        <v>7453</v>
      </c>
      <c r="E242" s="312">
        <v>1</v>
      </c>
      <c r="F242" s="312">
        <v>1636799522187</v>
      </c>
      <c r="G242" s="312" t="s">
        <v>105</v>
      </c>
      <c r="H242" s="312" t="s">
        <v>105</v>
      </c>
      <c r="I242" s="312">
        <v>0</v>
      </c>
      <c r="J242" s="312">
        <v>0</v>
      </c>
      <c r="K242" s="312" t="s">
        <v>7454</v>
      </c>
      <c r="L242" s="312" t="s">
        <v>7455</v>
      </c>
    </row>
    <row r="243" spans="1:12">
      <c r="A243" s="312">
        <v>946</v>
      </c>
      <c r="B243" s="312" t="s">
        <v>7456</v>
      </c>
      <c r="C243" s="312" t="s">
        <v>7457</v>
      </c>
      <c r="D243" s="312" t="s">
        <v>7458</v>
      </c>
      <c r="E243" s="312">
        <v>1</v>
      </c>
      <c r="F243" s="312">
        <v>1636799522585</v>
      </c>
      <c r="G243" s="312" t="s">
        <v>105</v>
      </c>
      <c r="H243" s="312" t="s">
        <v>105</v>
      </c>
      <c r="I243" s="312">
        <v>0</v>
      </c>
      <c r="J243" s="312">
        <v>0</v>
      </c>
      <c r="K243" s="312" t="s">
        <v>7459</v>
      </c>
      <c r="L243" s="312" t="s">
        <v>7460</v>
      </c>
    </row>
    <row r="244" spans="1:12">
      <c r="A244" s="312">
        <v>947</v>
      </c>
      <c r="B244" s="312" t="s">
        <v>7461</v>
      </c>
      <c r="C244" s="312" t="s">
        <v>7462</v>
      </c>
      <c r="D244" s="312" t="s">
        <v>7463</v>
      </c>
      <c r="E244" s="312">
        <v>1</v>
      </c>
      <c r="F244" s="312">
        <v>1636799513149</v>
      </c>
      <c r="G244" s="312" t="s">
        <v>105</v>
      </c>
      <c r="H244" s="312" t="s">
        <v>105</v>
      </c>
      <c r="I244" s="312">
        <v>0</v>
      </c>
      <c r="J244" s="312">
        <v>0</v>
      </c>
      <c r="K244" s="312" t="s">
        <v>7464</v>
      </c>
      <c r="L244" s="312" t="s">
        <v>7465</v>
      </c>
    </row>
    <row r="245" spans="1:12">
      <c r="A245" s="312">
        <v>948</v>
      </c>
      <c r="B245" s="312" t="s">
        <v>7466</v>
      </c>
      <c r="C245" s="312" t="s">
        <v>7467</v>
      </c>
      <c r="D245" s="312" t="s">
        <v>7468</v>
      </c>
      <c r="E245" s="312">
        <v>1</v>
      </c>
      <c r="F245" s="312">
        <v>1636799523142</v>
      </c>
      <c r="G245" s="312" t="s">
        <v>105</v>
      </c>
      <c r="H245" s="312" t="s">
        <v>105</v>
      </c>
      <c r="I245" s="312">
        <v>0</v>
      </c>
      <c r="J245" s="312">
        <v>0</v>
      </c>
      <c r="K245" s="312" t="s">
        <v>7469</v>
      </c>
      <c r="L245" s="312" t="s">
        <v>7470</v>
      </c>
    </row>
    <row r="246" spans="1:12">
      <c r="A246" s="312">
        <v>949</v>
      </c>
      <c r="B246" s="312" t="s">
        <v>7471</v>
      </c>
      <c r="C246" s="312" t="s">
        <v>7472</v>
      </c>
      <c r="D246" s="312" t="s">
        <v>7473</v>
      </c>
      <c r="E246" s="312">
        <v>1</v>
      </c>
      <c r="F246" s="312">
        <v>1636799523095</v>
      </c>
      <c r="G246" s="312" t="s">
        <v>105</v>
      </c>
      <c r="H246" s="312" t="s">
        <v>105</v>
      </c>
      <c r="I246" s="312">
        <v>0</v>
      </c>
      <c r="J246" s="312">
        <v>0</v>
      </c>
      <c r="K246" s="312" t="s">
        <v>7474</v>
      </c>
      <c r="L246" s="312" t="s">
        <v>7475</v>
      </c>
    </row>
    <row r="247" spans="1:12">
      <c r="A247" s="312">
        <v>950</v>
      </c>
      <c r="B247" s="312" t="s">
        <v>7476</v>
      </c>
      <c r="C247" s="312" t="s">
        <v>7477</v>
      </c>
      <c r="D247" s="312" t="s">
        <v>7478</v>
      </c>
      <c r="E247" s="312">
        <v>1</v>
      </c>
      <c r="F247" s="312">
        <v>1636799524257</v>
      </c>
      <c r="G247" s="312" t="s">
        <v>105</v>
      </c>
      <c r="H247" s="312" t="s">
        <v>105</v>
      </c>
      <c r="I247" s="312">
        <v>1.081</v>
      </c>
      <c r="J247" s="312">
        <v>8.7989999999999995</v>
      </c>
      <c r="K247" s="312" t="s">
        <v>7479</v>
      </c>
      <c r="L247" s="312" t="s">
        <v>7480</v>
      </c>
    </row>
    <row r="248" spans="1:12">
      <c r="A248" s="312">
        <v>952</v>
      </c>
      <c r="B248" s="312" t="s">
        <v>7481</v>
      </c>
      <c r="C248" s="312" t="s">
        <v>7482</v>
      </c>
      <c r="D248" s="312" t="s">
        <v>7483</v>
      </c>
      <c r="E248" s="312">
        <v>1</v>
      </c>
      <c r="F248" s="312">
        <v>1636799517443</v>
      </c>
      <c r="G248" s="312" t="s">
        <v>105</v>
      </c>
      <c r="H248" s="312" t="s">
        <v>105</v>
      </c>
      <c r="I248" s="312">
        <v>0</v>
      </c>
      <c r="J248" s="312">
        <v>0</v>
      </c>
      <c r="K248" s="312" t="s">
        <v>7482</v>
      </c>
      <c r="L248" s="312" t="s">
        <v>7484</v>
      </c>
    </row>
    <row r="249" spans="1:12">
      <c r="A249" s="312">
        <v>953</v>
      </c>
      <c r="B249" s="312" t="s">
        <v>7485</v>
      </c>
      <c r="C249" s="312" t="s">
        <v>7486</v>
      </c>
      <c r="D249" s="312" t="s">
        <v>7487</v>
      </c>
      <c r="E249" s="312">
        <v>1</v>
      </c>
      <c r="F249" s="312">
        <v>1636799524075</v>
      </c>
      <c r="G249" s="312" t="s">
        <v>105</v>
      </c>
      <c r="H249" s="312" t="s">
        <v>105</v>
      </c>
      <c r="I249" s="312">
        <v>-58.390999999999998</v>
      </c>
      <c r="J249" s="312">
        <v>-23.236000000000001</v>
      </c>
      <c r="K249" s="312" t="s">
        <v>7488</v>
      </c>
      <c r="L249" s="312" t="s">
        <v>7489</v>
      </c>
    </row>
    <row r="250" spans="1:12">
      <c r="A250" s="312">
        <v>954</v>
      </c>
      <c r="B250" s="312" t="s">
        <v>7490</v>
      </c>
      <c r="C250" s="312" t="s">
        <v>7491</v>
      </c>
      <c r="D250" s="312" t="s">
        <v>7492</v>
      </c>
      <c r="E250" s="312">
        <v>0</v>
      </c>
      <c r="F250" s="312">
        <v>0</v>
      </c>
      <c r="G250" s="312" t="s">
        <v>105</v>
      </c>
      <c r="H250" s="312" t="s">
        <v>105</v>
      </c>
      <c r="I250" s="312">
        <v>0</v>
      </c>
      <c r="J250" s="312">
        <v>0</v>
      </c>
      <c r="K250" s="312" t="s">
        <v>7493</v>
      </c>
      <c r="L250" s="312" t="s">
        <v>105</v>
      </c>
    </row>
    <row r="251" spans="1:12">
      <c r="A251" s="312">
        <v>955</v>
      </c>
      <c r="B251" s="312" t="s">
        <v>7494</v>
      </c>
      <c r="C251" s="312" t="s">
        <v>7495</v>
      </c>
      <c r="D251" s="312" t="s">
        <v>7496</v>
      </c>
      <c r="E251" s="312">
        <v>1</v>
      </c>
      <c r="F251" s="312">
        <v>1636799513256</v>
      </c>
      <c r="G251" s="312" t="s">
        <v>105</v>
      </c>
      <c r="H251" s="312" t="s">
        <v>105</v>
      </c>
      <c r="I251" s="312">
        <v>0</v>
      </c>
      <c r="J251" s="312">
        <v>0</v>
      </c>
      <c r="K251" s="312" t="s">
        <v>7497</v>
      </c>
      <c r="L251" s="312" t="s">
        <v>7498</v>
      </c>
    </row>
    <row r="252" spans="1:12">
      <c r="A252" s="312">
        <v>956</v>
      </c>
      <c r="B252" s="312" t="s">
        <v>7499</v>
      </c>
      <c r="C252" s="312" t="s">
        <v>7500</v>
      </c>
      <c r="D252" s="312" t="s">
        <v>7501</v>
      </c>
      <c r="E252" s="312">
        <v>1</v>
      </c>
      <c r="F252" s="312">
        <v>1636799513313</v>
      </c>
      <c r="G252" s="312" t="s">
        <v>105</v>
      </c>
      <c r="H252" s="312" t="s">
        <v>105</v>
      </c>
      <c r="I252" s="312">
        <v>0</v>
      </c>
      <c r="J252" s="312">
        <v>0</v>
      </c>
      <c r="K252" s="312" t="s">
        <v>7502</v>
      </c>
      <c r="L252" s="312" t="s">
        <v>7503</v>
      </c>
    </row>
    <row r="253" spans="1:12">
      <c r="A253" s="312">
        <v>957</v>
      </c>
      <c r="B253" s="312" t="s">
        <v>7504</v>
      </c>
      <c r="C253" s="312" t="s">
        <v>7505</v>
      </c>
      <c r="D253" s="312" t="s">
        <v>7506</v>
      </c>
      <c r="E253" s="312">
        <v>1</v>
      </c>
      <c r="F253" s="312">
        <v>1636799516808</v>
      </c>
      <c r="G253" s="312" t="s">
        <v>105</v>
      </c>
      <c r="H253" s="312" t="s">
        <v>105</v>
      </c>
      <c r="I253" s="312">
        <v>0</v>
      </c>
      <c r="J253" s="312">
        <v>0</v>
      </c>
      <c r="K253" s="312" t="s">
        <v>7507</v>
      </c>
      <c r="L253" s="312" t="s">
        <v>7508</v>
      </c>
    </row>
    <row r="254" spans="1:12">
      <c r="A254" s="312">
        <v>958</v>
      </c>
      <c r="B254" s="312" t="s">
        <v>7509</v>
      </c>
      <c r="C254" s="312" t="s">
        <v>7510</v>
      </c>
      <c r="D254" s="312" t="s">
        <v>7511</v>
      </c>
      <c r="E254" s="312">
        <v>1</v>
      </c>
      <c r="F254" s="312">
        <v>1636799519417</v>
      </c>
      <c r="G254" s="312" t="s">
        <v>105</v>
      </c>
      <c r="H254" s="312" t="s">
        <v>105</v>
      </c>
      <c r="I254" s="312">
        <v>6.4872206641299996</v>
      </c>
      <c r="J254" s="312">
        <v>48.532067343599998</v>
      </c>
      <c r="K254" s="312" t="s">
        <v>7512</v>
      </c>
      <c r="L254" s="312" t="s">
        <v>7513</v>
      </c>
    </row>
    <row r="255" spans="1:12">
      <c r="A255" s="312">
        <v>959</v>
      </c>
      <c r="B255" s="312" t="s">
        <v>7514</v>
      </c>
      <c r="C255" s="312" t="s">
        <v>7515</v>
      </c>
      <c r="D255" s="312" t="s">
        <v>7516</v>
      </c>
      <c r="E255" s="312">
        <v>1</v>
      </c>
      <c r="F255" s="312">
        <v>1636799513835</v>
      </c>
      <c r="G255" s="312" t="s">
        <v>105</v>
      </c>
      <c r="H255" s="312" t="s">
        <v>105</v>
      </c>
      <c r="I255" s="312">
        <v>0</v>
      </c>
      <c r="J255" s="312">
        <v>0</v>
      </c>
      <c r="K255" s="312" t="s">
        <v>7517</v>
      </c>
      <c r="L255" s="312" t="s">
        <v>7518</v>
      </c>
    </row>
    <row r="256" spans="1:12">
      <c r="A256" s="312">
        <v>963</v>
      </c>
      <c r="B256" s="312" t="s">
        <v>7519</v>
      </c>
      <c r="C256" s="312" t="s">
        <v>7520</v>
      </c>
      <c r="D256" s="312" t="s">
        <v>7521</v>
      </c>
      <c r="E256" s="312">
        <v>1</v>
      </c>
      <c r="F256" s="312">
        <v>1636799516517</v>
      </c>
      <c r="G256" s="312" t="s">
        <v>105</v>
      </c>
      <c r="H256" s="312" t="s">
        <v>105</v>
      </c>
      <c r="I256" s="312">
        <v>0</v>
      </c>
      <c r="J256" s="312">
        <v>0</v>
      </c>
      <c r="K256" s="312" t="s">
        <v>7522</v>
      </c>
      <c r="L256" s="312" t="s">
        <v>7523</v>
      </c>
    </row>
    <row r="257" spans="1:12">
      <c r="A257" s="312">
        <v>964</v>
      </c>
      <c r="B257" s="312" t="s">
        <v>7524</v>
      </c>
      <c r="C257" s="312" t="s">
        <v>7525</v>
      </c>
      <c r="D257" s="312" t="s">
        <v>7526</v>
      </c>
      <c r="E257" s="312">
        <v>1</v>
      </c>
      <c r="F257" s="312">
        <v>1636799519077</v>
      </c>
      <c r="G257" s="312" t="s">
        <v>105</v>
      </c>
      <c r="H257" s="312" t="s">
        <v>105</v>
      </c>
      <c r="I257" s="312">
        <v>29.872</v>
      </c>
      <c r="J257" s="312">
        <v>26.494</v>
      </c>
      <c r="K257" s="312" t="s">
        <v>7527</v>
      </c>
      <c r="L257" s="312" t="s">
        <v>7528</v>
      </c>
    </row>
    <row r="258" spans="1:12">
      <c r="A258" s="312">
        <v>966</v>
      </c>
      <c r="B258" s="312" t="s">
        <v>7529</v>
      </c>
      <c r="C258" s="312" t="s">
        <v>7530</v>
      </c>
      <c r="D258" s="312" t="s">
        <v>7531</v>
      </c>
      <c r="E258" s="312">
        <v>1</v>
      </c>
      <c r="F258" s="312">
        <v>1636799514071</v>
      </c>
      <c r="G258" s="312" t="s">
        <v>105</v>
      </c>
      <c r="H258" s="312" t="s">
        <v>105</v>
      </c>
      <c r="I258" s="312">
        <v>0</v>
      </c>
      <c r="J258" s="312">
        <v>0</v>
      </c>
      <c r="K258" s="312" t="s">
        <v>7530</v>
      </c>
      <c r="L258" s="312" t="s">
        <v>7532</v>
      </c>
    </row>
    <row r="259" spans="1:12">
      <c r="A259" s="312">
        <v>967</v>
      </c>
      <c r="B259" s="312" t="s">
        <v>7533</v>
      </c>
      <c r="C259" s="312" t="s">
        <v>7534</v>
      </c>
      <c r="D259" s="312" t="s">
        <v>7535</v>
      </c>
      <c r="E259" s="312">
        <v>1</v>
      </c>
      <c r="F259" s="312">
        <v>1636799515759</v>
      </c>
      <c r="G259" s="312" t="s">
        <v>105</v>
      </c>
      <c r="H259" s="312" t="s">
        <v>105</v>
      </c>
      <c r="I259" s="312">
        <v>8.1050000000000004</v>
      </c>
      <c r="J259" s="312">
        <v>9.5939999999999994</v>
      </c>
      <c r="K259" s="312" t="s">
        <v>7536</v>
      </c>
      <c r="L259" s="312" t="s">
        <v>7537</v>
      </c>
    </row>
    <row r="260" spans="1:12">
      <c r="A260" s="312">
        <v>968</v>
      </c>
      <c r="B260" s="312" t="s">
        <v>7538</v>
      </c>
      <c r="C260" s="312" t="s">
        <v>7539</v>
      </c>
      <c r="D260" s="312" t="s">
        <v>7540</v>
      </c>
      <c r="E260" s="312">
        <v>1</v>
      </c>
      <c r="F260" s="312">
        <v>1636799521351</v>
      </c>
      <c r="G260" s="312" t="s">
        <v>105</v>
      </c>
      <c r="H260" s="312" t="s">
        <v>105</v>
      </c>
      <c r="I260" s="312">
        <v>0</v>
      </c>
      <c r="J260" s="312">
        <v>0</v>
      </c>
      <c r="K260" s="312" t="s">
        <v>7539</v>
      </c>
      <c r="L260" s="312" t="s">
        <v>7541</v>
      </c>
    </row>
    <row r="261" spans="1:12">
      <c r="A261" s="312">
        <v>969</v>
      </c>
      <c r="B261" s="312" t="s">
        <v>7542</v>
      </c>
      <c r="C261" s="312" t="s">
        <v>7543</v>
      </c>
      <c r="D261" s="312" t="s">
        <v>7544</v>
      </c>
      <c r="E261" s="312">
        <v>1</v>
      </c>
      <c r="F261" s="312">
        <v>1636799516841</v>
      </c>
      <c r="G261" s="312" t="s">
        <v>105</v>
      </c>
      <c r="H261" s="312" t="s">
        <v>105</v>
      </c>
      <c r="I261" s="312">
        <v>-77.781000000000006</v>
      </c>
      <c r="J261" s="312">
        <v>21.297000000000001</v>
      </c>
      <c r="K261" s="312" t="s">
        <v>7545</v>
      </c>
      <c r="L261" s="312" t="s">
        <v>7546</v>
      </c>
    </row>
    <row r="262" spans="1:12">
      <c r="A262" s="312">
        <v>1119</v>
      </c>
      <c r="B262" s="312" t="s">
        <v>7547</v>
      </c>
      <c r="C262" s="312" t="s">
        <v>7548</v>
      </c>
      <c r="D262" s="312" t="s">
        <v>105</v>
      </c>
      <c r="E262" s="312">
        <v>0</v>
      </c>
      <c r="F262" s="312">
        <v>1636799519078</v>
      </c>
      <c r="G262" s="312" t="s">
        <v>105</v>
      </c>
      <c r="H262" s="312" t="s">
        <v>105</v>
      </c>
      <c r="I262" s="312">
        <v>-2.5304800232910698</v>
      </c>
      <c r="J262" s="312">
        <v>49.484372922866797</v>
      </c>
      <c r="K262" s="312" t="s">
        <v>7549</v>
      </c>
      <c r="L262" s="312" t="s">
        <v>7550</v>
      </c>
    </row>
    <row r="263" spans="1:12">
      <c r="A263" s="312">
        <v>1120</v>
      </c>
      <c r="B263" s="312" t="s">
        <v>7551</v>
      </c>
      <c r="C263" s="312" t="s">
        <v>7552</v>
      </c>
      <c r="D263" s="312" t="s">
        <v>105</v>
      </c>
      <c r="E263" s="312">
        <v>0</v>
      </c>
      <c r="F263" s="312">
        <v>1636799519090</v>
      </c>
      <c r="G263" s="312" t="s">
        <v>105</v>
      </c>
      <c r="H263" s="312" t="s">
        <v>105</v>
      </c>
      <c r="I263" s="312">
        <v>22.471194207558199</v>
      </c>
      <c r="J263" s="312">
        <v>-25.4837376522743</v>
      </c>
      <c r="K263" s="312" t="s">
        <v>7553</v>
      </c>
      <c r="L263" s="312" t="s">
        <v>7554</v>
      </c>
    </row>
    <row r="264" spans="1:12">
      <c r="A264" s="312">
        <v>970</v>
      </c>
      <c r="B264" s="312" t="s">
        <v>7555</v>
      </c>
      <c r="C264" s="312" t="s">
        <v>7556</v>
      </c>
      <c r="D264" s="312" t="s">
        <v>7557</v>
      </c>
      <c r="E264" s="312">
        <v>1</v>
      </c>
      <c r="F264" s="312">
        <v>1636799523724</v>
      </c>
      <c r="G264" s="312" t="s">
        <v>105</v>
      </c>
      <c r="H264" s="312" t="s">
        <v>105</v>
      </c>
      <c r="I264" s="312">
        <v>143.459</v>
      </c>
      <c r="J264" s="312">
        <v>-5.9489999999999998</v>
      </c>
      <c r="K264" s="312" t="s">
        <v>7558</v>
      </c>
      <c r="L264" s="312" t="s">
        <v>7559</v>
      </c>
    </row>
    <row r="265" spans="1:12">
      <c r="A265" s="312">
        <v>971</v>
      </c>
      <c r="B265" s="312" t="s">
        <v>7560</v>
      </c>
      <c r="C265" s="312" t="s">
        <v>7561</v>
      </c>
      <c r="D265" s="312" t="s">
        <v>7562</v>
      </c>
      <c r="E265" s="312">
        <v>1</v>
      </c>
      <c r="F265" s="312">
        <v>1636799524293</v>
      </c>
      <c r="G265" s="312" t="s">
        <v>105</v>
      </c>
      <c r="H265" s="312" t="s">
        <v>105</v>
      </c>
      <c r="I265" s="312">
        <v>-61.253</v>
      </c>
      <c r="J265" s="312">
        <v>10.468</v>
      </c>
      <c r="K265" s="312" t="s">
        <v>7563</v>
      </c>
      <c r="L265" s="312" t="s">
        <v>7564</v>
      </c>
    </row>
    <row r="266" spans="1:12">
      <c r="A266" s="312">
        <v>972</v>
      </c>
      <c r="B266" s="312" t="s">
        <v>7565</v>
      </c>
      <c r="C266" s="312" t="s">
        <v>7566</v>
      </c>
      <c r="D266" s="312" t="s">
        <v>7567</v>
      </c>
      <c r="E266" s="312">
        <v>1</v>
      </c>
      <c r="F266" s="312">
        <v>1636799523602</v>
      </c>
      <c r="G266" s="312" t="s">
        <v>105</v>
      </c>
      <c r="H266" s="312" t="s">
        <v>105</v>
      </c>
      <c r="I266" s="312">
        <v>-72.278000000000006</v>
      </c>
      <c r="J266" s="312">
        <v>19.141999999999999</v>
      </c>
      <c r="K266" s="312" t="s">
        <v>7568</v>
      </c>
      <c r="L266" s="312" t="s">
        <v>7569</v>
      </c>
    </row>
    <row r="267" spans="1:12">
      <c r="A267" s="312">
        <v>1181</v>
      </c>
      <c r="B267" s="312" t="s">
        <v>7570</v>
      </c>
      <c r="C267" s="312" t="s">
        <v>7571</v>
      </c>
      <c r="D267" s="312" t="s">
        <v>105</v>
      </c>
      <c r="E267" s="312">
        <v>0</v>
      </c>
      <c r="F267" s="312">
        <v>1636799523532</v>
      </c>
      <c r="G267" s="312" t="s">
        <v>105</v>
      </c>
      <c r="H267" s="312" t="s">
        <v>105</v>
      </c>
      <c r="I267" s="312">
        <v>-81.902393284285793</v>
      </c>
      <c r="J267" s="312">
        <v>28.341743083354</v>
      </c>
      <c r="K267" s="312" t="s">
        <v>7572</v>
      </c>
      <c r="L267" s="312" t="s">
        <v>7573</v>
      </c>
    </row>
    <row r="268" spans="1:12">
      <c r="A268" s="312">
        <v>973</v>
      </c>
      <c r="B268" s="312" t="s">
        <v>7574</v>
      </c>
      <c r="C268" s="312" t="s">
        <v>7575</v>
      </c>
      <c r="D268" s="312" t="s">
        <v>7576</v>
      </c>
      <c r="E268" s="312">
        <v>1</v>
      </c>
      <c r="F268" s="312">
        <v>1636799513903</v>
      </c>
      <c r="G268" s="312" t="s">
        <v>105</v>
      </c>
      <c r="H268" s="312" t="s">
        <v>105</v>
      </c>
      <c r="I268" s="312">
        <v>17.544</v>
      </c>
      <c r="J268" s="312">
        <v>-12.295999999999999</v>
      </c>
      <c r="K268" s="312" t="s">
        <v>7577</v>
      </c>
      <c r="L268" s="312" t="s">
        <v>7578</v>
      </c>
    </row>
    <row r="269" spans="1:12">
      <c r="A269" s="312">
        <v>974</v>
      </c>
      <c r="B269" s="312" t="s">
        <v>7579</v>
      </c>
      <c r="C269" s="312" t="s">
        <v>7580</v>
      </c>
      <c r="D269" s="312" t="s">
        <v>7581</v>
      </c>
      <c r="E269" s="312">
        <v>1</v>
      </c>
      <c r="F269" s="312">
        <v>1636799513186</v>
      </c>
      <c r="G269" s="312" t="s">
        <v>105</v>
      </c>
      <c r="H269" s="312" t="s">
        <v>105</v>
      </c>
      <c r="I269" s="312">
        <v>0</v>
      </c>
      <c r="J269" s="312">
        <v>0</v>
      </c>
      <c r="K269" s="312" t="s">
        <v>7582</v>
      </c>
      <c r="L269" s="312" t="s">
        <v>7583</v>
      </c>
    </row>
    <row r="270" spans="1:12">
      <c r="A270" s="312">
        <v>1184</v>
      </c>
      <c r="B270" s="312" t="s">
        <v>7584</v>
      </c>
      <c r="C270" s="312" t="s">
        <v>7585</v>
      </c>
      <c r="D270" s="312" t="s">
        <v>105</v>
      </c>
      <c r="E270" s="312">
        <v>0</v>
      </c>
      <c r="F270" s="312">
        <v>1636799523579</v>
      </c>
      <c r="G270" s="312" t="s">
        <v>105</v>
      </c>
      <c r="H270" s="312" t="s">
        <v>105</v>
      </c>
      <c r="I270" s="312">
        <v>-35.882316614537501</v>
      </c>
      <c r="J270" s="312">
        <v>-54.679219153004198</v>
      </c>
      <c r="K270" s="312" t="s">
        <v>7586</v>
      </c>
      <c r="L270" s="312" t="s">
        <v>7587</v>
      </c>
    </row>
    <row r="271" spans="1:12">
      <c r="A271" s="312">
        <v>1185</v>
      </c>
      <c r="B271" s="312" t="s">
        <v>7588</v>
      </c>
      <c r="C271" s="312" t="s">
        <v>7589</v>
      </c>
      <c r="D271" s="312" t="s">
        <v>105</v>
      </c>
      <c r="E271" s="312">
        <v>0</v>
      </c>
      <c r="F271" s="312">
        <v>1636799523580</v>
      </c>
      <c r="G271" s="312" t="s">
        <v>105</v>
      </c>
      <c r="H271" s="312" t="s">
        <v>105</v>
      </c>
      <c r="I271" s="312">
        <v>32.933994860348001</v>
      </c>
      <c r="J271" s="312">
        <v>34.631813284865203</v>
      </c>
      <c r="K271" s="312" t="s">
        <v>7590</v>
      </c>
      <c r="L271" s="312" t="s">
        <v>7591</v>
      </c>
    </row>
    <row r="272" spans="1:12">
      <c r="A272" s="312">
        <v>1186</v>
      </c>
      <c r="B272" s="312" t="s">
        <v>7592</v>
      </c>
      <c r="C272" s="312" t="s">
        <v>7593</v>
      </c>
      <c r="D272" s="312" t="s">
        <v>105</v>
      </c>
      <c r="E272" s="312">
        <v>0</v>
      </c>
      <c r="F272" s="312">
        <v>1636799523597</v>
      </c>
      <c r="G272" s="312" t="s">
        <v>105</v>
      </c>
      <c r="H272" s="312" t="s">
        <v>105</v>
      </c>
      <c r="I272" s="312">
        <v>-61.017618003725097</v>
      </c>
      <c r="J272" s="312">
        <v>14.6564173063919</v>
      </c>
      <c r="K272" s="312" t="s">
        <v>7594</v>
      </c>
      <c r="L272" s="312" t="s">
        <v>7595</v>
      </c>
    </row>
    <row r="273" spans="1:12">
      <c r="A273" s="312">
        <v>975</v>
      </c>
      <c r="B273" s="312" t="s">
        <v>7596</v>
      </c>
      <c r="C273" s="312" t="s">
        <v>7597</v>
      </c>
      <c r="D273" s="312" t="s">
        <v>7598</v>
      </c>
      <c r="E273" s="312">
        <v>1</v>
      </c>
      <c r="F273" s="312">
        <v>1636799518391</v>
      </c>
      <c r="G273" s="312" t="s">
        <v>105</v>
      </c>
      <c r="H273" s="312" t="s">
        <v>105</v>
      </c>
      <c r="I273" s="312">
        <v>109.936790036</v>
      </c>
      <c r="J273" s="312">
        <v>7.9333408562000001</v>
      </c>
      <c r="K273" s="312" t="s">
        <v>7599</v>
      </c>
      <c r="L273" s="312" t="s">
        <v>7600</v>
      </c>
    </row>
    <row r="274" spans="1:12">
      <c r="A274" s="312">
        <v>976</v>
      </c>
      <c r="B274" s="312" t="s">
        <v>7601</v>
      </c>
      <c r="C274" s="312" t="s">
        <v>7602</v>
      </c>
      <c r="D274" s="312" t="s">
        <v>7603</v>
      </c>
      <c r="E274" s="312">
        <v>1</v>
      </c>
      <c r="F274" s="312">
        <v>1636799516711</v>
      </c>
      <c r="G274" s="312" t="s">
        <v>105</v>
      </c>
      <c r="H274" s="312" t="s">
        <v>105</v>
      </c>
      <c r="I274" s="312">
        <v>0</v>
      </c>
      <c r="J274" s="312">
        <v>0</v>
      </c>
      <c r="K274" s="312" t="s">
        <v>7604</v>
      </c>
      <c r="L274" s="312" t="s">
        <v>7605</v>
      </c>
    </row>
    <row r="275" spans="1:12">
      <c r="A275" s="312">
        <v>1191</v>
      </c>
      <c r="B275" s="312" t="s">
        <v>7606</v>
      </c>
      <c r="C275" s="312" t="s">
        <v>7607</v>
      </c>
      <c r="D275" s="312" t="s">
        <v>105</v>
      </c>
      <c r="E275" s="312">
        <v>0</v>
      </c>
      <c r="F275" s="312">
        <v>1636799524305</v>
      </c>
      <c r="G275" s="312" t="s">
        <v>105</v>
      </c>
      <c r="H275" s="312" t="s">
        <v>105</v>
      </c>
      <c r="I275" s="312">
        <v>33.2574685507401</v>
      </c>
      <c r="J275" s="312">
        <v>35.101996838803402</v>
      </c>
      <c r="K275" s="312" t="s">
        <v>7607</v>
      </c>
      <c r="L275" s="312" t="s">
        <v>7608</v>
      </c>
    </row>
    <row r="276" spans="1:12">
      <c r="A276" s="312">
        <v>1192</v>
      </c>
      <c r="B276" s="312" t="s">
        <v>7609</v>
      </c>
      <c r="C276" s="312" t="s">
        <v>7610</v>
      </c>
      <c r="D276" s="312" t="s">
        <v>105</v>
      </c>
      <c r="E276" s="312">
        <v>0</v>
      </c>
      <c r="F276" s="312">
        <v>1636799524371</v>
      </c>
      <c r="G276" s="312" t="s">
        <v>105</v>
      </c>
      <c r="H276" s="312" t="s">
        <v>105</v>
      </c>
      <c r="I276" s="312">
        <v>-79.834649071711794</v>
      </c>
      <c r="J276" s="312">
        <v>15.812811082149899</v>
      </c>
      <c r="K276" s="312" t="s">
        <v>7611</v>
      </c>
      <c r="L276" s="312" t="s">
        <v>7612</v>
      </c>
    </row>
    <row r="277" spans="1:12">
      <c r="A277" s="312">
        <v>1193</v>
      </c>
      <c r="B277" s="312" t="s">
        <v>7613</v>
      </c>
      <c r="C277" s="312" t="s">
        <v>7614</v>
      </c>
      <c r="D277" s="312" t="s">
        <v>105</v>
      </c>
      <c r="E277" s="312">
        <v>0</v>
      </c>
      <c r="F277" s="312">
        <v>1636799524373</v>
      </c>
      <c r="G277" s="312" t="s">
        <v>105</v>
      </c>
      <c r="H277" s="312" t="s">
        <v>105</v>
      </c>
      <c r="I277" s="312">
        <v>33.5977943594227</v>
      </c>
      <c r="J277" s="312">
        <v>35.276421073026697</v>
      </c>
      <c r="K277" s="312" t="s">
        <v>7614</v>
      </c>
      <c r="L277" s="312" t="s">
        <v>7615</v>
      </c>
    </row>
    <row r="278" spans="1:12">
      <c r="A278" s="312">
        <v>1194</v>
      </c>
      <c r="B278" s="312" t="s">
        <v>7616</v>
      </c>
      <c r="C278" s="312" t="s">
        <v>7617</v>
      </c>
      <c r="D278" s="312" t="s">
        <v>105</v>
      </c>
      <c r="E278" s="312">
        <v>0</v>
      </c>
      <c r="F278" s="312">
        <v>1636799524374</v>
      </c>
      <c r="G278" s="312" t="s">
        <v>105</v>
      </c>
      <c r="H278" s="312" t="s">
        <v>105</v>
      </c>
      <c r="I278" s="312">
        <v>114.92703993375601</v>
      </c>
      <c r="J278" s="312">
        <v>10.5450203147407</v>
      </c>
      <c r="K278" s="312" t="s">
        <v>7617</v>
      </c>
      <c r="L278" s="312" t="s">
        <v>7618</v>
      </c>
    </row>
    <row r="279" spans="1:12">
      <c r="A279" s="312">
        <v>977</v>
      </c>
      <c r="B279" s="312" t="s">
        <v>7619</v>
      </c>
      <c r="C279" s="312" t="s">
        <v>7620</v>
      </c>
      <c r="D279" s="312" t="s">
        <v>7621</v>
      </c>
      <c r="E279" s="312">
        <v>1</v>
      </c>
      <c r="F279" s="312">
        <v>1636799521583</v>
      </c>
      <c r="G279" s="312" t="s">
        <v>105</v>
      </c>
      <c r="H279" s="312" t="s">
        <v>105</v>
      </c>
      <c r="I279" s="312">
        <v>0</v>
      </c>
      <c r="J279" s="312">
        <v>0</v>
      </c>
      <c r="K279" s="312" t="s">
        <v>7620</v>
      </c>
      <c r="L279" s="312" t="s">
        <v>7622</v>
      </c>
    </row>
    <row r="280" spans="1:12">
      <c r="A280" s="312">
        <v>978</v>
      </c>
      <c r="B280" s="312" t="s">
        <v>7623</v>
      </c>
      <c r="C280" s="312" t="s">
        <v>7624</v>
      </c>
      <c r="D280" s="312" t="s">
        <v>7625</v>
      </c>
      <c r="E280" s="312">
        <v>1</v>
      </c>
      <c r="F280" s="312">
        <v>1636799515748</v>
      </c>
      <c r="G280" s="312" t="s">
        <v>105</v>
      </c>
      <c r="H280" s="312" t="s">
        <v>105</v>
      </c>
      <c r="I280" s="312">
        <v>0</v>
      </c>
      <c r="J280" s="312">
        <v>0</v>
      </c>
      <c r="K280" s="312" t="s">
        <v>7626</v>
      </c>
      <c r="L280" s="312" t="s">
        <v>7627</v>
      </c>
    </row>
    <row r="281" spans="1:12">
      <c r="A281" s="312">
        <v>979</v>
      </c>
      <c r="B281" s="312" t="s">
        <v>7628</v>
      </c>
      <c r="C281" s="312" t="s">
        <v>7629</v>
      </c>
      <c r="D281" s="312" t="s">
        <v>7630</v>
      </c>
      <c r="E281" s="312">
        <v>1</v>
      </c>
      <c r="F281" s="312">
        <v>1636799513529</v>
      </c>
      <c r="G281" s="312" t="s">
        <v>105</v>
      </c>
      <c r="H281" s="312" t="s">
        <v>105</v>
      </c>
      <c r="I281" s="312">
        <v>0</v>
      </c>
      <c r="J281" s="312">
        <v>0</v>
      </c>
      <c r="K281" s="312" t="s">
        <v>7631</v>
      </c>
      <c r="L281" s="312" t="s">
        <v>7632</v>
      </c>
    </row>
    <row r="282" spans="1:12">
      <c r="A282" s="312">
        <v>980</v>
      </c>
      <c r="B282" s="312" t="s">
        <v>7633</v>
      </c>
      <c r="C282" s="312" t="s">
        <v>7634</v>
      </c>
      <c r="D282" s="312" t="s">
        <v>7635</v>
      </c>
      <c r="E282" s="312">
        <v>1</v>
      </c>
      <c r="F282" s="312">
        <v>1636799519312</v>
      </c>
      <c r="G282" s="312" t="s">
        <v>105</v>
      </c>
      <c r="H282" s="312" t="s">
        <v>105</v>
      </c>
      <c r="I282" s="312">
        <v>38.219000000000001</v>
      </c>
      <c r="J282" s="312">
        <v>16.045000000000002</v>
      </c>
      <c r="K282" s="312" t="s">
        <v>7636</v>
      </c>
      <c r="L282" s="312" t="s">
        <v>7637</v>
      </c>
    </row>
    <row r="283" spans="1:12">
      <c r="A283" s="312">
        <v>981</v>
      </c>
      <c r="B283" s="312" t="s">
        <v>7638</v>
      </c>
      <c r="C283" s="312" t="s">
        <v>7639</v>
      </c>
      <c r="D283" s="312" t="s">
        <v>7640</v>
      </c>
      <c r="E283" s="312">
        <v>1</v>
      </c>
      <c r="F283" s="312">
        <v>1636799513481</v>
      </c>
      <c r="G283" s="312" t="s">
        <v>105</v>
      </c>
      <c r="H283" s="312" t="s">
        <v>105</v>
      </c>
      <c r="I283" s="312">
        <v>0</v>
      </c>
      <c r="J283" s="312">
        <v>0</v>
      </c>
      <c r="K283" s="312" t="s">
        <v>7641</v>
      </c>
      <c r="L283" s="312" t="s">
        <v>7642</v>
      </c>
    </row>
    <row r="284" spans="1:12">
      <c r="A284" s="312">
        <v>982</v>
      </c>
      <c r="B284" s="312" t="s">
        <v>7643</v>
      </c>
      <c r="C284" s="312" t="s">
        <v>7644</v>
      </c>
      <c r="D284" s="312" t="s">
        <v>7645</v>
      </c>
      <c r="E284" s="312">
        <v>1</v>
      </c>
      <c r="F284" s="312">
        <v>1636799513741</v>
      </c>
      <c r="G284" s="312" t="s">
        <v>105</v>
      </c>
      <c r="H284" s="312" t="s">
        <v>105</v>
      </c>
      <c r="I284" s="312">
        <v>23.815000000000001</v>
      </c>
      <c r="J284" s="312">
        <v>-22.181999999999999</v>
      </c>
      <c r="K284" s="312" t="s">
        <v>7646</v>
      </c>
      <c r="L284" s="312" t="s">
        <v>7647</v>
      </c>
    </row>
    <row r="285" spans="1:12">
      <c r="A285" s="312">
        <v>983</v>
      </c>
      <c r="B285" s="312" t="s">
        <v>7648</v>
      </c>
      <c r="C285" s="312" t="s">
        <v>7649</v>
      </c>
      <c r="D285" s="312" t="s">
        <v>7650</v>
      </c>
      <c r="E285" s="312">
        <v>1</v>
      </c>
      <c r="F285" s="312">
        <v>1636799516823</v>
      </c>
      <c r="G285" s="312" t="s">
        <v>105</v>
      </c>
      <c r="H285" s="312" t="s">
        <v>105</v>
      </c>
      <c r="I285" s="312">
        <v>0</v>
      </c>
      <c r="J285" s="312">
        <v>0</v>
      </c>
      <c r="K285" s="312" t="s">
        <v>7651</v>
      </c>
      <c r="L285" s="312" t="s">
        <v>7652</v>
      </c>
    </row>
    <row r="286" spans="1:12">
      <c r="A286" s="312">
        <v>984</v>
      </c>
      <c r="B286" s="312" t="s">
        <v>7653</v>
      </c>
      <c r="C286" s="312" t="s">
        <v>7654</v>
      </c>
      <c r="D286" s="312" t="s">
        <v>7655</v>
      </c>
      <c r="E286" s="312">
        <v>1</v>
      </c>
      <c r="F286" s="312">
        <v>1636799523648</v>
      </c>
      <c r="G286" s="312" t="s">
        <v>105</v>
      </c>
      <c r="H286" s="312" t="s">
        <v>105</v>
      </c>
      <c r="I286" s="312">
        <v>-85.034000000000006</v>
      </c>
      <c r="J286" s="312">
        <v>12.84</v>
      </c>
      <c r="K286" s="312" t="s">
        <v>7656</v>
      </c>
      <c r="L286" s="312" t="s">
        <v>7657</v>
      </c>
    </row>
    <row r="287" spans="1:12">
      <c r="A287" s="312">
        <v>985</v>
      </c>
      <c r="B287" s="312" t="s">
        <v>7658</v>
      </c>
      <c r="C287" s="312" t="s">
        <v>7659</v>
      </c>
      <c r="D287" s="312" t="s">
        <v>7660</v>
      </c>
      <c r="E287" s="312">
        <v>1</v>
      </c>
      <c r="F287" s="312">
        <v>1636799516392</v>
      </c>
      <c r="G287" s="312" t="s">
        <v>105</v>
      </c>
      <c r="H287" s="312" t="s">
        <v>105</v>
      </c>
      <c r="I287" s="312">
        <v>126.45099999999999</v>
      </c>
      <c r="J287" s="312">
        <v>39.777999999999999</v>
      </c>
      <c r="K287" s="312" t="s">
        <v>7661</v>
      </c>
      <c r="L287" s="312" t="s">
        <v>7662</v>
      </c>
    </row>
    <row r="288" spans="1:12">
      <c r="A288" s="312">
        <v>986</v>
      </c>
      <c r="B288" s="312" t="s">
        <v>7663</v>
      </c>
      <c r="C288" s="312" t="s">
        <v>7664</v>
      </c>
      <c r="D288" s="312" t="s">
        <v>7665</v>
      </c>
      <c r="E288" s="312">
        <v>1</v>
      </c>
      <c r="F288" s="312">
        <v>1636799523639</v>
      </c>
      <c r="G288" s="312" t="s">
        <v>105</v>
      </c>
      <c r="H288" s="312" t="s">
        <v>105</v>
      </c>
      <c r="I288" s="312">
        <v>37.923000000000002</v>
      </c>
      <c r="J288" s="312">
        <v>-14.422000000000001</v>
      </c>
      <c r="K288" s="312" t="s">
        <v>7666</v>
      </c>
      <c r="L288" s="312" t="s">
        <v>7667</v>
      </c>
    </row>
    <row r="289" spans="1:12">
      <c r="A289" s="312">
        <v>987</v>
      </c>
      <c r="B289" s="312" t="s">
        <v>7668</v>
      </c>
      <c r="C289" s="312" t="s">
        <v>7669</v>
      </c>
      <c r="D289" s="312" t="s">
        <v>7670</v>
      </c>
      <c r="E289" s="312">
        <v>1</v>
      </c>
      <c r="F289" s="312">
        <v>1636799514782</v>
      </c>
      <c r="G289" s="312" t="s">
        <v>105</v>
      </c>
      <c r="H289" s="312" t="s">
        <v>105</v>
      </c>
      <c r="I289" s="312">
        <v>15.986000000000001</v>
      </c>
      <c r="J289" s="312">
        <v>-5.5E-2</v>
      </c>
      <c r="K289" s="312" t="s">
        <v>7671</v>
      </c>
      <c r="L289" s="312" t="s">
        <v>7672</v>
      </c>
    </row>
    <row r="290" spans="1:12">
      <c r="A290" s="312">
        <v>988</v>
      </c>
      <c r="B290" s="312" t="s">
        <v>7673</v>
      </c>
      <c r="C290" s="312" t="s">
        <v>7674</v>
      </c>
      <c r="D290" s="312" t="s">
        <v>7675</v>
      </c>
      <c r="E290" s="312">
        <v>1</v>
      </c>
      <c r="F290" s="312">
        <v>1636799520231</v>
      </c>
      <c r="G290" s="312" t="s">
        <v>105</v>
      </c>
      <c r="H290" s="312" t="s">
        <v>105</v>
      </c>
      <c r="I290" s="312">
        <v>43.518000000000001</v>
      </c>
      <c r="J290" s="312">
        <v>42.176000000000002</v>
      </c>
      <c r="K290" s="312" t="s">
        <v>7676</v>
      </c>
      <c r="L290" s="312" t="s">
        <v>7677</v>
      </c>
    </row>
    <row r="291" spans="1:12">
      <c r="A291" s="312">
        <v>989</v>
      </c>
      <c r="B291" s="312" t="s">
        <v>7678</v>
      </c>
      <c r="C291" s="312" t="s">
        <v>7679</v>
      </c>
      <c r="D291" s="312" t="s">
        <v>7680</v>
      </c>
      <c r="E291" s="312">
        <v>1</v>
      </c>
      <c r="F291" s="312">
        <v>1636799519245</v>
      </c>
      <c r="G291" s="312" t="s">
        <v>105</v>
      </c>
      <c r="H291" s="312" t="s">
        <v>105</v>
      </c>
      <c r="I291" s="312">
        <v>109.936790036</v>
      </c>
      <c r="J291" s="312">
        <v>7.9333408562000001</v>
      </c>
      <c r="K291" s="312" t="s">
        <v>7681</v>
      </c>
      <c r="L291" s="312" t="s">
        <v>7682</v>
      </c>
    </row>
    <row r="292" spans="1:12">
      <c r="A292" s="312">
        <v>990</v>
      </c>
      <c r="B292" s="312" t="s">
        <v>7683</v>
      </c>
      <c r="C292" s="312" t="s">
        <v>7684</v>
      </c>
      <c r="D292" s="312" t="s">
        <v>7685</v>
      </c>
      <c r="E292" s="312">
        <v>1</v>
      </c>
      <c r="F292" s="312">
        <v>1636799513318</v>
      </c>
      <c r="G292" s="312" t="s">
        <v>105</v>
      </c>
      <c r="H292" s="312" t="s">
        <v>105</v>
      </c>
      <c r="I292" s="312">
        <v>-56.012</v>
      </c>
      <c r="J292" s="312">
        <v>-32.799999999999997</v>
      </c>
      <c r="K292" s="312" t="s">
        <v>7686</v>
      </c>
      <c r="L292" s="312" t="s">
        <v>7687</v>
      </c>
    </row>
    <row r="293" spans="1:12">
      <c r="A293" s="312">
        <v>991</v>
      </c>
      <c r="B293" s="312" t="s">
        <v>7688</v>
      </c>
      <c r="C293" s="312" t="s">
        <v>7689</v>
      </c>
      <c r="D293" s="312" t="s">
        <v>7690</v>
      </c>
      <c r="E293" s="312">
        <v>1</v>
      </c>
      <c r="F293" s="312">
        <v>1636799510983</v>
      </c>
      <c r="G293" s="312" t="s">
        <v>105</v>
      </c>
      <c r="H293" s="312" t="s">
        <v>105</v>
      </c>
      <c r="I293" s="312">
        <v>-66.165999999999997</v>
      </c>
      <c r="J293" s="312">
        <v>7.125</v>
      </c>
      <c r="K293" s="312" t="s">
        <v>7691</v>
      </c>
      <c r="L293" s="312" t="s">
        <v>7692</v>
      </c>
    </row>
    <row r="294" spans="1:12">
      <c r="A294" s="312">
        <v>992</v>
      </c>
      <c r="B294" s="312" t="s">
        <v>7693</v>
      </c>
      <c r="C294" s="312" t="s">
        <v>7694</v>
      </c>
      <c r="D294" s="312" t="s">
        <v>7695</v>
      </c>
      <c r="E294" s="312">
        <v>1</v>
      </c>
      <c r="F294" s="312">
        <v>1636799516570</v>
      </c>
      <c r="G294" s="312" t="s">
        <v>105</v>
      </c>
      <c r="H294" s="312" t="s">
        <v>105</v>
      </c>
      <c r="I294" s="312">
        <v>0</v>
      </c>
      <c r="J294" s="312">
        <v>0</v>
      </c>
      <c r="K294" s="312" t="s">
        <v>7696</v>
      </c>
      <c r="L294" s="312" t="s">
        <v>7697</v>
      </c>
    </row>
    <row r="295" spans="1:12">
      <c r="A295" s="312">
        <v>993</v>
      </c>
      <c r="B295" s="312" t="s">
        <v>7698</v>
      </c>
      <c r="C295" s="312" t="s">
        <v>7699</v>
      </c>
      <c r="D295" s="312" t="s">
        <v>7700</v>
      </c>
      <c r="E295" s="312">
        <v>1</v>
      </c>
      <c r="F295" s="312">
        <v>1636799510385</v>
      </c>
      <c r="G295" s="312" t="s">
        <v>105</v>
      </c>
      <c r="H295" s="312" t="s">
        <v>105</v>
      </c>
      <c r="I295" s="312">
        <v>0</v>
      </c>
      <c r="J295" s="312">
        <v>0</v>
      </c>
      <c r="K295" s="312" t="s">
        <v>7701</v>
      </c>
      <c r="L295" s="312" t="s">
        <v>7702</v>
      </c>
    </row>
    <row r="296" spans="1:12">
      <c r="A296" s="312">
        <v>994</v>
      </c>
      <c r="B296" s="312" t="s">
        <v>7703</v>
      </c>
      <c r="C296" s="312" t="s">
        <v>7704</v>
      </c>
      <c r="D296" s="312" t="s">
        <v>7705</v>
      </c>
      <c r="E296" s="312">
        <v>1</v>
      </c>
      <c r="F296" s="312">
        <v>1636799513141</v>
      </c>
      <c r="G296" s="312" t="s">
        <v>105</v>
      </c>
      <c r="H296" s="312" t="s">
        <v>105</v>
      </c>
      <c r="I296" s="312">
        <v>0</v>
      </c>
      <c r="J296" s="312">
        <v>0</v>
      </c>
      <c r="K296" s="312" t="s">
        <v>7706</v>
      </c>
      <c r="L296" s="312" t="s">
        <v>7707</v>
      </c>
    </row>
    <row r="297" spans="1:12">
      <c r="A297" s="312">
        <v>995</v>
      </c>
      <c r="B297" s="1" t="s">
        <v>7708</v>
      </c>
      <c r="C297" s="312" t="s">
        <v>7709</v>
      </c>
      <c r="D297" s="312" t="s">
        <v>7710</v>
      </c>
      <c r="E297" s="312">
        <v>1</v>
      </c>
      <c r="F297" s="312">
        <v>1636799516850</v>
      </c>
      <c r="G297" s="312" t="s">
        <v>105</v>
      </c>
      <c r="H297" s="312" t="s">
        <v>105</v>
      </c>
      <c r="I297" s="312">
        <v>114.59099999999999</v>
      </c>
      <c r="J297" s="312">
        <v>4.468</v>
      </c>
      <c r="K297" s="312" t="s">
        <v>7711</v>
      </c>
      <c r="L297" s="312" t="s">
        <v>7712</v>
      </c>
    </row>
    <row r="298" spans="1:12">
      <c r="A298" s="312">
        <v>996</v>
      </c>
      <c r="B298" s="312" t="s">
        <v>7713</v>
      </c>
      <c r="C298" s="312" t="s">
        <v>7714</v>
      </c>
      <c r="D298" s="312" t="s">
        <v>7715</v>
      </c>
      <c r="E298" s="312">
        <v>1</v>
      </c>
      <c r="F298" s="312">
        <v>1636799523609</v>
      </c>
      <c r="G298" s="312" t="s">
        <v>105</v>
      </c>
      <c r="H298" s="312" t="s">
        <v>105</v>
      </c>
      <c r="I298" s="312">
        <v>57.582999999999998</v>
      </c>
      <c r="J298" s="312">
        <v>-20.254999999999999</v>
      </c>
      <c r="K298" s="312" t="s">
        <v>7716</v>
      </c>
      <c r="L298" s="312" t="s">
        <v>7717</v>
      </c>
    </row>
    <row r="299" spans="1:12">
      <c r="A299" s="312">
        <v>997</v>
      </c>
      <c r="B299" s="312" t="s">
        <v>7718</v>
      </c>
      <c r="C299" s="312" t="s">
        <v>7719</v>
      </c>
      <c r="D299" s="312" t="s">
        <v>7720</v>
      </c>
      <c r="E299" s="312">
        <v>1</v>
      </c>
      <c r="F299" s="312">
        <v>1636799522959</v>
      </c>
      <c r="G299" s="312" t="s">
        <v>105</v>
      </c>
      <c r="H299" s="312" t="s">
        <v>105</v>
      </c>
      <c r="I299" s="312">
        <v>0</v>
      </c>
      <c r="J299" s="312">
        <v>0</v>
      </c>
      <c r="K299" s="312" t="s">
        <v>7721</v>
      </c>
      <c r="L299" s="312" t="s">
        <v>7722</v>
      </c>
    </row>
    <row r="300" spans="1:12">
      <c r="A300" s="312">
        <v>998</v>
      </c>
      <c r="B300" s="312" t="s">
        <v>7723</v>
      </c>
      <c r="C300" s="312" t="s">
        <v>7724</v>
      </c>
      <c r="D300" s="312" t="s">
        <v>7725</v>
      </c>
      <c r="E300" s="312">
        <v>1</v>
      </c>
      <c r="F300" s="312">
        <v>1636799515745</v>
      </c>
      <c r="G300" s="312" t="s">
        <v>105</v>
      </c>
      <c r="H300" s="312" t="s">
        <v>105</v>
      </c>
      <c r="I300" s="312">
        <v>69.385999999999996</v>
      </c>
      <c r="J300" s="312">
        <v>29.966999999999999</v>
      </c>
      <c r="K300" s="312" t="s">
        <v>7726</v>
      </c>
      <c r="L300" s="312" t="s">
        <v>7727</v>
      </c>
    </row>
    <row r="301" spans="1:12">
      <c r="A301" s="312">
        <v>999</v>
      </c>
      <c r="B301" s="312" t="s">
        <v>7728</v>
      </c>
      <c r="C301" s="312" t="s">
        <v>7729</v>
      </c>
      <c r="D301" s="312" t="s">
        <v>7730</v>
      </c>
      <c r="E301" s="312">
        <v>1</v>
      </c>
      <c r="F301" s="312">
        <v>1636799513325</v>
      </c>
      <c r="G301" s="312" t="s">
        <v>105</v>
      </c>
      <c r="H301" s="312" t="s">
        <v>105</v>
      </c>
      <c r="I301" s="312">
        <v>0</v>
      </c>
      <c r="J301" s="312">
        <v>0</v>
      </c>
      <c r="K301" s="312" t="s">
        <v>7731</v>
      </c>
      <c r="L301" s="312" t="s">
        <v>7732</v>
      </c>
    </row>
    <row r="302" spans="1:12">
      <c r="A302" s="312">
        <v>1000</v>
      </c>
      <c r="B302" s="312" t="s">
        <v>7733</v>
      </c>
      <c r="C302" s="312" t="s">
        <v>7734</v>
      </c>
      <c r="D302" s="312" t="s">
        <v>7735</v>
      </c>
      <c r="E302" s="312">
        <v>1</v>
      </c>
      <c r="F302" s="312">
        <v>1636799516714</v>
      </c>
      <c r="G302" s="312" t="s">
        <v>105</v>
      </c>
      <c r="H302" s="312" t="s">
        <v>105</v>
      </c>
      <c r="I302" s="312">
        <v>0</v>
      </c>
      <c r="J302" s="312">
        <v>0</v>
      </c>
      <c r="K302" s="312" t="s">
        <v>7736</v>
      </c>
      <c r="L302" s="312" t="s">
        <v>7737</v>
      </c>
    </row>
    <row r="303" spans="1:12">
      <c r="A303" s="312">
        <v>1001</v>
      </c>
      <c r="B303" s="312" t="s">
        <v>7738</v>
      </c>
      <c r="C303" s="312" t="s">
        <v>7739</v>
      </c>
      <c r="D303" s="312" t="s">
        <v>7740</v>
      </c>
      <c r="E303" s="312">
        <v>1</v>
      </c>
      <c r="F303" s="312">
        <v>1636799516844</v>
      </c>
      <c r="G303" s="312" t="s">
        <v>105</v>
      </c>
      <c r="H303" s="312" t="s">
        <v>105</v>
      </c>
      <c r="I303" s="312">
        <v>0</v>
      </c>
      <c r="J303" s="312">
        <v>0</v>
      </c>
      <c r="K303" s="312" t="s">
        <v>7741</v>
      </c>
      <c r="L303" s="312" t="s">
        <v>7742</v>
      </c>
    </row>
    <row r="304" spans="1:12">
      <c r="A304" s="312">
        <v>1002</v>
      </c>
      <c r="B304" s="312" t="s">
        <v>7743</v>
      </c>
      <c r="C304" s="312" t="s">
        <v>7744</v>
      </c>
      <c r="D304" s="312" t="s">
        <v>7745</v>
      </c>
      <c r="E304" s="312">
        <v>1</v>
      </c>
      <c r="F304" s="312">
        <v>1636799513182</v>
      </c>
      <c r="G304" s="312" t="s">
        <v>105</v>
      </c>
      <c r="H304" s="312" t="s">
        <v>105</v>
      </c>
      <c r="I304" s="312">
        <v>0</v>
      </c>
      <c r="J304" s="312">
        <v>0</v>
      </c>
      <c r="K304" s="312" t="s">
        <v>7746</v>
      </c>
      <c r="L304" s="312" t="s">
        <v>7747</v>
      </c>
    </row>
    <row r="305" spans="1:12">
      <c r="A305" s="312">
        <v>1003</v>
      </c>
      <c r="B305" s="312" t="s">
        <v>7748</v>
      </c>
      <c r="C305" s="312" t="s">
        <v>7749</v>
      </c>
      <c r="D305" s="312" t="s">
        <v>7750</v>
      </c>
      <c r="E305" s="312">
        <v>1</v>
      </c>
      <c r="F305" s="312">
        <v>1636799510962</v>
      </c>
      <c r="G305" s="312" t="s">
        <v>105</v>
      </c>
      <c r="H305" s="312" t="s">
        <v>105</v>
      </c>
      <c r="I305" s="312">
        <v>-116.20018782299999</v>
      </c>
      <c r="J305" s="312">
        <v>46.600212040899997</v>
      </c>
      <c r="K305" s="312" t="s">
        <v>7751</v>
      </c>
      <c r="L305" s="312" t="s">
        <v>7752</v>
      </c>
    </row>
    <row r="306" spans="1:12">
      <c r="A306" s="312">
        <v>1004</v>
      </c>
      <c r="B306" s="312" t="s">
        <v>7753</v>
      </c>
      <c r="C306" s="312" t="s">
        <v>7754</v>
      </c>
      <c r="D306" s="312" t="s">
        <v>7755</v>
      </c>
      <c r="E306" s="312">
        <v>1</v>
      </c>
      <c r="F306" s="312">
        <v>1636799523584</v>
      </c>
      <c r="G306" s="312" t="s">
        <v>105</v>
      </c>
      <c r="H306" s="312" t="s">
        <v>105</v>
      </c>
      <c r="I306" s="312">
        <v>114.129</v>
      </c>
      <c r="J306" s="312">
        <v>22.422999999999998</v>
      </c>
      <c r="K306" s="312" t="s">
        <v>7756</v>
      </c>
      <c r="L306" s="312" t="s">
        <v>7757</v>
      </c>
    </row>
    <row r="307" spans="1:12">
      <c r="A307" s="312">
        <v>1005</v>
      </c>
      <c r="B307" s="312" t="s">
        <v>7758</v>
      </c>
      <c r="C307" s="312" t="s">
        <v>7759</v>
      </c>
      <c r="D307" s="312" t="s">
        <v>7760</v>
      </c>
      <c r="E307" s="312">
        <v>1</v>
      </c>
      <c r="F307" s="312">
        <v>1636799513199</v>
      </c>
      <c r="G307" s="312" t="s">
        <v>105</v>
      </c>
      <c r="H307" s="312" t="s">
        <v>105</v>
      </c>
      <c r="I307" s="312">
        <v>0</v>
      </c>
      <c r="J307" s="312">
        <v>0</v>
      </c>
      <c r="K307" s="312" t="s">
        <v>7761</v>
      </c>
      <c r="L307" s="312" t="s">
        <v>7762</v>
      </c>
    </row>
    <row r="308" spans="1:12">
      <c r="A308" s="312">
        <v>1006</v>
      </c>
      <c r="B308" s="312" t="s">
        <v>7763</v>
      </c>
      <c r="C308" s="312" t="s">
        <v>7764</v>
      </c>
      <c r="D308" s="312" t="s">
        <v>7765</v>
      </c>
      <c r="E308" s="312">
        <v>1</v>
      </c>
      <c r="F308" s="312">
        <v>1636799513216</v>
      </c>
      <c r="G308" s="312" t="s">
        <v>105</v>
      </c>
      <c r="H308" s="312" t="s">
        <v>105</v>
      </c>
      <c r="I308" s="312">
        <v>0</v>
      </c>
      <c r="J308" s="312">
        <v>0</v>
      </c>
      <c r="K308" s="312" t="s">
        <v>7766</v>
      </c>
      <c r="L308" s="312" t="s">
        <v>7767</v>
      </c>
    </row>
    <row r="309" spans="1:12">
      <c r="A309" s="312">
        <v>1007</v>
      </c>
      <c r="B309" s="312" t="s">
        <v>7768</v>
      </c>
      <c r="C309" s="312" t="s">
        <v>7769</v>
      </c>
      <c r="D309" s="312" t="s">
        <v>7770</v>
      </c>
      <c r="E309" s="312">
        <v>1</v>
      </c>
      <c r="F309" s="312">
        <v>1636799523790</v>
      </c>
      <c r="G309" s="312" t="s">
        <v>105</v>
      </c>
      <c r="H309" s="312" t="s">
        <v>105</v>
      </c>
      <c r="I309" s="312">
        <v>36.319000000000003</v>
      </c>
      <c r="J309" s="312">
        <v>30.702999999999999</v>
      </c>
      <c r="K309" s="312" t="s">
        <v>7771</v>
      </c>
      <c r="L309" s="312" t="s">
        <v>7772</v>
      </c>
    </row>
    <row r="310" spans="1:12">
      <c r="A310" s="312">
        <v>1008</v>
      </c>
      <c r="B310" s="312" t="s">
        <v>7773</v>
      </c>
      <c r="C310" s="312" t="s">
        <v>7774</v>
      </c>
      <c r="D310" s="312" t="s">
        <v>7775</v>
      </c>
      <c r="E310" s="312">
        <v>1</v>
      </c>
      <c r="F310" s="312">
        <v>1636799516125</v>
      </c>
      <c r="G310" s="312" t="s">
        <v>105</v>
      </c>
      <c r="H310" s="312" t="s">
        <v>105</v>
      </c>
      <c r="I310" s="312">
        <v>54.162999999999997</v>
      </c>
      <c r="J310" s="312">
        <v>23.548999999999999</v>
      </c>
      <c r="K310" s="312" t="s">
        <v>7776</v>
      </c>
      <c r="L310" s="312" t="s">
        <v>7777</v>
      </c>
    </row>
    <row r="311" spans="1:12">
      <c r="A311" s="312">
        <v>1009</v>
      </c>
      <c r="B311" s="312" t="s">
        <v>7778</v>
      </c>
      <c r="C311" s="312" t="s">
        <v>7779</v>
      </c>
      <c r="D311" s="312" t="s">
        <v>7780</v>
      </c>
      <c r="E311" s="312">
        <v>1</v>
      </c>
      <c r="F311" s="312">
        <v>1636799519654</v>
      </c>
      <c r="G311" s="312" t="s">
        <v>105</v>
      </c>
      <c r="H311" s="312" t="s">
        <v>105</v>
      </c>
      <c r="I311" s="312">
        <v>18.287021196000001</v>
      </c>
      <c r="J311" s="312">
        <v>6.41788156451</v>
      </c>
      <c r="K311" s="312" t="s">
        <v>7781</v>
      </c>
      <c r="L311" s="312" t="s">
        <v>7782</v>
      </c>
    </row>
    <row r="312" spans="1:12">
      <c r="A312" s="312">
        <v>1010</v>
      </c>
      <c r="B312" s="312" t="s">
        <v>7783</v>
      </c>
      <c r="C312" s="312" t="s">
        <v>7784</v>
      </c>
      <c r="D312" s="312" t="s">
        <v>7785</v>
      </c>
      <c r="E312" s="312">
        <v>1</v>
      </c>
      <c r="F312" s="312">
        <v>1636799514448</v>
      </c>
      <c r="G312" s="312" t="s">
        <v>105</v>
      </c>
      <c r="H312" s="312" t="s">
        <v>105</v>
      </c>
      <c r="I312" s="312">
        <v>0</v>
      </c>
      <c r="J312" s="312">
        <v>0</v>
      </c>
      <c r="K312" s="312" t="s">
        <v>7786</v>
      </c>
      <c r="L312" s="312" t="s">
        <v>7787</v>
      </c>
    </row>
    <row r="313" spans="1:12">
      <c r="A313" s="312">
        <v>1011</v>
      </c>
      <c r="B313" s="312" t="s">
        <v>7788</v>
      </c>
      <c r="C313" s="312" t="s">
        <v>7789</v>
      </c>
      <c r="D313" s="312" t="s">
        <v>7790</v>
      </c>
      <c r="E313" s="312">
        <v>1</v>
      </c>
      <c r="F313" s="312">
        <v>1636799515023</v>
      </c>
      <c r="G313" s="312" t="s">
        <v>105</v>
      </c>
      <c r="H313" s="312" t="s">
        <v>105</v>
      </c>
      <c r="I313" s="312">
        <v>28.967536196699999</v>
      </c>
      <c r="J313" s="312">
        <v>55.660105163700003</v>
      </c>
      <c r="K313" s="312" t="s">
        <v>7791</v>
      </c>
      <c r="L313" s="312" t="s">
        <v>7792</v>
      </c>
    </row>
    <row r="314" spans="1:12">
      <c r="A314" s="312">
        <v>1012</v>
      </c>
      <c r="B314" s="312" t="s">
        <v>7793</v>
      </c>
      <c r="C314" s="312" t="s">
        <v>7794</v>
      </c>
      <c r="D314" s="312" t="s">
        <v>7795</v>
      </c>
      <c r="E314" s="312">
        <v>1</v>
      </c>
      <c r="F314" s="312">
        <v>1636799515605</v>
      </c>
      <c r="G314" s="312" t="s">
        <v>105</v>
      </c>
      <c r="H314" s="312" t="s">
        <v>105</v>
      </c>
      <c r="I314" s="312">
        <v>96.075924123199997</v>
      </c>
      <c r="J314" s="312">
        <v>45.201179852400003</v>
      </c>
      <c r="K314" s="312" t="s">
        <v>7796</v>
      </c>
      <c r="L314" s="312" t="s">
        <v>7797</v>
      </c>
    </row>
    <row r="315" spans="1:12">
      <c r="A315" s="312">
        <v>1013</v>
      </c>
      <c r="B315" s="312" t="s">
        <v>7798</v>
      </c>
      <c r="C315" s="312" t="s">
        <v>7799</v>
      </c>
      <c r="D315" s="312" t="s">
        <v>7800</v>
      </c>
      <c r="E315" s="312">
        <v>1</v>
      </c>
      <c r="F315" s="312">
        <v>1636799516722</v>
      </c>
      <c r="G315" s="312" t="s">
        <v>105</v>
      </c>
      <c r="H315" s="312" t="s">
        <v>105</v>
      </c>
      <c r="I315" s="312">
        <v>0</v>
      </c>
      <c r="J315" s="312">
        <v>0</v>
      </c>
      <c r="K315" s="312" t="s">
        <v>7801</v>
      </c>
      <c r="L315" s="312" t="s">
        <v>7802</v>
      </c>
    </row>
    <row r="316" spans="1:12">
      <c r="A316" s="312">
        <v>1014</v>
      </c>
      <c r="B316" s="312" t="s">
        <v>7803</v>
      </c>
      <c r="C316" s="312" t="s">
        <v>7804</v>
      </c>
      <c r="D316" s="312" t="s">
        <v>7805</v>
      </c>
      <c r="E316" s="312">
        <v>1</v>
      </c>
      <c r="F316" s="312">
        <v>1636799513191</v>
      </c>
      <c r="G316" s="312" t="s">
        <v>105</v>
      </c>
      <c r="H316" s="312" t="s">
        <v>105</v>
      </c>
      <c r="I316" s="312">
        <v>0</v>
      </c>
      <c r="J316" s="312">
        <v>0</v>
      </c>
      <c r="K316" s="312" t="s">
        <v>7806</v>
      </c>
      <c r="L316" s="312" t="s">
        <v>7807</v>
      </c>
    </row>
    <row r="317" spans="1:12">
      <c r="A317" s="312">
        <v>1015</v>
      </c>
      <c r="B317" s="312" t="s">
        <v>7808</v>
      </c>
      <c r="C317" s="312" t="s">
        <v>7809</v>
      </c>
      <c r="D317" s="312" t="s">
        <v>7810</v>
      </c>
      <c r="E317" s="312">
        <v>1</v>
      </c>
      <c r="F317" s="312">
        <v>1636799522727</v>
      </c>
      <c r="G317" s="312" t="s">
        <v>105</v>
      </c>
      <c r="H317" s="312" t="s">
        <v>105</v>
      </c>
      <c r="I317" s="312">
        <v>10.9203583995</v>
      </c>
      <c r="J317" s="312">
        <v>45.450612255999999</v>
      </c>
      <c r="K317" s="312" t="s">
        <v>7809</v>
      </c>
      <c r="L317" s="312" t="s">
        <v>7811</v>
      </c>
    </row>
    <row r="318" spans="1:12">
      <c r="A318" s="312">
        <v>1016</v>
      </c>
      <c r="B318" s="312" t="s">
        <v>7812</v>
      </c>
      <c r="C318" s="312" t="s">
        <v>7813</v>
      </c>
      <c r="D318" s="312" t="s">
        <v>105</v>
      </c>
      <c r="E318" s="312">
        <v>0</v>
      </c>
      <c r="F318" s="312">
        <v>1636799509792</v>
      </c>
      <c r="G318" s="312" t="s">
        <v>105</v>
      </c>
      <c r="H318" s="312" t="s">
        <v>105</v>
      </c>
      <c r="I318" s="312">
        <v>-45.247612256838202</v>
      </c>
      <c r="J318" s="312">
        <v>0.58986769739922795</v>
      </c>
      <c r="K318" s="312" t="s">
        <v>7814</v>
      </c>
      <c r="L318" s="312" t="s">
        <v>7815</v>
      </c>
    </row>
    <row r="319" spans="1:12">
      <c r="A319" s="312">
        <v>1017</v>
      </c>
      <c r="B319" s="312" t="s">
        <v>7816</v>
      </c>
      <c r="C319" s="312" t="s">
        <v>7817</v>
      </c>
      <c r="D319" s="312" t="s">
        <v>105</v>
      </c>
      <c r="E319" s="312">
        <v>0</v>
      </c>
      <c r="F319" s="312">
        <v>1636799509882</v>
      </c>
      <c r="G319" s="312" t="s">
        <v>105</v>
      </c>
      <c r="H319" s="312" t="s">
        <v>105</v>
      </c>
      <c r="I319" s="312">
        <v>-9.3198639932543799</v>
      </c>
      <c r="J319" s="312">
        <v>6.45223255462406</v>
      </c>
      <c r="K319" s="312" t="s">
        <v>7818</v>
      </c>
      <c r="L319" s="312" t="s">
        <v>7819</v>
      </c>
    </row>
    <row r="320" spans="1:12">
      <c r="A320" s="312">
        <v>1018</v>
      </c>
      <c r="B320" s="312" t="s">
        <v>7820</v>
      </c>
      <c r="C320" s="312" t="s">
        <v>7821</v>
      </c>
      <c r="D320" s="312" t="s">
        <v>105</v>
      </c>
      <c r="E320" s="312">
        <v>0</v>
      </c>
      <c r="F320" s="312">
        <v>1636799509944</v>
      </c>
      <c r="G320" s="312" t="s">
        <v>105</v>
      </c>
      <c r="H320" s="312" t="s">
        <v>105</v>
      </c>
      <c r="I320" s="312">
        <v>-145.053251216039</v>
      </c>
      <c r="J320" s="312">
        <v>-15.1896096746843</v>
      </c>
      <c r="K320" s="312" t="s">
        <v>7822</v>
      </c>
      <c r="L320" s="312" t="s">
        <v>7823</v>
      </c>
    </row>
    <row r="321" spans="1:12">
      <c r="A321" s="312">
        <v>1019</v>
      </c>
      <c r="B321" s="312" t="s">
        <v>7824</v>
      </c>
      <c r="C321" s="312" t="s">
        <v>7825</v>
      </c>
      <c r="D321" s="312" t="s">
        <v>105</v>
      </c>
      <c r="E321" s="312">
        <v>0</v>
      </c>
      <c r="F321" s="312">
        <v>1636799509988</v>
      </c>
      <c r="G321" s="312" t="s">
        <v>105</v>
      </c>
      <c r="H321" s="312" t="s">
        <v>105</v>
      </c>
      <c r="I321" s="312">
        <v>19.462909986705998</v>
      </c>
      <c r="J321" s="312">
        <v>0.61808084581748501</v>
      </c>
      <c r="K321" s="312" t="s">
        <v>7826</v>
      </c>
      <c r="L321" s="312" t="s">
        <v>7827</v>
      </c>
    </row>
    <row r="322" spans="1:12">
      <c r="A322" s="312">
        <v>1020</v>
      </c>
      <c r="B322" s="312" t="s">
        <v>7828</v>
      </c>
      <c r="C322" s="312" t="s">
        <v>7829</v>
      </c>
      <c r="D322" s="312" t="s">
        <v>105</v>
      </c>
      <c r="E322" s="312">
        <v>0</v>
      </c>
      <c r="F322" s="312">
        <v>1636799512974</v>
      </c>
      <c r="G322" s="312" t="s">
        <v>105</v>
      </c>
      <c r="H322" s="312" t="s">
        <v>105</v>
      </c>
      <c r="I322" s="312">
        <v>147.01166187504799</v>
      </c>
      <c r="J322" s="312">
        <v>-32.168868191383503</v>
      </c>
      <c r="K322" s="312" t="s">
        <v>7830</v>
      </c>
      <c r="L322" s="312" t="s">
        <v>7831</v>
      </c>
    </row>
    <row r="323" spans="1:12">
      <c r="A323" s="312">
        <v>1021</v>
      </c>
      <c r="B323" s="312" t="s">
        <v>7832</v>
      </c>
      <c r="C323" s="312" t="s">
        <v>7833</v>
      </c>
      <c r="D323" s="312" t="s">
        <v>105</v>
      </c>
      <c r="E323" s="312">
        <v>0</v>
      </c>
      <c r="F323" s="312">
        <v>1636799510339</v>
      </c>
      <c r="G323" s="312" t="s">
        <v>105</v>
      </c>
      <c r="H323" s="312" t="s">
        <v>105</v>
      </c>
      <c r="I323" s="312">
        <v>84.608224500193501</v>
      </c>
      <c r="J323" s="312">
        <v>32.215471530760098</v>
      </c>
      <c r="K323" s="312" t="s">
        <v>7834</v>
      </c>
      <c r="L323" s="312" t="s">
        <v>7835</v>
      </c>
    </row>
    <row r="324" spans="1:12">
      <c r="A324" s="312">
        <v>1022</v>
      </c>
      <c r="B324" s="312" t="s">
        <v>7836</v>
      </c>
      <c r="C324" s="312" t="s">
        <v>7837</v>
      </c>
      <c r="D324" s="312" t="s">
        <v>105</v>
      </c>
      <c r="E324" s="312">
        <v>0</v>
      </c>
      <c r="F324" s="312">
        <v>1636799513018</v>
      </c>
      <c r="G324" s="312" t="s">
        <v>105</v>
      </c>
      <c r="H324" s="312" t="s">
        <v>105</v>
      </c>
      <c r="I324" s="312">
        <v>146.59852584885601</v>
      </c>
      <c r="J324" s="312">
        <v>-41.933920963390399</v>
      </c>
      <c r="K324" s="312" t="s">
        <v>7838</v>
      </c>
      <c r="L324" s="312" t="s">
        <v>7839</v>
      </c>
    </row>
    <row r="325" spans="1:12">
      <c r="A325" s="312">
        <v>1023</v>
      </c>
      <c r="B325" s="312" t="s">
        <v>7840</v>
      </c>
      <c r="C325" s="312" t="s">
        <v>7841</v>
      </c>
      <c r="D325" s="312" t="s">
        <v>105</v>
      </c>
      <c r="E325" s="312">
        <v>0</v>
      </c>
      <c r="F325" s="312">
        <v>1636799513258</v>
      </c>
      <c r="G325" s="312" t="s">
        <v>105</v>
      </c>
      <c r="H325" s="312" t="s">
        <v>105</v>
      </c>
      <c r="I325" s="312">
        <v>-59.561217748134297</v>
      </c>
      <c r="J325" s="312">
        <v>13.181053826807901</v>
      </c>
      <c r="K325" s="312" t="s">
        <v>7842</v>
      </c>
      <c r="L325" s="312" t="s">
        <v>7843</v>
      </c>
    </row>
    <row r="326" spans="1:12">
      <c r="A326" s="312">
        <v>1024</v>
      </c>
      <c r="B326" s="312" t="s">
        <v>7844</v>
      </c>
      <c r="C326" s="312" t="s">
        <v>7845</v>
      </c>
      <c r="D326" s="312" t="s">
        <v>105</v>
      </c>
      <c r="E326" s="312">
        <v>0</v>
      </c>
      <c r="F326" s="312">
        <v>1636799513276</v>
      </c>
      <c r="G326" s="312" t="s">
        <v>105</v>
      </c>
      <c r="H326" s="312" t="s">
        <v>105</v>
      </c>
      <c r="I326" s="312">
        <v>72.298814820815196</v>
      </c>
      <c r="J326" s="312">
        <v>-7.1443312202552098</v>
      </c>
      <c r="K326" s="312" t="s">
        <v>7846</v>
      </c>
      <c r="L326" s="312" t="s">
        <v>7847</v>
      </c>
    </row>
    <row r="327" spans="1:12">
      <c r="A327" s="312">
        <v>1025</v>
      </c>
      <c r="B327" s="312" t="s">
        <v>7848</v>
      </c>
      <c r="C327" s="312" t="s">
        <v>7849</v>
      </c>
      <c r="D327" s="312" t="s">
        <v>105</v>
      </c>
      <c r="E327" s="312">
        <v>0</v>
      </c>
      <c r="F327" s="312">
        <v>1636799513277</v>
      </c>
      <c r="G327" s="312" t="s">
        <v>105</v>
      </c>
      <c r="H327" s="312" t="s">
        <v>105</v>
      </c>
      <c r="I327" s="312">
        <v>-61.655106112385504</v>
      </c>
      <c r="J327" s="312">
        <v>12.1560537421354</v>
      </c>
      <c r="K327" s="312" t="s">
        <v>7850</v>
      </c>
      <c r="L327" s="312" t="s">
        <v>7851</v>
      </c>
    </row>
    <row r="328" spans="1:12">
      <c r="A328" s="312">
        <v>1026</v>
      </c>
      <c r="B328" s="312" t="s">
        <v>7852</v>
      </c>
      <c r="C328" s="312" t="s">
        <v>7853</v>
      </c>
      <c r="D328" s="312" t="s">
        <v>105</v>
      </c>
      <c r="E328" s="312">
        <v>0</v>
      </c>
      <c r="F328" s="312">
        <v>1636799513303</v>
      </c>
      <c r="G328" s="312" t="s">
        <v>105</v>
      </c>
      <c r="H328" s="312" t="s">
        <v>105</v>
      </c>
      <c r="I328" s="312">
        <v>-64.502863193801701</v>
      </c>
      <c r="J328" s="312">
        <v>18.509884129186901</v>
      </c>
      <c r="K328" s="312" t="s">
        <v>7854</v>
      </c>
      <c r="L328" s="312" t="s">
        <v>7855</v>
      </c>
    </row>
    <row r="329" spans="1:12">
      <c r="A329" s="312">
        <v>1027</v>
      </c>
      <c r="B329" s="312" t="s">
        <v>7856</v>
      </c>
      <c r="C329" s="312" t="s">
        <v>7857</v>
      </c>
      <c r="D329" s="312" t="s">
        <v>105</v>
      </c>
      <c r="E329" s="312">
        <v>0</v>
      </c>
      <c r="F329" s="312">
        <v>1636799510881</v>
      </c>
      <c r="G329" s="312" t="s">
        <v>105</v>
      </c>
      <c r="H329" s="312" t="s">
        <v>105</v>
      </c>
      <c r="I329" s="312">
        <v>-83.0978623720016</v>
      </c>
      <c r="J329" s="312">
        <v>35.460916396714303</v>
      </c>
      <c r="K329" s="312" t="s">
        <v>7858</v>
      </c>
      <c r="L329" s="312" t="s">
        <v>7859</v>
      </c>
    </row>
    <row r="330" spans="1:12">
      <c r="A330" s="312">
        <v>1028</v>
      </c>
      <c r="B330" s="312" t="s">
        <v>7860</v>
      </c>
      <c r="C330" s="312" t="s">
        <v>7861</v>
      </c>
      <c r="D330" s="312" t="s">
        <v>105</v>
      </c>
      <c r="E330" s="312">
        <v>0</v>
      </c>
      <c r="F330" s="312">
        <v>1636799511078</v>
      </c>
      <c r="G330" s="312" t="s">
        <v>105</v>
      </c>
      <c r="H330" s="312" t="s">
        <v>105</v>
      </c>
      <c r="I330" s="312">
        <v>-58.979924391814997</v>
      </c>
      <c r="J330" s="312">
        <v>4.7942949198205804</v>
      </c>
      <c r="K330" s="312" t="s">
        <v>7862</v>
      </c>
      <c r="L330" s="312" t="s">
        <v>7863</v>
      </c>
    </row>
    <row r="331" spans="1:12">
      <c r="A331" s="312">
        <v>1029</v>
      </c>
      <c r="B331" s="312" t="s">
        <v>7864</v>
      </c>
      <c r="C331" s="312" t="s">
        <v>7865</v>
      </c>
      <c r="D331" s="312" t="s">
        <v>105</v>
      </c>
      <c r="E331" s="312">
        <v>0</v>
      </c>
      <c r="F331" s="312">
        <v>1636799512176</v>
      </c>
      <c r="G331" s="312" t="s">
        <v>105</v>
      </c>
      <c r="H331" s="312" t="s">
        <v>105</v>
      </c>
      <c r="I331" s="312">
        <v>92.267356573212098</v>
      </c>
      <c r="J331" s="312">
        <v>59.950686374354703</v>
      </c>
      <c r="K331" s="312" t="s">
        <v>7866</v>
      </c>
      <c r="L331" s="312" t="s">
        <v>7867</v>
      </c>
    </row>
    <row r="332" spans="1:12">
      <c r="A332" s="312">
        <v>1030</v>
      </c>
      <c r="B332" s="312" t="s">
        <v>7868</v>
      </c>
      <c r="C332" s="312" t="s">
        <v>7869</v>
      </c>
      <c r="D332" s="312" t="s">
        <v>105</v>
      </c>
      <c r="E332" s="312">
        <v>0</v>
      </c>
      <c r="F332" s="312">
        <v>1636799513024</v>
      </c>
      <c r="G332" s="312" t="s">
        <v>105</v>
      </c>
      <c r="H332" s="312" t="s">
        <v>105</v>
      </c>
      <c r="I332" s="312">
        <v>144.30883840665899</v>
      </c>
      <c r="J332" s="312">
        <v>-36.856761185142197</v>
      </c>
      <c r="K332" s="312" t="s">
        <v>7870</v>
      </c>
      <c r="L332" s="312" t="s">
        <v>7871</v>
      </c>
    </row>
    <row r="333" spans="1:12">
      <c r="A333" s="312">
        <v>1031</v>
      </c>
      <c r="B333" s="312" t="s">
        <v>7872</v>
      </c>
      <c r="C333" s="312" t="s">
        <v>7873</v>
      </c>
      <c r="D333" s="312" t="s">
        <v>105</v>
      </c>
      <c r="E333" s="312">
        <v>0</v>
      </c>
      <c r="F333" s="312">
        <v>1636799513320</v>
      </c>
      <c r="G333" s="312" t="s">
        <v>105</v>
      </c>
      <c r="H333" s="312" t="s">
        <v>105</v>
      </c>
      <c r="I333" s="312">
        <v>151.48414840971699</v>
      </c>
      <c r="J333" s="312">
        <v>-19.104680579125699</v>
      </c>
      <c r="K333" s="312" t="s">
        <v>7873</v>
      </c>
      <c r="L333" s="312" t="s">
        <v>7874</v>
      </c>
    </row>
    <row r="334" spans="1:12">
      <c r="A334" s="312">
        <v>1032</v>
      </c>
      <c r="B334" s="312" t="s">
        <v>7875</v>
      </c>
      <c r="C334" s="312" t="s">
        <v>7876</v>
      </c>
      <c r="D334" s="312" t="s">
        <v>105</v>
      </c>
      <c r="E334" s="312">
        <v>0</v>
      </c>
      <c r="F334" s="312">
        <v>1636799513832</v>
      </c>
      <c r="G334" s="312" t="s">
        <v>105</v>
      </c>
      <c r="H334" s="312" t="s">
        <v>105</v>
      </c>
      <c r="I334" s="312">
        <v>117.75381196333301</v>
      </c>
      <c r="J334" s="312">
        <v>15.152112821999999</v>
      </c>
      <c r="K334" s="312" t="s">
        <v>7876</v>
      </c>
      <c r="L334" s="312" t="s">
        <v>7877</v>
      </c>
    </row>
    <row r="335" spans="1:12">
      <c r="A335" s="312">
        <v>1033</v>
      </c>
      <c r="B335" s="312" t="s">
        <v>7878</v>
      </c>
      <c r="C335" s="312" t="s">
        <v>7879</v>
      </c>
      <c r="D335" s="312" t="s">
        <v>105</v>
      </c>
      <c r="E335" s="312">
        <v>0</v>
      </c>
      <c r="F335" s="312">
        <v>1636799513832</v>
      </c>
      <c r="G335" s="312" t="s">
        <v>105</v>
      </c>
      <c r="H335" s="312" t="s">
        <v>105</v>
      </c>
      <c r="I335" s="312">
        <v>-78.638118727666495</v>
      </c>
      <c r="J335" s="312">
        <v>15.8644608963334</v>
      </c>
      <c r="K335" s="312" t="s">
        <v>7879</v>
      </c>
      <c r="L335" s="312" t="s">
        <v>7880</v>
      </c>
    </row>
    <row r="336" spans="1:12">
      <c r="A336" s="312">
        <v>1034</v>
      </c>
      <c r="B336" s="312" t="s">
        <v>7881</v>
      </c>
      <c r="C336" s="312" t="s">
        <v>7882</v>
      </c>
      <c r="D336" s="312" t="s">
        <v>105</v>
      </c>
      <c r="E336" s="312">
        <v>0</v>
      </c>
      <c r="F336" s="312">
        <v>1636799513836</v>
      </c>
      <c r="G336" s="312" t="s">
        <v>105</v>
      </c>
      <c r="H336" s="312" t="s">
        <v>105</v>
      </c>
      <c r="I336" s="312">
        <v>-10.138417837167699</v>
      </c>
      <c r="J336" s="312">
        <v>-24.911350236285301</v>
      </c>
      <c r="K336" s="312" t="s">
        <v>7883</v>
      </c>
      <c r="L336" s="312" t="s">
        <v>7884</v>
      </c>
    </row>
    <row r="337" spans="1:12">
      <c r="A337" s="312">
        <v>1035</v>
      </c>
      <c r="B337" s="312" t="s">
        <v>7885</v>
      </c>
      <c r="C337" s="312" t="s">
        <v>7886</v>
      </c>
      <c r="D337" s="312" t="s">
        <v>105</v>
      </c>
      <c r="E337" s="312">
        <v>0</v>
      </c>
      <c r="F337" s="312">
        <v>1636799514696</v>
      </c>
      <c r="G337" s="312" t="s">
        <v>105</v>
      </c>
      <c r="H337" s="312" t="s">
        <v>105</v>
      </c>
      <c r="I337" s="312">
        <v>-61.356917592045498</v>
      </c>
      <c r="J337" s="312">
        <v>15.436440485163899</v>
      </c>
      <c r="K337" s="312" t="s">
        <v>7887</v>
      </c>
      <c r="L337" s="312" t="s">
        <v>7888</v>
      </c>
    </row>
    <row r="338" spans="1:12">
      <c r="A338" s="312">
        <v>1036</v>
      </c>
      <c r="B338" s="312" t="s">
        <v>7889</v>
      </c>
      <c r="C338" s="312" t="s">
        <v>7890</v>
      </c>
      <c r="D338" s="312" t="s">
        <v>105</v>
      </c>
      <c r="E338" s="312">
        <v>0</v>
      </c>
      <c r="F338" s="312">
        <v>1636799516853</v>
      </c>
      <c r="G338" s="312" t="s">
        <v>105</v>
      </c>
      <c r="H338" s="312" t="s">
        <v>105</v>
      </c>
      <c r="I338" s="312">
        <v>-23.975655808037001</v>
      </c>
      <c r="J338" s="312">
        <v>15.9451519269447</v>
      </c>
      <c r="K338" s="312" t="s">
        <v>7891</v>
      </c>
      <c r="L338" s="312" t="s">
        <v>7892</v>
      </c>
    </row>
    <row r="339" spans="1:12">
      <c r="A339" s="312">
        <v>1037</v>
      </c>
      <c r="B339" s="312" t="s">
        <v>7893</v>
      </c>
      <c r="C339" s="312" t="s">
        <v>7894</v>
      </c>
      <c r="D339" s="312" t="s">
        <v>105</v>
      </c>
      <c r="E339" s="312">
        <v>0</v>
      </c>
      <c r="F339" s="312">
        <v>1636799512522</v>
      </c>
      <c r="G339" s="312" t="s">
        <v>105</v>
      </c>
      <c r="H339" s="312" t="s">
        <v>105</v>
      </c>
      <c r="I339" s="312">
        <v>-103.857922674367</v>
      </c>
      <c r="J339" s="312">
        <v>53.317953086711498</v>
      </c>
      <c r="K339" s="312" t="s">
        <v>7895</v>
      </c>
      <c r="L339" s="312" t="s">
        <v>7896</v>
      </c>
    </row>
    <row r="340" spans="1:12">
      <c r="A340" s="312">
        <v>1038</v>
      </c>
      <c r="B340" s="312" t="s">
        <v>7897</v>
      </c>
      <c r="C340" s="312" t="s">
        <v>7898</v>
      </c>
      <c r="D340" s="312" t="s">
        <v>105</v>
      </c>
      <c r="E340" s="312">
        <v>0</v>
      </c>
      <c r="F340" s="312">
        <v>1636799512547</v>
      </c>
      <c r="G340" s="312" t="s">
        <v>105</v>
      </c>
      <c r="H340" s="312" t="s">
        <v>105</v>
      </c>
      <c r="I340" s="312">
        <v>-169.869346042128</v>
      </c>
      <c r="J340" s="312">
        <v>-19.0489197559689</v>
      </c>
      <c r="K340" s="312" t="s">
        <v>7899</v>
      </c>
      <c r="L340" s="312" t="s">
        <v>7900</v>
      </c>
    </row>
    <row r="341" spans="1:12">
      <c r="A341" s="312">
        <v>1039</v>
      </c>
      <c r="B341" s="312" t="s">
        <v>7901</v>
      </c>
      <c r="C341" s="312" t="s">
        <v>7902</v>
      </c>
      <c r="D341" s="312" t="s">
        <v>105</v>
      </c>
      <c r="E341" s="312">
        <v>0</v>
      </c>
      <c r="F341" s="312">
        <v>1636799512557</v>
      </c>
      <c r="G341" s="312" t="s">
        <v>105</v>
      </c>
      <c r="H341" s="312" t="s">
        <v>105</v>
      </c>
      <c r="I341" s="312">
        <v>31.4800241030112</v>
      </c>
      <c r="J341" s="312">
        <v>-26.561914349034801</v>
      </c>
      <c r="K341" s="312" t="s">
        <v>7903</v>
      </c>
      <c r="L341" s="312" t="s">
        <v>7904</v>
      </c>
    </row>
    <row r="342" spans="1:12">
      <c r="A342" s="312">
        <v>1040</v>
      </c>
      <c r="B342" s="312" t="s">
        <v>7905</v>
      </c>
      <c r="C342" s="312" t="s">
        <v>7906</v>
      </c>
      <c r="D342" s="312" t="s">
        <v>105</v>
      </c>
      <c r="E342" s="312">
        <v>0</v>
      </c>
      <c r="F342" s="312">
        <v>1636799512592</v>
      </c>
      <c r="G342" s="312" t="s">
        <v>105</v>
      </c>
      <c r="H342" s="312" t="s">
        <v>105</v>
      </c>
      <c r="I342" s="312">
        <v>20.561700741971801</v>
      </c>
      <c r="J342" s="312">
        <v>44.009819664422103</v>
      </c>
      <c r="K342" s="312" t="s">
        <v>7907</v>
      </c>
      <c r="L342" s="312" t="s">
        <v>7908</v>
      </c>
    </row>
    <row r="343" spans="1:12">
      <c r="A343" s="312">
        <v>1041</v>
      </c>
      <c r="B343" s="312" t="s">
        <v>7909</v>
      </c>
      <c r="C343" s="312" t="s">
        <v>7910</v>
      </c>
      <c r="D343" s="312" t="s">
        <v>105</v>
      </c>
      <c r="E343" s="312">
        <v>0</v>
      </c>
      <c r="F343" s="312">
        <v>1636799513704</v>
      </c>
      <c r="G343" s="312" t="s">
        <v>105</v>
      </c>
      <c r="H343" s="312" t="s">
        <v>105</v>
      </c>
      <c r="I343" s="312">
        <v>43.680163186549798</v>
      </c>
      <c r="J343" s="312">
        <v>-11.8842162114899</v>
      </c>
      <c r="K343" s="312" t="s">
        <v>7911</v>
      </c>
      <c r="L343" s="312" t="s">
        <v>7912</v>
      </c>
    </row>
    <row r="344" spans="1:12">
      <c r="A344" s="312">
        <v>1042</v>
      </c>
      <c r="B344" s="312" t="s">
        <v>7913</v>
      </c>
      <c r="C344" s="312" t="s">
        <v>7914</v>
      </c>
      <c r="D344" s="312" t="s">
        <v>105</v>
      </c>
      <c r="E344" s="312">
        <v>0</v>
      </c>
      <c r="F344" s="312">
        <v>1636799514442</v>
      </c>
      <c r="G344" s="312" t="s">
        <v>105</v>
      </c>
      <c r="H344" s="312" t="s">
        <v>105</v>
      </c>
      <c r="I344" s="312">
        <v>-61.792183840343597</v>
      </c>
      <c r="J344" s="312">
        <v>17.284096195259501</v>
      </c>
      <c r="K344" s="312" t="s">
        <v>7915</v>
      </c>
      <c r="L344" s="312" t="s">
        <v>7916</v>
      </c>
    </row>
    <row r="345" spans="1:12">
      <c r="A345" s="312">
        <v>1043</v>
      </c>
      <c r="B345" s="312" t="s">
        <v>7917</v>
      </c>
      <c r="C345" s="312" t="s">
        <v>7918</v>
      </c>
      <c r="D345" s="312" t="s">
        <v>105</v>
      </c>
      <c r="E345" s="312">
        <v>0</v>
      </c>
      <c r="F345" s="312">
        <v>1636799515818</v>
      </c>
      <c r="G345" s="312" t="s">
        <v>105</v>
      </c>
      <c r="H345" s="312" t="s">
        <v>105</v>
      </c>
      <c r="I345" s="312">
        <v>178.498331184737</v>
      </c>
      <c r="J345" s="312">
        <v>-7.7641982046993601</v>
      </c>
      <c r="K345" s="312" t="s">
        <v>7919</v>
      </c>
      <c r="L345" s="312" t="s">
        <v>7920</v>
      </c>
    </row>
    <row r="346" spans="1:12">
      <c r="A346" s="312">
        <v>1044</v>
      </c>
      <c r="B346" s="312" t="s">
        <v>7921</v>
      </c>
      <c r="C346" s="312" t="s">
        <v>7922</v>
      </c>
      <c r="D346" s="312" t="s">
        <v>105</v>
      </c>
      <c r="E346" s="312">
        <v>0</v>
      </c>
      <c r="F346" s="312">
        <v>1636799512985</v>
      </c>
      <c r="G346" s="312" t="s">
        <v>105</v>
      </c>
      <c r="H346" s="312" t="s">
        <v>105</v>
      </c>
      <c r="I346" s="312">
        <v>133.366272040985</v>
      </c>
      <c r="J346" s="312">
        <v>-19.415151397924799</v>
      </c>
      <c r="K346" s="312" t="s">
        <v>7923</v>
      </c>
      <c r="L346" s="312" t="s">
        <v>7924</v>
      </c>
    </row>
    <row r="347" spans="1:12">
      <c r="A347" s="312">
        <v>1045</v>
      </c>
      <c r="B347" s="312" t="s">
        <v>7925</v>
      </c>
      <c r="C347" s="312" t="s">
        <v>7926</v>
      </c>
      <c r="D347" s="312" t="s">
        <v>105</v>
      </c>
      <c r="E347" s="312">
        <v>0</v>
      </c>
      <c r="F347" s="312">
        <v>1636799513000</v>
      </c>
      <c r="G347" s="312" t="s">
        <v>105</v>
      </c>
      <c r="H347" s="312" t="s">
        <v>105</v>
      </c>
      <c r="I347" s="312">
        <v>144.55047109566499</v>
      </c>
      <c r="J347" s="312">
        <v>-22.5709200824936</v>
      </c>
      <c r="K347" s="312" t="s">
        <v>7927</v>
      </c>
      <c r="L347" s="312" t="s">
        <v>7928</v>
      </c>
    </row>
    <row r="348" spans="1:12">
      <c r="A348" s="312">
        <v>1046</v>
      </c>
      <c r="B348" s="312" t="s">
        <v>7929</v>
      </c>
      <c r="C348" s="312" t="s">
        <v>7930</v>
      </c>
      <c r="D348" s="312" t="s">
        <v>105</v>
      </c>
      <c r="E348" s="312">
        <v>0</v>
      </c>
      <c r="F348" s="312">
        <v>1636799513009</v>
      </c>
      <c r="G348" s="312" t="s">
        <v>105</v>
      </c>
      <c r="H348" s="312" t="s">
        <v>105</v>
      </c>
      <c r="I348" s="312">
        <v>135.827499589647</v>
      </c>
      <c r="J348" s="312">
        <v>-30.106554904365801</v>
      </c>
      <c r="K348" s="312" t="s">
        <v>7931</v>
      </c>
      <c r="L348" s="312" t="s">
        <v>7932</v>
      </c>
    </row>
    <row r="349" spans="1:12">
      <c r="A349" s="312">
        <v>1047</v>
      </c>
      <c r="B349" s="312" t="s">
        <v>7933</v>
      </c>
      <c r="C349" s="312" t="s">
        <v>7934</v>
      </c>
      <c r="D349" s="312" t="s">
        <v>105</v>
      </c>
      <c r="E349" s="312">
        <v>0</v>
      </c>
      <c r="F349" s="312">
        <v>1636799513051</v>
      </c>
      <c r="G349" s="312" t="s">
        <v>105</v>
      </c>
      <c r="H349" s="312" t="s">
        <v>105</v>
      </c>
      <c r="I349" s="312">
        <v>122.177321402112</v>
      </c>
      <c r="J349" s="312">
        <v>-25.465687650125702</v>
      </c>
      <c r="K349" s="312" t="s">
        <v>7935</v>
      </c>
      <c r="L349" s="312" t="s">
        <v>7936</v>
      </c>
    </row>
    <row r="350" spans="1:12">
      <c r="A350" s="312">
        <v>1048</v>
      </c>
      <c r="B350" s="312" t="s">
        <v>7937</v>
      </c>
      <c r="C350" s="312" t="s">
        <v>7938</v>
      </c>
      <c r="D350" s="312" t="s">
        <v>105</v>
      </c>
      <c r="E350" s="312">
        <v>0</v>
      </c>
      <c r="F350" s="312">
        <v>1636799513055</v>
      </c>
      <c r="G350" s="312" t="s">
        <v>105</v>
      </c>
      <c r="H350" s="312" t="s">
        <v>105</v>
      </c>
      <c r="I350" s="312">
        <v>6.7264428741938298</v>
      </c>
      <c r="J350" s="312">
        <v>0.44426003772469402</v>
      </c>
      <c r="K350" s="312" t="s">
        <v>7939</v>
      </c>
      <c r="L350" s="312" t="s">
        <v>7940</v>
      </c>
    </row>
    <row r="351" spans="1:12">
      <c r="A351" s="312">
        <v>1049</v>
      </c>
      <c r="B351" s="312" t="s">
        <v>7941</v>
      </c>
      <c r="C351" s="312" t="s">
        <v>7942</v>
      </c>
      <c r="D351" s="312" t="s">
        <v>105</v>
      </c>
      <c r="E351" s="312">
        <v>0</v>
      </c>
      <c r="F351" s="312">
        <v>1636799513081</v>
      </c>
      <c r="G351" s="312" t="s">
        <v>105</v>
      </c>
      <c r="H351" s="312" t="s">
        <v>105</v>
      </c>
      <c r="I351" s="312">
        <v>167.700844140942</v>
      </c>
      <c r="J351" s="312">
        <v>-16.201267919694899</v>
      </c>
      <c r="K351" s="312" t="s">
        <v>7943</v>
      </c>
      <c r="L351" s="312" t="s">
        <v>7944</v>
      </c>
    </row>
    <row r="352" spans="1:12">
      <c r="A352" s="312">
        <v>1050</v>
      </c>
      <c r="B352" s="312" t="s">
        <v>7945</v>
      </c>
      <c r="C352" s="312" t="s">
        <v>7946</v>
      </c>
      <c r="D352" s="312" t="s">
        <v>105</v>
      </c>
      <c r="E352" s="312">
        <v>0</v>
      </c>
      <c r="F352" s="312">
        <v>1636799513109</v>
      </c>
      <c r="G352" s="312" t="s">
        <v>105</v>
      </c>
      <c r="H352" s="312" t="s">
        <v>105</v>
      </c>
      <c r="I352" s="312">
        <v>92.975004816521604</v>
      </c>
      <c r="J352" s="312">
        <v>11.140242260075601</v>
      </c>
      <c r="K352" s="312" t="s">
        <v>7947</v>
      </c>
      <c r="L352" s="312" t="s">
        <v>7948</v>
      </c>
    </row>
    <row r="353" spans="1:12">
      <c r="A353" s="312">
        <v>1051</v>
      </c>
      <c r="B353" s="312" t="s">
        <v>7949</v>
      </c>
      <c r="C353" s="312" t="s">
        <v>7950</v>
      </c>
      <c r="D353" s="312" t="s">
        <v>105</v>
      </c>
      <c r="E353" s="312">
        <v>0</v>
      </c>
      <c r="F353" s="312">
        <v>1636799513421</v>
      </c>
      <c r="G353" s="312" t="s">
        <v>105</v>
      </c>
      <c r="H353" s="312" t="s">
        <v>105</v>
      </c>
      <c r="I353" s="312">
        <v>-1.75552766421579</v>
      </c>
      <c r="J353" s="312">
        <v>12.2695539086104</v>
      </c>
      <c r="K353" s="312" t="s">
        <v>7951</v>
      </c>
      <c r="L353" s="312" t="s">
        <v>7952</v>
      </c>
    </row>
    <row r="354" spans="1:12">
      <c r="A354" s="312">
        <v>1052</v>
      </c>
      <c r="B354" s="312" t="s">
        <v>7953</v>
      </c>
      <c r="C354" s="312" t="s">
        <v>7954</v>
      </c>
      <c r="D354" s="312" t="s">
        <v>105</v>
      </c>
      <c r="E354" s="312">
        <v>0</v>
      </c>
      <c r="F354" s="312">
        <v>1636799513434</v>
      </c>
      <c r="G354" s="312" t="s">
        <v>105</v>
      </c>
      <c r="H354" s="312" t="s">
        <v>105</v>
      </c>
      <c r="I354" s="312">
        <v>-88.692813258964506</v>
      </c>
      <c r="J354" s="312">
        <v>17.208448144300199</v>
      </c>
      <c r="K354" s="312" t="s">
        <v>7955</v>
      </c>
      <c r="L354" s="312" t="s">
        <v>7956</v>
      </c>
    </row>
    <row r="355" spans="1:12">
      <c r="A355" s="312">
        <v>1053</v>
      </c>
      <c r="B355" s="312" t="s">
        <v>7957</v>
      </c>
      <c r="C355" s="312" t="s">
        <v>7958</v>
      </c>
      <c r="D355" s="312" t="s">
        <v>105</v>
      </c>
      <c r="E355" s="312">
        <v>0</v>
      </c>
      <c r="F355" s="312">
        <v>1636799513808</v>
      </c>
      <c r="G355" s="312" t="s">
        <v>105</v>
      </c>
      <c r="H355" s="312" t="s">
        <v>105</v>
      </c>
      <c r="I355" s="312">
        <v>-10.943061204611199</v>
      </c>
      <c r="J355" s="312">
        <v>10.434649017384</v>
      </c>
      <c r="K355" s="312" t="s">
        <v>7959</v>
      </c>
      <c r="L355" s="312" t="s">
        <v>7960</v>
      </c>
    </row>
    <row r="356" spans="1:12">
      <c r="A356" s="312">
        <v>1054</v>
      </c>
      <c r="B356" s="312" t="s">
        <v>7961</v>
      </c>
      <c r="C356" s="312" t="s">
        <v>7962</v>
      </c>
      <c r="D356" s="312" t="s">
        <v>105</v>
      </c>
      <c r="E356" s="312">
        <v>0</v>
      </c>
      <c r="F356" s="312">
        <v>1636799513825</v>
      </c>
      <c r="G356" s="312" t="s">
        <v>105</v>
      </c>
      <c r="H356" s="312" t="s">
        <v>105</v>
      </c>
      <c r="I356" s="312">
        <v>166.933131929355</v>
      </c>
      <c r="J356" s="312">
        <v>-0.52078288474201995</v>
      </c>
      <c r="K356" s="312" t="s">
        <v>7963</v>
      </c>
      <c r="L356" s="312" t="s">
        <v>7964</v>
      </c>
    </row>
    <row r="357" spans="1:12">
      <c r="A357" s="312">
        <v>1055</v>
      </c>
      <c r="B357" s="312" t="s">
        <v>7965</v>
      </c>
      <c r="C357" s="312" t="s">
        <v>7966</v>
      </c>
      <c r="D357" s="312" t="s">
        <v>105</v>
      </c>
      <c r="E357" s="312">
        <v>0</v>
      </c>
      <c r="F357" s="312">
        <v>1636799513826</v>
      </c>
      <c r="G357" s="312" t="s">
        <v>105</v>
      </c>
      <c r="H357" s="312" t="s">
        <v>105</v>
      </c>
      <c r="I357" s="312">
        <v>-128.47926706073301</v>
      </c>
      <c r="J357" s="312">
        <v>-24.412769983988198</v>
      </c>
      <c r="K357" s="312" t="s">
        <v>7967</v>
      </c>
      <c r="L357" s="312" t="s">
        <v>7968</v>
      </c>
    </row>
    <row r="358" spans="1:12">
      <c r="A358" s="312">
        <v>1056</v>
      </c>
      <c r="B358" s="312" t="s">
        <v>7969</v>
      </c>
      <c r="C358" s="312" t="s">
        <v>7970</v>
      </c>
      <c r="D358" s="312" t="s">
        <v>105</v>
      </c>
      <c r="E358" s="312">
        <v>0</v>
      </c>
      <c r="F358" s="312">
        <v>1636799513844</v>
      </c>
      <c r="G358" s="312" t="s">
        <v>105</v>
      </c>
      <c r="H358" s="312" t="s">
        <v>105</v>
      </c>
      <c r="I358" s="312">
        <v>20.108218716612701</v>
      </c>
      <c r="J358" s="312">
        <v>60.200649109488701</v>
      </c>
      <c r="K358" s="312" t="s">
        <v>7971</v>
      </c>
      <c r="L358" s="312" t="s">
        <v>7972</v>
      </c>
    </row>
    <row r="359" spans="1:12">
      <c r="A359" s="312">
        <v>1057</v>
      </c>
      <c r="B359" s="312" t="s">
        <v>7973</v>
      </c>
      <c r="C359" s="312" t="s">
        <v>7974</v>
      </c>
      <c r="D359" s="312" t="s">
        <v>105</v>
      </c>
      <c r="E359" s="312">
        <v>0</v>
      </c>
      <c r="F359" s="312">
        <v>1636799513850</v>
      </c>
      <c r="G359" s="312" t="s">
        <v>105</v>
      </c>
      <c r="H359" s="312" t="s">
        <v>105</v>
      </c>
      <c r="I359" s="312">
        <v>-76.554239209357505</v>
      </c>
      <c r="J359" s="312">
        <v>24.2276644066649</v>
      </c>
      <c r="K359" s="312" t="s">
        <v>7975</v>
      </c>
      <c r="L359" s="312" t="s">
        <v>7976</v>
      </c>
    </row>
    <row r="360" spans="1:12">
      <c r="A360" s="312">
        <v>1058</v>
      </c>
      <c r="B360" s="312" t="s">
        <v>7977</v>
      </c>
      <c r="C360" s="312" t="s">
        <v>7978</v>
      </c>
      <c r="D360" s="312" t="s">
        <v>105</v>
      </c>
      <c r="E360" s="312">
        <v>0</v>
      </c>
      <c r="F360" s="312">
        <v>1636799513897</v>
      </c>
      <c r="G360" s="312" t="s">
        <v>105</v>
      </c>
      <c r="H360" s="312" t="s">
        <v>105</v>
      </c>
      <c r="I360" s="312">
        <v>-55.911217250395801</v>
      </c>
      <c r="J360" s="312">
        <v>4.1314346091222403</v>
      </c>
      <c r="K360" s="312" t="s">
        <v>7979</v>
      </c>
      <c r="L360" s="312" t="s">
        <v>7980</v>
      </c>
    </row>
    <row r="361" spans="1:12">
      <c r="A361" s="312">
        <v>1059</v>
      </c>
      <c r="B361" s="312" t="s">
        <v>7981</v>
      </c>
      <c r="C361" s="312" t="s">
        <v>7982</v>
      </c>
      <c r="D361" s="312" t="s">
        <v>105</v>
      </c>
      <c r="E361" s="312">
        <v>0</v>
      </c>
      <c r="F361" s="312">
        <v>1636799513970</v>
      </c>
      <c r="G361" s="312" t="s">
        <v>105</v>
      </c>
      <c r="H361" s="312" t="s">
        <v>105</v>
      </c>
      <c r="I361" s="312">
        <v>-41.345814477003501</v>
      </c>
      <c r="J361" s="312">
        <v>74.736007341867804</v>
      </c>
      <c r="K361" s="312" t="s">
        <v>7983</v>
      </c>
      <c r="L361" s="312" t="s">
        <v>7984</v>
      </c>
    </row>
    <row r="362" spans="1:12">
      <c r="A362" s="312">
        <v>1060</v>
      </c>
      <c r="B362" s="312" t="s">
        <v>7985</v>
      </c>
      <c r="C362" s="312" t="s">
        <v>7986</v>
      </c>
      <c r="D362" s="312" t="s">
        <v>105</v>
      </c>
      <c r="E362" s="312">
        <v>0</v>
      </c>
      <c r="F362" s="312">
        <v>1636799514290</v>
      </c>
      <c r="G362" s="312" t="s">
        <v>105</v>
      </c>
      <c r="H362" s="312" t="s">
        <v>105</v>
      </c>
      <c r="I362" s="312">
        <v>66.008447449535495</v>
      </c>
      <c r="J362" s="312">
        <v>33.836266910439903</v>
      </c>
      <c r="K362" s="312" t="s">
        <v>7987</v>
      </c>
      <c r="L362" s="312" t="s">
        <v>7988</v>
      </c>
    </row>
    <row r="363" spans="1:12">
      <c r="A363" s="312">
        <v>1061</v>
      </c>
      <c r="B363" s="312" t="s">
        <v>7989</v>
      </c>
      <c r="C363" s="312" t="s">
        <v>7990</v>
      </c>
      <c r="D363" s="312" t="s">
        <v>105</v>
      </c>
      <c r="E363" s="312">
        <v>0</v>
      </c>
      <c r="F363" s="312">
        <v>1636799514416</v>
      </c>
      <c r="G363" s="312" t="s">
        <v>105</v>
      </c>
      <c r="H363" s="312" t="s">
        <v>105</v>
      </c>
      <c r="I363" s="312">
        <v>72.592132026346306</v>
      </c>
      <c r="J363" s="312">
        <v>20.460178604442302</v>
      </c>
      <c r="K363" s="312" t="s">
        <v>7991</v>
      </c>
      <c r="L363" s="312" t="s">
        <v>7992</v>
      </c>
    </row>
    <row r="364" spans="1:12">
      <c r="A364" s="312">
        <v>1062</v>
      </c>
      <c r="B364" s="312" t="s">
        <v>7993</v>
      </c>
      <c r="C364" s="312" t="s">
        <v>7994</v>
      </c>
      <c r="D364" s="312" t="s">
        <v>105</v>
      </c>
      <c r="E364" s="312">
        <v>0</v>
      </c>
      <c r="F364" s="312">
        <v>1636799514431</v>
      </c>
      <c r="G364" s="312" t="s">
        <v>105</v>
      </c>
      <c r="H364" s="312" t="s">
        <v>105</v>
      </c>
      <c r="I364" s="312">
        <v>76.768379785175398</v>
      </c>
      <c r="J364" s="312">
        <v>30.743535013961299</v>
      </c>
      <c r="K364" s="312" t="s">
        <v>7995</v>
      </c>
      <c r="L364" s="312" t="s">
        <v>7996</v>
      </c>
    </row>
    <row r="365" spans="1:12">
      <c r="A365" s="312">
        <v>1063</v>
      </c>
      <c r="B365" s="312" t="s">
        <v>7997</v>
      </c>
      <c r="C365" s="312" t="s">
        <v>7998</v>
      </c>
      <c r="D365" s="312" t="s">
        <v>105</v>
      </c>
      <c r="E365" s="312">
        <v>0</v>
      </c>
      <c r="F365" s="312">
        <v>1636799514432</v>
      </c>
      <c r="G365" s="312" t="s">
        <v>105</v>
      </c>
      <c r="H365" s="312" t="s">
        <v>105</v>
      </c>
      <c r="I365" s="312">
        <v>-71.873306601705494</v>
      </c>
      <c r="J365" s="312">
        <v>21.780045376327099</v>
      </c>
      <c r="K365" s="312" t="s">
        <v>7999</v>
      </c>
      <c r="L365" s="312" t="s">
        <v>8000</v>
      </c>
    </row>
    <row r="366" spans="1:12">
      <c r="A366" s="312">
        <v>1064</v>
      </c>
      <c r="B366" s="312" t="s">
        <v>8001</v>
      </c>
      <c r="C366" s="312" t="s">
        <v>8002</v>
      </c>
      <c r="D366" s="312" t="s">
        <v>105</v>
      </c>
      <c r="E366" s="312">
        <v>0</v>
      </c>
      <c r="F366" s="312">
        <v>1636799514445</v>
      </c>
      <c r="G366" s="312" t="s">
        <v>105</v>
      </c>
      <c r="H366" s="312" t="s">
        <v>105</v>
      </c>
      <c r="I366" s="312">
        <v>-11.7950155783199</v>
      </c>
      <c r="J366" s="312">
        <v>8.5630858428569407</v>
      </c>
      <c r="K366" s="312" t="s">
        <v>8003</v>
      </c>
      <c r="L366" s="312" t="s">
        <v>8004</v>
      </c>
    </row>
    <row r="367" spans="1:12">
      <c r="A367" s="312">
        <v>1065</v>
      </c>
      <c r="B367" s="312" t="s">
        <v>8005</v>
      </c>
      <c r="C367" s="312" t="s">
        <v>8006</v>
      </c>
      <c r="D367" s="312" t="s">
        <v>105</v>
      </c>
      <c r="E367" s="312">
        <v>0</v>
      </c>
      <c r="F367" s="312">
        <v>1636799514447</v>
      </c>
      <c r="G367" s="312" t="s">
        <v>105</v>
      </c>
      <c r="H367" s="312" t="s">
        <v>105</v>
      </c>
      <c r="I367" s="312">
        <v>-64.799194568302596</v>
      </c>
      <c r="J367" s="312">
        <v>17.9848690949059</v>
      </c>
      <c r="K367" s="312" t="s">
        <v>8007</v>
      </c>
      <c r="L367" s="312" t="s">
        <v>8008</v>
      </c>
    </row>
    <row r="368" spans="1:12">
      <c r="A368" s="312">
        <v>1066</v>
      </c>
      <c r="B368" s="312" t="s">
        <v>8009</v>
      </c>
      <c r="C368" s="312" t="s">
        <v>8010</v>
      </c>
      <c r="D368" s="312" t="s">
        <v>105</v>
      </c>
      <c r="E368" s="312">
        <v>0</v>
      </c>
      <c r="F368" s="312">
        <v>1636799514460</v>
      </c>
      <c r="G368" s="312" t="s">
        <v>105</v>
      </c>
      <c r="H368" s="312" t="s">
        <v>105</v>
      </c>
      <c r="I368" s="312">
        <v>73.038024295335205</v>
      </c>
      <c r="J368" s="312">
        <v>20.169721955131401</v>
      </c>
      <c r="K368" s="312" t="s">
        <v>8011</v>
      </c>
      <c r="L368" s="312" t="s">
        <v>8012</v>
      </c>
    </row>
    <row r="369" spans="1:12">
      <c r="A369" s="312">
        <v>1067</v>
      </c>
      <c r="B369" s="312" t="s">
        <v>8013</v>
      </c>
      <c r="C369" s="312" t="s">
        <v>8014</v>
      </c>
      <c r="D369" s="312" t="s">
        <v>105</v>
      </c>
      <c r="E369" s="312">
        <v>0</v>
      </c>
      <c r="F369" s="312">
        <v>1636799514671</v>
      </c>
      <c r="G369" s="312" t="s">
        <v>105</v>
      </c>
      <c r="H369" s="312" t="s">
        <v>105</v>
      </c>
      <c r="I369" s="312">
        <v>73.505210188899198</v>
      </c>
      <c r="J369" s="312">
        <v>-53.0888170257928</v>
      </c>
      <c r="K369" s="312" t="s">
        <v>8015</v>
      </c>
      <c r="L369" s="312" t="s">
        <v>8016</v>
      </c>
    </row>
    <row r="370" spans="1:12">
      <c r="A370" s="312">
        <v>1068</v>
      </c>
      <c r="B370" s="1" t="s">
        <v>8017</v>
      </c>
      <c r="C370" s="312" t="s">
        <v>8018</v>
      </c>
      <c r="D370" s="312" t="s">
        <v>105</v>
      </c>
      <c r="E370" s="312">
        <v>0</v>
      </c>
      <c r="F370" s="312">
        <v>1636799514688</v>
      </c>
      <c r="G370" s="312" t="s">
        <v>105</v>
      </c>
      <c r="H370" s="312" t="s">
        <v>105</v>
      </c>
      <c r="I370" s="312">
        <v>20.464809197122602</v>
      </c>
      <c r="J370" s="312">
        <v>6.5663218601599498</v>
      </c>
      <c r="K370" s="312" t="s">
        <v>8019</v>
      </c>
      <c r="L370" s="312" t="s">
        <v>8020</v>
      </c>
    </row>
    <row r="371" spans="1:12">
      <c r="A371" s="312">
        <v>1069</v>
      </c>
      <c r="B371" s="312" t="s">
        <v>8021</v>
      </c>
      <c r="C371" s="312" t="s">
        <v>8022</v>
      </c>
      <c r="D371" s="312" t="s">
        <v>105</v>
      </c>
      <c r="E371" s="312">
        <v>0</v>
      </c>
      <c r="F371" s="312">
        <v>1636799514756</v>
      </c>
      <c r="G371" s="312" t="s">
        <v>105</v>
      </c>
      <c r="H371" s="312" t="s">
        <v>105</v>
      </c>
      <c r="I371" s="312">
        <v>-76.501126425035395</v>
      </c>
      <c r="J371" s="312">
        <v>51.085233266474098</v>
      </c>
      <c r="K371" s="312" t="s">
        <v>8023</v>
      </c>
      <c r="L371" s="312" t="s">
        <v>8024</v>
      </c>
    </row>
    <row r="372" spans="1:12">
      <c r="A372" s="312">
        <v>1070</v>
      </c>
      <c r="B372" s="312" t="s">
        <v>8025</v>
      </c>
      <c r="C372" s="312" t="s">
        <v>8026</v>
      </c>
      <c r="D372" s="312" t="s">
        <v>105</v>
      </c>
      <c r="E372" s="312">
        <v>0</v>
      </c>
      <c r="F372" s="312">
        <v>1636799514765</v>
      </c>
      <c r="G372" s="312" t="s">
        <v>105</v>
      </c>
      <c r="H372" s="312" t="s">
        <v>105</v>
      </c>
      <c r="I372" s="312">
        <v>-14.9775137765549</v>
      </c>
      <c r="J372" s="312">
        <v>12.026921907218901</v>
      </c>
      <c r="K372" s="312" t="s">
        <v>8027</v>
      </c>
      <c r="L372" s="312" t="s">
        <v>8028</v>
      </c>
    </row>
    <row r="373" spans="1:12">
      <c r="A373" s="312">
        <v>1071</v>
      </c>
      <c r="B373" s="312" t="s">
        <v>8029</v>
      </c>
      <c r="C373" s="312" t="s">
        <v>8030</v>
      </c>
      <c r="D373" s="312" t="s">
        <v>105</v>
      </c>
      <c r="E373" s="312">
        <v>0</v>
      </c>
      <c r="F373" s="312">
        <v>1636799514782</v>
      </c>
      <c r="G373" s="312" t="s">
        <v>105</v>
      </c>
      <c r="H373" s="312" t="s">
        <v>105</v>
      </c>
      <c r="I373" s="312">
        <v>-62.832619624888103</v>
      </c>
      <c r="J373" s="312">
        <v>17.9055845218492</v>
      </c>
      <c r="K373" s="312" t="s">
        <v>8031</v>
      </c>
      <c r="L373" s="312" t="s">
        <v>8032</v>
      </c>
    </row>
    <row r="374" spans="1:12">
      <c r="A374" s="312">
        <v>1072</v>
      </c>
      <c r="B374" s="312" t="s">
        <v>8033</v>
      </c>
      <c r="C374" s="312" t="s">
        <v>8034</v>
      </c>
      <c r="D374" s="312" t="s">
        <v>105</v>
      </c>
      <c r="E374" s="312">
        <v>0</v>
      </c>
      <c r="F374" s="312">
        <v>1636799514783</v>
      </c>
      <c r="G374" s="312" t="s">
        <v>105</v>
      </c>
      <c r="H374" s="312" t="s">
        <v>105</v>
      </c>
      <c r="I374" s="312">
        <v>-2.12743081446393</v>
      </c>
      <c r="J374" s="312">
        <v>49.221064211058803</v>
      </c>
      <c r="K374" s="312" t="s">
        <v>8035</v>
      </c>
      <c r="L374" s="312" t="s">
        <v>8036</v>
      </c>
    </row>
    <row r="375" spans="1:12">
      <c r="A375" s="312">
        <v>1073</v>
      </c>
      <c r="B375" s="312" t="s">
        <v>8037</v>
      </c>
      <c r="C375" s="312" t="s">
        <v>8038</v>
      </c>
      <c r="D375" s="312" t="s">
        <v>105</v>
      </c>
      <c r="E375" s="312">
        <v>0</v>
      </c>
      <c r="F375" s="312">
        <v>1636799515222</v>
      </c>
      <c r="G375" s="312" t="s">
        <v>105</v>
      </c>
      <c r="H375" s="312" t="s">
        <v>105</v>
      </c>
      <c r="I375" s="312">
        <v>29.7586468176921</v>
      </c>
      <c r="J375" s="312">
        <v>55.236358020171103</v>
      </c>
      <c r="K375" s="312" t="s">
        <v>8039</v>
      </c>
      <c r="L375" s="312" t="s">
        <v>8040</v>
      </c>
    </row>
    <row r="376" spans="1:12">
      <c r="A376" s="312">
        <v>1074</v>
      </c>
      <c r="B376" s="312" t="s">
        <v>8041</v>
      </c>
      <c r="C376" s="312" t="s">
        <v>8042</v>
      </c>
      <c r="D376" s="312" t="s">
        <v>105</v>
      </c>
      <c r="E376" s="312">
        <v>0</v>
      </c>
      <c r="F376" s="312">
        <v>1636799515732</v>
      </c>
      <c r="G376" s="312" t="s">
        <v>105</v>
      </c>
      <c r="H376" s="312" t="s">
        <v>105</v>
      </c>
      <c r="I376" s="312">
        <v>-2.7551798150847402</v>
      </c>
      <c r="J376" s="312">
        <v>42.180051014150003</v>
      </c>
      <c r="K376" s="312" t="s">
        <v>8042</v>
      </c>
      <c r="L376" s="312" t="s">
        <v>8043</v>
      </c>
    </row>
    <row r="377" spans="1:12">
      <c r="A377" s="312">
        <v>1075</v>
      </c>
      <c r="B377" s="312" t="s">
        <v>8044</v>
      </c>
      <c r="C377" s="312" t="s">
        <v>8045</v>
      </c>
      <c r="D377" s="312" t="s">
        <v>105</v>
      </c>
      <c r="E377" s="312">
        <v>0</v>
      </c>
      <c r="F377" s="312">
        <v>1636799515734</v>
      </c>
      <c r="G377" s="312" t="s">
        <v>105</v>
      </c>
      <c r="H377" s="312" t="s">
        <v>105</v>
      </c>
      <c r="I377" s="312">
        <v>167.95516933251699</v>
      </c>
      <c r="J377" s="312">
        <v>-29.034975103276398</v>
      </c>
      <c r="K377" s="312" t="s">
        <v>8046</v>
      </c>
      <c r="L377" s="312" t="s">
        <v>8047</v>
      </c>
    </row>
    <row r="378" spans="1:12">
      <c r="A378" s="312">
        <v>1076</v>
      </c>
      <c r="B378" s="312" t="s">
        <v>8048</v>
      </c>
      <c r="C378" s="312" t="s">
        <v>8049</v>
      </c>
      <c r="D378" s="312" t="s">
        <v>105</v>
      </c>
      <c r="E378" s="312">
        <v>0</v>
      </c>
      <c r="F378" s="312">
        <v>1636799515749</v>
      </c>
      <c r="G378" s="312" t="s">
        <v>105</v>
      </c>
      <c r="H378" s="312" t="s">
        <v>105</v>
      </c>
      <c r="I378" s="312">
        <v>145.599955005694</v>
      </c>
      <c r="J378" s="312">
        <v>16.250859762435901</v>
      </c>
      <c r="K378" s="312" t="s">
        <v>8050</v>
      </c>
      <c r="L378" s="312" t="s">
        <v>8051</v>
      </c>
    </row>
    <row r="379" spans="1:12">
      <c r="A379" s="312">
        <v>1077</v>
      </c>
      <c r="B379" s="312" t="s">
        <v>8052</v>
      </c>
      <c r="C379" s="312" t="s">
        <v>8053</v>
      </c>
      <c r="D379" s="312" t="s">
        <v>105</v>
      </c>
      <c r="E379" s="312">
        <v>0</v>
      </c>
      <c r="F379" s="312">
        <v>1636799515764</v>
      </c>
      <c r="G379" s="312" t="s">
        <v>105</v>
      </c>
      <c r="H379" s="312" t="s">
        <v>105</v>
      </c>
      <c r="I379" s="312">
        <v>12.4422225588293</v>
      </c>
      <c r="J379" s="312">
        <v>43.936466194650002</v>
      </c>
      <c r="K379" s="312" t="s">
        <v>8054</v>
      </c>
      <c r="L379" s="312" t="s">
        <v>8055</v>
      </c>
    </row>
    <row r="380" spans="1:12">
      <c r="A380" s="312">
        <v>1078</v>
      </c>
      <c r="B380" s="312" t="s">
        <v>8056</v>
      </c>
      <c r="C380" s="312" t="s">
        <v>8057</v>
      </c>
      <c r="D380" s="312" t="s">
        <v>105</v>
      </c>
      <c r="E380" s="312">
        <v>0</v>
      </c>
      <c r="F380" s="312">
        <v>1636799515765</v>
      </c>
      <c r="G380" s="312" t="s">
        <v>105</v>
      </c>
      <c r="H380" s="312" t="s">
        <v>105</v>
      </c>
      <c r="I380" s="312">
        <v>32.3670398527304</v>
      </c>
      <c r="J380" s="312">
        <v>1.2756911925096699</v>
      </c>
      <c r="K380" s="312" t="s">
        <v>8058</v>
      </c>
      <c r="L380" s="312" t="s">
        <v>8059</v>
      </c>
    </row>
    <row r="381" spans="1:12">
      <c r="A381" s="312">
        <v>1079</v>
      </c>
      <c r="B381" s="1" t="s">
        <v>8060</v>
      </c>
      <c r="C381" s="312" t="s">
        <v>8061</v>
      </c>
      <c r="D381" s="312" t="s">
        <v>105</v>
      </c>
      <c r="E381" s="312">
        <v>0</v>
      </c>
      <c r="F381" s="312">
        <v>1636799515780</v>
      </c>
      <c r="G381" s="312" t="s">
        <v>105</v>
      </c>
      <c r="H381" s="312" t="s">
        <v>105</v>
      </c>
      <c r="I381" s="312">
        <v>165.702232672837</v>
      </c>
      <c r="J381" s="312">
        <v>-21.304256538567198</v>
      </c>
      <c r="K381" s="312" t="s">
        <v>8062</v>
      </c>
      <c r="L381" s="312" t="s">
        <v>8063</v>
      </c>
    </row>
    <row r="382" spans="1:12">
      <c r="A382" s="312">
        <v>1080</v>
      </c>
      <c r="B382" s="312" t="s">
        <v>8064</v>
      </c>
      <c r="C382" s="312" t="s">
        <v>8065</v>
      </c>
      <c r="D382" s="312" t="s">
        <v>105</v>
      </c>
      <c r="E382" s="312">
        <v>0</v>
      </c>
      <c r="F382" s="312">
        <v>1636799515797</v>
      </c>
      <c r="G382" s="312" t="s">
        <v>105</v>
      </c>
      <c r="H382" s="312" t="s">
        <v>105</v>
      </c>
      <c r="I382" s="312">
        <v>159.64179407430399</v>
      </c>
      <c r="J382" s="312">
        <v>-8.9100754187439097</v>
      </c>
      <c r="K382" s="312" t="s">
        <v>8066</v>
      </c>
      <c r="L382" s="312" t="s">
        <v>8067</v>
      </c>
    </row>
    <row r="383" spans="1:12">
      <c r="A383" s="312">
        <v>1081</v>
      </c>
      <c r="B383" s="312" t="s">
        <v>8068</v>
      </c>
      <c r="C383" s="312" t="s">
        <v>8069</v>
      </c>
      <c r="D383" s="312" t="s">
        <v>105</v>
      </c>
      <c r="E383" s="312">
        <v>0</v>
      </c>
      <c r="F383" s="312">
        <v>1636799516049</v>
      </c>
      <c r="G383" s="312" t="s">
        <v>105</v>
      </c>
      <c r="H383" s="312" t="s">
        <v>105</v>
      </c>
      <c r="I383" s="312">
        <v>-59.381094914844603</v>
      </c>
      <c r="J383" s="312">
        <v>-51.732871784541899</v>
      </c>
      <c r="K383" s="312" t="s">
        <v>8070</v>
      </c>
      <c r="L383" s="312" t="s">
        <v>8071</v>
      </c>
    </row>
    <row r="384" spans="1:12">
      <c r="A384" s="312">
        <v>1082</v>
      </c>
      <c r="B384" s="312" t="s">
        <v>8072</v>
      </c>
      <c r="C384" s="312" t="s">
        <v>8073</v>
      </c>
      <c r="D384" s="312" t="s">
        <v>105</v>
      </c>
      <c r="E384" s="312">
        <v>0</v>
      </c>
      <c r="F384" s="312">
        <v>1636799516113</v>
      </c>
      <c r="G384" s="312" t="s">
        <v>105</v>
      </c>
      <c r="H384" s="312" t="s">
        <v>105</v>
      </c>
      <c r="I384" s="312">
        <v>-4.5348960865994297</v>
      </c>
      <c r="J384" s="312">
        <v>54.2283439410282</v>
      </c>
      <c r="K384" s="312" t="s">
        <v>8074</v>
      </c>
      <c r="L384" s="312" t="s">
        <v>8075</v>
      </c>
    </row>
    <row r="385" spans="1:12">
      <c r="A385" s="312">
        <v>1083</v>
      </c>
      <c r="B385" s="312" t="s">
        <v>8076</v>
      </c>
      <c r="C385" s="312" t="s">
        <v>8077</v>
      </c>
      <c r="D385" s="312" t="s">
        <v>105</v>
      </c>
      <c r="E385" s="312">
        <v>0</v>
      </c>
      <c r="F385" s="312">
        <v>1636799516114</v>
      </c>
      <c r="G385" s="312" t="s">
        <v>105</v>
      </c>
      <c r="H385" s="312" t="s">
        <v>105</v>
      </c>
      <c r="I385" s="312">
        <v>-67.813904167020695</v>
      </c>
      <c r="J385" s="312">
        <v>12.6691379139766</v>
      </c>
      <c r="K385" s="312" t="s">
        <v>8078</v>
      </c>
      <c r="L385" s="312" t="s">
        <v>8079</v>
      </c>
    </row>
    <row r="386" spans="1:12">
      <c r="A386" s="312">
        <v>1084</v>
      </c>
      <c r="B386" s="312" t="s">
        <v>8080</v>
      </c>
      <c r="C386" s="312" t="s">
        <v>8081</v>
      </c>
      <c r="D386" s="312" t="s">
        <v>105</v>
      </c>
      <c r="E386" s="312">
        <v>0</v>
      </c>
      <c r="F386" s="312">
        <v>1636799516561</v>
      </c>
      <c r="G386" s="312" t="s">
        <v>105</v>
      </c>
      <c r="H386" s="312" t="s">
        <v>105</v>
      </c>
      <c r="I386" s="312">
        <v>123.586367786442</v>
      </c>
      <c r="J386" s="312">
        <v>-12.4325771768482</v>
      </c>
      <c r="K386" s="312" t="s">
        <v>8082</v>
      </c>
      <c r="L386" s="312" t="s">
        <v>8083</v>
      </c>
    </row>
    <row r="387" spans="1:12">
      <c r="A387" s="312">
        <v>1085</v>
      </c>
      <c r="B387" s="312" t="s">
        <v>8084</v>
      </c>
      <c r="C387" s="312" t="s">
        <v>8085</v>
      </c>
      <c r="D387" s="312" t="s">
        <v>105</v>
      </c>
      <c r="E387" s="312">
        <v>0</v>
      </c>
      <c r="F387" s="312">
        <v>1636799516562</v>
      </c>
      <c r="G387" s="312" t="s">
        <v>105</v>
      </c>
      <c r="H387" s="312" t="s">
        <v>105</v>
      </c>
      <c r="I387" s="312">
        <v>77.179952798742704</v>
      </c>
      <c r="J387" s="312">
        <v>35.391081981279697</v>
      </c>
      <c r="K387" s="312" t="s">
        <v>8085</v>
      </c>
      <c r="L387" s="312" t="s">
        <v>8086</v>
      </c>
    </row>
    <row r="388" spans="1:12">
      <c r="A388" s="312">
        <v>1086</v>
      </c>
      <c r="B388" s="312" t="s">
        <v>8087</v>
      </c>
      <c r="C388" s="312" t="s">
        <v>8088</v>
      </c>
      <c r="D388" s="312" t="s">
        <v>105</v>
      </c>
      <c r="E388" s="312">
        <v>0</v>
      </c>
      <c r="F388" s="312">
        <v>1636799516562</v>
      </c>
      <c r="G388" s="312" t="s">
        <v>105</v>
      </c>
      <c r="H388" s="312" t="s">
        <v>105</v>
      </c>
      <c r="I388" s="312">
        <v>104.61939744150899</v>
      </c>
      <c r="J388" s="312">
        <v>-10.6921740918308</v>
      </c>
      <c r="K388" s="312" t="s">
        <v>8089</v>
      </c>
      <c r="L388" s="312" t="s">
        <v>8090</v>
      </c>
    </row>
    <row r="389" spans="1:12">
      <c r="A389" s="312">
        <v>1087</v>
      </c>
      <c r="B389" s="312" t="s">
        <v>8091</v>
      </c>
      <c r="C389" s="312" t="s">
        <v>8092</v>
      </c>
      <c r="D389" s="312" t="s">
        <v>105</v>
      </c>
      <c r="E389" s="312">
        <v>0</v>
      </c>
      <c r="F389" s="312">
        <v>1636799516564</v>
      </c>
      <c r="G389" s="312" t="s">
        <v>105</v>
      </c>
      <c r="H389" s="312" t="s">
        <v>105</v>
      </c>
      <c r="I389" s="312">
        <v>72.8276038261493</v>
      </c>
      <c r="J389" s="312">
        <v>10.120771389469001</v>
      </c>
      <c r="K389" s="312" t="s">
        <v>8093</v>
      </c>
      <c r="L389" s="312" t="s">
        <v>8094</v>
      </c>
    </row>
    <row r="390" spans="1:12">
      <c r="A390" s="312">
        <v>1088</v>
      </c>
      <c r="B390" s="312" t="s">
        <v>8095</v>
      </c>
      <c r="C390" s="312" t="s">
        <v>8096</v>
      </c>
      <c r="D390" s="312" t="s">
        <v>105</v>
      </c>
      <c r="E390" s="312">
        <v>0</v>
      </c>
      <c r="F390" s="312">
        <v>1636799516637</v>
      </c>
      <c r="G390" s="312" t="s">
        <v>105</v>
      </c>
      <c r="H390" s="312" t="s">
        <v>105</v>
      </c>
      <c r="I390" s="312">
        <v>19.9085157460622</v>
      </c>
      <c r="J390" s="312">
        <v>-80.508215897580399</v>
      </c>
      <c r="K390" s="312" t="s">
        <v>8097</v>
      </c>
      <c r="L390" s="312" t="s">
        <v>8098</v>
      </c>
    </row>
    <row r="391" spans="1:12">
      <c r="A391" s="312">
        <v>1089</v>
      </c>
      <c r="B391" s="312" t="s">
        <v>8099</v>
      </c>
      <c r="C391" s="312" t="s">
        <v>8100</v>
      </c>
      <c r="D391" s="312" t="s">
        <v>105</v>
      </c>
      <c r="E391" s="312">
        <v>0</v>
      </c>
      <c r="F391" s="312">
        <v>1636799516715</v>
      </c>
      <c r="G391" s="312" t="s">
        <v>105</v>
      </c>
      <c r="H391" s="312" t="s">
        <v>105</v>
      </c>
      <c r="I391" s="312">
        <v>149.00695312890099</v>
      </c>
      <c r="J391" s="312">
        <v>-35.497586295145801</v>
      </c>
      <c r="K391" s="312" t="s">
        <v>8101</v>
      </c>
      <c r="L391" s="312" t="s">
        <v>8102</v>
      </c>
    </row>
    <row r="392" spans="1:12">
      <c r="A392" s="312">
        <v>1090</v>
      </c>
      <c r="B392" s="312" t="s">
        <v>8103</v>
      </c>
      <c r="C392" s="312" t="s">
        <v>8104</v>
      </c>
      <c r="D392" s="312" t="s">
        <v>105</v>
      </c>
      <c r="E392" s="312">
        <v>0</v>
      </c>
      <c r="F392" s="312">
        <v>1636799516717</v>
      </c>
      <c r="G392" s="312" t="s">
        <v>105</v>
      </c>
      <c r="H392" s="312" t="s">
        <v>105</v>
      </c>
      <c r="I392" s="312">
        <v>1.5607562410109601</v>
      </c>
      <c r="J392" s="312">
        <v>42.541326525064598</v>
      </c>
      <c r="K392" s="312" t="s">
        <v>8105</v>
      </c>
      <c r="L392" s="312" t="s">
        <v>8106</v>
      </c>
    </row>
    <row r="393" spans="1:12">
      <c r="A393" s="312">
        <v>1091</v>
      </c>
      <c r="B393" s="312" t="s">
        <v>8107</v>
      </c>
      <c r="C393" s="312" t="s">
        <v>8108</v>
      </c>
      <c r="D393" s="312" t="s">
        <v>105</v>
      </c>
      <c r="E393" s="312">
        <v>0</v>
      </c>
      <c r="F393" s="312">
        <v>1636799516719</v>
      </c>
      <c r="G393" s="312" t="s">
        <v>105</v>
      </c>
      <c r="H393" s="312" t="s">
        <v>105</v>
      </c>
      <c r="I393" s="312">
        <v>92.819138791176499</v>
      </c>
      <c r="J393" s="312">
        <v>23.292030750022501</v>
      </c>
      <c r="K393" s="312" t="s">
        <v>8109</v>
      </c>
      <c r="L393" s="312" t="s">
        <v>8110</v>
      </c>
    </row>
    <row r="394" spans="1:12">
      <c r="A394" s="312">
        <v>1092</v>
      </c>
      <c r="B394" s="312" t="s">
        <v>8111</v>
      </c>
      <c r="C394" s="312" t="s">
        <v>8112</v>
      </c>
      <c r="D394" s="312" t="s">
        <v>105</v>
      </c>
      <c r="E394" s="312">
        <v>0</v>
      </c>
      <c r="F394" s="312">
        <v>1636799516720</v>
      </c>
      <c r="G394" s="312" t="s">
        <v>105</v>
      </c>
      <c r="H394" s="312" t="s">
        <v>105</v>
      </c>
      <c r="I394" s="312">
        <v>-63.059148590120103</v>
      </c>
      <c r="J394" s="312">
        <v>18.230146269381599</v>
      </c>
      <c r="K394" s="312" t="s">
        <v>8113</v>
      </c>
      <c r="L394" s="312" t="s">
        <v>8114</v>
      </c>
    </row>
    <row r="395" spans="1:12">
      <c r="A395" s="312">
        <v>1093</v>
      </c>
      <c r="B395" s="312" t="s">
        <v>8115</v>
      </c>
      <c r="C395" s="312" t="s">
        <v>8116</v>
      </c>
      <c r="D395" s="312" t="s">
        <v>105</v>
      </c>
      <c r="E395" s="312">
        <v>0</v>
      </c>
      <c r="F395" s="312">
        <v>1636799516723</v>
      </c>
      <c r="G395" s="312" t="s">
        <v>105</v>
      </c>
      <c r="H395" s="312" t="s">
        <v>105</v>
      </c>
      <c r="I395" s="312">
        <v>-170.398926569541</v>
      </c>
      <c r="J395" s="312">
        <v>-14.254944150483499</v>
      </c>
      <c r="K395" s="312" t="s">
        <v>8117</v>
      </c>
      <c r="L395" s="312" t="s">
        <v>8118</v>
      </c>
    </row>
    <row r="396" spans="1:12">
      <c r="A396" s="312">
        <v>1094</v>
      </c>
      <c r="B396" s="312" t="s">
        <v>8119</v>
      </c>
      <c r="C396" s="312" t="s">
        <v>8120</v>
      </c>
      <c r="D396" s="312" t="s">
        <v>105</v>
      </c>
      <c r="E396" s="312">
        <v>0</v>
      </c>
      <c r="F396" s="312">
        <v>1636799516801</v>
      </c>
      <c r="G396" s="312" t="s">
        <v>105</v>
      </c>
      <c r="H396" s="312" t="s">
        <v>105</v>
      </c>
      <c r="I396" s="312">
        <v>-69.974200750287196</v>
      </c>
      <c r="J396" s="312">
        <v>12.5169352690762</v>
      </c>
      <c r="K396" s="312" t="s">
        <v>8121</v>
      </c>
      <c r="L396" s="312" t="s">
        <v>8122</v>
      </c>
    </row>
    <row r="397" spans="1:12">
      <c r="A397" s="312">
        <v>1095</v>
      </c>
      <c r="B397" s="312" t="s">
        <v>8123</v>
      </c>
      <c r="C397" s="312" t="s">
        <v>8124</v>
      </c>
      <c r="D397" s="312" t="s">
        <v>105</v>
      </c>
      <c r="E397" s="312">
        <v>0</v>
      </c>
      <c r="F397" s="312">
        <v>1636799516822</v>
      </c>
      <c r="G397" s="312" t="s">
        <v>105</v>
      </c>
      <c r="H397" s="312" t="s">
        <v>105</v>
      </c>
      <c r="I397" s="312">
        <v>-158.842560379178</v>
      </c>
      <c r="J397" s="312">
        <v>-19.484144598520199</v>
      </c>
      <c r="K397" s="312" t="s">
        <v>8125</v>
      </c>
      <c r="L397" s="312" t="s">
        <v>8126</v>
      </c>
    </row>
    <row r="398" spans="1:12">
      <c r="A398" s="312">
        <v>1096</v>
      </c>
      <c r="B398" s="312" t="s">
        <v>8127</v>
      </c>
      <c r="C398" s="312" t="s">
        <v>8128</v>
      </c>
      <c r="D398" s="312" t="s">
        <v>105</v>
      </c>
      <c r="E398" s="312">
        <v>0</v>
      </c>
      <c r="F398" s="312">
        <v>1636799516847</v>
      </c>
      <c r="G398" s="312" t="s">
        <v>105</v>
      </c>
      <c r="H398" s="312" t="s">
        <v>105</v>
      </c>
      <c r="I398" s="312">
        <v>3.41314200169453</v>
      </c>
      <c r="J398" s="312">
        <v>-54.4192650461585</v>
      </c>
      <c r="K398" s="312" t="s">
        <v>8129</v>
      </c>
      <c r="L398" s="312" t="s">
        <v>8130</v>
      </c>
    </row>
    <row r="399" spans="1:12">
      <c r="A399" s="312">
        <v>1097</v>
      </c>
      <c r="B399" s="312" t="s">
        <v>8131</v>
      </c>
      <c r="C399" s="312" t="s">
        <v>8132</v>
      </c>
      <c r="D399" s="312" t="s">
        <v>105</v>
      </c>
      <c r="E399" s="312">
        <v>0</v>
      </c>
      <c r="F399" s="312">
        <v>1636799516848</v>
      </c>
      <c r="G399" s="312" t="s">
        <v>105</v>
      </c>
      <c r="H399" s="312" t="s">
        <v>105</v>
      </c>
      <c r="I399" s="312">
        <v>29.875082694412001</v>
      </c>
      <c r="J399" s="312">
        <v>-3.3574253364154498</v>
      </c>
      <c r="K399" s="312" t="s">
        <v>8133</v>
      </c>
      <c r="L399" s="312" t="s">
        <v>8134</v>
      </c>
    </row>
    <row r="400" spans="1:12">
      <c r="A400" s="312">
        <v>1098</v>
      </c>
      <c r="B400" s="312" t="s">
        <v>8135</v>
      </c>
      <c r="C400" s="312" t="s">
        <v>8136</v>
      </c>
      <c r="D400" s="312" t="s">
        <v>105</v>
      </c>
      <c r="E400" s="312">
        <v>0</v>
      </c>
      <c r="F400" s="312">
        <v>1636799516849</v>
      </c>
      <c r="G400" s="312" t="s">
        <v>105</v>
      </c>
      <c r="H400" s="312" t="s">
        <v>105</v>
      </c>
      <c r="I400" s="312">
        <v>-64.765264657997307</v>
      </c>
      <c r="J400" s="312">
        <v>32.310271596076802</v>
      </c>
      <c r="K400" s="312" t="s">
        <v>8137</v>
      </c>
      <c r="L400" s="312" t="s">
        <v>8138</v>
      </c>
    </row>
    <row r="401" spans="1:12">
      <c r="A401" s="312">
        <v>1099</v>
      </c>
      <c r="B401" s="312" t="s">
        <v>8139</v>
      </c>
      <c r="C401" s="312" t="s">
        <v>8140</v>
      </c>
      <c r="D401" s="312" t="s">
        <v>105</v>
      </c>
      <c r="E401" s="312">
        <v>0</v>
      </c>
      <c r="F401" s="312">
        <v>1636799516851</v>
      </c>
      <c r="G401" s="312" t="s">
        <v>105</v>
      </c>
      <c r="H401" s="312" t="s">
        <v>105</v>
      </c>
      <c r="I401" s="312">
        <v>90.404460201148595</v>
      </c>
      <c r="J401" s="312">
        <v>27.421756562362201</v>
      </c>
      <c r="K401" s="312" t="s">
        <v>8141</v>
      </c>
      <c r="L401" s="312" t="s">
        <v>8142</v>
      </c>
    </row>
    <row r="402" spans="1:12">
      <c r="A402" s="312">
        <v>1102</v>
      </c>
      <c r="B402" s="312" t="s">
        <v>8143</v>
      </c>
      <c r="C402" s="312" t="s">
        <v>8144</v>
      </c>
      <c r="D402" s="312" t="s">
        <v>105</v>
      </c>
      <c r="E402" s="312">
        <v>0</v>
      </c>
      <c r="F402" s="312">
        <v>1636799517777</v>
      </c>
      <c r="G402" s="312" t="s">
        <v>105</v>
      </c>
      <c r="H402" s="312" t="s">
        <v>105</v>
      </c>
      <c r="I402" s="312">
        <v>-106.458045766509</v>
      </c>
      <c r="J402" s="312">
        <v>55.276726924548903</v>
      </c>
      <c r="K402" s="312" t="s">
        <v>8144</v>
      </c>
      <c r="L402" s="312" t="s">
        <v>8145</v>
      </c>
    </row>
    <row r="403" spans="1:12">
      <c r="A403" s="312">
        <v>1103</v>
      </c>
      <c r="B403" s="312" t="s">
        <v>8146</v>
      </c>
      <c r="C403" s="312" t="s">
        <v>8147</v>
      </c>
      <c r="D403" s="312" t="s">
        <v>105</v>
      </c>
      <c r="E403" s="312">
        <v>0</v>
      </c>
      <c r="F403" s="312">
        <v>1636799517825</v>
      </c>
      <c r="G403" s="312" t="s">
        <v>105</v>
      </c>
      <c r="H403" s="312" t="s">
        <v>105</v>
      </c>
      <c r="I403" s="312">
        <v>24.7172443580845</v>
      </c>
      <c r="J403" s="312">
        <v>56.808612224801102</v>
      </c>
      <c r="K403" s="312" t="s">
        <v>8148</v>
      </c>
      <c r="L403" s="312" t="s">
        <v>8149</v>
      </c>
    </row>
    <row r="404" spans="1:12">
      <c r="A404" s="312">
        <v>1104</v>
      </c>
      <c r="B404" s="312" t="s">
        <v>8150</v>
      </c>
      <c r="C404" s="312" t="s">
        <v>8151</v>
      </c>
      <c r="D404" s="312" t="s">
        <v>105</v>
      </c>
      <c r="E404" s="312">
        <v>0</v>
      </c>
      <c r="F404" s="312">
        <v>1636799517827</v>
      </c>
      <c r="G404" s="312" t="s">
        <v>105</v>
      </c>
      <c r="H404" s="312" t="s">
        <v>105</v>
      </c>
      <c r="I404" s="312">
        <v>-15.677942328197901</v>
      </c>
      <c r="J404" s="312">
        <v>28.338777280567701</v>
      </c>
      <c r="K404" s="312" t="s">
        <v>8151</v>
      </c>
      <c r="L404" s="312" t="s">
        <v>8152</v>
      </c>
    </row>
    <row r="405" spans="1:12">
      <c r="A405" s="312">
        <v>1105</v>
      </c>
      <c r="B405" s="312" t="s">
        <v>8153</v>
      </c>
      <c r="C405" s="312" t="s">
        <v>8154</v>
      </c>
      <c r="D405" s="312" t="s">
        <v>105</v>
      </c>
      <c r="E405" s="312">
        <v>0</v>
      </c>
      <c r="F405" s="312">
        <v>1636799518418</v>
      </c>
      <c r="G405" s="312" t="s">
        <v>105</v>
      </c>
      <c r="H405" s="312" t="s">
        <v>105</v>
      </c>
      <c r="I405" s="312">
        <v>-74.910619957740195</v>
      </c>
      <c r="J405" s="312">
        <v>20.152598162810499</v>
      </c>
      <c r="K405" s="312" t="s">
        <v>8155</v>
      </c>
      <c r="L405" s="312" t="s">
        <v>8156</v>
      </c>
    </row>
    <row r="406" spans="1:12">
      <c r="A406" s="312">
        <v>1106</v>
      </c>
      <c r="B406" s="312" t="s">
        <v>8157</v>
      </c>
      <c r="C406" s="312" t="s">
        <v>8158</v>
      </c>
      <c r="D406" s="312" t="s">
        <v>105</v>
      </c>
      <c r="E406" s="312">
        <v>0</v>
      </c>
      <c r="F406" s="312">
        <v>1636799518476</v>
      </c>
      <c r="G406" s="312" t="s">
        <v>105</v>
      </c>
      <c r="H406" s="312" t="s">
        <v>105</v>
      </c>
      <c r="I406" s="312">
        <v>135.97793682499599</v>
      </c>
      <c r="J406" s="312">
        <v>-26.3785894048839</v>
      </c>
      <c r="K406" s="312" t="s">
        <v>8159</v>
      </c>
      <c r="L406" s="312" t="s">
        <v>8160</v>
      </c>
    </row>
    <row r="407" spans="1:12">
      <c r="A407" s="312">
        <v>1107</v>
      </c>
      <c r="B407" s="312" t="s">
        <v>8161</v>
      </c>
      <c r="C407" s="312" t="s">
        <v>8162</v>
      </c>
      <c r="D407" s="312" t="s">
        <v>105</v>
      </c>
      <c r="E407" s="312">
        <v>0</v>
      </c>
      <c r="F407" s="312">
        <v>1636799518541</v>
      </c>
      <c r="G407" s="312" t="s">
        <v>105</v>
      </c>
      <c r="H407" s="312" t="s">
        <v>105</v>
      </c>
      <c r="I407" s="312">
        <v>-99.250181841757595</v>
      </c>
      <c r="J407" s="312">
        <v>21.813158276219699</v>
      </c>
      <c r="K407" s="312" t="s">
        <v>8163</v>
      </c>
      <c r="L407" s="312" t="s">
        <v>8164</v>
      </c>
    </row>
    <row r="408" spans="1:12">
      <c r="A408" s="312">
        <v>1108</v>
      </c>
      <c r="B408" s="312" t="s">
        <v>8165</v>
      </c>
      <c r="C408" s="312" t="s">
        <v>8166</v>
      </c>
      <c r="D408" s="312" t="s">
        <v>105</v>
      </c>
      <c r="E408" s="312">
        <v>0</v>
      </c>
      <c r="F408" s="312">
        <v>1636799518577</v>
      </c>
      <c r="G408" s="312" t="s">
        <v>105</v>
      </c>
      <c r="H408" s="312" t="s">
        <v>105</v>
      </c>
      <c r="I408" s="312">
        <v>36.485319541114798</v>
      </c>
      <c r="J408" s="312">
        <v>-4.3720660514418297</v>
      </c>
      <c r="K408" s="312" t="s">
        <v>8167</v>
      </c>
      <c r="L408" s="312" t="s">
        <v>8168</v>
      </c>
    </row>
    <row r="409" spans="1:12">
      <c r="A409" s="312">
        <v>1109</v>
      </c>
      <c r="B409" s="312" t="s">
        <v>8169</v>
      </c>
      <c r="C409" s="312" t="s">
        <v>8170</v>
      </c>
      <c r="D409" s="312" t="s">
        <v>105</v>
      </c>
      <c r="E409" s="312">
        <v>0</v>
      </c>
      <c r="F409" s="312">
        <v>1636799518580</v>
      </c>
      <c r="G409" s="312" t="s">
        <v>105</v>
      </c>
      <c r="H409" s="312" t="s">
        <v>105</v>
      </c>
      <c r="I409" s="312">
        <v>42.566522971969803</v>
      </c>
      <c r="J409" s="312">
        <v>11.750165041955601</v>
      </c>
      <c r="K409" s="312" t="s">
        <v>8171</v>
      </c>
      <c r="L409" s="312" t="s">
        <v>8172</v>
      </c>
    </row>
    <row r="410" spans="1:12">
      <c r="A410" s="312">
        <v>1110</v>
      </c>
      <c r="B410" s="312" t="s">
        <v>8173</v>
      </c>
      <c r="C410" s="312" t="s">
        <v>8174</v>
      </c>
      <c r="D410" s="312" t="s">
        <v>105</v>
      </c>
      <c r="E410" s="312">
        <v>0</v>
      </c>
      <c r="F410" s="312">
        <v>1636799518581</v>
      </c>
      <c r="G410" s="312" t="s">
        <v>105</v>
      </c>
      <c r="H410" s="312" t="s">
        <v>105</v>
      </c>
      <c r="I410" s="312">
        <v>155.13977008522801</v>
      </c>
      <c r="J410" s="312">
        <v>7.0471631585020296</v>
      </c>
      <c r="K410" s="312" t="s">
        <v>8175</v>
      </c>
      <c r="L410" s="312" t="s">
        <v>8176</v>
      </c>
    </row>
    <row r="411" spans="1:12">
      <c r="A411" s="312">
        <v>1111</v>
      </c>
      <c r="B411" s="312" t="s">
        <v>8177</v>
      </c>
      <c r="C411" s="312" t="s">
        <v>8178</v>
      </c>
      <c r="D411" s="312" t="s">
        <v>105</v>
      </c>
      <c r="E411" s="312">
        <v>0</v>
      </c>
      <c r="F411" s="312">
        <v>1636799518686</v>
      </c>
      <c r="G411" s="312" t="s">
        <v>105</v>
      </c>
      <c r="H411" s="312" t="s">
        <v>105</v>
      </c>
      <c r="I411" s="312">
        <v>105.29796444676199</v>
      </c>
      <c r="J411" s="312">
        <v>38.171771345128903</v>
      </c>
      <c r="K411" s="312" t="s">
        <v>8179</v>
      </c>
      <c r="L411" s="312" t="s">
        <v>8180</v>
      </c>
    </row>
    <row r="412" spans="1:12">
      <c r="A412" s="312">
        <v>1112</v>
      </c>
      <c r="B412" s="312" t="s">
        <v>8181</v>
      </c>
      <c r="C412" s="312" t="s">
        <v>8182</v>
      </c>
      <c r="D412" s="312" t="s">
        <v>105</v>
      </c>
      <c r="E412" s="312">
        <v>0</v>
      </c>
      <c r="F412" s="312">
        <v>1636799518839</v>
      </c>
      <c r="G412" s="312" t="s">
        <v>105</v>
      </c>
      <c r="H412" s="312" t="s">
        <v>105</v>
      </c>
      <c r="I412" s="312">
        <v>91.866322295077595</v>
      </c>
      <c r="J412" s="312">
        <v>61.1241322741229</v>
      </c>
      <c r="K412" s="312" t="s">
        <v>8183</v>
      </c>
      <c r="L412" s="312" t="s">
        <v>8184</v>
      </c>
    </row>
    <row r="413" spans="1:12">
      <c r="A413" s="312">
        <v>1113</v>
      </c>
      <c r="B413" s="312" t="s">
        <v>8185</v>
      </c>
      <c r="C413" s="312" t="s">
        <v>8186</v>
      </c>
      <c r="D413" s="312" t="s">
        <v>105</v>
      </c>
      <c r="E413" s="312">
        <v>0</v>
      </c>
      <c r="F413" s="312">
        <v>1636799518873</v>
      </c>
      <c r="G413" s="312" t="s">
        <v>105</v>
      </c>
      <c r="H413" s="312" t="s">
        <v>105</v>
      </c>
      <c r="I413" s="312">
        <v>147.88095329971699</v>
      </c>
      <c r="J413" s="312">
        <v>-7.7630257377914402</v>
      </c>
      <c r="K413" s="312" t="s">
        <v>8187</v>
      </c>
      <c r="L413" s="312" t="s">
        <v>8188</v>
      </c>
    </row>
    <row r="414" spans="1:12">
      <c r="A414" s="312">
        <v>1114</v>
      </c>
      <c r="B414" s="312" t="s">
        <v>8189</v>
      </c>
      <c r="C414" s="312" t="s">
        <v>8190</v>
      </c>
      <c r="D414" s="312" t="s">
        <v>105</v>
      </c>
      <c r="E414" s="312">
        <v>0</v>
      </c>
      <c r="F414" s="312">
        <v>1636799518887</v>
      </c>
      <c r="G414" s="312" t="s">
        <v>105</v>
      </c>
      <c r="H414" s="312" t="s">
        <v>105</v>
      </c>
      <c r="I414" s="312">
        <v>94.797162495046393</v>
      </c>
      <c r="J414" s="312">
        <v>7.8514190226353398</v>
      </c>
      <c r="K414" s="312" t="s">
        <v>8191</v>
      </c>
      <c r="L414" s="312" t="s">
        <v>8192</v>
      </c>
    </row>
    <row r="415" spans="1:12">
      <c r="A415" s="312">
        <v>1115</v>
      </c>
      <c r="B415" s="312" t="s">
        <v>8193</v>
      </c>
      <c r="C415" s="312" t="s">
        <v>8194</v>
      </c>
      <c r="D415" s="312" t="s">
        <v>105</v>
      </c>
      <c r="E415" s="312">
        <v>0</v>
      </c>
      <c r="F415" s="312">
        <v>1636799518904</v>
      </c>
      <c r="G415" s="312" t="s">
        <v>105</v>
      </c>
      <c r="H415" s="312" t="s">
        <v>105</v>
      </c>
      <c r="I415" s="312">
        <v>14.8791978267363</v>
      </c>
      <c r="J415" s="312">
        <v>25.132369263418301</v>
      </c>
      <c r="K415" s="312" t="s">
        <v>8195</v>
      </c>
      <c r="L415" s="312" t="s">
        <v>8196</v>
      </c>
    </row>
    <row r="416" spans="1:12">
      <c r="A416" s="312">
        <v>1116</v>
      </c>
      <c r="B416" s="312" t="s">
        <v>8197</v>
      </c>
      <c r="C416" s="312" t="s">
        <v>8198</v>
      </c>
      <c r="D416" s="312" t="s">
        <v>105</v>
      </c>
      <c r="E416" s="312">
        <v>0</v>
      </c>
      <c r="F416" s="312">
        <v>1636799519036</v>
      </c>
      <c r="G416" s="312" t="s">
        <v>105</v>
      </c>
      <c r="H416" s="312" t="s">
        <v>105</v>
      </c>
      <c r="I416" s="312">
        <v>13.827960382299</v>
      </c>
      <c r="J416" s="312">
        <v>63.0546783494419</v>
      </c>
      <c r="K416" s="312" t="s">
        <v>8199</v>
      </c>
      <c r="L416" s="312" t="s">
        <v>8200</v>
      </c>
    </row>
    <row r="417" spans="1:12">
      <c r="A417" s="312">
        <v>1117</v>
      </c>
      <c r="B417" s="312" t="s">
        <v>8201</v>
      </c>
      <c r="C417" s="312" t="s">
        <v>8202</v>
      </c>
      <c r="D417" s="312" t="s">
        <v>105</v>
      </c>
      <c r="E417" s="312">
        <v>0</v>
      </c>
      <c r="F417" s="312">
        <v>1636799519066</v>
      </c>
      <c r="G417" s="312" t="s">
        <v>105</v>
      </c>
      <c r="H417" s="312" t="s">
        <v>105</v>
      </c>
      <c r="I417" s="312">
        <v>-158.366231288123</v>
      </c>
      <c r="J417" s="312">
        <v>-15.319133775092199</v>
      </c>
      <c r="K417" s="312" t="s">
        <v>8203</v>
      </c>
      <c r="L417" s="312" t="s">
        <v>8204</v>
      </c>
    </row>
    <row r="418" spans="1:12">
      <c r="A418" s="312">
        <v>1118</v>
      </c>
      <c r="B418" s="312" t="s">
        <v>8205</v>
      </c>
      <c r="C418" s="312" t="s">
        <v>8206</v>
      </c>
      <c r="D418" s="312" t="s">
        <v>105</v>
      </c>
      <c r="E418" s="312">
        <v>0</v>
      </c>
      <c r="F418" s="312">
        <v>1636799519068</v>
      </c>
      <c r="G418" s="312" t="s">
        <v>105</v>
      </c>
      <c r="H418" s="312" t="s">
        <v>105</v>
      </c>
      <c r="I418" s="312">
        <v>46.254617497939698</v>
      </c>
      <c r="J418" s="312">
        <v>9.7311392870451492</v>
      </c>
      <c r="K418" s="312" t="s">
        <v>8206</v>
      </c>
      <c r="L418" s="312" t="s">
        <v>8207</v>
      </c>
    </row>
    <row r="419" spans="1:12">
      <c r="A419" s="312">
        <v>1121</v>
      </c>
      <c r="B419" s="312" t="s">
        <v>8208</v>
      </c>
      <c r="C419" s="312" t="s">
        <v>8209</v>
      </c>
      <c r="D419" s="312" t="s">
        <v>105</v>
      </c>
      <c r="E419" s="312">
        <v>0</v>
      </c>
      <c r="F419" s="312">
        <v>1636799519303</v>
      </c>
      <c r="G419" s="312" t="s">
        <v>105</v>
      </c>
      <c r="H419" s="312" t="s">
        <v>105</v>
      </c>
      <c r="I419" s="312">
        <v>7.2962251460457201</v>
      </c>
      <c r="J419" s="312">
        <v>41.482277994267697</v>
      </c>
      <c r="K419" s="312" t="s">
        <v>8210</v>
      </c>
      <c r="L419" s="312" t="s">
        <v>8211</v>
      </c>
    </row>
    <row r="420" spans="1:12">
      <c r="A420" s="312">
        <v>1122</v>
      </c>
      <c r="B420" s="312" t="s">
        <v>8212</v>
      </c>
      <c r="C420" s="312" t="s">
        <v>8213</v>
      </c>
      <c r="D420" s="312" t="s">
        <v>105</v>
      </c>
      <c r="E420" s="312">
        <v>0</v>
      </c>
      <c r="F420" s="312">
        <v>1636799519307</v>
      </c>
      <c r="G420" s="312" t="s">
        <v>105</v>
      </c>
      <c r="H420" s="312" t="s">
        <v>105</v>
      </c>
      <c r="I420" s="312">
        <v>-12.2149616245951</v>
      </c>
      <c r="J420" s="312">
        <v>24.232560710916299</v>
      </c>
      <c r="K420" s="312" t="s">
        <v>8214</v>
      </c>
      <c r="L420" s="312" t="s">
        <v>8215</v>
      </c>
    </row>
    <row r="421" spans="1:12">
      <c r="A421" s="312">
        <v>1123</v>
      </c>
      <c r="B421" s="312" t="s">
        <v>8216</v>
      </c>
      <c r="C421" s="312" t="s">
        <v>8217</v>
      </c>
      <c r="D421" s="312" t="s">
        <v>105</v>
      </c>
      <c r="E421" s="312">
        <v>0</v>
      </c>
      <c r="F421" s="312">
        <v>1636799519319</v>
      </c>
      <c r="G421" s="312" t="s">
        <v>105</v>
      </c>
      <c r="H421" s="312" t="s">
        <v>105</v>
      </c>
      <c r="I421" s="312">
        <v>163.138593035832</v>
      </c>
      <c r="J421" s="312">
        <v>-17.446219369197799</v>
      </c>
      <c r="K421" s="312" t="s">
        <v>8218</v>
      </c>
      <c r="L421" s="312" t="s">
        <v>8219</v>
      </c>
    </row>
    <row r="422" spans="1:12">
      <c r="A422" s="312">
        <v>1124</v>
      </c>
      <c r="B422" s="312" t="s">
        <v>8220</v>
      </c>
      <c r="C422" s="312" t="s">
        <v>8221</v>
      </c>
      <c r="D422" s="312" t="s">
        <v>105</v>
      </c>
      <c r="E422" s="312">
        <v>0</v>
      </c>
      <c r="F422" s="312">
        <v>1636799519320</v>
      </c>
      <c r="G422" s="312" t="s">
        <v>105</v>
      </c>
      <c r="H422" s="312" t="s">
        <v>105</v>
      </c>
      <c r="I422" s="312">
        <v>144.77193912022199</v>
      </c>
      <c r="J422" s="312">
        <v>13.443793017343699</v>
      </c>
      <c r="K422" s="312" t="s">
        <v>8222</v>
      </c>
      <c r="L422" s="312" t="s">
        <v>8223</v>
      </c>
    </row>
    <row r="423" spans="1:12">
      <c r="A423" s="312">
        <v>1125</v>
      </c>
      <c r="B423" s="312" t="s">
        <v>8224</v>
      </c>
      <c r="C423" s="312" t="s">
        <v>8225</v>
      </c>
      <c r="D423" s="312" t="s">
        <v>105</v>
      </c>
      <c r="E423" s="312">
        <v>0</v>
      </c>
      <c r="F423" s="312">
        <v>1636799519337</v>
      </c>
      <c r="G423" s="312" t="s">
        <v>105</v>
      </c>
      <c r="H423" s="312" t="s">
        <v>105</v>
      </c>
      <c r="I423" s="312">
        <v>-1.1850420370246399</v>
      </c>
      <c r="J423" s="312">
        <v>14.740575338251899</v>
      </c>
      <c r="K423" s="312" t="s">
        <v>8226</v>
      </c>
      <c r="L423" s="312" t="s">
        <v>8227</v>
      </c>
    </row>
    <row r="424" spans="1:12">
      <c r="A424" s="312">
        <v>1126</v>
      </c>
      <c r="B424" s="312" t="s">
        <v>8228</v>
      </c>
      <c r="C424" s="312" t="s">
        <v>8229</v>
      </c>
      <c r="D424" s="312" t="s">
        <v>105</v>
      </c>
      <c r="E424" s="312">
        <v>0</v>
      </c>
      <c r="F424" s="312">
        <v>1636799519392</v>
      </c>
      <c r="G424" s="312" t="s">
        <v>105</v>
      </c>
      <c r="H424" s="312" t="s">
        <v>105</v>
      </c>
      <c r="I424" s="312">
        <v>46.322446240273898</v>
      </c>
      <c r="J424" s="312">
        <v>29.5781640792116</v>
      </c>
      <c r="K424" s="312" t="s">
        <v>8230</v>
      </c>
      <c r="L424" s="312" t="s">
        <v>8231</v>
      </c>
    </row>
    <row r="425" spans="1:12">
      <c r="A425" s="312">
        <v>1127</v>
      </c>
      <c r="B425" s="312" t="s">
        <v>8232</v>
      </c>
      <c r="C425" s="312" t="s">
        <v>8233</v>
      </c>
      <c r="D425" s="312" t="s">
        <v>105</v>
      </c>
      <c r="E425" s="312">
        <v>0</v>
      </c>
      <c r="F425" s="312">
        <v>1636799519437</v>
      </c>
      <c r="G425" s="312" t="s">
        <v>105</v>
      </c>
      <c r="H425" s="312" t="s">
        <v>105</v>
      </c>
      <c r="I425" s="312">
        <v>66.468721559226793</v>
      </c>
      <c r="J425" s="312">
        <v>45.912089320105999</v>
      </c>
      <c r="K425" s="312" t="s">
        <v>8233</v>
      </c>
      <c r="L425" s="312" t="s">
        <v>8234</v>
      </c>
    </row>
    <row r="426" spans="1:12">
      <c r="A426" s="312">
        <v>1128</v>
      </c>
      <c r="B426" s="312" t="s">
        <v>8235</v>
      </c>
      <c r="C426" s="312" t="s">
        <v>8236</v>
      </c>
      <c r="D426" s="312" t="s">
        <v>105</v>
      </c>
      <c r="E426" s="312">
        <v>0</v>
      </c>
      <c r="F426" s="312">
        <v>1636799519460</v>
      </c>
      <c r="G426" s="312" t="s">
        <v>105</v>
      </c>
      <c r="H426" s="312" t="s">
        <v>105</v>
      </c>
      <c r="I426" s="312">
        <v>-71.785657036077097</v>
      </c>
      <c r="J426" s="312">
        <v>53.389626528541697</v>
      </c>
      <c r="K426" s="312" t="s">
        <v>8237</v>
      </c>
      <c r="L426" s="312" t="s">
        <v>8238</v>
      </c>
    </row>
    <row r="427" spans="1:12">
      <c r="A427" s="312">
        <v>1129</v>
      </c>
      <c r="B427" s="312" t="s">
        <v>8239</v>
      </c>
      <c r="C427" s="312" t="s">
        <v>8240</v>
      </c>
      <c r="D427" s="312" t="s">
        <v>105</v>
      </c>
      <c r="E427" s="312">
        <v>0</v>
      </c>
      <c r="F427" s="312">
        <v>1636799519545</v>
      </c>
      <c r="G427" s="312" t="s">
        <v>105</v>
      </c>
      <c r="H427" s="312" t="s">
        <v>105</v>
      </c>
      <c r="I427" s="312">
        <v>110.639041491718</v>
      </c>
      <c r="J427" s="312">
        <v>62.731236874514003</v>
      </c>
      <c r="K427" s="312" t="s">
        <v>8240</v>
      </c>
      <c r="L427" s="312" t="s">
        <v>8241</v>
      </c>
    </row>
    <row r="428" spans="1:12">
      <c r="A428" s="312">
        <v>1130</v>
      </c>
      <c r="B428" s="312" t="s">
        <v>8242</v>
      </c>
      <c r="C428" s="312" t="s">
        <v>8243</v>
      </c>
      <c r="D428" s="312" t="s">
        <v>105</v>
      </c>
      <c r="E428" s="312">
        <v>0</v>
      </c>
      <c r="F428" s="312">
        <v>1636799519592</v>
      </c>
      <c r="G428" s="312" t="s">
        <v>105</v>
      </c>
      <c r="H428" s="312" t="s">
        <v>105</v>
      </c>
      <c r="I428" s="312">
        <v>45.620643792147298</v>
      </c>
      <c r="J428" s="312">
        <v>59.249941422015397</v>
      </c>
      <c r="K428" s="312" t="s">
        <v>8243</v>
      </c>
      <c r="L428" s="312" t="s">
        <v>8244</v>
      </c>
    </row>
    <row r="429" spans="1:12">
      <c r="A429" s="312">
        <v>1131</v>
      </c>
      <c r="B429" s="312" t="s">
        <v>8245</v>
      </c>
      <c r="C429" s="312" t="s">
        <v>8246</v>
      </c>
      <c r="D429" s="312" t="s">
        <v>105</v>
      </c>
      <c r="E429" s="312">
        <v>0</v>
      </c>
      <c r="F429" s="312">
        <v>1636799519970</v>
      </c>
      <c r="G429" s="312" t="s">
        <v>105</v>
      </c>
      <c r="H429" s="312" t="s">
        <v>105</v>
      </c>
      <c r="I429" s="312">
        <v>78.874563136286</v>
      </c>
      <c r="J429" s="312">
        <v>60.091353320955101</v>
      </c>
      <c r="K429" s="312" t="s">
        <v>8247</v>
      </c>
      <c r="L429" s="312" t="s">
        <v>8248</v>
      </c>
    </row>
    <row r="430" spans="1:12">
      <c r="A430" s="312">
        <v>1132</v>
      </c>
      <c r="B430" s="312" t="s">
        <v>8249</v>
      </c>
      <c r="C430" s="312" t="s">
        <v>8250</v>
      </c>
      <c r="D430" s="312" t="s">
        <v>105</v>
      </c>
      <c r="E430" s="312">
        <v>0</v>
      </c>
      <c r="F430" s="312">
        <v>1636799520204</v>
      </c>
      <c r="G430" s="312" t="s">
        <v>105</v>
      </c>
      <c r="H430" s="312" t="s">
        <v>105</v>
      </c>
      <c r="I430" s="312">
        <v>-60.791262504036901</v>
      </c>
      <c r="J430" s="312">
        <v>-15.1610938376867</v>
      </c>
      <c r="K430" s="312" t="s">
        <v>8251</v>
      </c>
      <c r="L430" s="312" t="s">
        <v>8252</v>
      </c>
    </row>
    <row r="431" spans="1:12">
      <c r="A431" s="312">
        <v>1133</v>
      </c>
      <c r="B431" s="312" t="s">
        <v>8253</v>
      </c>
      <c r="C431" s="312" t="s">
        <v>8254</v>
      </c>
      <c r="D431" s="312" t="s">
        <v>105</v>
      </c>
      <c r="E431" s="312">
        <v>0</v>
      </c>
      <c r="F431" s="312">
        <v>1636799520229</v>
      </c>
      <c r="G431" s="312" t="s">
        <v>105</v>
      </c>
      <c r="H431" s="312" t="s">
        <v>105</v>
      </c>
      <c r="I431" s="312">
        <v>-6.8705547761670402</v>
      </c>
      <c r="J431" s="312">
        <v>62.0740272544584</v>
      </c>
      <c r="K431" s="312" t="s">
        <v>8255</v>
      </c>
      <c r="L431" s="312" t="s">
        <v>8256</v>
      </c>
    </row>
    <row r="432" spans="1:12">
      <c r="A432" s="312">
        <v>1134</v>
      </c>
      <c r="B432" s="312" t="s">
        <v>8257</v>
      </c>
      <c r="C432" s="312" t="s">
        <v>8258</v>
      </c>
      <c r="D432" s="312" t="s">
        <v>105</v>
      </c>
      <c r="E432" s="312">
        <v>0</v>
      </c>
      <c r="F432" s="312">
        <v>1636799520537</v>
      </c>
      <c r="G432" s="312" t="s">
        <v>105</v>
      </c>
      <c r="H432" s="312" t="s">
        <v>105</v>
      </c>
      <c r="I432" s="312">
        <v>94.018763558756802</v>
      </c>
      <c r="J432" s="312">
        <v>47.1672182157305</v>
      </c>
      <c r="K432" s="312" t="s">
        <v>8258</v>
      </c>
      <c r="L432" s="312" t="s">
        <v>8259</v>
      </c>
    </row>
    <row r="433" spans="1:12">
      <c r="A433" s="312">
        <v>1135</v>
      </c>
      <c r="B433" s="312" t="s">
        <v>8260</v>
      </c>
      <c r="C433" s="312" t="s">
        <v>8261</v>
      </c>
      <c r="D433" s="312" t="s">
        <v>105</v>
      </c>
      <c r="E433" s="312">
        <v>0</v>
      </c>
      <c r="F433" s="312">
        <v>1636799520751</v>
      </c>
      <c r="G433" s="312" t="s">
        <v>105</v>
      </c>
      <c r="H433" s="312" t="s">
        <v>105</v>
      </c>
      <c r="I433" s="312">
        <v>-97.343423722431993</v>
      </c>
      <c r="J433" s="312">
        <v>61.7400487235981</v>
      </c>
      <c r="K433" s="312" t="s">
        <v>8261</v>
      </c>
      <c r="L433" s="312" t="s">
        <v>8262</v>
      </c>
    </row>
    <row r="434" spans="1:12">
      <c r="A434" s="312">
        <v>1136</v>
      </c>
      <c r="B434" s="312" t="s">
        <v>8263</v>
      </c>
      <c r="C434" s="312" t="s">
        <v>8264</v>
      </c>
      <c r="D434" s="312" t="s">
        <v>105</v>
      </c>
      <c r="E434" s="312">
        <v>0</v>
      </c>
      <c r="F434" s="312">
        <v>1636799520987</v>
      </c>
      <c r="G434" s="312" t="s">
        <v>105</v>
      </c>
      <c r="H434" s="312" t="s">
        <v>105</v>
      </c>
      <c r="I434" s="312">
        <v>-101.081437086224</v>
      </c>
      <c r="J434" s="312">
        <v>62.961360043224502</v>
      </c>
      <c r="K434" s="312" t="s">
        <v>8264</v>
      </c>
      <c r="L434" s="312" t="s">
        <v>8265</v>
      </c>
    </row>
    <row r="435" spans="1:12">
      <c r="A435" s="312">
        <v>1137</v>
      </c>
      <c r="B435" s="312" t="s">
        <v>8266</v>
      </c>
      <c r="C435" s="312" t="s">
        <v>8267</v>
      </c>
      <c r="D435" s="312" t="s">
        <v>105</v>
      </c>
      <c r="E435" s="312">
        <v>0</v>
      </c>
      <c r="F435" s="312">
        <v>1636799521134</v>
      </c>
      <c r="G435" s="312" t="s">
        <v>105</v>
      </c>
      <c r="H435" s="312" t="s">
        <v>105</v>
      </c>
      <c r="I435" s="312">
        <v>30.676516359957901</v>
      </c>
      <c r="J435" s="312">
        <v>53.888404975823697</v>
      </c>
      <c r="K435" s="312" t="s">
        <v>8267</v>
      </c>
      <c r="L435" s="312" t="s">
        <v>8268</v>
      </c>
    </row>
    <row r="436" spans="1:12">
      <c r="A436" s="312">
        <v>1138</v>
      </c>
      <c r="B436" s="312" t="s">
        <v>8269</v>
      </c>
      <c r="C436" s="312" t="s">
        <v>8270</v>
      </c>
      <c r="D436" s="312" t="s">
        <v>105</v>
      </c>
      <c r="E436" s="312">
        <v>0</v>
      </c>
      <c r="F436" s="312">
        <v>1636799521787</v>
      </c>
      <c r="G436" s="312" t="s">
        <v>105</v>
      </c>
      <c r="H436" s="312" t="s">
        <v>105</v>
      </c>
      <c r="I436" s="312">
        <v>29.401233268628999</v>
      </c>
      <c r="J436" s="312">
        <v>56.343879500971802</v>
      </c>
      <c r="K436" s="312" t="s">
        <v>8270</v>
      </c>
      <c r="L436" s="312" t="s">
        <v>8271</v>
      </c>
    </row>
    <row r="437" spans="1:12">
      <c r="A437" s="312">
        <v>1139</v>
      </c>
      <c r="B437" s="312" t="s">
        <v>8272</v>
      </c>
      <c r="C437" s="312" t="s">
        <v>8273</v>
      </c>
      <c r="D437" s="312" t="s">
        <v>105</v>
      </c>
      <c r="E437" s="312">
        <v>0</v>
      </c>
      <c r="F437" s="312">
        <v>1636799523605</v>
      </c>
      <c r="G437" s="312" t="s">
        <v>105</v>
      </c>
      <c r="H437" s="312" t="s">
        <v>105</v>
      </c>
      <c r="I437" s="312">
        <v>-10.343432305859601</v>
      </c>
      <c r="J437" s="312">
        <v>20.256216266986101</v>
      </c>
      <c r="K437" s="312" t="s">
        <v>8274</v>
      </c>
      <c r="L437" s="312" t="s">
        <v>8275</v>
      </c>
    </row>
    <row r="438" spans="1:12">
      <c r="A438" s="312">
        <v>1140</v>
      </c>
      <c r="B438" s="312" t="s">
        <v>8276</v>
      </c>
      <c r="C438" s="312" t="s">
        <v>8277</v>
      </c>
      <c r="D438" s="312" t="s">
        <v>105</v>
      </c>
      <c r="E438" s="312">
        <v>0</v>
      </c>
      <c r="F438" s="312">
        <v>1636799523608</v>
      </c>
      <c r="G438" s="312" t="s">
        <v>105</v>
      </c>
      <c r="H438" s="312" t="s">
        <v>105</v>
      </c>
      <c r="I438" s="312">
        <v>-62.187398782939397</v>
      </c>
      <c r="J438" s="312">
        <v>16.737523565119801</v>
      </c>
      <c r="K438" s="312" t="s">
        <v>8278</v>
      </c>
      <c r="L438" s="312" t="s">
        <v>8279</v>
      </c>
    </row>
    <row r="439" spans="1:12">
      <c r="A439" s="312">
        <v>1141</v>
      </c>
      <c r="B439" s="312" t="s">
        <v>8280</v>
      </c>
      <c r="C439" s="312" t="s">
        <v>8281</v>
      </c>
      <c r="D439" s="312" t="s">
        <v>105</v>
      </c>
      <c r="E439" s="312">
        <v>0</v>
      </c>
      <c r="F439" s="312">
        <v>1636799523788</v>
      </c>
      <c r="G439" s="312" t="s">
        <v>105</v>
      </c>
      <c r="H439" s="312" t="s">
        <v>105</v>
      </c>
      <c r="I439" s="312">
        <v>-56.307813542482499</v>
      </c>
      <c r="J439" s="312">
        <v>46.930457949750902</v>
      </c>
      <c r="K439" s="312" t="s">
        <v>8282</v>
      </c>
      <c r="L439" s="312" t="s">
        <v>8283</v>
      </c>
    </row>
    <row r="440" spans="1:12">
      <c r="A440" s="312">
        <v>1142</v>
      </c>
      <c r="B440" s="312" t="s">
        <v>8284</v>
      </c>
      <c r="C440" s="312" t="s">
        <v>8285</v>
      </c>
      <c r="D440" s="312" t="s">
        <v>105</v>
      </c>
      <c r="E440" s="312">
        <v>0</v>
      </c>
      <c r="F440" s="312">
        <v>1636799523789</v>
      </c>
      <c r="G440" s="312" t="s">
        <v>105</v>
      </c>
      <c r="H440" s="312" t="s">
        <v>105</v>
      </c>
      <c r="I440" s="312">
        <v>33.7929974586933</v>
      </c>
      <c r="J440" s="312">
        <v>35.0177964093131</v>
      </c>
      <c r="K440" s="312" t="s">
        <v>8286</v>
      </c>
      <c r="L440" s="312" t="s">
        <v>8287</v>
      </c>
    </row>
    <row r="441" spans="1:12">
      <c r="A441" s="312">
        <v>1143</v>
      </c>
      <c r="B441" s="312" t="s">
        <v>8288</v>
      </c>
      <c r="C441" s="312" t="s">
        <v>8289</v>
      </c>
      <c r="D441" s="312" t="s">
        <v>105</v>
      </c>
      <c r="E441" s="312">
        <v>0</v>
      </c>
      <c r="F441" s="312">
        <v>1636799523807</v>
      </c>
      <c r="G441" s="312" t="s">
        <v>105</v>
      </c>
      <c r="H441" s="312" t="s">
        <v>105</v>
      </c>
      <c r="I441" s="312">
        <v>-62.698545446217501</v>
      </c>
      <c r="J441" s="312">
        <v>17.271042252592299</v>
      </c>
      <c r="K441" s="312" t="s">
        <v>8290</v>
      </c>
      <c r="L441" s="312" t="s">
        <v>8291</v>
      </c>
    </row>
    <row r="442" spans="1:12">
      <c r="A442" s="312">
        <v>1144</v>
      </c>
      <c r="B442" s="312" t="s">
        <v>8292</v>
      </c>
      <c r="C442" s="312" t="s">
        <v>8293</v>
      </c>
      <c r="D442" s="312" t="s">
        <v>105</v>
      </c>
      <c r="E442" s="312">
        <v>0</v>
      </c>
      <c r="F442" s="312">
        <v>1636799523810</v>
      </c>
      <c r="G442" s="312" t="s">
        <v>105</v>
      </c>
      <c r="H442" s="312" t="s">
        <v>105</v>
      </c>
      <c r="I442" s="312">
        <v>-60.970316531130997</v>
      </c>
      <c r="J442" s="312">
        <v>13.902670546894299</v>
      </c>
      <c r="K442" s="312" t="s">
        <v>8294</v>
      </c>
      <c r="L442" s="312" t="s">
        <v>8295</v>
      </c>
    </row>
    <row r="443" spans="1:12">
      <c r="A443" s="312">
        <v>1145</v>
      </c>
      <c r="B443" s="312" t="s">
        <v>8296</v>
      </c>
      <c r="C443" s="312" t="s">
        <v>8297</v>
      </c>
      <c r="D443" s="312" t="s">
        <v>105</v>
      </c>
      <c r="E443" s="312">
        <v>0</v>
      </c>
      <c r="F443" s="312">
        <v>1636799523810</v>
      </c>
      <c r="G443" s="312" t="s">
        <v>105</v>
      </c>
      <c r="H443" s="312" t="s">
        <v>105</v>
      </c>
      <c r="I443" s="312">
        <v>9.5409002886728</v>
      </c>
      <c r="J443" s="312">
        <v>47.138206429517098</v>
      </c>
      <c r="K443" s="312" t="s">
        <v>8298</v>
      </c>
      <c r="L443" s="312" t="s">
        <v>8299</v>
      </c>
    </row>
    <row r="444" spans="1:12">
      <c r="A444" s="312">
        <v>1146</v>
      </c>
      <c r="B444" s="312" t="s">
        <v>8300</v>
      </c>
      <c r="C444" s="312" t="s">
        <v>8301</v>
      </c>
      <c r="D444" s="312" t="s">
        <v>105</v>
      </c>
      <c r="E444" s="312">
        <v>0</v>
      </c>
      <c r="F444" s="312">
        <v>1636799523816</v>
      </c>
      <c r="G444" s="312" t="s">
        <v>105</v>
      </c>
      <c r="H444" s="312" t="s">
        <v>105</v>
      </c>
      <c r="I444" s="312">
        <v>28.228622924991001</v>
      </c>
      <c r="J444" s="312">
        <v>-29.579730444226001</v>
      </c>
      <c r="K444" s="312" t="s">
        <v>8302</v>
      </c>
      <c r="L444" s="312" t="s">
        <v>8303</v>
      </c>
    </row>
    <row r="445" spans="1:12">
      <c r="A445" s="312">
        <v>1147</v>
      </c>
      <c r="B445" s="312" t="s">
        <v>8304</v>
      </c>
      <c r="C445" s="312" t="s">
        <v>8305</v>
      </c>
      <c r="D445" s="312" t="s">
        <v>105</v>
      </c>
      <c r="E445" s="312">
        <v>0</v>
      </c>
      <c r="F445" s="312">
        <v>1636799521867</v>
      </c>
      <c r="G445" s="312" t="s">
        <v>105</v>
      </c>
      <c r="H445" s="312" t="s">
        <v>105</v>
      </c>
      <c r="I445" s="312">
        <v>102.253288198406</v>
      </c>
      <c r="J445" s="312">
        <v>35.380891322537401</v>
      </c>
      <c r="K445" s="312" t="s">
        <v>8306</v>
      </c>
      <c r="L445" s="312" t="s">
        <v>8307</v>
      </c>
    </row>
    <row r="446" spans="1:12">
      <c r="A446" s="312">
        <v>1148</v>
      </c>
      <c r="B446" s="312" t="s">
        <v>8308</v>
      </c>
      <c r="C446" s="312" t="s">
        <v>8309</v>
      </c>
      <c r="D446" s="312" t="s">
        <v>105</v>
      </c>
      <c r="E446" s="312">
        <v>0</v>
      </c>
      <c r="F446" s="312">
        <v>1636799523614</v>
      </c>
      <c r="G446" s="312" t="s">
        <v>105</v>
      </c>
      <c r="H446" s="312" t="s">
        <v>105</v>
      </c>
      <c r="I446" s="312">
        <v>73.302258173231294</v>
      </c>
      <c r="J446" s="312">
        <v>3.8277948076019599</v>
      </c>
      <c r="K446" s="312" t="s">
        <v>8310</v>
      </c>
      <c r="L446" s="312" t="s">
        <v>8311</v>
      </c>
    </row>
    <row r="447" spans="1:12">
      <c r="A447" s="312">
        <v>1149</v>
      </c>
      <c r="B447" s="312" t="s">
        <v>8312</v>
      </c>
      <c r="C447" s="312" t="s">
        <v>8313</v>
      </c>
      <c r="D447" s="312" t="s">
        <v>105</v>
      </c>
      <c r="E447" s="312">
        <v>0</v>
      </c>
      <c r="F447" s="312">
        <v>1636799523617</v>
      </c>
      <c r="G447" s="312" t="s">
        <v>105</v>
      </c>
      <c r="H447" s="312" t="s">
        <v>105</v>
      </c>
      <c r="I447" s="312">
        <v>34.289907803440201</v>
      </c>
      <c r="J447" s="312">
        <v>-13.217225864685</v>
      </c>
      <c r="K447" s="312" t="s">
        <v>8314</v>
      </c>
      <c r="L447" s="312" t="s">
        <v>8315</v>
      </c>
    </row>
    <row r="448" spans="1:12">
      <c r="A448" s="312">
        <v>1150</v>
      </c>
      <c r="B448" s="312" t="s">
        <v>8316</v>
      </c>
      <c r="C448" s="312" t="s">
        <v>8317</v>
      </c>
      <c r="D448" s="312" t="s">
        <v>105</v>
      </c>
      <c r="E448" s="312">
        <v>0</v>
      </c>
      <c r="F448" s="312">
        <v>1636799522004</v>
      </c>
      <c r="G448" s="312" t="s">
        <v>105</v>
      </c>
      <c r="H448" s="312" t="s">
        <v>105</v>
      </c>
      <c r="I448" s="312">
        <v>14.842921034740099</v>
      </c>
      <c r="J448" s="312">
        <v>51.440591924394099</v>
      </c>
      <c r="K448" s="312" t="s">
        <v>8318</v>
      </c>
      <c r="L448" s="312" t="s">
        <v>8319</v>
      </c>
    </row>
    <row r="449" spans="1:12">
      <c r="A449" s="312">
        <v>1151</v>
      </c>
      <c r="B449" s="312" t="s">
        <v>8320</v>
      </c>
      <c r="C449" s="312" t="s">
        <v>8321</v>
      </c>
      <c r="D449" s="312" t="s">
        <v>105</v>
      </c>
      <c r="E449" s="312">
        <v>0</v>
      </c>
      <c r="F449" s="312">
        <v>1636799523831</v>
      </c>
      <c r="G449" s="312" t="s">
        <v>105</v>
      </c>
      <c r="H449" s="312" t="s">
        <v>105</v>
      </c>
      <c r="I449" s="312">
        <v>7.3989743248248097</v>
      </c>
      <c r="J449" s="312">
        <v>43.739846187413399</v>
      </c>
      <c r="K449" s="312" t="s">
        <v>8322</v>
      </c>
      <c r="L449" s="312" t="s">
        <v>8323</v>
      </c>
    </row>
    <row r="450" spans="1:12">
      <c r="A450" s="312">
        <v>1152</v>
      </c>
      <c r="B450" s="312" t="s">
        <v>8324</v>
      </c>
      <c r="C450" s="312" t="s">
        <v>8325</v>
      </c>
      <c r="D450" s="312" t="s">
        <v>105</v>
      </c>
      <c r="E450" s="312">
        <v>0</v>
      </c>
      <c r="F450" s="312">
        <v>1636799523837</v>
      </c>
      <c r="G450" s="312" t="s">
        <v>105</v>
      </c>
      <c r="H450" s="312" t="s">
        <v>105</v>
      </c>
      <c r="I450" s="312">
        <v>-75.154672933295899</v>
      </c>
      <c r="J450" s="312">
        <v>19.929253704254599</v>
      </c>
      <c r="K450" s="312" t="s">
        <v>8326</v>
      </c>
      <c r="L450" s="312" t="s">
        <v>8327</v>
      </c>
    </row>
    <row r="451" spans="1:12">
      <c r="A451" s="312">
        <v>1153</v>
      </c>
      <c r="B451" s="312" t="s">
        <v>8328</v>
      </c>
      <c r="C451" s="312" t="s">
        <v>8329</v>
      </c>
      <c r="D451" s="312" t="s">
        <v>105</v>
      </c>
      <c r="E451" s="312">
        <v>0</v>
      </c>
      <c r="F451" s="312">
        <v>1636799523838</v>
      </c>
      <c r="G451" s="312" t="s">
        <v>105</v>
      </c>
      <c r="H451" s="312" t="s">
        <v>105</v>
      </c>
      <c r="I451" s="312">
        <v>-109.221264242508</v>
      </c>
      <c r="J451" s="312">
        <v>10.297389383681701</v>
      </c>
      <c r="K451" s="312" t="s">
        <v>8329</v>
      </c>
      <c r="L451" s="312" t="s">
        <v>8330</v>
      </c>
    </row>
    <row r="452" spans="1:12">
      <c r="A452" s="312">
        <v>1154</v>
      </c>
      <c r="B452" s="312" t="s">
        <v>8331</v>
      </c>
      <c r="C452" s="312" t="s">
        <v>8332</v>
      </c>
      <c r="D452" s="312" t="s">
        <v>105</v>
      </c>
      <c r="E452" s="312">
        <v>0</v>
      </c>
      <c r="F452" s="312">
        <v>1636799523843</v>
      </c>
      <c r="G452" s="312" t="s">
        <v>105</v>
      </c>
      <c r="H452" s="312" t="s">
        <v>105</v>
      </c>
      <c r="I452" s="312">
        <v>-63.055071492322902</v>
      </c>
      <c r="J452" s="312">
        <v>18.077620298314098</v>
      </c>
      <c r="K452" s="312" t="s">
        <v>8333</v>
      </c>
      <c r="L452" s="312" t="s">
        <v>8334</v>
      </c>
    </row>
    <row r="453" spans="1:12">
      <c r="A453" s="312">
        <v>1155</v>
      </c>
      <c r="B453" s="312" t="s">
        <v>8335</v>
      </c>
      <c r="C453" s="312" t="s">
        <v>8336</v>
      </c>
      <c r="D453" s="312" t="s">
        <v>105</v>
      </c>
      <c r="E453" s="312">
        <v>0</v>
      </c>
      <c r="F453" s="312">
        <v>1636799523855</v>
      </c>
      <c r="G453" s="312" t="s">
        <v>105</v>
      </c>
      <c r="H453" s="312" t="s">
        <v>105</v>
      </c>
      <c r="I453" s="312">
        <v>169.728845597993</v>
      </c>
      <c r="J453" s="312">
        <v>7.49409090705596</v>
      </c>
      <c r="K453" s="312" t="s">
        <v>8337</v>
      </c>
      <c r="L453" s="312" t="s">
        <v>8338</v>
      </c>
    </row>
    <row r="454" spans="1:12">
      <c r="A454" s="312">
        <v>1156</v>
      </c>
      <c r="B454" s="312" t="s">
        <v>8339</v>
      </c>
      <c r="C454" s="312" t="s">
        <v>8340</v>
      </c>
      <c r="D454" s="312" t="s">
        <v>105</v>
      </c>
      <c r="E454" s="312">
        <v>0</v>
      </c>
      <c r="F454" s="312">
        <v>1636799523886</v>
      </c>
      <c r="G454" s="312" t="s">
        <v>105</v>
      </c>
      <c r="H454" s="312" t="s">
        <v>105</v>
      </c>
      <c r="I454" s="312">
        <v>113.550196788896</v>
      </c>
      <c r="J454" s="312">
        <v>22.1577852645534</v>
      </c>
      <c r="K454" s="312" t="s">
        <v>8341</v>
      </c>
      <c r="L454" s="312" t="s">
        <v>8342</v>
      </c>
    </row>
    <row r="455" spans="1:12">
      <c r="A455" s="312">
        <v>1157</v>
      </c>
      <c r="B455" s="312" t="s">
        <v>8343</v>
      </c>
      <c r="C455" s="312" t="s">
        <v>7491</v>
      </c>
      <c r="D455" s="312" t="s">
        <v>105</v>
      </c>
      <c r="E455" s="312">
        <v>0</v>
      </c>
      <c r="F455" s="312">
        <v>1636799523889</v>
      </c>
      <c r="G455" s="312" t="s">
        <v>105</v>
      </c>
      <c r="H455" s="312" t="s">
        <v>105</v>
      </c>
      <c r="I455" s="312">
        <v>-66.467600292819796</v>
      </c>
      <c r="J455" s="312">
        <v>18.223816465407801</v>
      </c>
      <c r="K455" s="312" t="s">
        <v>8344</v>
      </c>
      <c r="L455" s="312" t="s">
        <v>8345</v>
      </c>
    </row>
    <row r="456" spans="1:12">
      <c r="A456" s="312">
        <v>1158</v>
      </c>
      <c r="B456" s="312" t="s">
        <v>8346</v>
      </c>
      <c r="C456" s="312" t="s">
        <v>8347</v>
      </c>
      <c r="D456" s="312" t="s">
        <v>105</v>
      </c>
      <c r="E456" s="312">
        <v>0</v>
      </c>
      <c r="F456" s="312">
        <v>1636799523890</v>
      </c>
      <c r="G456" s="312" t="s">
        <v>105</v>
      </c>
      <c r="H456" s="312" t="s">
        <v>105</v>
      </c>
      <c r="I456" s="312">
        <v>55.541687883262703</v>
      </c>
      <c r="J456" s="312">
        <v>-21.119474112491801</v>
      </c>
      <c r="K456" s="312" t="s">
        <v>8348</v>
      </c>
      <c r="L456" s="312" t="s">
        <v>8349</v>
      </c>
    </row>
    <row r="457" spans="1:12">
      <c r="A457" s="312">
        <v>1159</v>
      </c>
      <c r="B457" s="312" t="s">
        <v>8350</v>
      </c>
      <c r="C457" s="312" t="s">
        <v>8351</v>
      </c>
      <c r="D457" s="312" t="s">
        <v>105</v>
      </c>
      <c r="E457" s="312">
        <v>0</v>
      </c>
      <c r="F457" s="312">
        <v>1636799524069</v>
      </c>
      <c r="G457" s="312" t="s">
        <v>105</v>
      </c>
      <c r="H457" s="312" t="s">
        <v>105</v>
      </c>
      <c r="I457" s="312">
        <v>35.197812365148401</v>
      </c>
      <c r="J457" s="312">
        <v>31.916083379613099</v>
      </c>
      <c r="K457" s="312" t="s">
        <v>8352</v>
      </c>
      <c r="L457" s="312" t="s">
        <v>8353</v>
      </c>
    </row>
    <row r="458" spans="1:12">
      <c r="A458" s="312">
        <v>1160</v>
      </c>
      <c r="B458" s="312" t="s">
        <v>8354</v>
      </c>
      <c r="C458" s="312" t="s">
        <v>8355</v>
      </c>
      <c r="D458" s="312" t="s">
        <v>105</v>
      </c>
      <c r="E458" s="312">
        <v>0</v>
      </c>
      <c r="F458" s="312">
        <v>1636799524070</v>
      </c>
      <c r="G458" s="312" t="s">
        <v>105</v>
      </c>
      <c r="H458" s="312" t="s">
        <v>105</v>
      </c>
      <c r="I458" s="312">
        <v>134.34803333837201</v>
      </c>
      <c r="J458" s="312">
        <v>7.19763597393362</v>
      </c>
      <c r="K458" s="312" t="s">
        <v>8356</v>
      </c>
      <c r="L458" s="312" t="s">
        <v>8357</v>
      </c>
    </row>
    <row r="459" spans="1:12">
      <c r="A459" s="312">
        <v>1161</v>
      </c>
      <c r="B459" s="312" t="s">
        <v>8358</v>
      </c>
      <c r="C459" s="312" t="s">
        <v>8359</v>
      </c>
      <c r="D459" s="312" t="s">
        <v>105</v>
      </c>
      <c r="E459" s="312">
        <v>0</v>
      </c>
      <c r="F459" s="312">
        <v>1636799524075</v>
      </c>
      <c r="G459" s="312" t="s">
        <v>105</v>
      </c>
      <c r="H459" s="312" t="s">
        <v>105</v>
      </c>
      <c r="I459" s="312">
        <v>-171.748993605095</v>
      </c>
      <c r="J459" s="312">
        <v>-9.0412958479527301</v>
      </c>
      <c r="K459" s="312" t="s">
        <v>8360</v>
      </c>
      <c r="L459" s="312" t="s">
        <v>8361</v>
      </c>
    </row>
    <row r="460" spans="1:12">
      <c r="A460" s="312">
        <v>1162</v>
      </c>
      <c r="B460" s="312" t="s">
        <v>8362</v>
      </c>
      <c r="C460" s="312" t="s">
        <v>8363</v>
      </c>
      <c r="D460" s="312" t="s">
        <v>105</v>
      </c>
      <c r="E460" s="312">
        <v>0</v>
      </c>
      <c r="F460" s="312">
        <v>1636799524077</v>
      </c>
      <c r="G460" s="312" t="s">
        <v>105</v>
      </c>
      <c r="H460" s="312" t="s">
        <v>105</v>
      </c>
      <c r="I460" s="312">
        <v>-103.27713222333099</v>
      </c>
      <c r="J460" s="312">
        <v>13.3034052496622</v>
      </c>
      <c r="K460" s="312" t="s">
        <v>8364</v>
      </c>
      <c r="L460" s="312" t="s">
        <v>8365</v>
      </c>
    </row>
    <row r="461" spans="1:12">
      <c r="A461" s="312">
        <v>1163</v>
      </c>
      <c r="B461" s="1" t="s">
        <v>8366</v>
      </c>
      <c r="C461" s="312" t="s">
        <v>8367</v>
      </c>
      <c r="D461" s="312" t="s">
        <v>105</v>
      </c>
      <c r="E461" s="312">
        <v>0</v>
      </c>
      <c r="F461" s="312">
        <v>1636799522406</v>
      </c>
      <c r="G461" s="312" t="s">
        <v>105</v>
      </c>
      <c r="H461" s="312" t="s">
        <v>105</v>
      </c>
      <c r="I461" s="312">
        <v>30.732327123590402</v>
      </c>
      <c r="J461" s="312">
        <v>56.971337011199601</v>
      </c>
      <c r="K461" s="312" t="s">
        <v>8368</v>
      </c>
      <c r="L461" s="312" t="s">
        <v>8369</v>
      </c>
    </row>
    <row r="462" spans="1:12">
      <c r="A462" s="312">
        <v>1164</v>
      </c>
      <c r="B462" s="312" t="s">
        <v>8370</v>
      </c>
      <c r="C462" s="312" t="s">
        <v>8371</v>
      </c>
      <c r="D462" s="312" t="s">
        <v>105</v>
      </c>
      <c r="E462" s="312">
        <v>0</v>
      </c>
      <c r="F462" s="312">
        <v>1636799523873</v>
      </c>
      <c r="G462" s="312" t="s">
        <v>105</v>
      </c>
      <c r="H462" s="312" t="s">
        <v>105</v>
      </c>
      <c r="I462" s="312">
        <v>-3.5390793830024601</v>
      </c>
      <c r="J462" s="312">
        <v>17.3441627790674</v>
      </c>
      <c r="K462" s="312" t="s">
        <v>8372</v>
      </c>
      <c r="L462" s="312" t="s">
        <v>8373</v>
      </c>
    </row>
    <row r="463" spans="1:12">
      <c r="A463" s="312">
        <v>1165</v>
      </c>
      <c r="B463" s="312" t="s">
        <v>8374</v>
      </c>
      <c r="C463" s="312" t="s">
        <v>8375</v>
      </c>
      <c r="D463" s="312" t="s">
        <v>105</v>
      </c>
      <c r="E463" s="312">
        <v>0</v>
      </c>
      <c r="F463" s="312">
        <v>1636799522664</v>
      </c>
      <c r="G463" s="312" t="s">
        <v>105</v>
      </c>
      <c r="H463" s="312" t="s">
        <v>105</v>
      </c>
      <c r="I463" s="312">
        <v>12.448832783092</v>
      </c>
      <c r="J463" s="312">
        <v>45.999107763599604</v>
      </c>
      <c r="K463" s="312" t="s">
        <v>8375</v>
      </c>
      <c r="L463" s="312" t="s">
        <v>8376</v>
      </c>
    </row>
    <row r="464" spans="1:12">
      <c r="A464" s="312">
        <v>1166</v>
      </c>
      <c r="B464" s="312" t="s">
        <v>8377</v>
      </c>
      <c r="C464" s="312" t="s">
        <v>8378</v>
      </c>
      <c r="D464" s="312" t="s">
        <v>105</v>
      </c>
      <c r="E464" s="312">
        <v>0</v>
      </c>
      <c r="F464" s="312">
        <v>1636799524200</v>
      </c>
      <c r="G464" s="312" t="s">
        <v>105</v>
      </c>
      <c r="H464" s="312" t="s">
        <v>105</v>
      </c>
      <c r="I464" s="312">
        <v>12.4534177293956</v>
      </c>
      <c r="J464" s="312">
        <v>41.9033124692439</v>
      </c>
      <c r="K464" s="312" t="s">
        <v>8379</v>
      </c>
      <c r="L464" s="312" t="s">
        <v>8380</v>
      </c>
    </row>
    <row r="465" spans="1:12">
      <c r="A465" s="312">
        <v>1167</v>
      </c>
      <c r="B465" s="312" t="s">
        <v>8381</v>
      </c>
      <c r="C465" s="312" t="s">
        <v>8382</v>
      </c>
      <c r="D465" s="312" t="s">
        <v>105</v>
      </c>
      <c r="E465" s="312">
        <v>0</v>
      </c>
      <c r="F465" s="312">
        <v>1636799524202</v>
      </c>
      <c r="G465" s="312" t="s">
        <v>105</v>
      </c>
      <c r="H465" s="312" t="s">
        <v>105</v>
      </c>
      <c r="I465" s="312">
        <v>52.060129502463198</v>
      </c>
      <c r="J465" s="312">
        <v>-6.4989026446459697</v>
      </c>
      <c r="K465" s="312" t="s">
        <v>8383</v>
      </c>
      <c r="L465" s="312" t="s">
        <v>8384</v>
      </c>
    </row>
    <row r="466" spans="1:12">
      <c r="A466" s="312">
        <v>1168</v>
      </c>
      <c r="B466" s="312" t="s">
        <v>8385</v>
      </c>
      <c r="C466" s="312" t="s">
        <v>8386</v>
      </c>
      <c r="D466" s="312" t="s">
        <v>105</v>
      </c>
      <c r="E466" s="312">
        <v>0</v>
      </c>
      <c r="F466" s="312">
        <v>1636799524254</v>
      </c>
      <c r="G466" s="312" t="s">
        <v>105</v>
      </c>
      <c r="H466" s="312" t="s">
        <v>105</v>
      </c>
      <c r="I466" s="312">
        <v>68.991811828461294</v>
      </c>
      <c r="J466" s="312">
        <v>-49.064848018814203</v>
      </c>
      <c r="K466" s="312" t="s">
        <v>8387</v>
      </c>
      <c r="L466" s="312" t="s">
        <v>8388</v>
      </c>
    </row>
    <row r="467" spans="1:12">
      <c r="A467" s="312">
        <v>1169</v>
      </c>
      <c r="B467" s="312" t="s">
        <v>8389</v>
      </c>
      <c r="C467" s="312" t="s">
        <v>8390</v>
      </c>
      <c r="D467" s="312" t="s">
        <v>105</v>
      </c>
      <c r="E467" s="312">
        <v>0</v>
      </c>
      <c r="F467" s="312">
        <v>1636799524254</v>
      </c>
      <c r="G467" s="312" t="s">
        <v>105</v>
      </c>
      <c r="H467" s="312" t="s">
        <v>105</v>
      </c>
      <c r="I467" s="312">
        <v>-61.204148877681099</v>
      </c>
      <c r="J467" s="312">
        <v>13.211166388066699</v>
      </c>
      <c r="K467" s="312" t="s">
        <v>8391</v>
      </c>
      <c r="L467" s="312" t="s">
        <v>8392</v>
      </c>
    </row>
    <row r="468" spans="1:12">
      <c r="A468" s="312">
        <v>1170</v>
      </c>
      <c r="B468" s="312" t="s">
        <v>8393</v>
      </c>
      <c r="C468" s="312" t="s">
        <v>8394</v>
      </c>
      <c r="D468" s="312" t="s">
        <v>105</v>
      </c>
      <c r="E468" s="312">
        <v>0</v>
      </c>
      <c r="F468" s="312">
        <v>1636799524259</v>
      </c>
      <c r="G468" s="312" t="s">
        <v>105</v>
      </c>
      <c r="H468" s="312" t="s">
        <v>105</v>
      </c>
      <c r="I468" s="312">
        <v>125.851075845445</v>
      </c>
      <c r="J468" s="312">
        <v>-8.8237785474991703</v>
      </c>
      <c r="K468" s="312" t="s">
        <v>8395</v>
      </c>
      <c r="L468" s="312" t="s">
        <v>8396</v>
      </c>
    </row>
    <row r="469" spans="1:12">
      <c r="A469" s="312">
        <v>1171</v>
      </c>
      <c r="B469" s="312" t="s">
        <v>8397</v>
      </c>
      <c r="C469" s="312" t="s">
        <v>8398</v>
      </c>
      <c r="D469" s="312" t="s">
        <v>105</v>
      </c>
      <c r="E469" s="312">
        <v>0</v>
      </c>
      <c r="F469" s="312">
        <v>1636799524268</v>
      </c>
      <c r="G469" s="312" t="s">
        <v>105</v>
      </c>
      <c r="H469" s="312" t="s">
        <v>105</v>
      </c>
      <c r="I469" s="312">
        <v>-177.23055393170199</v>
      </c>
      <c r="J469" s="312">
        <v>-13.8473302660349</v>
      </c>
      <c r="K469" s="312" t="s">
        <v>8399</v>
      </c>
      <c r="L469" s="312" t="s">
        <v>8400</v>
      </c>
    </row>
    <row r="470" spans="1:12">
      <c r="A470" s="312">
        <v>1172</v>
      </c>
      <c r="B470" s="312" t="s">
        <v>8401</v>
      </c>
      <c r="C470" s="312" t="s">
        <v>8402</v>
      </c>
      <c r="D470" s="312" t="s">
        <v>105</v>
      </c>
      <c r="E470" s="312">
        <v>0</v>
      </c>
      <c r="F470" s="312">
        <v>1636799524270</v>
      </c>
      <c r="G470" s="312" t="s">
        <v>105</v>
      </c>
      <c r="H470" s="312" t="s">
        <v>105</v>
      </c>
      <c r="I470" s="312">
        <v>-174.842026856758</v>
      </c>
      <c r="J470" s="312">
        <v>-19.965005246311101</v>
      </c>
      <c r="K470" s="312" t="s">
        <v>8403</v>
      </c>
      <c r="L470" s="312" t="s">
        <v>8404</v>
      </c>
    </row>
    <row r="471" spans="1:12">
      <c r="A471" s="312">
        <v>1173</v>
      </c>
      <c r="B471" s="312" t="s">
        <v>8405</v>
      </c>
      <c r="C471" s="312" t="s">
        <v>8406</v>
      </c>
      <c r="D471" s="312" t="s">
        <v>105</v>
      </c>
      <c r="E471" s="312">
        <v>0</v>
      </c>
      <c r="F471" s="312">
        <v>1636799522787</v>
      </c>
      <c r="G471" s="312" t="s">
        <v>105</v>
      </c>
      <c r="H471" s="312" t="s">
        <v>105</v>
      </c>
      <c r="I471" s="312">
        <v>12.7935781242156</v>
      </c>
      <c r="J471" s="312">
        <v>45.147459533144698</v>
      </c>
      <c r="K471" s="312" t="s">
        <v>8406</v>
      </c>
      <c r="L471" s="312" t="s">
        <v>8407</v>
      </c>
    </row>
    <row r="472" spans="1:12">
      <c r="A472" s="312">
        <v>1174</v>
      </c>
      <c r="B472" s="312" t="s">
        <v>8408</v>
      </c>
      <c r="C472" s="312" t="s">
        <v>8409</v>
      </c>
      <c r="D472" s="312" t="s">
        <v>105</v>
      </c>
      <c r="E472" s="312">
        <v>0</v>
      </c>
      <c r="F472" s="312">
        <v>1636799523004</v>
      </c>
      <c r="G472" s="312" t="s">
        <v>105</v>
      </c>
      <c r="H472" s="312" t="s">
        <v>105</v>
      </c>
      <c r="I472" s="312">
        <v>-53.244555234659103</v>
      </c>
      <c r="J472" s="312">
        <v>3.9225129059417601</v>
      </c>
      <c r="K472" s="312" t="s">
        <v>8410</v>
      </c>
      <c r="L472" s="312" t="s">
        <v>8411</v>
      </c>
    </row>
    <row r="473" spans="1:12">
      <c r="A473" s="312">
        <v>1175</v>
      </c>
      <c r="B473" s="312" t="s">
        <v>8412</v>
      </c>
      <c r="C473" s="312" t="s">
        <v>8413</v>
      </c>
      <c r="D473" s="312" t="s">
        <v>105</v>
      </c>
      <c r="E473" s="312">
        <v>0</v>
      </c>
      <c r="F473" s="312">
        <v>1636799523052</v>
      </c>
      <c r="G473" s="312" t="s">
        <v>105</v>
      </c>
      <c r="H473" s="312" t="s">
        <v>105</v>
      </c>
      <c r="I473" s="312">
        <v>-15.397582032040299</v>
      </c>
      <c r="J473" s="312">
        <v>13.449729559293401</v>
      </c>
      <c r="K473" s="312" t="s">
        <v>8414</v>
      </c>
      <c r="L473" s="312" t="s">
        <v>8415</v>
      </c>
    </row>
    <row r="474" spans="1:12">
      <c r="A474" s="312">
        <v>1176</v>
      </c>
      <c r="B474" s="312" t="s">
        <v>8416</v>
      </c>
      <c r="C474" s="312" t="s">
        <v>8417</v>
      </c>
      <c r="D474" s="312" t="s">
        <v>105</v>
      </c>
      <c r="E474" s="312">
        <v>0</v>
      </c>
      <c r="F474" s="312">
        <v>1636799523116</v>
      </c>
      <c r="G474" s="312" t="s">
        <v>105</v>
      </c>
      <c r="H474" s="312" t="s">
        <v>105</v>
      </c>
      <c r="I474" s="312">
        <v>92.880186982125906</v>
      </c>
      <c r="J474" s="312">
        <v>11.13544441939</v>
      </c>
      <c r="K474" s="312" t="s">
        <v>8418</v>
      </c>
      <c r="L474" s="312" t="s">
        <v>8419</v>
      </c>
    </row>
    <row r="475" spans="1:12">
      <c r="A475" s="312">
        <v>1180</v>
      </c>
      <c r="B475" s="312" t="s">
        <v>8420</v>
      </c>
      <c r="C475" s="312" t="s">
        <v>8421</v>
      </c>
      <c r="D475" s="312" t="s">
        <v>105</v>
      </c>
      <c r="E475" s="312">
        <v>0</v>
      </c>
      <c r="F475" s="312">
        <v>1636799523228</v>
      </c>
      <c r="G475" s="312" t="s">
        <v>105</v>
      </c>
      <c r="H475" s="312" t="s">
        <v>105</v>
      </c>
      <c r="I475" s="312">
        <v>103.737872050288</v>
      </c>
      <c r="J475" s="312">
        <v>18.502301557865099</v>
      </c>
      <c r="K475" s="312" t="s">
        <v>8422</v>
      </c>
      <c r="L475" s="312" t="s">
        <v>8423</v>
      </c>
    </row>
    <row r="476" spans="1:12">
      <c r="A476" s="312">
        <v>1182</v>
      </c>
      <c r="B476" s="312" t="s">
        <v>8424</v>
      </c>
      <c r="C476" s="312" t="s">
        <v>8425</v>
      </c>
      <c r="D476" s="312" t="s">
        <v>105</v>
      </c>
      <c r="E476" s="312">
        <v>0</v>
      </c>
      <c r="F476" s="312">
        <v>1636799523537</v>
      </c>
      <c r="G476" s="312" t="s">
        <v>105</v>
      </c>
      <c r="H476" s="312" t="s">
        <v>105</v>
      </c>
      <c r="I476" s="312">
        <v>-99.596801640988204</v>
      </c>
      <c r="J476" s="312">
        <v>50.5471309777312</v>
      </c>
      <c r="K476" s="312" t="s">
        <v>8426</v>
      </c>
      <c r="L476" s="312" t="s">
        <v>8427</v>
      </c>
    </row>
    <row r="477" spans="1:12">
      <c r="A477" s="312">
        <v>1187</v>
      </c>
      <c r="B477" s="312" t="s">
        <v>8428</v>
      </c>
      <c r="C477" s="312" t="s">
        <v>8429</v>
      </c>
      <c r="D477" s="312" t="s">
        <v>105</v>
      </c>
      <c r="E477" s="312">
        <v>0</v>
      </c>
      <c r="F477" s="312">
        <v>1636799524238</v>
      </c>
      <c r="G477" s="312" t="s">
        <v>105</v>
      </c>
      <c r="H477" s="312" t="s">
        <v>105</v>
      </c>
      <c r="I477" s="312">
        <v>18.4797133726765</v>
      </c>
      <c r="J477" s="312">
        <v>78.865942231005107</v>
      </c>
      <c r="K477" s="312" t="s">
        <v>8430</v>
      </c>
      <c r="L477" s="312" t="s">
        <v>8431</v>
      </c>
    </row>
    <row r="478" spans="1:12">
      <c r="A478" s="312">
        <v>1188</v>
      </c>
      <c r="B478" s="312" t="s">
        <v>8432</v>
      </c>
      <c r="C478" s="312" t="s">
        <v>8433</v>
      </c>
      <c r="D478" s="312" t="s">
        <v>105</v>
      </c>
      <c r="E478" s="312">
        <v>0</v>
      </c>
      <c r="F478" s="312">
        <v>1636799524245</v>
      </c>
      <c r="G478" s="312" t="s">
        <v>105</v>
      </c>
      <c r="H478" s="312" t="s">
        <v>105</v>
      </c>
      <c r="I478" s="312">
        <v>45.7061443930751</v>
      </c>
      <c r="J478" s="312">
        <v>4.7488368197658701</v>
      </c>
      <c r="K478" s="312" t="s">
        <v>8434</v>
      </c>
      <c r="L478" s="312" t="s">
        <v>8435</v>
      </c>
    </row>
    <row r="479" spans="1:12">
      <c r="A479" s="312">
        <v>1189</v>
      </c>
      <c r="B479" s="312" t="s">
        <v>8436</v>
      </c>
      <c r="C479" s="312" t="s">
        <v>8437</v>
      </c>
      <c r="D479" s="312" t="s">
        <v>105</v>
      </c>
      <c r="E479" s="312">
        <v>0</v>
      </c>
      <c r="F479" s="312">
        <v>1636799524247</v>
      </c>
      <c r="G479" s="312" t="s">
        <v>105</v>
      </c>
      <c r="H479" s="312" t="s">
        <v>105</v>
      </c>
      <c r="I479" s="312">
        <v>-63.070131027041697</v>
      </c>
      <c r="J479" s="312">
        <v>18.040629345792802</v>
      </c>
      <c r="K479" s="312" t="s">
        <v>8438</v>
      </c>
      <c r="L479" s="312" t="s">
        <v>8439</v>
      </c>
    </row>
    <row r="480" spans="1:12">
      <c r="A480" s="312">
        <v>1190</v>
      </c>
      <c r="B480" s="312" t="s">
        <v>8440</v>
      </c>
      <c r="C480" s="312" t="s">
        <v>8441</v>
      </c>
      <c r="D480" s="312" t="s">
        <v>105</v>
      </c>
      <c r="E480" s="312">
        <v>0</v>
      </c>
      <c r="F480" s="312">
        <v>1636799524252</v>
      </c>
      <c r="G480" s="312" t="s">
        <v>105</v>
      </c>
      <c r="H480" s="312" t="s">
        <v>105</v>
      </c>
      <c r="I480" s="312">
        <v>18.6462511140003</v>
      </c>
      <c r="J480" s="312">
        <v>15.33307810506</v>
      </c>
      <c r="K480" s="312" t="s">
        <v>8442</v>
      </c>
      <c r="L480" s="312" t="s">
        <v>8443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5F637-F836-452E-AE2B-7D4849DD5FBE}">
  <sheetPr codeName="Sheet8">
    <tabColor rgb="FFE0CDFF"/>
  </sheetPr>
  <dimension ref="A1:Y95"/>
  <sheetViews>
    <sheetView showGridLines="0" zoomScaleNormal="100" workbookViewId="0">
      <selection sqref="A1:F1"/>
    </sheetView>
  </sheetViews>
  <sheetFormatPr defaultRowHeight="14.4"/>
  <cols>
    <col min="1" max="1" width="41.5546875" customWidth="1"/>
    <col min="2" max="2" width="3.5546875" customWidth="1"/>
    <col min="3" max="3" width="33.21875" customWidth="1"/>
    <col min="4" max="4" width="13.5546875" customWidth="1"/>
    <col min="5" max="5" width="5.5546875" customWidth="1"/>
    <col min="6" max="6" width="12" customWidth="1"/>
    <col min="7" max="7" width="9.21875" customWidth="1"/>
    <col min="13" max="13" width="8.5546875" style="312"/>
    <col min="14" max="14" width="3" customWidth="1"/>
    <col min="15" max="15" width="11.77734375" customWidth="1"/>
    <col min="17" max="17" width="13.44140625" customWidth="1"/>
  </cols>
  <sheetData>
    <row r="1" spans="1:25" s="384" customFormat="1" ht="48.6" customHeight="1" thickTop="1" thickBot="1">
      <c r="A1" s="384" t="s">
        <v>8444</v>
      </c>
    </row>
    <row r="2" spans="1:25" ht="8.85" customHeight="1" thickTop="1">
      <c r="A2" s="312"/>
      <c r="B2" s="312"/>
      <c r="C2" s="312"/>
      <c r="D2" s="312"/>
      <c r="E2" s="312"/>
      <c r="F2" s="312"/>
      <c r="G2" s="312"/>
      <c r="H2" s="312"/>
      <c r="I2" s="312"/>
      <c r="J2" s="312"/>
      <c r="K2" s="312"/>
      <c r="L2" s="312"/>
      <c r="N2" s="312"/>
      <c r="O2" s="312"/>
      <c r="P2" s="312"/>
      <c r="Q2" s="312"/>
      <c r="R2" s="312"/>
      <c r="S2" s="312"/>
      <c r="T2" s="312"/>
      <c r="U2" s="312"/>
      <c r="V2" s="312"/>
      <c r="W2" s="312"/>
      <c r="X2" s="312"/>
      <c r="Y2" s="312"/>
    </row>
    <row r="3" spans="1:25" ht="26.55" customHeight="1">
      <c r="A3" s="107" t="s">
        <v>8445</v>
      </c>
      <c r="B3" s="792"/>
      <c r="C3" s="792"/>
      <c r="D3" s="792"/>
      <c r="E3" s="792"/>
      <c r="F3" s="792"/>
      <c r="G3" s="792"/>
      <c r="H3" s="792"/>
      <c r="I3" s="313"/>
      <c r="J3" s="313"/>
      <c r="K3" s="313"/>
      <c r="L3" s="312"/>
      <c r="N3" s="312"/>
      <c r="O3" s="312"/>
      <c r="P3" s="312"/>
      <c r="Q3" s="312"/>
      <c r="R3" s="312"/>
      <c r="S3" s="312"/>
      <c r="T3" s="312"/>
      <c r="U3" s="312"/>
      <c r="V3" s="312"/>
      <c r="W3" s="312"/>
      <c r="X3" s="312"/>
      <c r="Y3" s="312"/>
    </row>
    <row r="4" spans="1:25" ht="6" customHeight="1">
      <c r="A4" s="312"/>
      <c r="B4" s="97"/>
      <c r="C4" s="592"/>
      <c r="D4" s="592"/>
      <c r="E4" s="592"/>
      <c r="F4" s="592"/>
      <c r="G4" s="97"/>
      <c r="H4" s="312"/>
      <c r="I4" s="312"/>
      <c r="J4" s="312"/>
      <c r="K4" s="312"/>
      <c r="L4" s="312"/>
      <c r="N4" s="312"/>
      <c r="O4" s="312"/>
      <c r="P4" s="312"/>
      <c r="Q4" s="312"/>
      <c r="R4" s="312"/>
      <c r="S4" s="312"/>
      <c r="T4" s="312"/>
      <c r="U4" s="312"/>
      <c r="V4" s="312"/>
      <c r="W4" s="312"/>
      <c r="X4" s="312"/>
    </row>
    <row r="5" spans="1:25" ht="18" customHeight="1">
      <c r="A5" s="322" t="s">
        <v>8446</v>
      </c>
      <c r="B5" s="793"/>
      <c r="C5" s="793"/>
      <c r="D5" s="793"/>
      <c r="E5" s="793"/>
      <c r="F5" s="793"/>
      <c r="G5" s="793"/>
      <c r="H5" s="793"/>
      <c r="I5" s="115"/>
      <c r="J5" s="115"/>
      <c r="K5" s="115"/>
      <c r="L5" s="115"/>
      <c r="M5" s="115"/>
      <c r="N5" s="312"/>
      <c r="O5" s="312" t="s">
        <v>8447</v>
      </c>
      <c r="P5" s="115"/>
      <c r="Q5" s="115"/>
      <c r="R5" s="115"/>
      <c r="S5" s="312"/>
      <c r="T5" s="312"/>
      <c r="U5" s="312"/>
      <c r="V5" s="312"/>
      <c r="W5" s="312"/>
      <c r="X5" s="312"/>
      <c r="Y5" s="312"/>
    </row>
    <row r="6" spans="1:25" ht="7.5" customHeight="1">
      <c r="A6" s="312"/>
      <c r="B6" s="312"/>
      <c r="C6" s="312"/>
      <c r="D6" s="592"/>
      <c r="E6" s="592"/>
      <c r="F6" s="592"/>
      <c r="G6" s="592"/>
      <c r="H6" s="312"/>
      <c r="I6" s="312"/>
      <c r="J6" s="312"/>
      <c r="K6" s="312"/>
      <c r="L6" s="312"/>
      <c r="N6" s="312"/>
      <c r="O6" s="312"/>
      <c r="P6" s="312"/>
      <c r="Q6" s="312"/>
      <c r="R6" s="312"/>
      <c r="S6" s="312"/>
      <c r="T6" s="312"/>
      <c r="U6" s="312"/>
      <c r="V6" s="312"/>
      <c r="W6" s="312"/>
      <c r="X6" s="312"/>
      <c r="Y6" s="312"/>
    </row>
    <row r="7" spans="1:25" ht="19.350000000000001" customHeight="1">
      <c r="A7" s="322" t="s">
        <v>8448</v>
      </c>
      <c r="B7" s="804"/>
      <c r="C7" s="805"/>
      <c r="D7" s="592"/>
      <c r="E7" s="592"/>
      <c r="F7" s="592"/>
      <c r="G7" s="592"/>
      <c r="H7" s="312"/>
      <c r="I7" s="312"/>
      <c r="J7" s="312"/>
      <c r="K7" s="312"/>
      <c r="L7" s="312"/>
      <c r="N7" s="312"/>
      <c r="O7" s="795" t="s">
        <v>10910</v>
      </c>
      <c r="P7" s="796"/>
      <c r="Q7" s="796"/>
      <c r="R7" s="796"/>
      <c r="S7" s="796"/>
      <c r="T7" s="796"/>
      <c r="U7" s="796"/>
      <c r="V7" s="796"/>
      <c r="W7" s="796"/>
      <c r="X7" s="796"/>
      <c r="Y7" s="797"/>
    </row>
    <row r="8" spans="1:25" ht="15" thickBot="1">
      <c r="A8" s="312"/>
      <c r="B8" s="312"/>
      <c r="C8" s="312"/>
      <c r="D8" s="592"/>
      <c r="E8" s="592"/>
      <c r="F8" s="592"/>
      <c r="G8" s="592"/>
      <c r="H8" s="312"/>
      <c r="I8" s="312"/>
      <c r="J8" s="312"/>
      <c r="K8" s="312"/>
      <c r="L8" s="312"/>
      <c r="N8" s="312"/>
      <c r="O8" s="798"/>
      <c r="P8" s="799"/>
      <c r="Q8" s="799"/>
      <c r="R8" s="799"/>
      <c r="S8" s="799"/>
      <c r="T8" s="799"/>
      <c r="U8" s="799"/>
      <c r="V8" s="799"/>
      <c r="W8" s="799"/>
      <c r="X8" s="799"/>
      <c r="Y8" s="800"/>
    </row>
    <row r="9" spans="1:25" s="352" customFormat="1" ht="26.55" customHeight="1" thickBot="1">
      <c r="A9" s="353" t="s">
        <v>8449</v>
      </c>
      <c r="B9" s="579"/>
      <c r="C9" s="579"/>
      <c r="D9" s="579"/>
      <c r="E9" s="579"/>
      <c r="F9" s="579"/>
      <c r="G9" s="353"/>
      <c r="H9" s="353"/>
      <c r="I9" s="353"/>
      <c r="J9" s="353"/>
      <c r="K9" s="353"/>
      <c r="L9" s="580"/>
      <c r="M9" s="580"/>
      <c r="N9" s="580"/>
      <c r="O9" s="798"/>
      <c r="P9" s="799"/>
      <c r="Q9" s="799"/>
      <c r="R9" s="799"/>
      <c r="S9" s="799"/>
      <c r="T9" s="799"/>
      <c r="U9" s="799"/>
      <c r="V9" s="799"/>
      <c r="W9" s="799"/>
      <c r="X9" s="799"/>
      <c r="Y9" s="800"/>
    </row>
    <row r="10" spans="1:25">
      <c r="A10" s="12"/>
      <c r="B10" s="312"/>
      <c r="C10" s="312"/>
      <c r="D10" s="312"/>
      <c r="E10" s="312"/>
      <c r="F10" s="312"/>
      <c r="G10" s="312"/>
      <c r="H10" s="312"/>
      <c r="I10" s="312"/>
      <c r="J10" s="312"/>
      <c r="K10" s="312"/>
      <c r="L10" s="312"/>
      <c r="N10" s="312"/>
      <c r="O10" s="798"/>
      <c r="P10" s="799"/>
      <c r="Q10" s="799"/>
      <c r="R10" s="799"/>
      <c r="S10" s="799"/>
      <c r="T10" s="799"/>
      <c r="U10" s="799"/>
      <c r="V10" s="799"/>
      <c r="W10" s="799"/>
      <c r="X10" s="799"/>
      <c r="Y10" s="800"/>
    </row>
    <row r="11" spans="1:25" ht="49.5" customHeight="1">
      <c r="A11" s="354" t="s">
        <v>8450</v>
      </c>
      <c r="B11" s="794"/>
      <c r="C11" s="794"/>
      <c r="D11" s="97"/>
      <c r="E11" s="97"/>
      <c r="F11" s="97"/>
      <c r="G11" s="97"/>
      <c r="H11" s="97"/>
      <c r="I11" s="97"/>
      <c r="J11" s="97"/>
      <c r="K11" s="97"/>
      <c r="L11" s="312"/>
      <c r="N11" s="312"/>
      <c r="O11" s="801"/>
      <c r="P11" s="802"/>
      <c r="Q11" s="802"/>
      <c r="R11" s="802"/>
      <c r="S11" s="802"/>
      <c r="T11" s="802"/>
      <c r="U11" s="802"/>
      <c r="V11" s="802"/>
      <c r="W11" s="802"/>
      <c r="X11" s="802"/>
      <c r="Y11" s="803"/>
    </row>
    <row r="12" spans="1:25" ht="7.5" customHeight="1">
      <c r="A12" s="322"/>
      <c r="B12" s="97"/>
      <c r="C12" s="97"/>
      <c r="D12" s="592"/>
      <c r="E12" s="592"/>
      <c r="F12" s="592"/>
      <c r="G12" s="592"/>
      <c r="H12" s="97"/>
      <c r="I12" s="97"/>
      <c r="J12" s="97"/>
      <c r="K12" s="97"/>
      <c r="L12" s="312"/>
      <c r="N12" s="312"/>
      <c r="O12" s="312"/>
      <c r="P12" s="312"/>
      <c r="Q12" s="312"/>
      <c r="R12" s="312"/>
      <c r="S12" s="312"/>
      <c r="T12" s="312"/>
      <c r="U12" s="312"/>
      <c r="V12" s="312"/>
      <c r="W12" s="312"/>
      <c r="X12" s="312"/>
      <c r="Y12" s="312"/>
    </row>
    <row r="13" spans="1:25" ht="29.1" customHeight="1">
      <c r="A13" s="107" t="s">
        <v>8451</v>
      </c>
      <c r="B13" s="793"/>
      <c r="C13" s="793"/>
      <c r="D13" s="793"/>
      <c r="E13" s="793"/>
      <c r="F13" s="793"/>
      <c r="G13" s="793"/>
      <c r="H13" s="793"/>
      <c r="I13" s="793"/>
      <c r="J13" s="793"/>
      <c r="K13" s="793"/>
      <c r="L13" s="312"/>
      <c r="N13" s="312"/>
      <c r="O13" s="312"/>
      <c r="P13" s="312"/>
      <c r="Q13" s="312"/>
      <c r="R13" s="312"/>
      <c r="S13" s="312"/>
      <c r="T13" s="312"/>
      <c r="U13" s="312"/>
      <c r="V13" s="312"/>
      <c r="W13" s="312"/>
      <c r="X13" s="312"/>
      <c r="Y13" s="312"/>
    </row>
    <row r="14" spans="1:25" ht="15" customHeight="1">
      <c r="A14" s="322"/>
      <c r="B14" s="312"/>
      <c r="C14" s="312"/>
      <c r="D14" s="592"/>
      <c r="E14" s="592"/>
      <c r="F14" s="592"/>
      <c r="G14" s="592"/>
      <c r="H14" s="312"/>
      <c r="I14" s="312"/>
      <c r="J14" s="312"/>
      <c r="K14" s="312"/>
      <c r="L14" s="312"/>
      <c r="N14" s="312"/>
      <c r="O14" s="312"/>
      <c r="P14" s="312"/>
      <c r="Q14" s="312"/>
      <c r="R14" s="312"/>
      <c r="S14" s="312"/>
      <c r="T14" s="312"/>
      <c r="U14" s="312"/>
      <c r="V14" s="312"/>
      <c r="W14" s="312"/>
      <c r="X14" s="312"/>
      <c r="Y14" s="312"/>
    </row>
    <row r="15" spans="1:25">
      <c r="A15" s="322"/>
      <c r="B15" s="10"/>
      <c r="C15" s="10" t="s">
        <v>8452</v>
      </c>
      <c r="D15" s="312"/>
      <c r="E15" s="312"/>
      <c r="F15" s="10" t="s">
        <v>8453</v>
      </c>
      <c r="G15" s="312"/>
      <c r="H15" s="312"/>
      <c r="I15" s="312"/>
      <c r="J15" s="312"/>
      <c r="K15" s="312"/>
      <c r="L15" s="312"/>
      <c r="N15" s="312"/>
      <c r="O15" s="312"/>
      <c r="P15" s="312"/>
      <c r="Q15" s="312"/>
      <c r="R15" s="312"/>
      <c r="S15" s="312"/>
      <c r="T15" s="312"/>
      <c r="U15" s="312"/>
      <c r="V15" s="312"/>
      <c r="W15" s="312"/>
      <c r="X15" s="312"/>
      <c r="Y15" s="312"/>
    </row>
    <row r="16" spans="1:25">
      <c r="A16" s="322" t="s">
        <v>10881</v>
      </c>
      <c r="B16" s="316"/>
      <c r="C16" s="616"/>
      <c r="D16" s="806" t="s">
        <v>8454</v>
      </c>
      <c r="E16" s="807"/>
      <c r="F16" s="616"/>
      <c r="G16" s="312"/>
      <c r="H16" s="312"/>
      <c r="I16" s="312"/>
      <c r="J16" s="312"/>
      <c r="K16" s="312"/>
      <c r="L16" s="312"/>
      <c r="N16" s="312"/>
      <c r="O16" s="312"/>
      <c r="P16" s="312"/>
      <c r="Q16" s="312"/>
      <c r="R16" s="312"/>
      <c r="S16" s="312"/>
      <c r="T16" s="312"/>
      <c r="U16" s="312"/>
      <c r="V16" s="312"/>
      <c r="W16" s="312"/>
      <c r="X16" s="312"/>
      <c r="Y16" s="312"/>
    </row>
    <row r="17" spans="1:25" s="13" customFormat="1" ht="13.05" customHeight="1">
      <c r="A17" s="597" t="s">
        <v>10882</v>
      </c>
      <c r="B17" s="316"/>
      <c r="C17" s="120"/>
      <c r="D17" s="162"/>
      <c r="E17" s="162"/>
      <c r="F17" s="162"/>
      <c r="G17" s="313"/>
      <c r="H17" s="313"/>
      <c r="I17" s="313"/>
      <c r="J17" s="313"/>
      <c r="K17" s="313"/>
      <c r="L17" s="313"/>
      <c r="M17" s="313"/>
      <c r="N17" s="313"/>
      <c r="O17" s="313"/>
      <c r="P17" s="313"/>
      <c r="Q17" s="313"/>
      <c r="R17" s="313"/>
      <c r="S17" s="313"/>
      <c r="T17" s="313"/>
      <c r="U17" s="313"/>
      <c r="V17" s="313"/>
      <c r="W17" s="313"/>
      <c r="X17" s="313"/>
      <c r="Y17" s="313"/>
    </row>
    <row r="18" spans="1:25" s="13" customFormat="1">
      <c r="A18" s="118"/>
      <c r="B18" s="316"/>
      <c r="C18" s="10" t="s">
        <v>8452</v>
      </c>
      <c r="D18" s="314"/>
      <c r="E18" s="314"/>
      <c r="F18" s="10" t="s">
        <v>8453</v>
      </c>
      <c r="G18" s="313"/>
      <c r="H18" s="313"/>
      <c r="I18" s="313"/>
      <c r="J18" s="313"/>
      <c r="K18" s="313"/>
      <c r="L18" s="313"/>
      <c r="M18" s="313"/>
      <c r="N18" s="313"/>
      <c r="O18" s="313"/>
      <c r="P18" s="313"/>
      <c r="Q18" s="313"/>
      <c r="R18" s="313"/>
      <c r="S18" s="313"/>
      <c r="T18" s="313"/>
      <c r="U18" s="313"/>
      <c r="V18" s="313"/>
      <c r="W18" s="313"/>
      <c r="X18" s="313"/>
      <c r="Y18" s="313"/>
    </row>
    <row r="19" spans="1:25">
      <c r="A19" s="322" t="s">
        <v>8455</v>
      </c>
      <c r="B19" s="316"/>
      <c r="C19" s="617"/>
      <c r="D19" s="806" t="s">
        <v>8454</v>
      </c>
      <c r="E19" s="807"/>
      <c r="F19" s="617"/>
      <c r="G19" s="312"/>
      <c r="H19" s="192"/>
      <c r="I19" s="312"/>
      <c r="J19" s="312"/>
      <c r="K19" s="312"/>
      <c r="L19" s="312"/>
      <c r="N19" s="313"/>
      <c r="O19" s="313" t="s">
        <v>8456</v>
      </c>
      <c r="P19" s="312"/>
      <c r="Q19" s="312"/>
      <c r="R19" s="312"/>
      <c r="S19" s="312"/>
      <c r="T19" s="312"/>
      <c r="U19" s="312"/>
      <c r="V19" s="312"/>
      <c r="W19" s="312"/>
      <c r="X19" s="312"/>
      <c r="Y19" s="312"/>
    </row>
    <row r="20" spans="1:25" s="13" customFormat="1" ht="6" customHeight="1">
      <c r="A20" s="118"/>
      <c r="B20" s="316"/>
      <c r="C20" s="316"/>
      <c r="D20" s="313"/>
      <c r="E20" s="313"/>
      <c r="F20" s="316"/>
      <c r="G20" s="313"/>
      <c r="H20" s="313"/>
      <c r="I20" s="313"/>
      <c r="J20" s="313"/>
      <c r="K20" s="313"/>
      <c r="L20" s="313"/>
      <c r="M20" s="313"/>
      <c r="N20" s="313"/>
      <c r="O20" s="313"/>
      <c r="P20" s="313"/>
      <c r="Q20" s="313"/>
      <c r="R20" s="313"/>
      <c r="S20" s="313"/>
      <c r="T20" s="313"/>
      <c r="U20" s="313"/>
      <c r="V20" s="313"/>
      <c r="W20" s="313"/>
      <c r="X20" s="313"/>
      <c r="Y20" s="313"/>
    </row>
    <row r="21" spans="1:25" s="313" customFormat="1" ht="6" customHeight="1">
      <c r="A21" s="118"/>
      <c r="B21" s="316"/>
      <c r="C21" s="316"/>
      <c r="F21" s="316"/>
    </row>
    <row r="22" spans="1:25" s="13" customFormat="1" ht="14.55" customHeight="1">
      <c r="A22" s="118"/>
      <c r="B22" s="316"/>
      <c r="C22" s="98" t="s">
        <v>8457</v>
      </c>
      <c r="D22" s="316"/>
      <c r="E22" s="98"/>
      <c r="F22" s="316"/>
      <c r="G22" s="313"/>
      <c r="H22" s="313"/>
      <c r="I22" s="313"/>
      <c r="J22" s="313"/>
      <c r="K22" s="313"/>
      <c r="L22" s="313"/>
      <c r="M22" s="313"/>
      <c r="N22" s="313"/>
      <c r="O22" s="795" t="s">
        <v>8458</v>
      </c>
      <c r="P22" s="796"/>
      <c r="Q22" s="796"/>
      <c r="R22" s="796"/>
      <c r="S22" s="796"/>
      <c r="T22" s="796"/>
      <c r="U22" s="796"/>
      <c r="V22" s="796"/>
      <c r="W22" s="796"/>
      <c r="X22" s="796"/>
      <c r="Y22" s="797"/>
    </row>
    <row r="23" spans="1:25" ht="28.8">
      <c r="A23" s="117" t="s">
        <v>8459</v>
      </c>
      <c r="B23" s="316"/>
      <c r="C23" s="618"/>
      <c r="D23" s="98"/>
      <c r="E23" s="98"/>
      <c r="F23" s="316"/>
      <c r="G23" s="312"/>
      <c r="H23" s="312"/>
      <c r="I23" s="312"/>
      <c r="J23" s="312"/>
      <c r="K23" s="312"/>
      <c r="L23" s="312"/>
      <c r="N23" s="312"/>
      <c r="O23" s="798"/>
      <c r="P23" s="799"/>
      <c r="Q23" s="799"/>
      <c r="R23" s="799"/>
      <c r="S23" s="799"/>
      <c r="T23" s="799"/>
      <c r="U23" s="799"/>
      <c r="V23" s="799"/>
      <c r="W23" s="799"/>
      <c r="X23" s="799"/>
      <c r="Y23" s="800"/>
    </row>
    <row r="24" spans="1:25">
      <c r="A24" s="312"/>
      <c r="B24" s="312"/>
      <c r="C24" s="312"/>
      <c r="D24" s="312"/>
      <c r="E24" s="312"/>
      <c r="F24" s="312"/>
      <c r="G24" s="312"/>
      <c r="H24" s="312"/>
      <c r="I24" s="312"/>
      <c r="J24" s="312"/>
      <c r="K24" s="312"/>
      <c r="L24" s="312"/>
      <c r="N24" s="312"/>
      <c r="O24" s="798"/>
      <c r="P24" s="799"/>
      <c r="Q24" s="799"/>
      <c r="R24" s="799"/>
      <c r="S24" s="799"/>
      <c r="T24" s="799"/>
      <c r="U24" s="799"/>
      <c r="V24" s="799"/>
      <c r="W24" s="799"/>
      <c r="X24" s="799"/>
      <c r="Y24" s="800"/>
    </row>
    <row r="25" spans="1:25" s="104" customFormat="1" ht="6" customHeight="1">
      <c r="A25" s="116"/>
      <c r="B25" s="96"/>
      <c r="C25" s="96"/>
      <c r="D25" s="96"/>
      <c r="E25" s="96"/>
      <c r="F25" s="96"/>
      <c r="G25" s="316"/>
      <c r="H25" s="316"/>
      <c r="I25" s="316"/>
      <c r="J25" s="316"/>
      <c r="K25" s="316"/>
      <c r="L25" s="316"/>
      <c r="M25" s="316"/>
      <c r="N25" s="316"/>
      <c r="O25" s="798"/>
      <c r="P25" s="799"/>
      <c r="Q25" s="799"/>
      <c r="R25" s="799"/>
      <c r="S25" s="799"/>
      <c r="T25" s="799"/>
      <c r="U25" s="799"/>
      <c r="V25" s="799"/>
      <c r="W25" s="799"/>
      <c r="X25" s="799"/>
      <c r="Y25" s="800"/>
    </row>
    <row r="26" spans="1:25" s="316" customFormat="1" ht="34.5" customHeight="1">
      <c r="A26" s="116" t="s">
        <v>8460</v>
      </c>
      <c r="B26" s="788"/>
      <c r="C26" s="788"/>
      <c r="D26" s="788"/>
      <c r="E26" s="96"/>
      <c r="F26" s="96"/>
      <c r="O26" s="798"/>
      <c r="P26" s="799"/>
      <c r="Q26" s="799"/>
      <c r="R26" s="799"/>
      <c r="S26" s="799"/>
      <c r="T26" s="799"/>
      <c r="U26" s="799"/>
      <c r="V26" s="799"/>
      <c r="W26" s="799"/>
      <c r="X26" s="799"/>
      <c r="Y26" s="800"/>
    </row>
    <row r="27" spans="1:25" s="316" customFormat="1" ht="6" customHeight="1">
      <c r="A27" s="116"/>
      <c r="B27" s="96"/>
      <c r="C27" s="96"/>
      <c r="D27" s="96"/>
      <c r="E27" s="96"/>
      <c r="F27" s="96"/>
      <c r="O27" s="798"/>
      <c r="P27" s="799"/>
      <c r="Q27" s="799"/>
      <c r="R27" s="799"/>
      <c r="S27" s="799"/>
      <c r="T27" s="799"/>
      <c r="U27" s="799"/>
      <c r="V27" s="799"/>
      <c r="W27" s="799"/>
      <c r="X27" s="799"/>
      <c r="Y27" s="800"/>
    </row>
    <row r="28" spans="1:25" ht="46.5" customHeight="1">
      <c r="A28" s="107" t="s">
        <v>8461</v>
      </c>
      <c r="B28" s="788"/>
      <c r="C28" s="788"/>
      <c r="D28" s="788"/>
      <c r="E28" s="788"/>
      <c r="F28" s="788"/>
      <c r="G28" s="788"/>
      <c r="H28" s="788"/>
      <c r="I28" s="788"/>
      <c r="J28" s="788"/>
      <c r="K28" s="788"/>
      <c r="L28" s="312"/>
      <c r="N28" s="312"/>
      <c r="O28" s="801"/>
      <c r="P28" s="802"/>
      <c r="Q28" s="802"/>
      <c r="R28" s="802"/>
      <c r="S28" s="802"/>
      <c r="T28" s="802"/>
      <c r="U28" s="802"/>
      <c r="V28" s="802"/>
      <c r="W28" s="802"/>
      <c r="X28" s="802"/>
      <c r="Y28" s="803"/>
    </row>
    <row r="29" spans="1:25" s="104" customFormat="1" ht="6" customHeight="1">
      <c r="A29" s="116"/>
      <c r="B29" s="96"/>
      <c r="C29" s="96"/>
      <c r="D29" s="96"/>
      <c r="E29" s="96"/>
      <c r="F29" s="96"/>
      <c r="G29" s="163"/>
      <c r="H29" s="163"/>
      <c r="I29" s="163"/>
      <c r="J29" s="163"/>
      <c r="K29" s="163"/>
      <c r="L29" s="316"/>
      <c r="M29" s="316"/>
      <c r="N29" s="316"/>
      <c r="O29" s="316"/>
      <c r="P29" s="316"/>
      <c r="Q29" s="316"/>
      <c r="R29" s="316"/>
      <c r="S29" s="316"/>
      <c r="T29" s="316"/>
      <c r="U29" s="316"/>
      <c r="V29" s="316"/>
      <c r="W29" s="316"/>
      <c r="X29" s="316"/>
      <c r="Y29" s="316"/>
    </row>
    <row r="30" spans="1:25" ht="46.5" customHeight="1">
      <c r="A30" s="107" t="s">
        <v>8462</v>
      </c>
      <c r="B30" s="788"/>
      <c r="C30" s="788"/>
      <c r="D30" s="788"/>
      <c r="E30" s="788"/>
      <c r="F30" s="788"/>
      <c r="G30" s="788"/>
      <c r="H30" s="788"/>
      <c r="I30" s="788"/>
      <c r="J30" s="788"/>
      <c r="K30" s="788"/>
      <c r="L30" s="312"/>
      <c r="N30" s="312"/>
      <c r="O30" s="312"/>
      <c r="P30" s="312"/>
      <c r="Q30" s="312"/>
      <c r="R30" s="312"/>
      <c r="S30" s="312"/>
      <c r="T30" s="312"/>
      <c r="U30" s="312"/>
      <c r="V30" s="312"/>
      <c r="W30" s="312"/>
      <c r="X30" s="312"/>
      <c r="Y30" s="312"/>
    </row>
    <row r="31" spans="1:25" s="104" customFormat="1" ht="6" customHeight="1">
      <c r="A31" s="116"/>
      <c r="B31" s="96"/>
      <c r="C31" s="96"/>
      <c r="D31" s="96"/>
      <c r="E31" s="96"/>
      <c r="F31" s="96"/>
      <c r="G31" s="163"/>
      <c r="H31" s="163"/>
      <c r="I31" s="163"/>
      <c r="J31" s="163"/>
      <c r="K31" s="163"/>
      <c r="L31" s="316"/>
      <c r="M31" s="316"/>
      <c r="N31" s="316"/>
      <c r="O31" s="316"/>
      <c r="P31" s="316"/>
      <c r="Q31" s="316"/>
      <c r="R31" s="316"/>
      <c r="S31" s="316"/>
      <c r="T31" s="316"/>
      <c r="U31" s="316"/>
      <c r="V31" s="316"/>
      <c r="W31" s="316"/>
      <c r="X31" s="316"/>
      <c r="Y31" s="316"/>
    </row>
    <row r="32" spans="1:25" ht="27.6" customHeight="1">
      <c r="A32" s="107" t="s">
        <v>8463</v>
      </c>
      <c r="B32" s="788"/>
      <c r="C32" s="788"/>
      <c r="D32" s="788"/>
      <c r="E32" s="788"/>
      <c r="F32" s="788"/>
      <c r="G32" s="788"/>
      <c r="H32" s="788"/>
      <c r="I32" s="788"/>
      <c r="J32" s="788"/>
      <c r="K32" s="788"/>
      <c r="L32" s="312"/>
      <c r="N32" s="312"/>
      <c r="O32" s="312"/>
      <c r="P32" s="312"/>
      <c r="Q32" s="312"/>
      <c r="R32" s="312"/>
      <c r="S32" s="312"/>
      <c r="T32" s="312"/>
      <c r="U32" s="312"/>
      <c r="V32" s="312"/>
      <c r="W32" s="312"/>
      <c r="X32" s="312"/>
      <c r="Y32" s="312"/>
    </row>
    <row r="33" spans="1:25" s="104" customFormat="1" ht="6.6" customHeight="1">
      <c r="A33" s="116"/>
      <c r="B33" s="96"/>
      <c r="C33" s="96"/>
      <c r="D33" s="96"/>
      <c r="E33" s="96"/>
      <c r="F33" s="96"/>
      <c r="G33" s="163"/>
      <c r="H33" s="163"/>
      <c r="I33" s="163"/>
      <c r="J33" s="163"/>
      <c r="K33" s="163"/>
      <c r="L33" s="316"/>
      <c r="M33" s="316"/>
      <c r="N33" s="316"/>
      <c r="O33" s="316"/>
      <c r="P33" s="316"/>
      <c r="Q33" s="316"/>
      <c r="R33" s="316"/>
      <c r="S33" s="316"/>
      <c r="T33" s="316"/>
      <c r="U33" s="316"/>
      <c r="V33" s="316"/>
      <c r="W33" s="316"/>
      <c r="X33" s="316"/>
      <c r="Y33" s="316"/>
    </row>
    <row r="34" spans="1:25" ht="27.6" customHeight="1">
      <c r="A34" s="107" t="s">
        <v>8464</v>
      </c>
      <c r="B34" s="793"/>
      <c r="C34" s="793"/>
      <c r="D34" s="793"/>
      <c r="E34" s="793"/>
      <c r="F34" s="793"/>
      <c r="G34" s="793"/>
      <c r="H34" s="793"/>
      <c r="I34" s="793"/>
      <c r="J34" s="793"/>
      <c r="K34" s="793"/>
      <c r="L34" s="312"/>
      <c r="N34" s="312"/>
      <c r="O34" s="580" t="s">
        <v>8465</v>
      </c>
      <c r="P34" s="580"/>
      <c r="Q34" s="580"/>
      <c r="R34" s="580"/>
      <c r="S34" s="580"/>
      <c r="T34" s="580"/>
      <c r="U34" s="580"/>
      <c r="V34" s="580"/>
      <c r="W34" s="580"/>
      <c r="X34" s="580"/>
      <c r="Y34" s="580"/>
    </row>
    <row r="35" spans="1:25" s="104" customFormat="1" ht="7.5" customHeight="1">
      <c r="A35" s="116"/>
      <c r="B35" s="96"/>
      <c r="C35" s="96"/>
      <c r="D35" s="96"/>
      <c r="E35" s="96"/>
      <c r="F35" s="96"/>
      <c r="G35" s="163"/>
      <c r="H35" s="163"/>
      <c r="I35" s="163"/>
      <c r="J35" s="163"/>
      <c r="K35" s="163"/>
      <c r="L35" s="316"/>
      <c r="M35" s="316"/>
      <c r="N35" s="316"/>
      <c r="O35" s="312"/>
      <c r="P35" s="312"/>
      <c r="Q35" s="312"/>
      <c r="R35" s="312"/>
      <c r="S35" s="312"/>
      <c r="T35" s="312"/>
      <c r="U35" s="312"/>
      <c r="V35" s="312"/>
      <c r="W35" s="312"/>
      <c r="X35" s="312"/>
      <c r="Y35" s="312"/>
    </row>
    <row r="36" spans="1:25">
      <c r="A36" s="594" t="s">
        <v>8466</v>
      </c>
      <c r="B36" s="788"/>
      <c r="C36" s="788"/>
      <c r="D36" s="788"/>
      <c r="E36" s="788"/>
      <c r="F36" s="788"/>
      <c r="G36" s="788"/>
      <c r="H36" s="788"/>
      <c r="I36" s="788"/>
      <c r="J36" s="788"/>
      <c r="K36" s="788"/>
      <c r="L36" s="312"/>
      <c r="N36" s="312"/>
      <c r="O36" s="795" t="s">
        <v>8467</v>
      </c>
      <c r="P36" s="796"/>
      <c r="Q36" s="796"/>
      <c r="R36" s="796"/>
      <c r="S36" s="796"/>
      <c r="T36" s="796"/>
      <c r="U36" s="796"/>
      <c r="V36" s="796"/>
      <c r="W36" s="796"/>
      <c r="X36" s="796"/>
      <c r="Y36" s="797"/>
    </row>
    <row r="37" spans="1:25">
      <c r="A37" s="107"/>
      <c r="B37" s="788"/>
      <c r="C37" s="788"/>
      <c r="D37" s="788"/>
      <c r="E37" s="788"/>
      <c r="F37" s="788"/>
      <c r="G37" s="788"/>
      <c r="H37" s="788"/>
      <c r="I37" s="788"/>
      <c r="J37" s="788"/>
      <c r="K37" s="788"/>
      <c r="L37" s="312"/>
      <c r="N37" s="312"/>
      <c r="O37" s="798"/>
      <c r="P37" s="799"/>
      <c r="Q37" s="799"/>
      <c r="R37" s="799"/>
      <c r="S37" s="799"/>
      <c r="T37" s="799"/>
      <c r="U37" s="799"/>
      <c r="V37" s="799"/>
      <c r="W37" s="799"/>
      <c r="X37" s="799"/>
      <c r="Y37" s="800"/>
    </row>
    <row r="38" spans="1:25" s="13" customFormat="1" ht="7.5" customHeight="1">
      <c r="A38" s="109"/>
      <c r="B38" s="109"/>
      <c r="C38" s="120"/>
      <c r="D38" s="120"/>
      <c r="E38" s="120"/>
      <c r="F38" s="120"/>
      <c r="G38" s="120"/>
      <c r="H38" s="120"/>
      <c r="I38" s="120"/>
      <c r="J38" s="120"/>
      <c r="K38" s="120"/>
      <c r="L38" s="313"/>
      <c r="M38" s="313"/>
      <c r="N38" s="313"/>
      <c r="O38" s="798"/>
      <c r="P38" s="799"/>
      <c r="Q38" s="799"/>
      <c r="R38" s="799"/>
      <c r="S38" s="799"/>
      <c r="T38" s="799"/>
      <c r="U38" s="799"/>
      <c r="V38" s="799"/>
      <c r="W38" s="799"/>
      <c r="X38" s="799"/>
      <c r="Y38" s="800"/>
    </row>
    <row r="39" spans="1:25">
      <c r="A39" s="107" t="s">
        <v>8468</v>
      </c>
      <c r="B39" s="788"/>
      <c r="C39" s="788"/>
      <c r="D39" s="120"/>
      <c r="E39" s="120"/>
      <c r="F39" s="120"/>
      <c r="G39" s="120"/>
      <c r="H39" s="120"/>
      <c r="I39" s="120"/>
      <c r="J39" s="120"/>
      <c r="K39" s="120"/>
      <c r="L39" s="312"/>
      <c r="N39" s="312"/>
      <c r="O39" s="798"/>
      <c r="P39" s="799"/>
      <c r="Q39" s="799"/>
      <c r="R39" s="799"/>
      <c r="S39" s="799"/>
      <c r="T39" s="799"/>
      <c r="U39" s="799"/>
      <c r="V39" s="799"/>
      <c r="W39" s="799"/>
      <c r="X39" s="799"/>
      <c r="Y39" s="800"/>
    </row>
    <row r="40" spans="1:25" s="13" customFormat="1" ht="7.5" customHeight="1">
      <c r="A40" s="109"/>
      <c r="B40" s="606"/>
      <c r="C40" s="606"/>
      <c r="D40" s="120"/>
      <c r="E40" s="120"/>
      <c r="F40" s="120"/>
      <c r="G40" s="120"/>
      <c r="H40" s="120"/>
      <c r="I40" s="120"/>
      <c r="J40" s="120"/>
      <c r="K40" s="120"/>
      <c r="L40" s="313"/>
      <c r="M40" s="313"/>
      <c r="N40" s="313"/>
      <c r="O40" s="798"/>
      <c r="P40" s="799"/>
      <c r="Q40" s="799"/>
      <c r="R40" s="799"/>
      <c r="S40" s="799"/>
      <c r="T40" s="799"/>
      <c r="U40" s="799"/>
      <c r="V40" s="799"/>
      <c r="W40" s="799"/>
      <c r="X40" s="799"/>
      <c r="Y40" s="800"/>
    </row>
    <row r="41" spans="1:25">
      <c r="A41" s="107" t="s">
        <v>8469</v>
      </c>
      <c r="B41" s="787"/>
      <c r="C41" s="787"/>
      <c r="D41" s="120"/>
      <c r="E41" s="120"/>
      <c r="F41" s="120"/>
      <c r="G41" s="120"/>
      <c r="H41" s="120"/>
      <c r="I41" s="120"/>
      <c r="J41" s="120"/>
      <c r="K41" s="120"/>
      <c r="L41" s="312"/>
      <c r="N41" s="312"/>
      <c r="O41" s="798"/>
      <c r="P41" s="799"/>
      <c r="Q41" s="799"/>
      <c r="R41" s="799"/>
      <c r="S41" s="799"/>
      <c r="T41" s="799"/>
      <c r="U41" s="799"/>
      <c r="V41" s="799"/>
      <c r="W41" s="799"/>
      <c r="X41" s="799"/>
      <c r="Y41" s="800"/>
    </row>
    <row r="42" spans="1:25">
      <c r="A42" s="107"/>
      <c r="B42" s="107"/>
      <c r="C42" s="98"/>
      <c r="D42" s="98"/>
      <c r="E42" s="98"/>
      <c r="F42" s="98"/>
      <c r="G42" s="98"/>
      <c r="H42" s="98"/>
      <c r="I42" s="98"/>
      <c r="J42" s="98"/>
      <c r="K42" s="98"/>
      <c r="L42" s="312"/>
      <c r="N42" s="312"/>
      <c r="O42" s="798"/>
      <c r="P42" s="799"/>
      <c r="Q42" s="799"/>
      <c r="R42" s="799"/>
      <c r="S42" s="799"/>
      <c r="T42" s="799"/>
      <c r="U42" s="799"/>
      <c r="V42" s="799"/>
      <c r="W42" s="799"/>
      <c r="X42" s="799"/>
      <c r="Y42" s="800"/>
    </row>
    <row r="43" spans="1:25" ht="15" thickBot="1">
      <c r="A43" s="107"/>
      <c r="B43" s="107"/>
      <c r="C43" s="98"/>
      <c r="D43" s="98"/>
      <c r="E43" s="98"/>
      <c r="F43" s="98"/>
      <c r="G43" s="98"/>
      <c r="H43" s="98"/>
      <c r="I43" s="98"/>
      <c r="J43" s="98"/>
      <c r="K43" s="98"/>
      <c r="L43" s="312"/>
      <c r="N43" s="312"/>
      <c r="O43" s="801"/>
      <c r="P43" s="802"/>
      <c r="Q43" s="802"/>
      <c r="R43" s="802"/>
      <c r="S43" s="802"/>
      <c r="T43" s="802"/>
      <c r="U43" s="802"/>
      <c r="V43" s="802"/>
      <c r="W43" s="802"/>
      <c r="X43" s="802"/>
      <c r="Y43" s="803"/>
    </row>
    <row r="44" spans="1:25" s="352" customFormat="1" ht="26.55" customHeight="1" thickBot="1">
      <c r="A44" s="353" t="s">
        <v>8470</v>
      </c>
      <c r="B44" s="579"/>
      <c r="C44" s="579"/>
      <c r="D44" s="579"/>
      <c r="E44" s="579"/>
      <c r="F44" s="579"/>
      <c r="G44" s="353"/>
      <c r="H44" s="353"/>
      <c r="I44" s="353"/>
      <c r="J44" s="353"/>
      <c r="K44" s="353"/>
      <c r="L44" s="580"/>
      <c r="M44" s="580"/>
      <c r="N44" s="580"/>
      <c r="O44" s="580"/>
      <c r="P44" s="580"/>
      <c r="Q44" s="580"/>
      <c r="R44" s="580"/>
      <c r="S44" s="580"/>
      <c r="T44" s="580"/>
      <c r="U44" s="580"/>
      <c r="V44" s="580"/>
      <c r="W44" s="580"/>
      <c r="X44" s="580"/>
      <c r="Y44" s="580"/>
    </row>
    <row r="45" spans="1:25" ht="17.100000000000001" customHeight="1">
      <c r="A45" s="108"/>
      <c r="B45" s="108"/>
      <c r="C45" s="312"/>
      <c r="D45" s="602"/>
      <c r="E45" s="602"/>
      <c r="F45" s="602"/>
      <c r="G45" s="602"/>
      <c r="H45" s="602"/>
      <c r="I45" s="312"/>
      <c r="J45" s="312"/>
      <c r="K45" s="312"/>
      <c r="L45" s="312"/>
      <c r="N45" s="312"/>
      <c r="O45" s="312"/>
      <c r="P45" s="312"/>
      <c r="Q45" s="312"/>
      <c r="R45" s="312"/>
      <c r="S45" s="312"/>
      <c r="T45" s="312"/>
      <c r="U45" s="312"/>
      <c r="V45" s="312"/>
      <c r="W45" s="312"/>
      <c r="X45" s="312"/>
      <c r="Y45" s="312"/>
    </row>
    <row r="46" spans="1:25" ht="41.1" customHeight="1">
      <c r="A46" s="107" t="s">
        <v>8471</v>
      </c>
      <c r="B46" s="107"/>
      <c r="C46" s="793"/>
      <c r="D46" s="793"/>
      <c r="E46" s="793"/>
      <c r="F46" s="793"/>
      <c r="G46" s="793"/>
      <c r="H46" s="793"/>
      <c r="I46" s="97"/>
      <c r="J46" s="230"/>
      <c r="K46" s="199"/>
      <c r="L46" s="199"/>
      <c r="M46" s="199"/>
      <c r="N46" s="199"/>
      <c r="O46" s="795"/>
      <c r="P46" s="796"/>
      <c r="Q46" s="796"/>
      <c r="R46" s="796"/>
      <c r="S46" s="796"/>
      <c r="T46" s="796"/>
      <c r="U46" s="796"/>
      <c r="V46" s="796"/>
      <c r="W46" s="796"/>
      <c r="X46" s="796"/>
      <c r="Y46" s="797"/>
    </row>
    <row r="47" spans="1:25" ht="7.5" customHeight="1">
      <c r="A47" s="312"/>
      <c r="B47" s="312"/>
      <c r="C47" s="602"/>
      <c r="D47" s="602"/>
      <c r="E47" s="602"/>
      <c r="F47" s="602"/>
      <c r="G47" s="602"/>
      <c r="H47" s="602"/>
      <c r="I47" s="97"/>
      <c r="J47" s="199"/>
      <c r="K47" s="199"/>
      <c r="L47" s="199"/>
      <c r="M47" s="199"/>
      <c r="N47" s="199"/>
      <c r="O47" s="798"/>
      <c r="P47" s="799"/>
      <c r="Q47" s="799"/>
      <c r="R47" s="799"/>
      <c r="S47" s="799"/>
      <c r="T47" s="799"/>
      <c r="U47" s="799"/>
      <c r="V47" s="799"/>
      <c r="W47" s="799"/>
      <c r="X47" s="799"/>
      <c r="Y47" s="800"/>
    </row>
    <row r="48" spans="1:25" s="312" customFormat="1" ht="31.5" customHeight="1">
      <c r="A48" s="107" t="s">
        <v>8472</v>
      </c>
      <c r="C48" s="792"/>
      <c r="D48" s="792"/>
      <c r="E48" s="792"/>
      <c r="F48" s="792"/>
      <c r="G48" s="792"/>
      <c r="H48" s="792"/>
      <c r="I48" s="97"/>
      <c r="J48" s="199"/>
      <c r="K48" s="199"/>
      <c r="L48" s="199"/>
      <c r="M48" s="199"/>
      <c r="N48" s="199"/>
      <c r="O48" s="798"/>
      <c r="P48" s="799"/>
      <c r="Q48" s="799"/>
      <c r="R48" s="799"/>
      <c r="S48" s="799"/>
      <c r="T48" s="799"/>
      <c r="U48" s="799"/>
      <c r="V48" s="799"/>
      <c r="W48" s="799"/>
      <c r="X48" s="799"/>
      <c r="Y48" s="800"/>
    </row>
    <row r="49" spans="1:25" s="312" customFormat="1" ht="7.5" customHeight="1">
      <c r="C49" s="602"/>
      <c r="D49" s="602"/>
      <c r="E49" s="602"/>
      <c r="F49" s="602"/>
      <c r="G49" s="602"/>
      <c r="H49" s="602"/>
      <c r="I49" s="97"/>
      <c r="J49" s="199"/>
      <c r="K49" s="199"/>
      <c r="L49" s="199"/>
      <c r="M49" s="199"/>
      <c r="N49" s="199"/>
      <c r="O49" s="798"/>
      <c r="P49" s="799"/>
      <c r="Q49" s="799"/>
      <c r="R49" s="799"/>
      <c r="S49" s="799"/>
      <c r="T49" s="799"/>
      <c r="U49" s="799"/>
      <c r="V49" s="799"/>
      <c r="W49" s="799"/>
      <c r="X49" s="799"/>
      <c r="Y49" s="800"/>
    </row>
    <row r="50" spans="1:25">
      <c r="A50" s="107" t="s">
        <v>8473</v>
      </c>
      <c r="B50" s="107"/>
      <c r="C50" s="793"/>
      <c r="D50" s="793"/>
      <c r="E50" s="793"/>
      <c r="F50" s="793"/>
      <c r="G50" s="793"/>
      <c r="H50" s="793"/>
      <c r="I50" s="97"/>
      <c r="J50" s="199"/>
      <c r="K50" s="199"/>
      <c r="L50" s="199"/>
      <c r="M50" s="199"/>
      <c r="N50" s="199"/>
      <c r="O50" s="798"/>
      <c r="P50" s="799"/>
      <c r="Q50" s="799"/>
      <c r="R50" s="799"/>
      <c r="S50" s="799"/>
      <c r="T50" s="799"/>
      <c r="U50" s="799"/>
      <c r="V50" s="799"/>
      <c r="W50" s="799"/>
      <c r="X50" s="799"/>
      <c r="Y50" s="800"/>
    </row>
    <row r="51" spans="1:25" ht="7.5" customHeight="1">
      <c r="A51" s="312"/>
      <c r="B51" s="312"/>
      <c r="C51" s="602"/>
      <c r="D51" s="602"/>
      <c r="E51" s="602"/>
      <c r="F51" s="602"/>
      <c r="G51" s="602"/>
      <c r="H51" s="602"/>
      <c r="I51" s="97"/>
      <c r="J51" s="199"/>
      <c r="K51" s="199"/>
      <c r="L51" s="199"/>
      <c r="M51" s="199"/>
      <c r="N51" s="199"/>
      <c r="O51" s="798"/>
      <c r="P51" s="799"/>
      <c r="Q51" s="799"/>
      <c r="R51" s="799"/>
      <c r="S51" s="799"/>
      <c r="T51" s="799"/>
      <c r="U51" s="799"/>
      <c r="V51" s="799"/>
      <c r="W51" s="799"/>
      <c r="X51" s="799"/>
      <c r="Y51" s="800"/>
    </row>
    <row r="52" spans="1:25">
      <c r="A52" s="107" t="s">
        <v>8474</v>
      </c>
      <c r="B52" s="107"/>
      <c r="C52" s="793"/>
      <c r="D52" s="793"/>
      <c r="E52" s="793"/>
      <c r="F52" s="793"/>
      <c r="G52" s="793"/>
      <c r="H52" s="793"/>
      <c r="I52" s="97"/>
      <c r="J52" s="199"/>
      <c r="K52" s="199"/>
      <c r="L52" s="199"/>
      <c r="M52" s="199"/>
      <c r="N52" s="199"/>
      <c r="O52" s="798"/>
      <c r="P52" s="799"/>
      <c r="Q52" s="799"/>
      <c r="R52" s="799"/>
      <c r="S52" s="799"/>
      <c r="T52" s="799"/>
      <c r="U52" s="799"/>
      <c r="V52" s="799"/>
      <c r="W52" s="799"/>
      <c r="X52" s="799"/>
      <c r="Y52" s="800"/>
    </row>
    <row r="53" spans="1:25" ht="7.5" customHeight="1">
      <c r="A53" s="312"/>
      <c r="B53" s="312"/>
      <c r="C53" s="602"/>
      <c r="D53" s="602"/>
      <c r="E53" s="602"/>
      <c r="F53" s="602"/>
      <c r="G53" s="602"/>
      <c r="H53" s="602"/>
      <c r="I53" s="97"/>
      <c r="J53" s="199"/>
      <c r="K53" s="199"/>
      <c r="L53" s="199"/>
      <c r="M53" s="199"/>
      <c r="N53" s="199"/>
      <c r="O53" s="798"/>
      <c r="P53" s="799"/>
      <c r="Q53" s="799"/>
      <c r="R53" s="799"/>
      <c r="S53" s="799"/>
      <c r="T53" s="799"/>
      <c r="U53" s="799"/>
      <c r="V53" s="799"/>
      <c r="W53" s="799"/>
      <c r="X53" s="799"/>
      <c r="Y53" s="800"/>
    </row>
    <row r="54" spans="1:25" ht="23.55" customHeight="1">
      <c r="A54" s="107" t="s">
        <v>8475</v>
      </c>
      <c r="B54" s="107"/>
      <c r="C54" s="619"/>
      <c r="D54" s="456"/>
      <c r="E54" s="456"/>
      <c r="F54" s="456"/>
      <c r="G54" s="456"/>
      <c r="H54" s="97"/>
      <c r="I54" s="97"/>
      <c r="J54" s="97"/>
      <c r="K54" s="97"/>
      <c r="L54" s="97"/>
      <c r="M54" s="97"/>
      <c r="N54" s="97"/>
      <c r="O54" s="798"/>
      <c r="P54" s="799"/>
      <c r="Q54" s="799"/>
      <c r="R54" s="799"/>
      <c r="S54" s="799"/>
      <c r="T54" s="799"/>
      <c r="U54" s="799"/>
      <c r="V54" s="799"/>
      <c r="W54" s="799"/>
      <c r="X54" s="799"/>
      <c r="Y54" s="800"/>
    </row>
    <row r="55" spans="1:25" s="104" customFormat="1" ht="7.5" customHeight="1">
      <c r="A55" s="116"/>
      <c r="B55" s="96"/>
      <c r="C55" s="602"/>
      <c r="D55" s="602"/>
      <c r="E55" s="602"/>
      <c r="F55" s="602"/>
      <c r="G55" s="602"/>
      <c r="H55" s="602"/>
      <c r="I55" s="163"/>
      <c r="J55" s="163"/>
      <c r="K55" s="163"/>
      <c r="L55" s="163"/>
      <c r="M55" s="163"/>
      <c r="N55" s="163"/>
      <c r="O55" s="801"/>
      <c r="P55" s="802"/>
      <c r="Q55" s="802"/>
      <c r="R55" s="802"/>
      <c r="S55" s="802"/>
      <c r="T55" s="802"/>
      <c r="U55" s="802"/>
      <c r="V55" s="802"/>
      <c r="W55" s="802"/>
      <c r="X55" s="802"/>
      <c r="Y55" s="803"/>
    </row>
    <row r="56" spans="1:25" s="104" customFormat="1" ht="7.5" customHeight="1">
      <c r="A56" s="116"/>
      <c r="B56" s="96"/>
      <c r="C56" s="602"/>
      <c r="D56" s="602"/>
      <c r="E56" s="602"/>
      <c r="F56" s="602"/>
      <c r="G56" s="602"/>
      <c r="H56" s="602"/>
      <c r="I56" s="163"/>
      <c r="J56" s="163"/>
      <c r="K56" s="163"/>
      <c r="L56" s="163"/>
      <c r="M56" s="163"/>
      <c r="N56" s="163"/>
      <c r="O56" s="163"/>
      <c r="P56" s="163"/>
      <c r="Q56" s="163"/>
      <c r="R56" s="163"/>
      <c r="S56" s="163"/>
      <c r="T56" s="163"/>
      <c r="U56" s="163"/>
      <c r="V56" s="316"/>
      <c r="W56" s="316"/>
      <c r="X56" s="316"/>
      <c r="Y56" s="316"/>
    </row>
    <row r="57" spans="1:25" ht="24.6" customHeight="1">
      <c r="A57" s="107" t="s">
        <v>8476</v>
      </c>
      <c r="B57" s="107"/>
      <c r="C57" s="620"/>
      <c r="D57" s="97" t="s">
        <v>8477</v>
      </c>
      <c r="E57" s="97"/>
      <c r="F57" s="314"/>
      <c r="G57" s="97"/>
      <c r="H57" s="97"/>
      <c r="I57" s="97"/>
      <c r="J57" s="97"/>
      <c r="K57" s="97"/>
      <c r="L57" s="97"/>
      <c r="M57" s="97"/>
      <c r="N57" s="97"/>
      <c r="O57" s="181"/>
      <c r="P57" s="312"/>
      <c r="Q57" s="97"/>
      <c r="R57" s="97"/>
      <c r="S57" s="97"/>
      <c r="T57" s="97"/>
      <c r="U57" s="97"/>
      <c r="V57" s="312"/>
      <c r="W57" s="312"/>
      <c r="X57" s="312"/>
      <c r="Y57" s="312"/>
    </row>
    <row r="58" spans="1:25" ht="7.5" customHeight="1">
      <c r="A58" s="312"/>
      <c r="B58" s="312"/>
      <c r="C58" s="602"/>
      <c r="D58" s="602"/>
      <c r="E58" s="602"/>
      <c r="F58" s="602"/>
      <c r="G58" s="602"/>
      <c r="H58" s="602"/>
      <c r="I58" s="97"/>
      <c r="J58" s="97"/>
      <c r="K58" s="97"/>
      <c r="L58" s="97"/>
      <c r="M58" s="97"/>
      <c r="N58" s="97"/>
      <c r="O58" s="383"/>
      <c r="P58" s="312"/>
      <c r="Q58" s="97"/>
      <c r="R58" s="97"/>
      <c r="S58" s="97"/>
      <c r="T58" s="97"/>
      <c r="U58" s="97"/>
      <c r="V58" s="312"/>
      <c r="W58" s="312"/>
      <c r="X58" s="312"/>
      <c r="Y58" s="312"/>
    </row>
    <row r="59" spans="1:25" s="312" customFormat="1" ht="26.1" customHeight="1">
      <c r="A59" s="322" t="s">
        <v>8478</v>
      </c>
      <c r="C59" s="621"/>
      <c r="D59" s="97" t="s">
        <v>8477</v>
      </c>
      <c r="E59" s="97"/>
      <c r="F59" s="314"/>
      <c r="G59" s="97"/>
      <c r="H59" s="97"/>
      <c r="I59" s="97"/>
      <c r="J59" s="97"/>
      <c r="K59" s="97"/>
      <c r="L59" s="97"/>
      <c r="M59" s="97"/>
      <c r="N59" s="97"/>
      <c r="O59" s="457" t="s">
        <v>8479</v>
      </c>
      <c r="Q59" s="97"/>
      <c r="R59" s="97"/>
      <c r="S59" s="97"/>
      <c r="T59" s="97"/>
      <c r="U59" s="97"/>
    </row>
    <row r="60" spans="1:25" s="312" customFormat="1" ht="8.5500000000000007" customHeight="1">
      <c r="C60" s="602"/>
      <c r="D60" s="602"/>
      <c r="E60" s="602"/>
      <c r="F60" s="602"/>
      <c r="G60" s="602"/>
      <c r="H60" s="602"/>
      <c r="I60" s="97"/>
      <c r="J60" s="97"/>
      <c r="K60" s="97"/>
      <c r="L60" s="97"/>
      <c r="M60" s="97"/>
      <c r="N60" s="552"/>
      <c r="O60" s="557"/>
      <c r="P60" s="558"/>
      <c r="Q60" s="559"/>
      <c r="R60" s="559"/>
      <c r="S60" s="559"/>
      <c r="T60" s="559"/>
      <c r="U60" s="559"/>
      <c r="V60" s="558"/>
      <c r="W60" s="558"/>
      <c r="X60" s="558"/>
      <c r="Y60" s="560"/>
    </row>
    <row r="61" spans="1:25" ht="24.6" customHeight="1">
      <c r="A61" s="107" t="s">
        <v>8480</v>
      </c>
      <c r="B61" s="107"/>
      <c r="C61" s="622"/>
      <c r="D61" s="97" t="s">
        <v>8481</v>
      </c>
      <c r="E61" s="97"/>
      <c r="F61" s="314"/>
      <c r="G61" s="97"/>
      <c r="H61" s="97"/>
      <c r="I61" s="97"/>
      <c r="J61" s="97"/>
      <c r="K61" s="97"/>
      <c r="L61" s="97"/>
      <c r="M61" s="97"/>
      <c r="N61" s="552"/>
      <c r="O61" s="561" t="s">
        <v>8482</v>
      </c>
      <c r="P61" s="553"/>
      <c r="Q61" s="554"/>
      <c r="R61" s="554"/>
      <c r="S61" s="554"/>
      <c r="T61" s="554"/>
      <c r="U61" s="554"/>
      <c r="V61" s="553"/>
      <c r="W61" s="553"/>
      <c r="X61" s="553"/>
      <c r="Y61" s="562"/>
    </row>
    <row r="62" spans="1:25" ht="7.5" customHeight="1">
      <c r="A62" s="312"/>
      <c r="B62" s="312"/>
      <c r="C62" s="602"/>
      <c r="D62" s="602"/>
      <c r="E62" s="602"/>
      <c r="F62" s="602"/>
      <c r="G62" s="602"/>
      <c r="H62" s="602"/>
      <c r="I62" s="97"/>
      <c r="J62" s="97"/>
      <c r="K62" s="97"/>
      <c r="L62" s="97"/>
      <c r="M62" s="97"/>
      <c r="N62" s="552"/>
      <c r="O62" s="563"/>
      <c r="P62" s="555"/>
      <c r="Q62" s="554"/>
      <c r="R62" s="554"/>
      <c r="S62" s="554"/>
      <c r="T62" s="554"/>
      <c r="U62" s="554"/>
      <c r="V62" s="553"/>
      <c r="W62" s="553"/>
      <c r="X62" s="553"/>
      <c r="Y62" s="562"/>
    </row>
    <row r="63" spans="1:25" ht="26.55" customHeight="1">
      <c r="A63" s="107" t="s">
        <v>8483</v>
      </c>
      <c r="B63" s="107"/>
      <c r="C63" s="623" t="str">
        <f>IFERROR(C61/C57,"")</f>
        <v/>
      </c>
      <c r="D63" s="97" t="s">
        <v>8484</v>
      </c>
      <c r="E63" s="97"/>
      <c r="F63" s="786"/>
      <c r="G63" s="97"/>
      <c r="H63" s="97"/>
      <c r="I63" s="97"/>
      <c r="J63" s="97"/>
      <c r="K63" s="97"/>
      <c r="L63" s="97"/>
      <c r="M63" s="97"/>
      <c r="N63" s="552"/>
      <c r="O63" s="564" t="s">
        <v>8485</v>
      </c>
      <c r="P63" s="555"/>
      <c r="Q63" s="554"/>
      <c r="R63" s="554"/>
      <c r="S63" s="554"/>
      <c r="T63" s="554"/>
      <c r="U63" s="554"/>
      <c r="V63" s="553"/>
      <c r="W63" s="553"/>
      <c r="X63" s="553"/>
      <c r="Y63" s="562"/>
    </row>
    <row r="64" spans="1:25" ht="9" customHeight="1">
      <c r="A64" s="312"/>
      <c r="B64" s="312"/>
      <c r="C64" s="200"/>
      <c r="D64" s="97"/>
      <c r="E64" s="97"/>
      <c r="F64" s="786"/>
      <c r="G64" s="97"/>
      <c r="H64" s="97"/>
      <c r="I64" s="97"/>
      <c r="J64" s="97"/>
      <c r="K64" s="97"/>
      <c r="L64" s="97"/>
      <c r="M64" s="97"/>
      <c r="N64" s="552"/>
      <c r="O64" s="564"/>
      <c r="P64" s="556"/>
      <c r="Q64" s="554"/>
      <c r="R64" s="554"/>
      <c r="S64" s="554"/>
      <c r="T64" s="554"/>
      <c r="U64" s="554"/>
      <c r="V64" s="553"/>
      <c r="W64" s="553"/>
      <c r="X64" s="553"/>
      <c r="Y64" s="562"/>
    </row>
    <row r="65" spans="1:25" s="312" customFormat="1" ht="9" customHeight="1">
      <c r="C65" s="200"/>
      <c r="D65" s="97"/>
      <c r="E65" s="97"/>
      <c r="F65" s="586"/>
      <c r="G65" s="97"/>
      <c r="H65" s="97"/>
      <c r="I65" s="97"/>
      <c r="J65" s="97"/>
      <c r="K65" s="97"/>
      <c r="L65" s="97"/>
      <c r="M65" s="97"/>
      <c r="N65" s="552"/>
      <c r="O65" s="564"/>
      <c r="P65" s="556"/>
      <c r="Q65" s="554"/>
      <c r="R65" s="554"/>
      <c r="S65" s="554"/>
      <c r="T65" s="554"/>
      <c r="U65" s="554"/>
      <c r="V65" s="553"/>
      <c r="W65" s="553"/>
      <c r="X65" s="553"/>
      <c r="Y65" s="562"/>
    </row>
    <row r="66" spans="1:25" s="312" customFormat="1" ht="24" customHeight="1">
      <c r="C66" s="386" t="s">
        <v>8486</v>
      </c>
      <c r="D66" s="97"/>
      <c r="E66" s="97"/>
      <c r="F66" s="386" t="s">
        <v>8487</v>
      </c>
      <c r="G66" s="97"/>
      <c r="H66" s="97"/>
      <c r="I66" s="97"/>
      <c r="J66" s="97"/>
      <c r="K66" s="97"/>
      <c r="L66" s="97"/>
      <c r="M66" s="97"/>
      <c r="N66" s="552"/>
      <c r="O66" s="564" t="s">
        <v>8488</v>
      </c>
      <c r="P66" s="556"/>
      <c r="Q66" s="554"/>
      <c r="R66" s="554"/>
      <c r="S66" s="554"/>
      <c r="T66" s="554"/>
      <c r="U66" s="554"/>
      <c r="V66" s="553"/>
      <c r="W66" s="553"/>
      <c r="X66" s="553"/>
      <c r="Y66" s="562"/>
    </row>
    <row r="67" spans="1:25" s="312" customFormat="1" ht="5.0999999999999996" customHeight="1">
      <c r="C67" s="200"/>
      <c r="D67" s="97"/>
      <c r="E67" s="97"/>
      <c r="F67" s="275"/>
      <c r="G67" s="97"/>
      <c r="H67" s="97"/>
      <c r="I67" s="97"/>
      <c r="J67" s="97"/>
      <c r="K67" s="97"/>
      <c r="L67" s="97"/>
      <c r="M67" s="97"/>
      <c r="N67" s="552"/>
      <c r="O67" s="564"/>
      <c r="P67" s="556"/>
      <c r="Q67" s="554"/>
      <c r="R67" s="554"/>
      <c r="S67" s="554"/>
      <c r="T67" s="554"/>
      <c r="U67" s="554"/>
      <c r="V67" s="553"/>
      <c r="W67" s="553"/>
      <c r="X67" s="553"/>
      <c r="Y67" s="562"/>
    </row>
    <row r="68" spans="1:25" ht="25.5" customHeight="1">
      <c r="A68" s="107" t="s">
        <v>8489</v>
      </c>
      <c r="B68" s="312"/>
      <c r="C68" s="622"/>
      <c r="D68" s="97" t="s">
        <v>8490</v>
      </c>
      <c r="E68" s="97"/>
      <c r="F68" s="624"/>
      <c r="G68" s="97" t="s">
        <v>8490</v>
      </c>
      <c r="H68" s="402" t="str">
        <f>"---------------------------------------------------------------------------&gt;&gt;&gt;&gt;&gt;&gt;&gt;&gt;&gt;&gt;"</f>
        <v>---------------------------------------------------------------------------&gt;&gt;&gt;&gt;&gt;&gt;&gt;&gt;&gt;&gt;</v>
      </c>
      <c r="I68" s="97"/>
      <c r="J68" s="97"/>
      <c r="K68" s="97"/>
      <c r="L68" s="97"/>
      <c r="M68" s="97"/>
      <c r="N68" s="552"/>
      <c r="O68" s="564" t="s">
        <v>8491</v>
      </c>
      <c r="P68" s="556"/>
      <c r="Q68" s="554"/>
      <c r="R68" s="554"/>
      <c r="S68" s="554"/>
      <c r="T68" s="554"/>
      <c r="U68" s="554"/>
      <c r="V68" s="553"/>
      <c r="W68" s="553"/>
      <c r="X68" s="553"/>
      <c r="Y68" s="565"/>
    </row>
    <row r="69" spans="1:25" ht="7.5" customHeight="1">
      <c r="A69" s="312"/>
      <c r="B69" s="312"/>
      <c r="C69" s="314"/>
      <c r="D69" s="97"/>
      <c r="E69" s="97"/>
      <c r="F69" s="97"/>
      <c r="G69" s="97"/>
      <c r="H69" s="97"/>
      <c r="I69" s="97"/>
      <c r="J69" s="97"/>
      <c r="K69" s="97"/>
      <c r="L69" s="97"/>
      <c r="M69" s="97"/>
      <c r="N69" s="552"/>
      <c r="O69" s="566"/>
      <c r="P69" s="556"/>
      <c r="Q69" s="554"/>
      <c r="R69" s="554"/>
      <c r="S69" s="554"/>
      <c r="T69" s="554"/>
      <c r="U69" s="554"/>
      <c r="V69" s="553"/>
      <c r="W69" s="553"/>
      <c r="X69" s="553"/>
      <c r="Y69" s="562"/>
    </row>
    <row r="70" spans="1:25" ht="28.5" customHeight="1">
      <c r="A70" s="107" t="s">
        <v>8492</v>
      </c>
      <c r="B70" s="312"/>
      <c r="C70" s="625"/>
      <c r="D70" s="97" t="s">
        <v>8493</v>
      </c>
      <c r="E70" s="97"/>
      <c r="F70" s="97"/>
      <c r="G70" s="97"/>
      <c r="H70" s="97"/>
      <c r="I70" s="97"/>
      <c r="J70" s="97"/>
      <c r="K70" s="97"/>
      <c r="L70" s="97"/>
      <c r="M70" s="97"/>
      <c r="N70" s="552"/>
      <c r="O70" s="566" t="s">
        <v>8494</v>
      </c>
      <c r="P70" s="554"/>
      <c r="Q70" s="554"/>
      <c r="R70" s="554"/>
      <c r="S70" s="554"/>
      <c r="T70" s="554"/>
      <c r="U70" s="554"/>
      <c r="V70" s="553"/>
      <c r="W70" s="553"/>
      <c r="X70" s="553"/>
      <c r="Y70" s="567"/>
    </row>
    <row r="71" spans="1:25" ht="7.5" customHeight="1" thickBot="1">
      <c r="A71" s="312"/>
      <c r="B71" s="312"/>
      <c r="C71" s="314"/>
      <c r="D71" s="97"/>
      <c r="E71" s="97"/>
      <c r="F71" s="97"/>
      <c r="G71" s="97"/>
      <c r="H71" s="97"/>
      <c r="I71" s="97"/>
      <c r="J71" s="97"/>
      <c r="K71" s="97"/>
      <c r="L71" s="97"/>
      <c r="M71" s="97"/>
      <c r="N71" s="552"/>
      <c r="O71" s="568"/>
      <c r="P71" s="554"/>
      <c r="Q71" s="554"/>
      <c r="R71" s="554"/>
      <c r="S71" s="554"/>
      <c r="T71" s="554"/>
      <c r="U71" s="554"/>
      <c r="V71" s="553"/>
      <c r="W71" s="553"/>
      <c r="X71" s="553"/>
      <c r="Y71" s="562"/>
    </row>
    <row r="72" spans="1:25" ht="23.55" customHeight="1" thickBot="1">
      <c r="A72" s="322" t="s">
        <v>8495</v>
      </c>
      <c r="B72" s="322"/>
      <c r="C72" s="626"/>
      <c r="D72" s="97" t="s">
        <v>8496</v>
      </c>
      <c r="E72" s="97"/>
      <c r="F72" s="97"/>
      <c r="G72" s="97"/>
      <c r="H72" s="487" t="s">
        <v>8497</v>
      </c>
      <c r="I72" s="97"/>
      <c r="J72" s="97"/>
      <c r="K72" s="97"/>
      <c r="L72" s="97"/>
      <c r="M72" s="97"/>
      <c r="N72" s="552"/>
      <c r="O72" s="808" t="s">
        <v>8498</v>
      </c>
      <c r="P72" s="809"/>
      <c r="Q72" s="809"/>
      <c r="R72" s="809"/>
      <c r="S72" s="809"/>
      <c r="T72" s="809"/>
      <c r="U72" s="809"/>
      <c r="V72" s="809"/>
      <c r="W72" s="809"/>
      <c r="X72" s="809"/>
      <c r="Y72" s="810"/>
    </row>
    <row r="73" spans="1:25" ht="7.5" customHeight="1">
      <c r="A73" s="312"/>
      <c r="B73" s="312"/>
      <c r="C73" s="602"/>
      <c r="D73" s="602"/>
      <c r="E73" s="602"/>
      <c r="F73" s="602"/>
      <c r="G73" s="602"/>
      <c r="H73" s="602"/>
      <c r="I73" s="97"/>
      <c r="J73" s="97"/>
      <c r="K73" s="97"/>
      <c r="L73" s="97"/>
      <c r="M73" s="97"/>
      <c r="N73" s="552"/>
      <c r="O73" s="808"/>
      <c r="P73" s="809"/>
      <c r="Q73" s="809"/>
      <c r="R73" s="809"/>
      <c r="S73" s="809"/>
      <c r="T73" s="809"/>
      <c r="U73" s="809"/>
      <c r="V73" s="809"/>
      <c r="W73" s="809"/>
      <c r="X73" s="809"/>
      <c r="Y73" s="810"/>
    </row>
    <row r="74" spans="1:25" s="312" customFormat="1" ht="30" customHeight="1">
      <c r="A74" s="107" t="s">
        <v>8499</v>
      </c>
      <c r="B74" s="107"/>
      <c r="C74" s="627"/>
      <c r="D74" s="97" t="s">
        <v>8500</v>
      </c>
      <c r="E74" s="321" t="s">
        <v>8501</v>
      </c>
      <c r="F74" s="627"/>
      <c r="G74" s="97" t="s">
        <v>8500</v>
      </c>
      <c r="H74" s="321" t="s">
        <v>8501</v>
      </c>
      <c r="I74" s="627"/>
      <c r="J74" s="97" t="s">
        <v>8500</v>
      </c>
      <c r="K74" s="97"/>
      <c r="L74" s="97"/>
      <c r="M74" s="97"/>
      <c r="N74" s="552"/>
      <c r="O74" s="808"/>
      <c r="P74" s="809"/>
      <c r="Q74" s="809"/>
      <c r="R74" s="809"/>
      <c r="S74" s="809"/>
      <c r="T74" s="809"/>
      <c r="U74" s="809"/>
      <c r="V74" s="809"/>
      <c r="W74" s="809"/>
      <c r="X74" s="809"/>
      <c r="Y74" s="810"/>
    </row>
    <row r="75" spans="1:25" s="312" customFormat="1" ht="7.5" customHeight="1">
      <c r="C75" s="602"/>
      <c r="D75" s="602"/>
      <c r="E75" s="602"/>
      <c r="F75" s="602"/>
      <c r="G75" s="602"/>
      <c r="H75" s="602"/>
      <c r="I75" s="97"/>
      <c r="J75" s="97"/>
      <c r="K75" s="97"/>
      <c r="L75" s="97"/>
      <c r="M75" s="97"/>
      <c r="N75" s="552"/>
      <c r="O75" s="808"/>
      <c r="P75" s="809"/>
      <c r="Q75" s="809"/>
      <c r="R75" s="809"/>
      <c r="S75" s="809"/>
      <c r="T75" s="809"/>
      <c r="U75" s="809"/>
      <c r="V75" s="809"/>
      <c r="W75" s="809"/>
      <c r="X75" s="809"/>
      <c r="Y75" s="810"/>
    </row>
    <row r="76" spans="1:25" s="312" customFormat="1" ht="7.5" customHeight="1">
      <c r="C76" s="602"/>
      <c r="D76" s="602"/>
      <c r="E76" s="602"/>
      <c r="F76" s="602"/>
      <c r="G76" s="602"/>
      <c r="H76" s="602"/>
      <c r="I76" s="97"/>
      <c r="J76" s="97"/>
      <c r="K76" s="97"/>
      <c r="L76" s="97"/>
      <c r="M76" s="97"/>
      <c r="N76" s="552"/>
      <c r="O76" s="808"/>
      <c r="P76" s="809"/>
      <c r="Q76" s="809"/>
      <c r="R76" s="809"/>
      <c r="S76" s="809"/>
      <c r="T76" s="809"/>
      <c r="U76" s="809"/>
      <c r="V76" s="809"/>
      <c r="W76" s="809"/>
      <c r="X76" s="809"/>
      <c r="Y76" s="810"/>
    </row>
    <row r="77" spans="1:25" ht="26.1" customHeight="1">
      <c r="A77" s="322" t="s">
        <v>8502</v>
      </c>
      <c r="B77" s="322"/>
      <c r="C77" s="819"/>
      <c r="D77" s="820"/>
      <c r="E77" s="820"/>
      <c r="F77" s="820"/>
      <c r="G77" s="820"/>
      <c r="H77" s="820"/>
      <c r="I77" s="820"/>
      <c r="J77" s="820"/>
      <c r="K77" s="820"/>
      <c r="L77" s="97"/>
      <c r="M77" s="97"/>
      <c r="N77" s="552"/>
      <c r="O77" s="811"/>
      <c r="P77" s="812"/>
      <c r="Q77" s="812"/>
      <c r="R77" s="812"/>
      <c r="S77" s="812"/>
      <c r="T77" s="812"/>
      <c r="U77" s="812"/>
      <c r="V77" s="812"/>
      <c r="W77" s="812"/>
      <c r="X77" s="812"/>
      <c r="Y77" s="813"/>
    </row>
    <row r="78" spans="1:25" ht="5.85" customHeight="1">
      <c r="A78" s="108"/>
      <c r="B78" s="108"/>
      <c r="C78" s="602"/>
      <c r="D78" s="602"/>
      <c r="E78" s="602"/>
      <c r="F78" s="602"/>
      <c r="G78" s="602"/>
      <c r="H78" s="602"/>
      <c r="I78" s="321"/>
      <c r="J78" s="321"/>
      <c r="K78" s="321"/>
      <c r="L78" s="97"/>
      <c r="M78" s="97"/>
      <c r="N78" s="97"/>
      <c r="O78" s="312"/>
      <c r="P78" s="312"/>
      <c r="Q78" s="312"/>
      <c r="R78" s="312"/>
      <c r="S78" s="312"/>
      <c r="T78" s="312"/>
      <c r="U78" s="312"/>
      <c r="V78" s="312"/>
      <c r="W78" s="312"/>
      <c r="X78" s="312"/>
      <c r="Y78" s="312"/>
    </row>
    <row r="79" spans="1:25" ht="24.6" customHeight="1">
      <c r="A79" s="322" t="s">
        <v>8503</v>
      </c>
      <c r="B79" s="322"/>
      <c r="C79" s="818"/>
      <c r="D79" s="818"/>
      <c r="E79" s="818"/>
      <c r="F79" s="818"/>
      <c r="G79" s="818"/>
      <c r="H79" s="818"/>
      <c r="I79" s="818"/>
      <c r="J79" s="818"/>
      <c r="K79" s="818"/>
      <c r="L79" s="97"/>
      <c r="M79" s="97"/>
      <c r="N79" s="97"/>
      <c r="O79" s="312"/>
      <c r="P79" s="312"/>
      <c r="Q79" s="312"/>
      <c r="R79" s="312"/>
      <c r="S79" s="312"/>
      <c r="T79" s="312"/>
      <c r="U79" s="312"/>
      <c r="V79" s="312"/>
      <c r="W79" s="312"/>
      <c r="X79" s="312"/>
      <c r="Y79" s="312"/>
    </row>
    <row r="80" spans="1:25" ht="5.85" customHeight="1">
      <c r="A80" s="108"/>
      <c r="B80" s="108"/>
      <c r="C80" s="321"/>
      <c r="D80" s="321"/>
      <c r="E80" s="321"/>
      <c r="F80" s="321"/>
      <c r="G80" s="321"/>
      <c r="H80" s="321"/>
      <c r="I80" s="321"/>
      <c r="J80" s="321"/>
      <c r="K80" s="321"/>
      <c r="L80" s="97"/>
      <c r="M80" s="97"/>
      <c r="N80" s="97"/>
      <c r="O80" s="312"/>
      <c r="P80" s="312"/>
      <c r="Q80" s="312"/>
      <c r="R80" s="312"/>
      <c r="S80" s="312"/>
      <c r="T80" s="312"/>
      <c r="U80" s="312"/>
      <c r="V80" s="312"/>
      <c r="W80" s="312"/>
      <c r="X80" s="312"/>
      <c r="Y80" s="312"/>
    </row>
    <row r="81" spans="1:25" ht="40.5" customHeight="1">
      <c r="A81" s="322" t="s">
        <v>8504</v>
      </c>
      <c r="B81" s="312"/>
      <c r="C81" s="793"/>
      <c r="D81" s="794"/>
      <c r="E81" s="794"/>
      <c r="F81" s="794"/>
      <c r="G81" s="794"/>
      <c r="H81" s="794"/>
      <c r="I81" s="794"/>
      <c r="J81" s="794"/>
      <c r="K81" s="794"/>
      <c r="L81" s="312"/>
      <c r="N81" s="312"/>
      <c r="O81" s="312"/>
      <c r="P81" s="312"/>
      <c r="Q81" s="312"/>
      <c r="R81" s="312"/>
      <c r="S81" s="312"/>
      <c r="T81" s="312"/>
      <c r="U81" s="312"/>
      <c r="V81" s="312"/>
      <c r="W81" s="312"/>
      <c r="X81" s="312"/>
      <c r="Y81" s="312"/>
    </row>
    <row r="83" spans="1:25" ht="44.55" customHeight="1" thickBot="1">
      <c r="A83" s="821" t="s">
        <v>8505</v>
      </c>
      <c r="B83" s="821"/>
      <c r="C83" s="821"/>
      <c r="D83" s="821"/>
      <c r="E83" s="821"/>
      <c r="F83" s="821"/>
      <c r="G83" s="821"/>
      <c r="H83" s="821"/>
      <c r="I83" s="821"/>
      <c r="J83" s="821"/>
      <c r="K83" s="821"/>
      <c r="L83" s="312"/>
      <c r="N83" s="312"/>
      <c r="O83" s="312"/>
      <c r="P83" s="312"/>
      <c r="Q83" s="312"/>
      <c r="R83" s="312"/>
      <c r="S83" s="312"/>
      <c r="T83" s="312"/>
      <c r="U83" s="312"/>
      <c r="V83" s="312"/>
      <c r="W83" s="312"/>
      <c r="X83" s="312"/>
      <c r="Y83" s="312"/>
    </row>
    <row r="84" spans="1:25" s="352" customFormat="1" ht="26.55" customHeight="1" thickBot="1">
      <c r="A84" s="353" t="s">
        <v>10913</v>
      </c>
      <c r="B84" s="579"/>
      <c r="C84" s="579"/>
      <c r="D84" s="579"/>
      <c r="E84" s="579"/>
      <c r="F84" s="579"/>
      <c r="G84" s="353"/>
      <c r="H84" s="353"/>
      <c r="I84" s="353"/>
      <c r="J84" s="353"/>
      <c r="K84" s="353"/>
      <c r="L84" s="580"/>
      <c r="M84" s="580"/>
      <c r="N84" s="580"/>
      <c r="O84" s="580"/>
      <c r="P84" s="580"/>
      <c r="Q84" s="580"/>
      <c r="R84" s="580"/>
      <c r="S84" s="580"/>
      <c r="T84" s="580"/>
      <c r="U84" s="580"/>
      <c r="V84" s="580"/>
      <c r="W84" s="580"/>
      <c r="X84" s="580"/>
      <c r="Y84" s="580"/>
    </row>
    <row r="85" spans="1:25" s="312" customFormat="1">
      <c r="A85" s="320"/>
      <c r="B85" s="320"/>
      <c r="C85" s="320"/>
      <c r="D85" s="320"/>
      <c r="E85" s="320"/>
      <c r="F85" s="320"/>
      <c r="G85" s="320"/>
    </row>
    <row r="86" spans="1:25" s="312" customFormat="1" ht="18" customHeight="1">
      <c r="A86" s="816" t="s">
        <v>8506</v>
      </c>
      <c r="B86" s="816"/>
      <c r="C86" s="816"/>
      <c r="D86" s="816"/>
      <c r="E86" s="816"/>
      <c r="F86" s="816"/>
      <c r="G86" s="816"/>
      <c r="H86" s="816"/>
      <c r="I86" s="816"/>
      <c r="J86" s="816"/>
      <c r="K86" s="816"/>
    </row>
    <row r="87" spans="1:25" s="312" customFormat="1" ht="35.549999999999997" customHeight="1">
      <c r="A87" s="814" t="s">
        <v>8507</v>
      </c>
      <c r="B87" s="814"/>
      <c r="C87" s="814"/>
      <c r="D87" s="814"/>
      <c r="E87" s="814"/>
      <c r="F87" s="814"/>
      <c r="G87" s="814"/>
      <c r="H87" s="814"/>
      <c r="I87" s="814"/>
      <c r="J87" s="814"/>
      <c r="K87" s="814"/>
    </row>
    <row r="88" spans="1:25" s="312" customFormat="1" ht="29.1" customHeight="1">
      <c r="A88" s="816" t="s">
        <v>8508</v>
      </c>
      <c r="B88" s="816"/>
      <c r="C88" s="816"/>
      <c r="D88" s="816"/>
      <c r="E88" s="816"/>
      <c r="F88" s="816"/>
      <c r="G88" s="816"/>
      <c r="H88" s="816"/>
      <c r="I88" s="816"/>
      <c r="J88" s="816"/>
      <c r="K88" s="816"/>
    </row>
    <row r="89" spans="1:25" s="312" customFormat="1" ht="51.6" customHeight="1">
      <c r="A89" s="817" t="s">
        <v>8509</v>
      </c>
      <c r="B89" s="817"/>
      <c r="C89" s="817"/>
      <c r="D89" s="817"/>
      <c r="E89" s="817"/>
      <c r="F89" s="817"/>
      <c r="G89" s="817"/>
      <c r="H89" s="817"/>
      <c r="I89" s="817"/>
      <c r="J89" s="817"/>
      <c r="K89" s="817"/>
    </row>
    <row r="90" spans="1:25" s="312" customFormat="1" ht="31.5" customHeight="1">
      <c r="A90" s="814" t="s">
        <v>10911</v>
      </c>
      <c r="B90" s="814"/>
      <c r="C90" s="814"/>
      <c r="D90" s="814"/>
      <c r="E90" s="814"/>
      <c r="F90" s="814"/>
      <c r="G90" s="814"/>
      <c r="H90" s="814"/>
      <c r="I90" s="814"/>
      <c r="J90" s="814"/>
      <c r="K90" s="814"/>
    </row>
    <row r="91" spans="1:25" s="312" customFormat="1" ht="26.1" customHeight="1">
      <c r="A91" s="814" t="s">
        <v>8510</v>
      </c>
      <c r="B91" s="814"/>
      <c r="C91" s="814"/>
      <c r="D91" s="814"/>
      <c r="E91" s="814"/>
      <c r="F91" s="814"/>
      <c r="G91" s="814"/>
      <c r="H91" s="814"/>
      <c r="I91" s="814"/>
      <c r="J91" s="814"/>
      <c r="K91" s="814"/>
    </row>
    <row r="92" spans="1:25" s="312" customFormat="1" ht="87" customHeight="1">
      <c r="A92" s="815" t="s">
        <v>10912</v>
      </c>
      <c r="B92" s="815"/>
      <c r="C92" s="815"/>
      <c r="D92" s="815"/>
      <c r="E92" s="815"/>
      <c r="F92" s="815"/>
      <c r="G92" s="815"/>
      <c r="H92" s="815"/>
      <c r="I92" s="815"/>
      <c r="J92" s="815"/>
      <c r="K92" s="815"/>
    </row>
    <row r="93" spans="1:25" s="312" customFormat="1" ht="33.450000000000003" customHeight="1">
      <c r="A93" s="791" t="s">
        <v>8511</v>
      </c>
      <c r="B93" s="791"/>
      <c r="C93" s="791"/>
      <c r="D93" s="791"/>
      <c r="E93" s="791"/>
      <c r="F93" s="791"/>
      <c r="G93" s="791"/>
      <c r="H93" s="791"/>
      <c r="I93" s="791"/>
      <c r="J93" s="791"/>
      <c r="K93" s="791"/>
    </row>
    <row r="94" spans="1:25" s="312" customFormat="1" ht="15" thickBot="1">
      <c r="A94" s="198"/>
      <c r="B94" s="198"/>
      <c r="C94" s="198"/>
      <c r="D94" s="198"/>
      <c r="E94" s="198"/>
      <c r="F94" s="198"/>
      <c r="G94" s="198"/>
      <c r="H94" s="323"/>
      <c r="I94" s="323"/>
      <c r="J94" s="323"/>
      <c r="K94" s="323"/>
    </row>
    <row r="95" spans="1:25" ht="58.05" customHeight="1" thickBot="1">
      <c r="A95" s="783" t="s">
        <v>8512</v>
      </c>
      <c r="B95" s="784"/>
      <c r="C95" s="784"/>
      <c r="D95" s="784"/>
      <c r="E95" s="784"/>
      <c r="F95" s="784"/>
      <c r="G95" s="785"/>
      <c r="H95" s="781" t="s">
        <v>8513</v>
      </c>
      <c r="I95" s="782"/>
      <c r="J95" s="789" t="s">
        <v>8514</v>
      </c>
      <c r="K95" s="790"/>
      <c r="L95" s="312"/>
      <c r="N95" s="312"/>
      <c r="O95" s="312"/>
      <c r="P95" s="312"/>
      <c r="Q95" s="312"/>
      <c r="R95" s="312"/>
      <c r="S95" s="312"/>
      <c r="T95" s="312"/>
      <c r="U95" s="312"/>
      <c r="V95" s="312"/>
      <c r="W95" s="312"/>
      <c r="X95" s="312"/>
      <c r="Y95" s="312"/>
    </row>
  </sheetData>
  <sheetProtection algorithmName="SHA-512" hashValue="slz9xGUCCOvWKqTjvSOsR5w1oiEvcQ/cwGpfsxfeAxfTcXm9Ge35erWFA8rdsBKz5nBg3L2qDxMxnH/3nG8GXg==" saltValue="QWmk61eWRo/i/Yr6BngFGQ==" spinCount="100000" sheet="1" objects="1" scenarios="1" selectLockedCells="1"/>
  <mergeCells count="40">
    <mergeCell ref="O72:Y77"/>
    <mergeCell ref="A91:K91"/>
    <mergeCell ref="A92:K92"/>
    <mergeCell ref="A86:K86"/>
    <mergeCell ref="A87:K87"/>
    <mergeCell ref="A88:K88"/>
    <mergeCell ref="A89:K89"/>
    <mergeCell ref="A90:K90"/>
    <mergeCell ref="C81:K81"/>
    <mergeCell ref="C79:K79"/>
    <mergeCell ref="C77:K77"/>
    <mergeCell ref="A83:K83"/>
    <mergeCell ref="O7:Y11"/>
    <mergeCell ref="B7:C7"/>
    <mergeCell ref="B30:K30"/>
    <mergeCell ref="B32:K32"/>
    <mergeCell ref="O46:Y55"/>
    <mergeCell ref="O22:Y28"/>
    <mergeCell ref="O36:Y43"/>
    <mergeCell ref="B13:K13"/>
    <mergeCell ref="D16:E16"/>
    <mergeCell ref="B34:K34"/>
    <mergeCell ref="B26:D26"/>
    <mergeCell ref="D19:E19"/>
    <mergeCell ref="C46:H46"/>
    <mergeCell ref="C50:H50"/>
    <mergeCell ref="C52:H52"/>
    <mergeCell ref="B39:C39"/>
    <mergeCell ref="B3:H3"/>
    <mergeCell ref="B5:H5"/>
    <mergeCell ref="B11:C11"/>
    <mergeCell ref="B36:K37"/>
    <mergeCell ref="C48:H48"/>
    <mergeCell ref="H95:I95"/>
    <mergeCell ref="A95:G95"/>
    <mergeCell ref="F63:F64"/>
    <mergeCell ref="B41:C41"/>
    <mergeCell ref="B28:K28"/>
    <mergeCell ref="J95:K95"/>
    <mergeCell ref="A93:K93"/>
  </mergeCells>
  <dataValidations xWindow="513" yWindow="411" count="37">
    <dataValidation errorStyle="information" allowBlank="1" showInputMessage="1" showErrorMessage="1" promptTitle="declared_unit" prompt="mass of the product, in kilograms, per declared unit" sqref="C72" xr:uid="{63F5AAB5-98B5-4E61-B30D-FF107E18EBFC}"/>
    <dataValidation allowBlank="1" showInputMessage="1" showErrorMessage="1" promptTitle="manufacturing_description" prompt="Text description of manufacturing process." sqref="I44:K45 D44:H44" xr:uid="{10913556-5CD5-4F88-954E-4E919314F5D9}"/>
    <dataValidation errorStyle="warning" allowBlank="1" showInputMessage="1" showErrorMessage="1" promptTitle="attachments" prompt="List of URLs relevant to this document. Examples include: technical datasheets, health declarations, entries in other databases. Can be dependent on certain credentials (i.e., password protected)" sqref="C79" xr:uid="{18D179E3-4425-423A-B14C-D348049F3397}"/>
    <dataValidation allowBlank="1" showInputMessage="1" showErrorMessage="1" promptTitle="specs" prompt="Data structures describing performance specs of product. Unique for each product/product family." sqref="A44:B44" xr:uid="{66DBD9A5-5EEE-4227-876C-8A9778E6433E}"/>
    <dataValidation errorStyle="warning" allowBlank="1" showInputMessage="1" showErrorMessage="1" promptTitle="manufacturer_url" prompt="Pointer for URL of manufactuer's website and/or product information_x000a_" sqref="C77:K77" xr:uid="{98C4A2AA-AE91-4FEC-905C-D8A1458515C0}"/>
    <dataValidation allowBlank="1" showInputMessage="1" showErrorMessage="1" promptTitle="Luminaire product name" prompt="Name of the luminaire product" sqref="B3" xr:uid="{C153564B-C7AC-4BDE-9CA4-C755206BE6FE}"/>
    <dataValidation allowBlank="1" showInputMessage="1" showErrorMessage="1" promptTitle="Product code other" prompt="Additional model/serial/style alpha-numeric string" sqref="B28:K28" xr:uid="{0C9726F0-F5BE-4712-958B-5C13F6982D24}"/>
    <dataValidation allowBlank="1" showInputMessage="1" showErrorMessage="1" promptTitle="Product usage description" prompt="Text description of the intended application of the product; use case/context for which the product was designed" sqref="B32:K32" xr:uid="{5060A3C5-E29A-4164-99B0-C97920DE5CF8}"/>
    <dataValidation allowBlank="1" showInputMessage="1" showErrorMessage="1" promptTitle="Manufacturing description" prompt="Short description of the manufacturing process for production of the product" sqref="B36:K37" xr:uid="{095BF210-26DA-48C8-95B5-88E511883A67}"/>
    <dataValidation allowBlank="1" showInputMessage="1" showErrorMessage="1" promptTitle="Manufacturing image" prompt="URL of image of the manufacturing process" sqref="B39:C39" xr:uid="{B6AFE66D-620E-4CB9-8E99-CCE65DCC27F3}"/>
    <dataValidation allowBlank="1" showInputMessage="1" showErrorMessage="1" promptTitle="Luminaire class" prompt="Code used to indicate protection luminaire provides against electric shock (Class 0, I, II, or III) based on isolation" sqref="D54:G54" xr:uid="{14027457-FA70-4860-9D64-08665FCAFFB7}"/>
    <dataValidation allowBlank="1" showInputMessage="1" showErrorMessage="1" promptTitle="Name Person Completing Template" prompt="Data generator and contact for this template" sqref="B5:H5" xr:uid="{888BD02B-7268-4C94-84D6-25EF7B98B183}"/>
    <dataValidation allowBlank="1" showInputMessage="1" showErrorMessage="1" promptTitle="Number of facilities represented" prompt="Number of facilities/sites for which this template represents" sqref="B11:C11" xr:uid="{0B3D6B9F-5F23-443F-8641-2CEA2D0BBCE5}"/>
    <dataValidation type="date" operator="lessThanOrEqual" allowBlank="1" showInputMessage="1" showErrorMessage="1" errorTitle="Reporting period" error="Must be prior to today's date" promptTitle="Reporting period start date" prompt="Beginning month and year (MM/YEAR) of the reporting period from which the data in this template were compiled" sqref="C16" xr:uid="{863AD042-B00B-4684-AAEA-356B85D266B0}">
      <formula1>TODAY()</formula1>
    </dataValidation>
    <dataValidation type="date" operator="lessThanOrEqual" allowBlank="1" showInputMessage="1" showErrorMessage="1" errorTitle="Reporting period" error="Must be prior to today's date" promptTitle="Reporting period end date" prompt="Ending month and year (MM/YEAR) of the reporting period from which the data in this template were compiled" sqref="F16" xr:uid="{17FBEB1A-9B47-424B-A83C-7CF8D8F13EDD}">
      <formula1>TODAY()</formula1>
    </dataValidation>
    <dataValidation type="date" allowBlank="1" showInputMessage="1" showErrorMessage="1" errorTitle="Validity period" error="Please enter a data (not &gt; 5 years into the future)" promptTitle="Validity start data" prompt="Beginning month and year (MM/YEAR) of the reporting period for which the data in this template are/will be declared representative" sqref="C19" xr:uid="{5DA2D252-C5FB-4FF9-96C0-529C28A351CD}">
      <formula1>1</formula1>
      <formula2>46752</formula2>
    </dataValidation>
    <dataValidation allowBlank="1" showInputMessage="1" showErrorMessage="1" promptTitle="Validity end date" prompt="Ending month and year (MM/YEAR) of the reporting period for which the data in this template are/will be declared representative" sqref="F19" xr:uid="{27D861D6-EFA3-4B48-B8A5-BC53FFDA4842}"/>
    <dataValidation type="whole" operator="greaterThan" allowBlank="1" showInputMessage="1" showErrorMessage="1" errorTitle="Reporting basis" error="Please enter a whole number amount (items product produced in reporting period)" promptTitle="Reporting basis quantity" prompt="Quantity of product produced in the REPORTING PERIOD reported above (can allocate % based on mass share facility output where multi-product outputs)" sqref="C23" xr:uid="{53D38DC3-B4C9-4395-864C-80B601640182}">
      <formula1>0</formula1>
    </dataValidation>
    <dataValidation allowBlank="1" showInputMessage="1" sqref="F23" xr:uid="{16468072-0FF4-4E57-A96B-5EFB79428448}"/>
    <dataValidation allowBlank="1" showInputMessage="1" showErrorMessage="1" promptTitle="Driver type" prompt="Type of driver or ballast, voltage or ballast factor_x000a_" sqref="C46" xr:uid="{2C017C51-D048-4E86-ABF7-68CC60B483BC}"/>
    <dataValidation allowBlank="1" showInputMessage="1" showErrorMessage="1" promptTitle="L90" prompt="length of life in terms of the number of hours taken for an LED fixture to get to 90% of its original output" sqref="F68" xr:uid="{9A174DBD-26F2-4E6E-8E20-C1508F5B5EE9}"/>
    <dataValidation type="decimal" operator="greaterThan" showInputMessage="1" showErrorMessage="1" errorTitle="Product Length" error="Please enter a number (mm) product length" promptTitle="Lenth" prompt="Product length in mm" sqref="C74" xr:uid="{8635D129-036C-4663-ABC7-F038763B6192}">
      <formula1>0</formula1>
    </dataValidation>
    <dataValidation type="decimal" operator="greaterThan" showInputMessage="1" showErrorMessage="1" errorTitle="Product Width" error="Please enter a number (mm) product width" promptTitle="Product Width" prompt="Product width in mm" sqref="F74" xr:uid="{5751C280-BCA1-4D91-9006-EDE8CE0A009B}">
      <formula1>0</formula1>
    </dataValidation>
    <dataValidation type="whole" allowBlank="1" showInputMessage="1" showErrorMessage="1" errorTitle="Enter percentage" error="Enter whole number between 1 and 100" promptTitle="Technology coverage" prompt="Enter whole number between 1-100 for the percentage market this product technology represents for total company output of this product type/ffamily of products" sqref="B41:C41" xr:uid="{E2E9142C-CDC9-4FC8-90A1-B10098B24DAF}">
      <formula1>1</formula1>
      <formula2>100</formula2>
    </dataValidation>
    <dataValidation type="date" operator="lessThanOrEqual" allowBlank="1" showInputMessage="1" showErrorMessage="1" errorTitle="Completion Date" error="Please enter today's date or date prior" promptTitle="Completion Date" prompt="Data survey is completed; does not have to correspond to validity period" sqref="B7:C7" xr:uid="{6F161764-196A-40E2-BB82-0EC44207912C}">
      <formula1>TODAY()</formula1>
    </dataValidation>
    <dataValidation errorStyle="warning" allowBlank="1" showInputMessage="1" showErrorMessage="1" promptTitle="Certification/Programs" prompt="List of certifications and/or programs in which the product participates_x000a_" sqref="C81:K81" xr:uid="{234BC3E4-3918-41BC-B169-66DFCDCCCCA7}"/>
    <dataValidation type="whole" operator="lessThanOrEqual" allowBlank="1" showInputMessage="1" showErrorMessage="1" errorTitle="L90" error="Please enter whole number in hour units (lifetime must be &lt; 300,000 hours)" promptTitle="L70" prompt="length of life in terms of the number of hours taken for an LED fixture to get to 70% of its original output" sqref="C68" xr:uid="{923390EF-4653-4962-AB0B-6CDAEB6D9A52}">
      <formula1>300000</formula1>
    </dataValidation>
    <dataValidation allowBlank="1" showInputMessage="1" showErrorMessage="1" errorTitle="Please enter LM-80 version" error="Please enter the LM-80 version used to determine luminaire reference service life to ensure comparability basis" promptTitle="Body" prompt="Version of LM-80 used (to ensure comparability)" sqref="C70" xr:uid="{3406A7B3-A648-4EE3-BDC5-29F39F1680C6}"/>
    <dataValidation errorStyle="information" allowBlank="1" showInputMessage="1" showErrorMessage="1" errorTitle="stand-by power" error="Stand-by power may be relevant to operational energy use comparability" promptTitle="stand-by power" prompt="Add stand-by power (if known)" sqref="C59" xr:uid="{8BCB74A0-575D-4D67-82BB-86617487A84D}"/>
    <dataValidation type="whole" allowBlank="1" showInputMessage="1" showErrorMessage="1" promptTitle="Driver warranty time" prompt="Input length of driver warranty in whole numbers of months (needed for Module B to determine relevance of replacemeable elements)" sqref="C48:H48" xr:uid="{BCA91A85-0A75-4EB2-A378-CE26F6FD3FC4}">
      <formula1>0</formula1>
      <formula2>10000000</formula2>
    </dataValidation>
    <dataValidation allowBlank="1" showInputMessage="1" showErrorMessage="1" promptTitle="product_usage_description" prompt="Text description of how product is typically used." sqref="D35:K35" xr:uid="{717F1598-F3C0-4EB5-A066-F98A92E82BEC}"/>
    <dataValidation type="decimal" operator="greaterThan" showInputMessage="1" showErrorMessage="1" errorTitle="Product Width" error="Please enter a number (mm) product width" promptTitle="Product Height" prompt="Product height in mm" sqref="I74" xr:uid="{9D25E27C-4437-4046-A66C-72F5D52E07EF}">
      <formula1>0</formula1>
    </dataValidation>
    <dataValidation allowBlank="1" showInputMessage="1" showErrorMessage="1" promptTitle="Product description" prompt="Text description of the luminaire product" sqref="B30:K30" xr:uid="{367A463C-2D91-4E80-A8D1-AD9029E17468}"/>
    <dataValidation allowBlank="1" showInputMessage="1" showErrorMessage="1" promptTitle="product_usage_description" prompt="URL to image showing context in which product is typically used." sqref="B34:K34" xr:uid="{EAD7187A-4C03-4C6B-8A56-54B792F83D5E}"/>
    <dataValidation allowBlank="1" showInputMessage="1" showErrorMessage="1" promptTitle="Product SKU/model #" prompt="Enter alpha-numeric string" sqref="B26:D26" xr:uid="{13F282F3-0E95-462E-AACF-630E20172A4A}"/>
    <dataValidation allowBlank="1" showInputMessage="1" showErrorMessage="1" promptTitle="Body" prompt="Alpha-numeric string describing the type of luminaire body (housing structure)" sqref="C50:H50" xr:uid="{2EC54DEB-1961-44C1-8523-D871556D2B9D}"/>
    <dataValidation allowBlank="1" showInputMessage="1" showErrorMessage="1" promptTitle="Diffuser" prompt="Alpha-numeric string describing the type of transparent optical diffuser part used to control light by refraction" sqref="C52:H52" xr:uid="{4A80B638-09DD-48F1-B632-E06496543FAE}"/>
  </dataValidations>
  <hyperlinks>
    <hyperlink ref="A86" r:id="rId1" display="https://docs.google.com/document/d/1rvWl0W2nmCohaaHXG1P-uX5cDKHv_vD9zfTV5A6qM7A/edit?usp=sharing" xr:uid="{5C9E2240-CFC6-47BA-BF0C-77C24486FE2C}"/>
    <hyperlink ref="A88" r:id="rId2" location="gid=0" display="https://docs.google.com/spreadsheets/d/1q2TW0GlLlK7yH3k5TSsWGmXyL94KPI9VUWWv9vid63A/edit - gid=0" xr:uid="{11E098B3-52E2-4CC7-A07B-881FE0325113}"/>
  </hyperlinks>
  <pageMargins left="0.7" right="0.7" top="0.75" bottom="0.75" header="0.3" footer="0.3"/>
  <pageSetup orientation="landscape" r:id="rId3"/>
  <drawing r:id="rId4"/>
  <extLst>
    <ext xmlns:x14="http://schemas.microsoft.com/office/spreadsheetml/2009/9/main" uri="{CCE6A557-97BC-4b89-ADB6-D9C93CAAB3DF}">
      <x14:dataValidations xmlns:xm="http://schemas.microsoft.com/office/excel/2006/main" xWindow="513" yWindow="411" count="1">
        <x14:dataValidation type="list" allowBlank="1" showInputMessage="1" showErrorMessage="1" error="Please select a class from the list" promptTitle="Luminaire class" prompt="Code used to indicate protection luminaire provides against electric shock (Class 0, I, II, or III) based on isolation" xr:uid="{85173ABB-B5DE-4F47-AA55-C1020D06F77D}">
          <x14:formula1>
            <xm:f>master_list_menus!$O$12:$O$15</xm:f>
          </x14:formula1>
          <xm:sqref>C54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9FD4-1054-41A3-8933-44174D1E4CC3}">
  <sheetPr codeName="Sheet9">
    <tabColor rgb="FFFFABAB"/>
  </sheetPr>
  <dimension ref="A1:BT238"/>
  <sheetViews>
    <sheetView showGridLines="0" zoomScaleNormal="100" workbookViewId="0">
      <pane xSplit="4" ySplit="13" topLeftCell="E14" activePane="bottomRight" state="frozen"/>
      <selection sqref="A1:F1"/>
      <selection pane="topRight" sqref="A1:F1"/>
      <selection pane="bottomLeft" sqref="A1:F1"/>
      <selection pane="bottomRight"/>
    </sheetView>
  </sheetViews>
  <sheetFormatPr defaultRowHeight="14.4" outlineLevelCol="2"/>
  <cols>
    <col min="1" max="1" width="5.44140625" style="99" customWidth="1"/>
    <col min="2" max="2" width="11.44140625" style="99" customWidth="1"/>
    <col min="3" max="3" width="42.5546875" customWidth="1"/>
    <col min="4" max="4" width="37" style="312" customWidth="1" outlineLevel="2"/>
    <col min="5" max="5" width="28.77734375" customWidth="1"/>
    <col min="6" max="6" width="10.5546875" customWidth="1"/>
    <col min="7" max="7" width="10.5546875" bestFit="1" customWidth="1"/>
    <col min="8" max="8" width="11.77734375" customWidth="1"/>
    <col min="9" max="9" width="15.44140625" customWidth="1"/>
    <col min="10" max="10" width="13.5546875" customWidth="1"/>
    <col min="11" max="12" width="10.5546875" customWidth="1"/>
    <col min="13" max="13" width="10.44140625" customWidth="1"/>
    <col min="14" max="14" width="15.44140625" customWidth="1"/>
    <col min="16" max="17" width="10.44140625" customWidth="1"/>
    <col min="18" max="18" width="12.44140625" customWidth="1"/>
    <col min="19" max="19" width="36.5546875" customWidth="1"/>
    <col min="20" max="22" width="10.5546875" customWidth="1"/>
    <col min="24" max="24" width="10.77734375" customWidth="1"/>
    <col min="28" max="28" width="7.44140625" bestFit="1" customWidth="1"/>
    <col min="29" max="29" width="10.5546875" customWidth="1" outlineLevel="1"/>
    <col min="30" max="30" width="22.21875" customWidth="1" outlineLevel="1"/>
    <col min="31" max="32" width="10.5546875" customWidth="1" outlineLevel="1"/>
    <col min="33" max="38" width="8.5546875" customWidth="1" outlineLevel="1"/>
    <col min="39" max="39" width="9.44140625" customWidth="1" outlineLevel="1"/>
    <col min="40" max="40" width="10.5546875" customWidth="1" outlineLevel="1"/>
    <col min="41" max="41" width="19.77734375" customWidth="1" outlineLevel="1"/>
    <col min="42" max="43" width="10.5546875" customWidth="1" outlineLevel="1"/>
    <col min="44" max="50" width="8.5546875" customWidth="1" outlineLevel="1"/>
    <col min="51" max="51" width="10.5546875" customWidth="1" outlineLevel="1"/>
    <col min="52" max="52" width="20.77734375" customWidth="1" outlineLevel="1"/>
    <col min="53" max="54" width="10.5546875" customWidth="1" outlineLevel="1"/>
    <col min="55" max="60" width="8.5546875" customWidth="1" outlineLevel="1"/>
    <col min="61" max="61" width="7.44140625" bestFit="1" customWidth="1" outlineLevel="1"/>
    <col min="62" max="62" width="29" customWidth="1"/>
    <col min="63" max="63" width="49.44140625" customWidth="1"/>
    <col min="69" max="69" width="2.44140625" customWidth="1"/>
    <col min="70" max="70" width="15.77734375" style="10" customWidth="1"/>
    <col min="71" max="71" width="8.5546875" style="10"/>
    <col min="72" max="72" width="8.5546875" style="315"/>
  </cols>
  <sheetData>
    <row r="1" spans="1:72" s="351" customFormat="1" ht="35.85" customHeight="1" thickTop="1" thickBot="1">
      <c r="A1" s="351" t="s">
        <v>8515</v>
      </c>
      <c r="BJ1" s="387"/>
      <c r="BK1" s="387"/>
      <c r="BR1" s="454"/>
      <c r="BS1" s="454"/>
      <c r="BT1" s="471"/>
    </row>
    <row r="2" spans="1:72" ht="15" thickTop="1">
      <c r="A2" s="826" t="s">
        <v>8516</v>
      </c>
      <c r="B2" s="826"/>
      <c r="C2" s="826"/>
      <c r="D2" s="826"/>
      <c r="E2" s="826"/>
      <c r="F2" s="826"/>
      <c r="G2" s="826"/>
      <c r="H2" s="826"/>
      <c r="I2" s="826"/>
      <c r="J2" s="826"/>
      <c r="K2" s="826"/>
      <c r="L2" s="826"/>
      <c r="M2" s="826"/>
      <c r="N2" s="826"/>
      <c r="O2" s="826"/>
      <c r="P2" s="312"/>
      <c r="Q2" s="312"/>
      <c r="R2" s="312"/>
      <c r="S2" s="312"/>
      <c r="T2" s="312"/>
      <c r="U2" s="312"/>
      <c r="V2" s="312"/>
      <c r="W2" s="312"/>
      <c r="X2" s="312"/>
      <c r="Y2" s="312"/>
      <c r="Z2" s="312"/>
      <c r="AA2" s="312"/>
      <c r="AB2" s="312" t="s">
        <v>8517</v>
      </c>
      <c r="AC2" s="312"/>
      <c r="AD2" s="312"/>
      <c r="AE2" s="312"/>
      <c r="AF2" s="312"/>
      <c r="AG2" s="312"/>
      <c r="AH2" s="312"/>
      <c r="AI2" s="312"/>
      <c r="AJ2" s="312"/>
      <c r="AK2" s="312"/>
      <c r="AL2" s="312"/>
      <c r="AM2" s="312"/>
      <c r="AN2" s="312"/>
      <c r="AO2" s="312"/>
      <c r="AP2" s="312"/>
      <c r="AQ2" s="312"/>
      <c r="AR2" s="312"/>
      <c r="AS2" s="312"/>
      <c r="AT2" s="312"/>
      <c r="AU2" s="312"/>
      <c r="AV2" s="312"/>
      <c r="AW2" s="312"/>
      <c r="AX2" s="312"/>
      <c r="AY2" s="312"/>
      <c r="AZ2" s="312"/>
      <c r="BA2" s="312"/>
      <c r="BB2" s="312"/>
      <c r="BC2" s="312"/>
      <c r="BD2" s="312"/>
      <c r="BE2" s="312"/>
      <c r="BF2" s="312"/>
      <c r="BG2" s="312"/>
      <c r="BH2" s="312"/>
      <c r="BI2" s="312"/>
      <c r="BJ2" s="822" t="s">
        <v>8518</v>
      </c>
      <c r="BK2" s="823"/>
      <c r="BL2" s="312"/>
      <c r="BM2" s="312"/>
      <c r="BN2" s="312"/>
      <c r="BO2" s="312"/>
      <c r="BP2" s="312"/>
      <c r="BQ2" s="312"/>
    </row>
    <row r="3" spans="1:72" ht="18.600000000000001" thickBot="1">
      <c r="A3" s="826"/>
      <c r="B3" s="826"/>
      <c r="C3" s="826"/>
      <c r="D3" s="826"/>
      <c r="E3" s="826"/>
      <c r="F3" s="826"/>
      <c r="G3" s="826"/>
      <c r="H3" s="826"/>
      <c r="I3" s="826"/>
      <c r="J3" s="826"/>
      <c r="K3" s="826"/>
      <c r="L3" s="826"/>
      <c r="M3" s="826"/>
      <c r="N3" s="826"/>
      <c r="O3" s="826"/>
      <c r="P3" s="312"/>
      <c r="Q3" s="202"/>
      <c r="R3" s="312"/>
      <c r="S3" s="312"/>
      <c r="T3" s="312"/>
      <c r="U3" s="312"/>
      <c r="V3" s="312"/>
      <c r="W3" s="312"/>
      <c r="X3" s="312"/>
      <c r="Y3" s="312"/>
      <c r="Z3" s="312"/>
      <c r="AA3" s="312"/>
      <c r="AB3" s="312" t="s">
        <v>8519</v>
      </c>
      <c r="AC3" s="312"/>
      <c r="AD3" s="312"/>
      <c r="AE3" s="312"/>
      <c r="AF3" s="312"/>
      <c r="AG3" s="312"/>
      <c r="AH3" s="312"/>
      <c r="AI3" s="312"/>
      <c r="AJ3" s="312"/>
      <c r="AK3" s="312"/>
      <c r="AL3" s="312"/>
      <c r="AM3" s="312"/>
      <c r="AN3" s="312"/>
      <c r="AO3" s="312"/>
      <c r="AP3" s="312"/>
      <c r="AQ3" s="312"/>
      <c r="AR3" s="312"/>
      <c r="AS3" s="312"/>
      <c r="AT3" s="312"/>
      <c r="AU3" s="312"/>
      <c r="AV3" s="312"/>
      <c r="AW3" s="312"/>
      <c r="AX3" s="312"/>
      <c r="AY3" s="312"/>
      <c r="AZ3" s="312"/>
      <c r="BA3" s="312"/>
      <c r="BB3" s="312"/>
      <c r="BC3" s="312"/>
      <c r="BD3" s="312"/>
      <c r="BE3" s="312"/>
      <c r="BF3" s="312"/>
      <c r="BG3" s="312"/>
      <c r="BH3" s="312"/>
      <c r="BI3" s="312"/>
      <c r="BJ3" s="824"/>
      <c r="BK3" s="825"/>
      <c r="BL3" s="312"/>
      <c r="BM3" s="312"/>
      <c r="BN3" s="312"/>
      <c r="BO3" s="312"/>
      <c r="BP3" s="312"/>
      <c r="BQ3" s="312"/>
    </row>
    <row r="4" spans="1:72">
      <c r="A4" s="314"/>
      <c r="B4" s="314"/>
      <c r="C4" s="12" t="s">
        <v>8520</v>
      </c>
      <c r="D4" s="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312"/>
      <c r="AJ4" s="312"/>
      <c r="AK4" s="312"/>
      <c r="AL4" s="312"/>
      <c r="AM4" s="312"/>
      <c r="AN4" s="312"/>
      <c r="AO4" s="312"/>
      <c r="AP4" s="312"/>
      <c r="AQ4" s="312"/>
      <c r="AR4" s="312"/>
      <c r="AS4" s="312"/>
      <c r="AT4" s="312"/>
      <c r="AU4" s="312"/>
      <c r="AV4" s="312"/>
      <c r="AW4" s="312"/>
      <c r="AX4" s="312"/>
      <c r="AY4" s="312"/>
      <c r="AZ4" s="312"/>
      <c r="BA4" s="312"/>
      <c r="BB4" s="312"/>
      <c r="BC4" s="312"/>
      <c r="BD4" s="312"/>
      <c r="BE4" s="312"/>
      <c r="BF4" s="312"/>
      <c r="BG4" s="312"/>
      <c r="BH4" s="312"/>
      <c r="BI4" s="312"/>
      <c r="BJ4" s="312"/>
      <c r="BK4" s="312"/>
      <c r="BL4" s="312"/>
      <c r="BM4" s="312"/>
      <c r="BN4" s="312"/>
      <c r="BO4" s="312"/>
      <c r="BP4" s="312"/>
      <c r="BQ4" s="312"/>
    </row>
    <row r="5" spans="1:72" ht="14.1" customHeight="1">
      <c r="A5" s="314"/>
      <c r="B5" s="314"/>
      <c r="C5" s="312" t="s">
        <v>10914</v>
      </c>
      <c r="E5" s="485">
        <f>GEN_EPD!$C$72</f>
        <v>0</v>
      </c>
      <c r="F5" s="312" t="str">
        <f>GEN_EPD!$D$72</f>
        <v>kg per unit product, a.k.a., per product item</v>
      </c>
      <c r="G5" s="119"/>
      <c r="H5" s="312"/>
      <c r="I5" s="312"/>
      <c r="J5" s="836" t="s">
        <v>8521</v>
      </c>
      <c r="K5" s="836"/>
      <c r="L5" s="836"/>
      <c r="M5" s="836"/>
      <c r="N5" s="836"/>
      <c r="O5" s="836"/>
      <c r="P5" s="836"/>
      <c r="Q5" s="836"/>
      <c r="R5" s="836"/>
      <c r="S5" s="836"/>
      <c r="T5" s="115"/>
      <c r="U5" s="115"/>
      <c r="V5" s="115"/>
      <c r="W5" s="115"/>
      <c r="X5" s="115"/>
      <c r="Y5" s="115"/>
      <c r="Z5" s="312"/>
      <c r="AA5" s="312"/>
      <c r="AB5" s="312"/>
      <c r="AC5" s="312"/>
      <c r="AD5" s="115"/>
      <c r="AE5" s="115"/>
      <c r="AF5" s="115"/>
      <c r="AG5" s="115"/>
      <c r="AH5" s="115"/>
      <c r="AI5" s="115"/>
      <c r="AJ5" s="115"/>
      <c r="AK5" s="312"/>
      <c r="AL5" s="312"/>
      <c r="AM5" s="312"/>
      <c r="AN5" s="312"/>
      <c r="AO5" s="115"/>
      <c r="AP5" s="115"/>
      <c r="AQ5" s="115"/>
      <c r="AR5" s="115"/>
      <c r="AS5" s="115"/>
      <c r="AT5" s="115"/>
      <c r="AU5" s="115"/>
      <c r="AV5" s="312"/>
      <c r="AW5" s="312"/>
      <c r="AX5" s="312"/>
      <c r="AY5" s="312"/>
      <c r="AZ5" s="115"/>
      <c r="BA5" s="115"/>
      <c r="BB5" s="115"/>
      <c r="BC5" s="115"/>
      <c r="BD5" s="115"/>
      <c r="BE5" s="115"/>
      <c r="BF5" s="115"/>
      <c r="BG5" s="312"/>
      <c r="BH5" s="312"/>
      <c r="BI5" s="312"/>
      <c r="BJ5" s="312"/>
      <c r="BK5" s="312"/>
      <c r="BL5" s="312"/>
      <c r="BM5" s="312"/>
      <c r="BN5" s="312"/>
      <c r="BO5" s="312"/>
      <c r="BP5" s="312"/>
      <c r="BQ5" s="312"/>
    </row>
    <row r="6" spans="1:72" ht="24" customHeight="1">
      <c r="A6" s="314"/>
      <c r="B6" s="314"/>
      <c r="C6" s="312" t="s">
        <v>10915</v>
      </c>
      <c r="E6" s="486">
        <f>(YEAR(GEN_EPD!$F$16)-YEAR(GEN_EPD!$C$16))*12+(MONTH(GEN_EPD!$F$16)-MONTH(GEN_EPD!$C$16))</f>
        <v>0</v>
      </c>
      <c r="F6" s="312" t="s">
        <v>8522</v>
      </c>
      <c r="G6" s="312"/>
      <c r="H6" s="312"/>
      <c r="I6" s="312"/>
      <c r="J6" s="835" t="s">
        <v>8523</v>
      </c>
      <c r="K6" s="835"/>
      <c r="L6" s="835"/>
      <c r="M6" s="835"/>
      <c r="N6" s="835"/>
      <c r="O6" s="835"/>
      <c r="P6" s="835"/>
      <c r="Q6" s="835"/>
      <c r="R6" s="835"/>
      <c r="S6" s="835"/>
      <c r="T6" s="835"/>
      <c r="U6" s="835"/>
      <c r="V6" s="115"/>
      <c r="W6" s="115"/>
      <c r="X6" s="115"/>
      <c r="Y6" s="115"/>
      <c r="Z6" s="312"/>
      <c r="AA6" s="312"/>
      <c r="AB6" s="312"/>
      <c r="AC6" s="312"/>
      <c r="AD6" s="115"/>
      <c r="AE6" s="115"/>
      <c r="AF6" s="115"/>
      <c r="AG6" s="115"/>
      <c r="AH6" s="115"/>
      <c r="AI6" s="115"/>
      <c r="AJ6" s="115"/>
      <c r="AK6" s="312"/>
      <c r="AL6" s="312"/>
      <c r="AM6" s="312"/>
      <c r="AN6" s="312"/>
      <c r="AO6" s="115"/>
      <c r="AP6" s="115"/>
      <c r="AQ6" s="115"/>
      <c r="AR6" s="115"/>
      <c r="AS6" s="115"/>
      <c r="AT6" s="115"/>
      <c r="AU6" s="115"/>
      <c r="AV6" s="312"/>
      <c r="AW6" s="312"/>
      <c r="AX6" s="312"/>
      <c r="AY6" s="312"/>
      <c r="AZ6" s="115"/>
      <c r="BA6" s="115"/>
      <c r="BB6" s="115"/>
      <c r="BC6" s="115"/>
      <c r="BD6" s="115"/>
      <c r="BE6" s="115"/>
      <c r="BF6" s="115"/>
      <c r="BG6" s="312"/>
      <c r="BH6" s="312"/>
      <c r="BI6" s="312"/>
      <c r="BJ6" s="312"/>
      <c r="BK6" s="312"/>
      <c r="BL6" s="312"/>
      <c r="BM6" s="312"/>
      <c r="BN6" s="312"/>
      <c r="BO6" s="312"/>
      <c r="BP6" s="312"/>
      <c r="BQ6" s="312"/>
    </row>
    <row r="7" spans="1:72">
      <c r="A7" s="314"/>
      <c r="B7" s="314"/>
      <c r="C7" s="312"/>
      <c r="E7" s="312"/>
      <c r="F7" s="312"/>
      <c r="G7" s="312"/>
      <c r="H7" s="312"/>
      <c r="I7" s="312"/>
      <c r="J7" s="312"/>
      <c r="K7" s="628"/>
      <c r="L7" s="312" t="s">
        <v>8524</v>
      </c>
      <c r="M7" s="312"/>
      <c r="N7" s="312"/>
      <c r="O7" s="312"/>
      <c r="P7" s="312"/>
      <c r="Q7" s="312"/>
      <c r="R7" s="312"/>
      <c r="S7" s="312"/>
      <c r="T7" s="312"/>
      <c r="U7" s="628"/>
      <c r="V7" s="312" t="s">
        <v>8525</v>
      </c>
      <c r="W7" s="312"/>
      <c r="X7" s="312"/>
      <c r="Y7" s="312"/>
      <c r="Z7" s="312"/>
      <c r="AA7" s="312"/>
      <c r="AB7" s="312"/>
      <c r="AC7" s="312"/>
      <c r="AD7" s="312"/>
      <c r="AE7" s="312"/>
      <c r="AF7" s="312"/>
      <c r="AG7" s="312"/>
      <c r="AH7" s="312"/>
      <c r="AI7" s="312"/>
      <c r="AJ7" s="312"/>
      <c r="AK7" s="312"/>
      <c r="AL7" s="312"/>
      <c r="AM7" s="312"/>
      <c r="AN7" s="312"/>
      <c r="AO7" s="312"/>
      <c r="AP7" s="312"/>
      <c r="AQ7" s="312"/>
      <c r="AR7" s="312"/>
      <c r="AS7" s="312"/>
      <c r="AT7" s="312"/>
      <c r="AU7" s="312"/>
      <c r="AV7" s="312"/>
      <c r="AW7" s="312"/>
      <c r="AX7" s="312"/>
      <c r="AY7" s="312"/>
      <c r="AZ7" s="312"/>
      <c r="BA7" s="312"/>
      <c r="BB7" s="312"/>
      <c r="BC7" s="312"/>
      <c r="BD7" s="312"/>
      <c r="BE7" s="312"/>
      <c r="BF7" s="312"/>
      <c r="BG7" s="312"/>
      <c r="BH7" s="312"/>
      <c r="BI7" s="312"/>
      <c r="BJ7" s="312"/>
      <c r="BK7" s="312"/>
      <c r="BL7" s="312"/>
      <c r="BM7" s="312"/>
      <c r="BN7" s="312"/>
      <c r="BO7" s="312"/>
      <c r="BP7" s="312"/>
      <c r="BQ7" s="312"/>
    </row>
    <row r="8" spans="1:72" ht="28.8">
      <c r="A8" s="314"/>
      <c r="B8" s="314"/>
      <c r="C8" s="312" t="s">
        <v>10916</v>
      </c>
      <c r="E8" s="613" t="str">
        <f>IFERROR((GEN_EPD!$C$23)/($E$6/12),"Error in calculation; check EN_EPD tab cell C23")</f>
        <v>Error in calculation; check EN_EPD tab cell C23</v>
      </c>
      <c r="F8" s="312" t="s">
        <v>8526</v>
      </c>
      <c r="G8" s="312"/>
      <c r="H8" s="312"/>
      <c r="I8" s="312"/>
      <c r="J8" s="312"/>
      <c r="K8" s="628"/>
      <c r="L8" s="312" t="s">
        <v>8527</v>
      </c>
      <c r="M8" s="312"/>
      <c r="N8" s="312"/>
      <c r="O8" s="312"/>
      <c r="P8" s="312"/>
      <c r="Q8" s="312"/>
      <c r="R8" s="312"/>
      <c r="S8" s="312"/>
      <c r="T8" s="312"/>
      <c r="U8" s="629"/>
      <c r="V8" s="576" t="s">
        <v>8525</v>
      </c>
      <c r="W8" s="312"/>
      <c r="X8" s="312"/>
      <c r="Y8" s="312"/>
      <c r="Z8" s="312"/>
      <c r="AA8" s="312"/>
      <c r="AB8" s="312"/>
      <c r="AC8" s="312"/>
      <c r="AD8" s="312"/>
      <c r="AE8" s="312"/>
      <c r="AF8" s="312"/>
      <c r="AG8" s="312"/>
      <c r="AH8" s="312"/>
      <c r="AI8" s="312"/>
      <c r="AJ8" s="312"/>
      <c r="AK8" s="312"/>
      <c r="AL8" s="312"/>
      <c r="AM8" s="312"/>
      <c r="AN8" s="312"/>
      <c r="AO8" s="312"/>
      <c r="AP8" s="312"/>
      <c r="AQ8" s="312"/>
      <c r="AR8" s="312"/>
      <c r="AS8" s="312"/>
      <c r="AT8" s="312"/>
      <c r="AU8" s="312"/>
      <c r="AV8" s="312"/>
      <c r="AW8" s="312"/>
      <c r="AX8" s="312"/>
      <c r="AY8" s="312"/>
      <c r="AZ8" s="312"/>
      <c r="BA8" s="312"/>
      <c r="BB8" s="312"/>
      <c r="BC8" s="312"/>
      <c r="BD8" s="312"/>
      <c r="BE8" s="312"/>
      <c r="BF8" s="312"/>
      <c r="BG8" s="312"/>
      <c r="BH8" s="312"/>
      <c r="BI8" s="312"/>
      <c r="BJ8" s="312"/>
      <c r="BK8" s="312"/>
      <c r="BL8" s="312"/>
      <c r="BM8" s="312"/>
      <c r="BN8" s="312"/>
      <c r="BO8" s="312"/>
      <c r="BP8" s="312"/>
      <c r="BQ8" s="312"/>
    </row>
    <row r="9" spans="1:72">
      <c r="A9" s="314"/>
      <c r="B9" s="314"/>
      <c r="C9" s="312" t="s">
        <v>10916</v>
      </c>
      <c r="E9" s="423" t="str">
        <f>IFERROR(($E$5*GEN_EPD!$C$23)/($E$6/12),"")</f>
        <v/>
      </c>
      <c r="F9" s="312" t="s">
        <v>8528</v>
      </c>
      <c r="G9" s="312"/>
      <c r="H9" s="312"/>
      <c r="I9" s="312"/>
      <c r="J9" s="312"/>
      <c r="K9" s="628"/>
      <c r="L9" s="312" t="s">
        <v>8529</v>
      </c>
      <c r="M9" s="312"/>
      <c r="N9" s="312"/>
      <c r="O9" s="312"/>
      <c r="P9" s="312"/>
      <c r="Q9" s="312"/>
      <c r="R9" s="312"/>
      <c r="S9" s="312"/>
      <c r="T9" s="312"/>
      <c r="U9" s="629"/>
      <c r="V9" s="576" t="s">
        <v>8525</v>
      </c>
      <c r="W9" s="312"/>
      <c r="X9" s="312"/>
      <c r="Y9" s="312"/>
      <c r="Z9" s="312"/>
      <c r="AA9" s="312"/>
      <c r="AB9" s="312"/>
      <c r="AC9" s="312"/>
      <c r="AD9" s="312"/>
      <c r="AE9" s="312"/>
      <c r="AF9" s="312"/>
      <c r="AG9" s="312"/>
      <c r="AH9" s="312"/>
      <c r="AI9" s="312"/>
      <c r="AJ9" s="312"/>
      <c r="AK9" s="312"/>
      <c r="AL9" s="312"/>
      <c r="AM9" s="312"/>
      <c r="AN9" s="312"/>
      <c r="AO9" s="312"/>
      <c r="AP9" s="312"/>
      <c r="AQ9" s="312"/>
      <c r="AR9" s="312"/>
      <c r="AS9" s="312"/>
      <c r="AT9" s="312"/>
      <c r="AU9" s="312"/>
      <c r="AV9" s="312"/>
      <c r="AW9" s="312"/>
      <c r="AX9" s="312"/>
      <c r="AY9" s="312"/>
      <c r="AZ9" s="312"/>
      <c r="BA9" s="312"/>
      <c r="BB9" s="312"/>
      <c r="BC9" s="312"/>
      <c r="BD9" s="312"/>
      <c r="BE9" s="312"/>
      <c r="BF9" s="312"/>
      <c r="BG9" s="312"/>
      <c r="BH9" s="312"/>
      <c r="BI9" s="312"/>
      <c r="BJ9" s="312"/>
      <c r="BK9" s="312"/>
      <c r="BL9" s="312"/>
      <c r="BM9" s="312"/>
      <c r="BN9" s="312"/>
      <c r="BO9" s="312"/>
      <c r="BP9" s="312"/>
      <c r="BQ9" s="312"/>
    </row>
    <row r="10" spans="1:72" ht="15" thickBot="1">
      <c r="A10" s="314"/>
      <c r="B10" s="314"/>
      <c r="C10" s="312"/>
      <c r="E10" s="312"/>
      <c r="F10" s="312"/>
      <c r="G10" s="312"/>
      <c r="H10" s="312"/>
      <c r="I10" s="312"/>
      <c r="J10" s="312"/>
      <c r="K10" s="312"/>
      <c r="L10" s="312"/>
      <c r="M10" s="312"/>
      <c r="N10" s="312"/>
      <c r="O10" s="312"/>
      <c r="P10" s="312"/>
      <c r="Q10" s="312"/>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c r="AS10" s="312"/>
      <c r="AT10" s="312"/>
      <c r="AU10" s="312"/>
      <c r="AV10" s="312"/>
      <c r="AW10" s="312"/>
      <c r="AX10" s="312"/>
      <c r="AY10" s="312"/>
      <c r="AZ10" s="312"/>
      <c r="BA10" s="312"/>
      <c r="BB10" s="312"/>
      <c r="BC10" s="312"/>
      <c r="BD10" s="312"/>
      <c r="BE10" s="312"/>
      <c r="BF10" s="312"/>
      <c r="BG10" s="312"/>
      <c r="BH10" s="312"/>
      <c r="BI10" s="312"/>
      <c r="BJ10" s="312"/>
      <c r="BK10" s="312"/>
      <c r="BL10" s="312"/>
      <c r="BM10" s="312"/>
      <c r="BN10" s="312"/>
      <c r="BO10" s="312"/>
      <c r="BP10" s="312"/>
      <c r="BQ10" s="312"/>
    </row>
    <row r="11" spans="1:72" s="378" customFormat="1" ht="38.85" customHeight="1" thickTop="1" thickBot="1">
      <c r="A11" s="377"/>
      <c r="B11" s="848" t="s">
        <v>8530</v>
      </c>
      <c r="C11" s="849"/>
      <c r="D11" s="849"/>
      <c r="E11" s="849"/>
      <c r="F11" s="849"/>
      <c r="G11" s="849"/>
      <c r="H11" s="849"/>
      <c r="I11" s="849"/>
      <c r="J11" s="849"/>
      <c r="K11" s="849"/>
      <c r="L11" s="849"/>
      <c r="M11" s="849"/>
      <c r="N11" s="849"/>
      <c r="O11" s="849"/>
      <c r="P11" s="849"/>
      <c r="Q11" s="850"/>
      <c r="R11" s="851" t="s">
        <v>8531</v>
      </c>
      <c r="S11" s="852"/>
      <c r="T11" s="852"/>
      <c r="U11" s="852"/>
      <c r="V11" s="852"/>
      <c r="W11" s="852"/>
      <c r="X11" s="852"/>
      <c r="Y11" s="852"/>
      <c r="Z11" s="852"/>
      <c r="AA11" s="852"/>
      <c r="AB11" s="852"/>
      <c r="AC11" s="852"/>
      <c r="AD11" s="852"/>
      <c r="AE11" s="852"/>
      <c r="AF11" s="852"/>
      <c r="AG11" s="852"/>
      <c r="AH11" s="852"/>
      <c r="AI11" s="852"/>
      <c r="AJ11" s="852"/>
      <c r="AK11" s="852"/>
      <c r="AL11" s="852"/>
      <c r="AM11" s="852"/>
      <c r="AN11" s="852"/>
      <c r="AO11" s="852"/>
      <c r="AP11" s="852"/>
      <c r="AQ11" s="852"/>
      <c r="AR11" s="852"/>
      <c r="AS11" s="852"/>
      <c r="AT11" s="852"/>
      <c r="AU11" s="852"/>
      <c r="AV11" s="852"/>
      <c r="AW11" s="852"/>
      <c r="AX11" s="852"/>
      <c r="AY11" s="852"/>
      <c r="AZ11" s="852"/>
      <c r="BA11" s="852"/>
      <c r="BB11" s="852"/>
      <c r="BC11" s="852"/>
      <c r="BD11" s="852"/>
      <c r="BE11" s="853"/>
      <c r="BF11" s="853"/>
      <c r="BG11" s="853"/>
      <c r="BH11" s="853"/>
      <c r="BI11" s="854"/>
      <c r="BJ11" s="855" t="s">
        <v>8532</v>
      </c>
      <c r="BK11" s="855"/>
      <c r="BR11" s="467"/>
      <c r="BS11" s="467"/>
      <c r="BT11" s="472"/>
    </row>
    <row r="12" spans="1:72" ht="32.549999999999997" customHeight="1" thickBot="1">
      <c r="A12" s="355"/>
      <c r="B12" s="357"/>
      <c r="C12" s="829"/>
      <c r="D12" s="830"/>
      <c r="E12" s="831"/>
      <c r="F12" s="591"/>
      <c r="G12" s="591"/>
      <c r="H12" s="591"/>
      <c r="I12" s="590"/>
      <c r="J12" s="837" t="s">
        <v>8555</v>
      </c>
      <c r="K12" s="838"/>
      <c r="L12" s="838"/>
      <c r="M12" s="832" t="s">
        <v>8533</v>
      </c>
      <c r="N12" s="833"/>
      <c r="O12" s="833"/>
      <c r="P12" s="833"/>
      <c r="Q12" s="834"/>
      <c r="R12" s="839" t="s">
        <v>8534</v>
      </c>
      <c r="S12" s="840"/>
      <c r="T12" s="840"/>
      <c r="U12" s="840"/>
      <c r="V12" s="840"/>
      <c r="W12" s="841"/>
      <c r="X12" s="842" t="s">
        <v>8535</v>
      </c>
      <c r="Y12" s="843"/>
      <c r="Z12" s="843"/>
      <c r="AA12" s="843"/>
      <c r="AB12" s="844"/>
      <c r="AC12" s="860" t="s">
        <v>8536</v>
      </c>
      <c r="AD12" s="861"/>
      <c r="AE12" s="861"/>
      <c r="AF12" s="861"/>
      <c r="AG12" s="861"/>
      <c r="AH12" s="862"/>
      <c r="AI12" s="860" t="s">
        <v>8537</v>
      </c>
      <c r="AJ12" s="861"/>
      <c r="AK12" s="861"/>
      <c r="AL12" s="861"/>
      <c r="AM12" s="862"/>
      <c r="AN12" s="860" t="s">
        <v>8538</v>
      </c>
      <c r="AO12" s="861"/>
      <c r="AP12" s="861"/>
      <c r="AQ12" s="861"/>
      <c r="AR12" s="861"/>
      <c r="AS12" s="862"/>
      <c r="AT12" s="860" t="s">
        <v>8539</v>
      </c>
      <c r="AU12" s="861"/>
      <c r="AV12" s="861"/>
      <c r="AW12" s="861"/>
      <c r="AX12" s="862"/>
      <c r="AY12" s="860" t="s">
        <v>8540</v>
      </c>
      <c r="AZ12" s="861"/>
      <c r="BA12" s="861"/>
      <c r="BB12" s="861"/>
      <c r="BC12" s="861"/>
      <c r="BD12" s="863"/>
      <c r="BE12" s="845" t="s">
        <v>8541</v>
      </c>
      <c r="BF12" s="846"/>
      <c r="BG12" s="846"/>
      <c r="BH12" s="846"/>
      <c r="BI12" s="847"/>
      <c r="BJ12" s="856"/>
      <c r="BK12" s="856"/>
      <c r="BL12" s="312"/>
      <c r="BM12" s="857" t="s">
        <v>8542</v>
      </c>
      <c r="BN12" s="857"/>
      <c r="BO12" s="857"/>
      <c r="BP12" s="857"/>
      <c r="BQ12" s="312"/>
    </row>
    <row r="13" spans="1:72" ht="50.4" thickTop="1" thickBot="1">
      <c r="A13" s="385" t="s">
        <v>8543</v>
      </c>
      <c r="B13" s="356" t="s">
        <v>8544</v>
      </c>
      <c r="C13" s="361" t="s">
        <v>8545</v>
      </c>
      <c r="D13" s="411" t="s">
        <v>8546</v>
      </c>
      <c r="E13" s="358" t="s">
        <v>8547</v>
      </c>
      <c r="F13" s="359" t="s">
        <v>8548</v>
      </c>
      <c r="G13" s="359" t="s">
        <v>8549</v>
      </c>
      <c r="H13" s="359" t="s">
        <v>8550</v>
      </c>
      <c r="I13" s="362" t="s">
        <v>8551</v>
      </c>
      <c r="J13" s="588" t="s">
        <v>8552</v>
      </c>
      <c r="K13" s="589" t="s">
        <v>8553</v>
      </c>
      <c r="L13" s="360" t="s">
        <v>8554</v>
      </c>
      <c r="M13" s="827" t="s">
        <v>8555</v>
      </c>
      <c r="N13" s="828"/>
      <c r="O13" s="828" t="s">
        <v>8556</v>
      </c>
      <c r="P13" s="828"/>
      <c r="Q13" s="363" t="s">
        <v>8557</v>
      </c>
      <c r="R13" s="364" t="s">
        <v>8558</v>
      </c>
      <c r="S13" s="589" t="s">
        <v>8559</v>
      </c>
      <c r="T13" s="589" t="s">
        <v>8560</v>
      </c>
      <c r="U13" s="589" t="s">
        <v>8561</v>
      </c>
      <c r="V13" s="589" t="s">
        <v>8562</v>
      </c>
      <c r="W13" s="363" t="s">
        <v>8563</v>
      </c>
      <c r="X13" s="588" t="s">
        <v>8564</v>
      </c>
      <c r="Y13" s="589" t="s">
        <v>8565</v>
      </c>
      <c r="Z13" s="589" t="s">
        <v>8566</v>
      </c>
      <c r="AA13" s="589" t="s">
        <v>8565</v>
      </c>
      <c r="AB13" s="363" t="s">
        <v>8567</v>
      </c>
      <c r="AC13" s="364" t="s">
        <v>8568</v>
      </c>
      <c r="AD13" s="589" t="s">
        <v>8559</v>
      </c>
      <c r="AE13" s="589" t="s">
        <v>8560</v>
      </c>
      <c r="AF13" s="589" t="s">
        <v>8561</v>
      </c>
      <c r="AG13" s="589" t="s">
        <v>8562</v>
      </c>
      <c r="AH13" s="363" t="s">
        <v>8563</v>
      </c>
      <c r="AI13" s="588" t="s">
        <v>8564</v>
      </c>
      <c r="AJ13" s="589" t="s">
        <v>8565</v>
      </c>
      <c r="AK13" s="589" t="s">
        <v>8566</v>
      </c>
      <c r="AL13" s="589" t="s">
        <v>8565</v>
      </c>
      <c r="AM13" s="363" t="s">
        <v>8567</v>
      </c>
      <c r="AN13" s="364" t="s">
        <v>8569</v>
      </c>
      <c r="AO13" s="589" t="s">
        <v>8559</v>
      </c>
      <c r="AP13" s="589" t="s">
        <v>8560</v>
      </c>
      <c r="AQ13" s="589" t="s">
        <v>8561</v>
      </c>
      <c r="AR13" s="589" t="s">
        <v>8562</v>
      </c>
      <c r="AS13" s="363" t="s">
        <v>8563</v>
      </c>
      <c r="AT13" s="588" t="s">
        <v>8564</v>
      </c>
      <c r="AU13" s="589" t="s">
        <v>8565</v>
      </c>
      <c r="AV13" s="589" t="s">
        <v>8566</v>
      </c>
      <c r="AW13" s="589" t="s">
        <v>8565</v>
      </c>
      <c r="AX13" s="363" t="s">
        <v>8567</v>
      </c>
      <c r="AY13" s="364" t="s">
        <v>8570</v>
      </c>
      <c r="AZ13" s="589" t="s">
        <v>8559</v>
      </c>
      <c r="BA13" s="589" t="s">
        <v>8560</v>
      </c>
      <c r="BB13" s="589" t="s">
        <v>8561</v>
      </c>
      <c r="BC13" s="589" t="s">
        <v>8562</v>
      </c>
      <c r="BD13" s="360" t="s">
        <v>8563</v>
      </c>
      <c r="BE13" s="588" t="s">
        <v>8564</v>
      </c>
      <c r="BF13" s="589" t="s">
        <v>8565</v>
      </c>
      <c r="BG13" s="589" t="s">
        <v>8566</v>
      </c>
      <c r="BH13" s="589" t="s">
        <v>8565</v>
      </c>
      <c r="BI13" s="363" t="s">
        <v>8567</v>
      </c>
      <c r="BJ13" s="865" t="s">
        <v>8571</v>
      </c>
      <c r="BK13" s="866"/>
      <c r="BL13" s="312"/>
      <c r="BM13" s="312" t="s">
        <v>8572</v>
      </c>
      <c r="BN13" s="312" t="s">
        <v>8573</v>
      </c>
      <c r="BO13" s="312" t="s">
        <v>8574</v>
      </c>
      <c r="BP13" s="312" t="s">
        <v>8575</v>
      </c>
      <c r="BQ13" s="312"/>
    </row>
    <row r="14" spans="1:72">
      <c r="A14" s="201">
        <v>1</v>
      </c>
      <c r="B14" s="630"/>
      <c r="C14" s="631" t="s">
        <v>10883</v>
      </c>
      <c r="D14" s="632"/>
      <c r="E14" s="633"/>
      <c r="F14" s="634"/>
      <c r="G14" s="474">
        <f t="shared" ref="G14:G32" si="0">E14*F14</f>
        <v>0</v>
      </c>
      <c r="H14" s="293" t="str">
        <f t="shared" ref="H14:H32" si="1">IFERROR(G14/$G$214,"")</f>
        <v/>
      </c>
      <c r="I14" s="647"/>
      <c r="J14" s="648"/>
      <c r="K14" s="649"/>
      <c r="L14" s="650"/>
      <c r="M14" s="648"/>
      <c r="N14" s="649"/>
      <c r="O14" s="649"/>
      <c r="P14" s="649"/>
      <c r="Q14" s="647"/>
      <c r="R14" s="651"/>
      <c r="S14" s="649"/>
      <c r="T14" s="292" t="e">
        <f>INDEX(ei_geo!$B:$B,MATCH(S14,ei_geo!$A:$A,0))</f>
        <v>#N/A</v>
      </c>
      <c r="U14" s="660"/>
      <c r="V14" s="660"/>
      <c r="W14" s="661"/>
      <c r="X14" s="662"/>
      <c r="Y14" s="663"/>
      <c r="Z14" s="663"/>
      <c r="AA14" s="663"/>
      <c r="AB14" s="664"/>
      <c r="AC14" s="665"/>
      <c r="AD14" s="649"/>
      <c r="AE14" s="292"/>
      <c r="AF14" s="660"/>
      <c r="AG14" s="660"/>
      <c r="AH14" s="661"/>
      <c r="AI14" s="678"/>
      <c r="AJ14" s="666"/>
      <c r="AK14" s="666"/>
      <c r="AL14" s="666"/>
      <c r="AM14" s="679"/>
      <c r="AN14" s="665"/>
      <c r="AO14" s="649"/>
      <c r="AP14" s="292"/>
      <c r="AQ14" s="660"/>
      <c r="AR14" s="660"/>
      <c r="AS14" s="661"/>
      <c r="AT14" s="682"/>
      <c r="AU14" s="683"/>
      <c r="AV14" s="683"/>
      <c r="AW14" s="683"/>
      <c r="AX14" s="684"/>
      <c r="AY14" s="665"/>
      <c r="AZ14" s="649"/>
      <c r="BA14" s="292"/>
      <c r="BB14" s="660"/>
      <c r="BC14" s="660"/>
      <c r="BD14" s="686"/>
      <c r="BE14" s="682"/>
      <c r="BF14" s="683"/>
      <c r="BG14" s="683"/>
      <c r="BH14" s="683"/>
      <c r="BI14" s="661"/>
      <c r="BJ14" s="687"/>
      <c r="BK14" s="688"/>
      <c r="BL14" s="312"/>
      <c r="BM14" s="577">
        <f>($G14/1000)*AB14</f>
        <v>0</v>
      </c>
      <c r="BN14" s="475">
        <f>($G14/1000)*AM14</f>
        <v>0</v>
      </c>
      <c r="BO14" s="475">
        <f>($G14/1000)*AX14</f>
        <v>0</v>
      </c>
      <c r="BP14" s="475">
        <f>($G14/1000)*BI14</f>
        <v>0</v>
      </c>
      <c r="BQ14" s="312"/>
      <c r="BR14" s="476">
        <f>IF($G14&gt;0,(AB14+AM14+AX14+BI14),0)</f>
        <v>0</v>
      </c>
      <c r="BS14" s="465">
        <f>IF($G14&gt;0,"check",IF($G14=0,0))</f>
        <v>0</v>
      </c>
      <c r="BT14" s="466" t="str">
        <f t="shared" ref="BT14:BT63" si="2">IF((AND(BS14="check", $BR14&gt;0)),"Pass",IF($BS14=0,"n.a.","CHECK FOR TRANSPORT ENTRY ERROR"))</f>
        <v>n.a.</v>
      </c>
    </row>
    <row r="15" spans="1:72">
      <c r="A15" s="201">
        <f>A14+1</f>
        <v>2</v>
      </c>
      <c r="B15" s="630"/>
      <c r="C15" s="631" t="s">
        <v>10884</v>
      </c>
      <c r="D15" s="632"/>
      <c r="E15" s="635"/>
      <c r="F15" s="636"/>
      <c r="G15" s="474">
        <f t="shared" si="0"/>
        <v>0</v>
      </c>
      <c r="H15" s="293" t="str">
        <f t="shared" si="1"/>
        <v/>
      </c>
      <c r="I15" s="652"/>
      <c r="J15" s="653"/>
      <c r="K15" s="643"/>
      <c r="L15" s="654"/>
      <c r="M15" s="653"/>
      <c r="N15" s="643"/>
      <c r="O15" s="643"/>
      <c r="P15" s="643"/>
      <c r="Q15" s="652"/>
      <c r="R15" s="655"/>
      <c r="S15" s="649"/>
      <c r="T15" s="292" t="e">
        <f>INDEX(ei_geo!$B:$B,MATCH(S15,ei_geo!$A:$A,0))</f>
        <v>#N/A</v>
      </c>
      <c r="U15" s="666"/>
      <c r="V15" s="666"/>
      <c r="W15" s="667"/>
      <c r="X15" s="668"/>
      <c r="Y15" s="663"/>
      <c r="Z15" s="669"/>
      <c r="AA15" s="669"/>
      <c r="AB15" s="670"/>
      <c r="AC15" s="671"/>
      <c r="AD15" s="649"/>
      <c r="AE15" s="292"/>
      <c r="AF15" s="666"/>
      <c r="AG15" s="666"/>
      <c r="AH15" s="667"/>
      <c r="AI15" s="631"/>
      <c r="AJ15" s="646"/>
      <c r="AK15" s="646"/>
      <c r="AL15" s="646"/>
      <c r="AM15" s="680"/>
      <c r="AN15" s="671"/>
      <c r="AO15" s="649"/>
      <c r="AP15" s="292"/>
      <c r="AQ15" s="666"/>
      <c r="AR15" s="666"/>
      <c r="AS15" s="667"/>
      <c r="AT15" s="631"/>
      <c r="AU15" s="646"/>
      <c r="AV15" s="646"/>
      <c r="AW15" s="646"/>
      <c r="AX15" s="680"/>
      <c r="AY15" s="671"/>
      <c r="AZ15" s="649"/>
      <c r="BA15" s="292"/>
      <c r="BB15" s="666"/>
      <c r="BC15" s="666"/>
      <c r="BD15" s="689"/>
      <c r="BE15" s="631"/>
      <c r="BF15" s="646"/>
      <c r="BG15" s="646"/>
      <c r="BH15" s="646"/>
      <c r="BI15" s="667"/>
      <c r="BJ15" s="678"/>
      <c r="BK15" s="690"/>
      <c r="BL15" s="312"/>
      <c r="BM15" s="577">
        <f t="shared" ref="BM15:BM32" si="3">($G15/1000)*AB15</f>
        <v>0</v>
      </c>
      <c r="BN15" s="475">
        <f t="shared" ref="BN15:BN65" si="4">($G15/1000)*AM15</f>
        <v>0</v>
      </c>
      <c r="BO15" s="475">
        <f t="shared" ref="BO15:BO78" si="5">($G15/1000)*AX15</f>
        <v>0</v>
      </c>
      <c r="BP15" s="475">
        <f t="shared" ref="BP15:BP78" si="6">($G15/1000)*BI15</f>
        <v>0</v>
      </c>
      <c r="BQ15" s="312"/>
      <c r="BR15" s="476">
        <f t="shared" ref="BR15:BR19" si="7">IF($G15&gt;0,(AB15+AM15+AX15+BI15),0)</f>
        <v>0</v>
      </c>
      <c r="BS15" s="465">
        <f t="shared" ref="BS15:BS46" si="8">IF($G15&gt;0,"check",IF($G15=0,0))</f>
        <v>0</v>
      </c>
      <c r="BT15" s="466" t="str">
        <f t="shared" si="2"/>
        <v>n.a.</v>
      </c>
    </row>
    <row r="16" spans="1:72">
      <c r="A16" s="201">
        <f t="shared" ref="A16:A79" si="9">A15+1</f>
        <v>3</v>
      </c>
      <c r="B16" s="630"/>
      <c r="C16" s="631" t="s">
        <v>10885</v>
      </c>
      <c r="D16" s="632"/>
      <c r="E16" s="637"/>
      <c r="F16" s="636"/>
      <c r="G16" s="474">
        <f t="shared" si="0"/>
        <v>0</v>
      </c>
      <c r="H16" s="293" t="str">
        <f t="shared" si="1"/>
        <v/>
      </c>
      <c r="I16" s="652"/>
      <c r="J16" s="653"/>
      <c r="K16" s="643"/>
      <c r="L16" s="654"/>
      <c r="M16" s="653"/>
      <c r="N16" s="643"/>
      <c r="O16" s="643"/>
      <c r="P16" s="643"/>
      <c r="Q16" s="652"/>
      <c r="R16" s="655"/>
      <c r="S16" s="649"/>
      <c r="T16" s="292" t="e">
        <f>INDEX(ei_geo!$B:$B,MATCH(S16,ei_geo!$A:$A,0))</f>
        <v>#N/A</v>
      </c>
      <c r="U16" s="666"/>
      <c r="V16" s="666"/>
      <c r="W16" s="667"/>
      <c r="X16" s="668"/>
      <c r="Y16" s="663"/>
      <c r="Z16" s="669"/>
      <c r="AA16" s="669"/>
      <c r="AB16" s="672"/>
      <c r="AC16" s="671"/>
      <c r="AD16" s="649"/>
      <c r="AE16" s="292"/>
      <c r="AF16" s="666"/>
      <c r="AG16" s="666"/>
      <c r="AH16" s="667"/>
      <c r="AI16" s="678"/>
      <c r="AJ16" s="666"/>
      <c r="AK16" s="666"/>
      <c r="AL16" s="666"/>
      <c r="AM16" s="679"/>
      <c r="AN16" s="671"/>
      <c r="AO16" s="649"/>
      <c r="AP16" s="292"/>
      <c r="AQ16" s="666"/>
      <c r="AR16" s="666"/>
      <c r="AS16" s="667"/>
      <c r="AT16" s="631"/>
      <c r="AU16" s="646"/>
      <c r="AV16" s="646"/>
      <c r="AW16" s="646"/>
      <c r="AX16" s="680"/>
      <c r="AY16" s="671"/>
      <c r="AZ16" s="649"/>
      <c r="BA16" s="292"/>
      <c r="BB16" s="666"/>
      <c r="BC16" s="666"/>
      <c r="BD16" s="689"/>
      <c r="BE16" s="631"/>
      <c r="BF16" s="646"/>
      <c r="BG16" s="646"/>
      <c r="BH16" s="646"/>
      <c r="BI16" s="667"/>
      <c r="BJ16" s="678"/>
      <c r="BK16" s="690"/>
      <c r="BL16" s="312"/>
      <c r="BM16" s="577">
        <f t="shared" si="3"/>
        <v>0</v>
      </c>
      <c r="BN16" s="475">
        <f t="shared" si="4"/>
        <v>0</v>
      </c>
      <c r="BO16" s="475">
        <f t="shared" si="5"/>
        <v>0</v>
      </c>
      <c r="BP16" s="475">
        <f t="shared" si="6"/>
        <v>0</v>
      </c>
      <c r="BQ16" s="312"/>
      <c r="BR16" s="476">
        <f t="shared" si="7"/>
        <v>0</v>
      </c>
      <c r="BS16" s="465">
        <f t="shared" si="8"/>
        <v>0</v>
      </c>
      <c r="BT16" s="466" t="str">
        <f t="shared" si="2"/>
        <v>n.a.</v>
      </c>
    </row>
    <row r="17" spans="1:72">
      <c r="A17" s="201">
        <f t="shared" si="9"/>
        <v>4</v>
      </c>
      <c r="B17" s="630"/>
      <c r="C17" s="631" t="s">
        <v>10886</v>
      </c>
      <c r="D17" s="632"/>
      <c r="E17" s="635"/>
      <c r="F17" s="636"/>
      <c r="G17" s="474">
        <f t="shared" si="0"/>
        <v>0</v>
      </c>
      <c r="H17" s="293" t="str">
        <f t="shared" si="1"/>
        <v/>
      </c>
      <c r="I17" s="652"/>
      <c r="J17" s="653"/>
      <c r="K17" s="643"/>
      <c r="L17" s="654"/>
      <c r="M17" s="653"/>
      <c r="N17" s="643"/>
      <c r="O17" s="643"/>
      <c r="P17" s="643"/>
      <c r="Q17" s="652"/>
      <c r="R17" s="655"/>
      <c r="S17" s="649"/>
      <c r="T17" s="292" t="e">
        <f>INDEX(ei_geo!$B:$B,MATCH(S17,ei_geo!$A:$A,0))</f>
        <v>#N/A</v>
      </c>
      <c r="U17" s="666"/>
      <c r="V17" s="666"/>
      <c r="W17" s="667"/>
      <c r="X17" s="668"/>
      <c r="Y17" s="663"/>
      <c r="Z17" s="669"/>
      <c r="AA17" s="669"/>
      <c r="AB17" s="670"/>
      <c r="AC17" s="671"/>
      <c r="AD17" s="649"/>
      <c r="AE17" s="292"/>
      <c r="AF17" s="666"/>
      <c r="AG17" s="666"/>
      <c r="AH17" s="667"/>
      <c r="AI17" s="631"/>
      <c r="AJ17" s="646"/>
      <c r="AK17" s="646"/>
      <c r="AL17" s="646"/>
      <c r="AM17" s="680"/>
      <c r="AN17" s="671"/>
      <c r="AO17" s="649"/>
      <c r="AP17" s="292"/>
      <c r="AQ17" s="666"/>
      <c r="AR17" s="666"/>
      <c r="AS17" s="667"/>
      <c r="AT17" s="631"/>
      <c r="AU17" s="646"/>
      <c r="AV17" s="646"/>
      <c r="AW17" s="646"/>
      <c r="AX17" s="680"/>
      <c r="AY17" s="671"/>
      <c r="AZ17" s="649"/>
      <c r="BA17" s="292"/>
      <c r="BB17" s="666"/>
      <c r="BC17" s="666"/>
      <c r="BD17" s="689"/>
      <c r="BE17" s="631"/>
      <c r="BF17" s="646"/>
      <c r="BG17" s="646"/>
      <c r="BH17" s="646"/>
      <c r="BI17" s="667"/>
      <c r="BJ17" s="678"/>
      <c r="BK17" s="690"/>
      <c r="BL17" s="312"/>
      <c r="BM17" s="577">
        <f t="shared" si="3"/>
        <v>0</v>
      </c>
      <c r="BN17" s="475">
        <f t="shared" si="4"/>
        <v>0</v>
      </c>
      <c r="BO17" s="475">
        <f t="shared" si="5"/>
        <v>0</v>
      </c>
      <c r="BP17" s="475">
        <f t="shared" si="6"/>
        <v>0</v>
      </c>
      <c r="BQ17" s="312"/>
      <c r="BR17" s="476">
        <f t="shared" si="7"/>
        <v>0</v>
      </c>
      <c r="BS17" s="465">
        <f t="shared" si="8"/>
        <v>0</v>
      </c>
      <c r="BT17" s="466" t="str">
        <f t="shared" si="2"/>
        <v>n.a.</v>
      </c>
    </row>
    <row r="18" spans="1:72">
      <c r="A18" s="201">
        <f t="shared" si="9"/>
        <v>5</v>
      </c>
      <c r="B18" s="630"/>
      <c r="C18" s="631" t="s">
        <v>10887</v>
      </c>
      <c r="D18" s="632"/>
      <c r="E18" s="637"/>
      <c r="F18" s="636"/>
      <c r="G18" s="474">
        <f t="shared" si="0"/>
        <v>0</v>
      </c>
      <c r="H18" s="293" t="str">
        <f t="shared" si="1"/>
        <v/>
      </c>
      <c r="I18" s="652"/>
      <c r="J18" s="653"/>
      <c r="K18" s="643"/>
      <c r="L18" s="654"/>
      <c r="M18" s="653"/>
      <c r="N18" s="643"/>
      <c r="O18" s="643"/>
      <c r="P18" s="643"/>
      <c r="Q18" s="652"/>
      <c r="R18" s="655"/>
      <c r="S18" s="649"/>
      <c r="T18" s="292" t="e">
        <f>INDEX(ei_geo!$B:$B,MATCH(S18,ei_geo!$A:$A,0))</f>
        <v>#N/A</v>
      </c>
      <c r="U18" s="666"/>
      <c r="V18" s="666"/>
      <c r="W18" s="667"/>
      <c r="X18" s="668"/>
      <c r="Y18" s="663"/>
      <c r="Z18" s="643"/>
      <c r="AA18" s="643"/>
      <c r="AB18" s="672"/>
      <c r="AC18" s="671"/>
      <c r="AD18" s="649"/>
      <c r="AE18" s="292"/>
      <c r="AF18" s="666"/>
      <c r="AG18" s="666"/>
      <c r="AH18" s="667"/>
      <c r="AI18" s="678"/>
      <c r="AJ18" s="666"/>
      <c r="AK18" s="666"/>
      <c r="AL18" s="666"/>
      <c r="AM18" s="667"/>
      <c r="AN18" s="671"/>
      <c r="AO18" s="649"/>
      <c r="AP18" s="292"/>
      <c r="AQ18" s="666"/>
      <c r="AR18" s="666"/>
      <c r="AS18" s="667"/>
      <c r="AT18" s="678"/>
      <c r="AU18" s="666"/>
      <c r="AV18" s="666"/>
      <c r="AW18" s="666"/>
      <c r="AX18" s="680"/>
      <c r="AY18" s="671"/>
      <c r="AZ18" s="649"/>
      <c r="BA18" s="292"/>
      <c r="BB18" s="666"/>
      <c r="BC18" s="666"/>
      <c r="BD18" s="689"/>
      <c r="BE18" s="678"/>
      <c r="BF18" s="666"/>
      <c r="BG18" s="666"/>
      <c r="BH18" s="666"/>
      <c r="BI18" s="667"/>
      <c r="BJ18" s="678"/>
      <c r="BK18" s="690"/>
      <c r="BL18" s="312"/>
      <c r="BM18" s="577">
        <f t="shared" si="3"/>
        <v>0</v>
      </c>
      <c r="BN18" s="475">
        <f t="shared" si="4"/>
        <v>0</v>
      </c>
      <c r="BO18" s="475">
        <f t="shared" si="5"/>
        <v>0</v>
      </c>
      <c r="BP18" s="475">
        <f t="shared" si="6"/>
        <v>0</v>
      </c>
      <c r="BQ18" s="312"/>
      <c r="BR18" s="476">
        <f t="shared" si="7"/>
        <v>0</v>
      </c>
      <c r="BS18" s="465">
        <f t="shared" si="8"/>
        <v>0</v>
      </c>
      <c r="BT18" s="466" t="str">
        <f t="shared" si="2"/>
        <v>n.a.</v>
      </c>
    </row>
    <row r="19" spans="1:72">
      <c r="A19" s="201">
        <f t="shared" si="9"/>
        <v>6</v>
      </c>
      <c r="B19" s="630"/>
      <c r="C19" s="631" t="s">
        <v>10888</v>
      </c>
      <c r="D19" s="632"/>
      <c r="E19" s="636"/>
      <c r="F19" s="636"/>
      <c r="G19" s="474">
        <f t="shared" si="0"/>
        <v>0</v>
      </c>
      <c r="H19" s="293" t="str">
        <f t="shared" si="1"/>
        <v/>
      </c>
      <c r="I19" s="652"/>
      <c r="J19" s="653"/>
      <c r="K19" s="643"/>
      <c r="L19" s="654"/>
      <c r="M19" s="653"/>
      <c r="N19" s="643"/>
      <c r="O19" s="643"/>
      <c r="P19" s="643"/>
      <c r="Q19" s="652"/>
      <c r="R19" s="655"/>
      <c r="S19" s="649"/>
      <c r="T19" s="292" t="e">
        <f>INDEX(ei_geo!$B:$B,MATCH(S19,ei_geo!$A:$A,0))</f>
        <v>#N/A</v>
      </c>
      <c r="U19" s="666"/>
      <c r="V19" s="666"/>
      <c r="W19" s="667"/>
      <c r="X19" s="668"/>
      <c r="Y19" s="663"/>
      <c r="Z19" s="643"/>
      <c r="AA19" s="643"/>
      <c r="AB19" s="673"/>
      <c r="AC19" s="671"/>
      <c r="AD19" s="649"/>
      <c r="AE19" s="292"/>
      <c r="AF19" s="666"/>
      <c r="AG19" s="666"/>
      <c r="AH19" s="667"/>
      <c r="AI19" s="678"/>
      <c r="AJ19" s="666"/>
      <c r="AK19" s="666"/>
      <c r="AL19" s="666"/>
      <c r="AM19" s="667"/>
      <c r="AN19" s="671"/>
      <c r="AO19" s="649"/>
      <c r="AP19" s="292"/>
      <c r="AQ19" s="666"/>
      <c r="AR19" s="666"/>
      <c r="AS19" s="667"/>
      <c r="AT19" s="678"/>
      <c r="AU19" s="666"/>
      <c r="AV19" s="666"/>
      <c r="AW19" s="666"/>
      <c r="AX19" s="680"/>
      <c r="AY19" s="671"/>
      <c r="AZ19" s="649"/>
      <c r="BA19" s="292"/>
      <c r="BB19" s="666"/>
      <c r="BC19" s="666"/>
      <c r="BD19" s="689"/>
      <c r="BE19" s="678"/>
      <c r="BF19" s="666"/>
      <c r="BG19" s="666"/>
      <c r="BH19" s="666"/>
      <c r="BI19" s="667"/>
      <c r="BJ19" s="678"/>
      <c r="BK19" s="690"/>
      <c r="BL19" s="312"/>
      <c r="BM19" s="577">
        <f t="shared" si="3"/>
        <v>0</v>
      </c>
      <c r="BN19" s="475">
        <f t="shared" si="4"/>
        <v>0</v>
      </c>
      <c r="BO19" s="475">
        <f t="shared" si="5"/>
        <v>0</v>
      </c>
      <c r="BP19" s="475">
        <f t="shared" si="6"/>
        <v>0</v>
      </c>
      <c r="BQ19" s="312"/>
      <c r="BR19" s="476">
        <f t="shared" si="7"/>
        <v>0</v>
      </c>
      <c r="BS19" s="465">
        <f t="shared" si="8"/>
        <v>0</v>
      </c>
      <c r="BT19" s="466" t="str">
        <f t="shared" si="2"/>
        <v>n.a.</v>
      </c>
    </row>
    <row r="20" spans="1:72">
      <c r="A20" s="201">
        <f t="shared" si="9"/>
        <v>7</v>
      </c>
      <c r="B20" s="630"/>
      <c r="C20" s="631" t="s">
        <v>10889</v>
      </c>
      <c r="D20" s="632"/>
      <c r="E20" s="635"/>
      <c r="F20" s="636"/>
      <c r="G20" s="474">
        <f t="shared" si="0"/>
        <v>0</v>
      </c>
      <c r="H20" s="293" t="str">
        <f t="shared" si="1"/>
        <v/>
      </c>
      <c r="I20" s="652"/>
      <c r="J20" s="653"/>
      <c r="K20" s="643"/>
      <c r="L20" s="654"/>
      <c r="M20" s="653"/>
      <c r="N20" s="643"/>
      <c r="O20" s="643"/>
      <c r="P20" s="643"/>
      <c r="Q20" s="652"/>
      <c r="R20" s="655"/>
      <c r="S20" s="649"/>
      <c r="T20" s="292" t="e">
        <f>INDEX(ei_geo!$B:$B,MATCH(S20,ei_geo!$A:$A,0))</f>
        <v>#N/A</v>
      </c>
      <c r="U20" s="666"/>
      <c r="V20" s="666"/>
      <c r="W20" s="667"/>
      <c r="X20" s="668"/>
      <c r="Y20" s="663"/>
      <c r="Z20" s="643"/>
      <c r="AA20" s="643"/>
      <c r="AB20" s="672"/>
      <c r="AC20" s="671"/>
      <c r="AD20" s="649"/>
      <c r="AE20" s="292"/>
      <c r="AF20" s="666"/>
      <c r="AG20" s="666"/>
      <c r="AH20" s="667"/>
      <c r="AI20" s="678"/>
      <c r="AJ20" s="666"/>
      <c r="AK20" s="666"/>
      <c r="AL20" s="666"/>
      <c r="AM20" s="667"/>
      <c r="AN20" s="671"/>
      <c r="AO20" s="649"/>
      <c r="AP20" s="292"/>
      <c r="AQ20" s="666"/>
      <c r="AR20" s="666"/>
      <c r="AS20" s="667"/>
      <c r="AT20" s="678"/>
      <c r="AU20" s="666"/>
      <c r="AV20" s="666"/>
      <c r="AW20" s="666"/>
      <c r="AX20" s="680"/>
      <c r="AY20" s="671"/>
      <c r="AZ20" s="649"/>
      <c r="BA20" s="292"/>
      <c r="BB20" s="666"/>
      <c r="BC20" s="666"/>
      <c r="BD20" s="689"/>
      <c r="BE20" s="678"/>
      <c r="BF20" s="666"/>
      <c r="BG20" s="666"/>
      <c r="BH20" s="666"/>
      <c r="BI20" s="667"/>
      <c r="BJ20" s="678"/>
      <c r="BK20" s="690"/>
      <c r="BL20" s="312"/>
      <c r="BM20" s="577">
        <f t="shared" si="3"/>
        <v>0</v>
      </c>
      <c r="BN20" s="475">
        <f t="shared" si="4"/>
        <v>0</v>
      </c>
      <c r="BO20" s="475">
        <f t="shared" si="5"/>
        <v>0</v>
      </c>
      <c r="BP20" s="475">
        <f t="shared" si="6"/>
        <v>0</v>
      </c>
      <c r="BQ20" s="312"/>
      <c r="BR20" s="476">
        <f>IF($G20&gt;0,(AB20+AM20+AX20+BI20),0)</f>
        <v>0</v>
      </c>
      <c r="BS20" s="465">
        <f>IF($G20&gt;0,"check",IF($G20=0,0))</f>
        <v>0</v>
      </c>
      <c r="BT20" s="466" t="str">
        <f t="shared" si="2"/>
        <v>n.a.</v>
      </c>
    </row>
    <row r="21" spans="1:72">
      <c r="A21" s="201">
        <f t="shared" si="9"/>
        <v>8</v>
      </c>
      <c r="B21" s="630"/>
      <c r="C21" s="631" t="s">
        <v>10890</v>
      </c>
      <c r="D21" s="632"/>
      <c r="E21" s="635"/>
      <c r="F21" s="636"/>
      <c r="G21" s="474">
        <f t="shared" si="0"/>
        <v>0</v>
      </c>
      <c r="H21" s="293" t="str">
        <f t="shared" si="1"/>
        <v/>
      </c>
      <c r="I21" s="652"/>
      <c r="J21" s="653"/>
      <c r="K21" s="643"/>
      <c r="L21" s="654"/>
      <c r="M21" s="653"/>
      <c r="N21" s="643"/>
      <c r="O21" s="643"/>
      <c r="P21" s="643"/>
      <c r="Q21" s="652"/>
      <c r="R21" s="655"/>
      <c r="S21" s="649"/>
      <c r="T21" s="292" t="e">
        <f>INDEX(ei_geo!$B:$B,MATCH(S21,ei_geo!$A:$A,0))</f>
        <v>#N/A</v>
      </c>
      <c r="U21" s="666"/>
      <c r="V21" s="666"/>
      <c r="W21" s="667"/>
      <c r="X21" s="668"/>
      <c r="Y21" s="663"/>
      <c r="Z21" s="643"/>
      <c r="AA21" s="643"/>
      <c r="AB21" s="673"/>
      <c r="AC21" s="671"/>
      <c r="AD21" s="649"/>
      <c r="AE21" s="292"/>
      <c r="AF21" s="666"/>
      <c r="AG21" s="666"/>
      <c r="AH21" s="667"/>
      <c r="AI21" s="678"/>
      <c r="AJ21" s="666"/>
      <c r="AK21" s="666"/>
      <c r="AL21" s="666"/>
      <c r="AM21" s="679"/>
      <c r="AN21" s="671"/>
      <c r="AO21" s="649"/>
      <c r="AP21" s="292"/>
      <c r="AQ21" s="666"/>
      <c r="AR21" s="666"/>
      <c r="AS21" s="667"/>
      <c r="AT21" s="678"/>
      <c r="AU21" s="666"/>
      <c r="AV21" s="666"/>
      <c r="AW21" s="666"/>
      <c r="AX21" s="680"/>
      <c r="AY21" s="671"/>
      <c r="AZ21" s="649"/>
      <c r="BA21" s="292"/>
      <c r="BB21" s="666"/>
      <c r="BC21" s="666"/>
      <c r="BD21" s="689"/>
      <c r="BE21" s="678"/>
      <c r="BF21" s="666"/>
      <c r="BG21" s="666"/>
      <c r="BH21" s="666"/>
      <c r="BI21" s="667"/>
      <c r="BJ21" s="678"/>
      <c r="BK21" s="690"/>
      <c r="BL21" s="312"/>
      <c r="BM21" s="577">
        <f t="shared" si="3"/>
        <v>0</v>
      </c>
      <c r="BN21" s="475">
        <f t="shared" si="4"/>
        <v>0</v>
      </c>
      <c r="BO21" s="475">
        <f t="shared" si="5"/>
        <v>0</v>
      </c>
      <c r="BP21" s="475">
        <f t="shared" si="6"/>
        <v>0</v>
      </c>
      <c r="BQ21" s="312"/>
      <c r="BR21" s="476">
        <f t="shared" ref="BR21:BR25" si="10">IF($G21&gt;0,(AB21+AM21+AX21+BI21),0)</f>
        <v>0</v>
      </c>
      <c r="BS21" s="465">
        <f t="shared" si="8"/>
        <v>0</v>
      </c>
      <c r="BT21" s="466" t="str">
        <f t="shared" si="2"/>
        <v>n.a.</v>
      </c>
    </row>
    <row r="22" spans="1:72">
      <c r="A22" s="201">
        <f t="shared" si="9"/>
        <v>9</v>
      </c>
      <c r="B22" s="630"/>
      <c r="C22" s="631" t="s">
        <v>10891</v>
      </c>
      <c r="D22" s="632"/>
      <c r="E22" s="636"/>
      <c r="F22" s="636"/>
      <c r="G22" s="474">
        <f t="shared" si="0"/>
        <v>0</v>
      </c>
      <c r="H22" s="293" t="str">
        <f t="shared" si="1"/>
        <v/>
      </c>
      <c r="I22" s="652"/>
      <c r="J22" s="653"/>
      <c r="K22" s="643"/>
      <c r="L22" s="654"/>
      <c r="M22" s="653"/>
      <c r="N22" s="643"/>
      <c r="O22" s="643"/>
      <c r="P22" s="643"/>
      <c r="Q22" s="652"/>
      <c r="R22" s="655"/>
      <c r="S22" s="649"/>
      <c r="T22" s="292" t="e">
        <f>INDEX(ei_geo!$B:$B,MATCH(S22,ei_geo!$A:$A,0))</f>
        <v>#N/A</v>
      </c>
      <c r="U22" s="666"/>
      <c r="V22" s="666"/>
      <c r="W22" s="667"/>
      <c r="X22" s="668"/>
      <c r="Y22" s="663"/>
      <c r="Z22" s="643"/>
      <c r="AA22" s="643"/>
      <c r="AB22" s="673"/>
      <c r="AC22" s="671"/>
      <c r="AD22" s="649"/>
      <c r="AE22" s="292"/>
      <c r="AF22" s="666"/>
      <c r="AG22" s="666"/>
      <c r="AH22" s="667"/>
      <c r="AI22" s="678"/>
      <c r="AJ22" s="666"/>
      <c r="AK22" s="666"/>
      <c r="AL22" s="666"/>
      <c r="AM22" s="667"/>
      <c r="AN22" s="671"/>
      <c r="AO22" s="649"/>
      <c r="AP22" s="292"/>
      <c r="AQ22" s="666"/>
      <c r="AR22" s="666"/>
      <c r="AS22" s="667"/>
      <c r="AT22" s="678"/>
      <c r="AU22" s="666"/>
      <c r="AV22" s="666"/>
      <c r="AW22" s="666"/>
      <c r="AX22" s="680"/>
      <c r="AY22" s="671"/>
      <c r="AZ22" s="649"/>
      <c r="BA22" s="292"/>
      <c r="BB22" s="666"/>
      <c r="BC22" s="666"/>
      <c r="BD22" s="689"/>
      <c r="BE22" s="678"/>
      <c r="BF22" s="666"/>
      <c r="BG22" s="666"/>
      <c r="BH22" s="666"/>
      <c r="BI22" s="667"/>
      <c r="BJ22" s="678"/>
      <c r="BK22" s="690"/>
      <c r="BL22" s="312"/>
      <c r="BM22" s="577">
        <f t="shared" si="3"/>
        <v>0</v>
      </c>
      <c r="BN22" s="475">
        <f t="shared" si="4"/>
        <v>0</v>
      </c>
      <c r="BO22" s="475">
        <f t="shared" si="5"/>
        <v>0</v>
      </c>
      <c r="BP22" s="475">
        <f t="shared" si="6"/>
        <v>0</v>
      </c>
      <c r="BQ22" s="312"/>
      <c r="BR22" s="476">
        <f t="shared" si="10"/>
        <v>0</v>
      </c>
      <c r="BS22" s="465">
        <f t="shared" si="8"/>
        <v>0</v>
      </c>
      <c r="BT22" s="466" t="str">
        <f t="shared" si="2"/>
        <v>n.a.</v>
      </c>
    </row>
    <row r="23" spans="1:72">
      <c r="A23" s="201">
        <f t="shared" si="9"/>
        <v>10</v>
      </c>
      <c r="B23" s="630"/>
      <c r="C23" s="631" t="s">
        <v>10892</v>
      </c>
      <c r="D23" s="632"/>
      <c r="E23" s="637"/>
      <c r="F23" s="636"/>
      <c r="G23" s="474">
        <f t="shared" si="0"/>
        <v>0</v>
      </c>
      <c r="H23" s="293" t="str">
        <f t="shared" si="1"/>
        <v/>
      </c>
      <c r="I23" s="652"/>
      <c r="J23" s="653"/>
      <c r="K23" s="643"/>
      <c r="L23" s="654"/>
      <c r="M23" s="653"/>
      <c r="N23" s="643"/>
      <c r="O23" s="643"/>
      <c r="P23" s="643"/>
      <c r="Q23" s="652"/>
      <c r="R23" s="655"/>
      <c r="S23" s="649"/>
      <c r="T23" s="292" t="e">
        <f>INDEX(ei_geo!$B:$B,MATCH(S23,ei_geo!$A:$A,0))</f>
        <v>#N/A</v>
      </c>
      <c r="U23" s="666"/>
      <c r="V23" s="666"/>
      <c r="W23" s="667"/>
      <c r="X23" s="668"/>
      <c r="Y23" s="663"/>
      <c r="Z23" s="643"/>
      <c r="AA23" s="643"/>
      <c r="AB23" s="652"/>
      <c r="AC23" s="671"/>
      <c r="AD23" s="649"/>
      <c r="AE23" s="292"/>
      <c r="AF23" s="666"/>
      <c r="AG23" s="666"/>
      <c r="AH23" s="667"/>
      <c r="AI23" s="678"/>
      <c r="AJ23" s="666"/>
      <c r="AK23" s="666"/>
      <c r="AL23" s="666"/>
      <c r="AM23" s="679"/>
      <c r="AN23" s="671"/>
      <c r="AO23" s="649"/>
      <c r="AP23" s="292"/>
      <c r="AQ23" s="666"/>
      <c r="AR23" s="666"/>
      <c r="AS23" s="667"/>
      <c r="AT23" s="678"/>
      <c r="AU23" s="666"/>
      <c r="AV23" s="666"/>
      <c r="AW23" s="666"/>
      <c r="AX23" s="680"/>
      <c r="AY23" s="671"/>
      <c r="AZ23" s="649"/>
      <c r="BA23" s="292"/>
      <c r="BB23" s="666"/>
      <c r="BC23" s="666"/>
      <c r="BD23" s="689"/>
      <c r="BE23" s="678"/>
      <c r="BF23" s="666"/>
      <c r="BG23" s="666"/>
      <c r="BH23" s="666"/>
      <c r="BI23" s="667"/>
      <c r="BJ23" s="678"/>
      <c r="BK23" s="690"/>
      <c r="BL23" s="312"/>
      <c r="BM23" s="577">
        <f t="shared" si="3"/>
        <v>0</v>
      </c>
      <c r="BN23" s="475">
        <f t="shared" si="4"/>
        <v>0</v>
      </c>
      <c r="BO23" s="475">
        <f t="shared" si="5"/>
        <v>0</v>
      </c>
      <c r="BP23" s="475">
        <f t="shared" si="6"/>
        <v>0</v>
      </c>
      <c r="BQ23" s="312"/>
      <c r="BR23" s="476">
        <f t="shared" si="10"/>
        <v>0</v>
      </c>
      <c r="BS23" s="465">
        <f t="shared" si="8"/>
        <v>0</v>
      </c>
      <c r="BT23" s="466" t="str">
        <f t="shared" si="2"/>
        <v>n.a.</v>
      </c>
    </row>
    <row r="24" spans="1:72">
      <c r="A24" s="201">
        <f t="shared" si="9"/>
        <v>11</v>
      </c>
      <c r="B24" s="630"/>
      <c r="C24" s="631" t="s">
        <v>10893</v>
      </c>
      <c r="D24" s="632"/>
      <c r="E24" s="636"/>
      <c r="F24" s="636"/>
      <c r="G24" s="474">
        <f t="shared" si="0"/>
        <v>0</v>
      </c>
      <c r="H24" s="293" t="str">
        <f t="shared" si="1"/>
        <v/>
      </c>
      <c r="I24" s="652"/>
      <c r="J24" s="653"/>
      <c r="K24" s="643"/>
      <c r="L24" s="654"/>
      <c r="M24" s="653"/>
      <c r="N24" s="643"/>
      <c r="O24" s="643"/>
      <c r="P24" s="643"/>
      <c r="Q24" s="652"/>
      <c r="R24" s="655"/>
      <c r="S24" s="649"/>
      <c r="T24" s="292" t="e">
        <f>INDEX(ei_geo!$B:$B,MATCH(S24,ei_geo!$A:$A,0))</f>
        <v>#N/A</v>
      </c>
      <c r="U24" s="666"/>
      <c r="V24" s="666"/>
      <c r="W24" s="667"/>
      <c r="X24" s="668"/>
      <c r="Y24" s="663"/>
      <c r="Z24" s="643"/>
      <c r="AA24" s="643"/>
      <c r="AB24" s="670"/>
      <c r="AC24" s="671"/>
      <c r="AD24" s="649"/>
      <c r="AE24" s="292"/>
      <c r="AF24" s="666"/>
      <c r="AG24" s="666"/>
      <c r="AH24" s="667"/>
      <c r="AI24" s="678"/>
      <c r="AJ24" s="666"/>
      <c r="AK24" s="666"/>
      <c r="AL24" s="666"/>
      <c r="AM24" s="667"/>
      <c r="AN24" s="671"/>
      <c r="AO24" s="649"/>
      <c r="AP24" s="292"/>
      <c r="AQ24" s="666"/>
      <c r="AR24" s="666"/>
      <c r="AS24" s="667"/>
      <c r="AT24" s="678"/>
      <c r="AU24" s="666"/>
      <c r="AV24" s="666"/>
      <c r="AW24" s="666"/>
      <c r="AX24" s="680"/>
      <c r="AY24" s="671"/>
      <c r="AZ24" s="649"/>
      <c r="BA24" s="292"/>
      <c r="BB24" s="666"/>
      <c r="BC24" s="666"/>
      <c r="BD24" s="689"/>
      <c r="BE24" s="678"/>
      <c r="BF24" s="666"/>
      <c r="BG24" s="666"/>
      <c r="BH24" s="666"/>
      <c r="BI24" s="667"/>
      <c r="BJ24" s="678"/>
      <c r="BK24" s="690"/>
      <c r="BL24" s="312"/>
      <c r="BM24" s="577">
        <f t="shared" si="3"/>
        <v>0</v>
      </c>
      <c r="BN24" s="475">
        <f t="shared" si="4"/>
        <v>0</v>
      </c>
      <c r="BO24" s="475">
        <f t="shared" si="5"/>
        <v>0</v>
      </c>
      <c r="BP24" s="475">
        <f t="shared" si="6"/>
        <v>0</v>
      </c>
      <c r="BQ24" s="312"/>
      <c r="BR24" s="476">
        <f t="shared" si="10"/>
        <v>0</v>
      </c>
      <c r="BS24" s="465">
        <f t="shared" si="8"/>
        <v>0</v>
      </c>
      <c r="BT24" s="466" t="str">
        <f t="shared" si="2"/>
        <v>n.a.</v>
      </c>
    </row>
    <row r="25" spans="1:72">
      <c r="A25" s="201">
        <f t="shared" si="9"/>
        <v>12</v>
      </c>
      <c r="B25" s="630"/>
      <c r="C25" s="631" t="s">
        <v>10894</v>
      </c>
      <c r="D25" s="632"/>
      <c r="E25" s="635"/>
      <c r="F25" s="636"/>
      <c r="G25" s="474">
        <f t="shared" si="0"/>
        <v>0</v>
      </c>
      <c r="H25" s="293" t="str">
        <f t="shared" si="1"/>
        <v/>
      </c>
      <c r="I25" s="652"/>
      <c r="J25" s="653"/>
      <c r="K25" s="643"/>
      <c r="L25" s="654"/>
      <c r="M25" s="653"/>
      <c r="N25" s="643"/>
      <c r="O25" s="643"/>
      <c r="P25" s="643"/>
      <c r="Q25" s="652"/>
      <c r="R25" s="655"/>
      <c r="S25" s="649"/>
      <c r="T25" s="292" t="e">
        <f>INDEX(ei_geo!$B:$B,MATCH(S25,ei_geo!$A:$A,0))</f>
        <v>#N/A</v>
      </c>
      <c r="U25" s="666"/>
      <c r="V25" s="666"/>
      <c r="W25" s="667"/>
      <c r="X25" s="668"/>
      <c r="Y25" s="663"/>
      <c r="Z25" s="643"/>
      <c r="AA25" s="643"/>
      <c r="AB25" s="674"/>
      <c r="AC25" s="671"/>
      <c r="AD25" s="649"/>
      <c r="AE25" s="292"/>
      <c r="AF25" s="666"/>
      <c r="AG25" s="666"/>
      <c r="AH25" s="667"/>
      <c r="AI25" s="678"/>
      <c r="AJ25" s="666"/>
      <c r="AK25" s="666"/>
      <c r="AL25" s="666"/>
      <c r="AM25" s="667"/>
      <c r="AN25" s="671"/>
      <c r="AO25" s="649"/>
      <c r="AP25" s="292"/>
      <c r="AQ25" s="666"/>
      <c r="AR25" s="666"/>
      <c r="AS25" s="667"/>
      <c r="AT25" s="678"/>
      <c r="AU25" s="666"/>
      <c r="AV25" s="666"/>
      <c r="AW25" s="666"/>
      <c r="AX25" s="680"/>
      <c r="AY25" s="671"/>
      <c r="AZ25" s="649"/>
      <c r="BA25" s="292"/>
      <c r="BB25" s="666"/>
      <c r="BC25" s="666"/>
      <c r="BD25" s="689"/>
      <c r="BE25" s="678"/>
      <c r="BF25" s="666"/>
      <c r="BG25" s="666"/>
      <c r="BH25" s="666"/>
      <c r="BI25" s="667"/>
      <c r="BJ25" s="678"/>
      <c r="BK25" s="690"/>
      <c r="BL25" s="312"/>
      <c r="BM25" s="577">
        <f t="shared" si="3"/>
        <v>0</v>
      </c>
      <c r="BN25" s="475">
        <f t="shared" si="4"/>
        <v>0</v>
      </c>
      <c r="BO25" s="475">
        <f t="shared" si="5"/>
        <v>0</v>
      </c>
      <c r="BP25" s="475">
        <f t="shared" si="6"/>
        <v>0</v>
      </c>
      <c r="BQ25" s="312"/>
      <c r="BR25" s="476">
        <f t="shared" si="10"/>
        <v>0</v>
      </c>
      <c r="BS25" s="465">
        <f t="shared" si="8"/>
        <v>0</v>
      </c>
      <c r="BT25" s="466" t="str">
        <f t="shared" si="2"/>
        <v>n.a.</v>
      </c>
    </row>
    <row r="26" spans="1:72">
      <c r="A26" s="201">
        <f t="shared" si="9"/>
        <v>13</v>
      </c>
      <c r="B26" s="630"/>
      <c r="C26" s="631" t="s">
        <v>10895</v>
      </c>
      <c r="D26" s="632"/>
      <c r="E26" s="635"/>
      <c r="F26" s="636"/>
      <c r="G26" s="474">
        <f t="shared" si="0"/>
        <v>0</v>
      </c>
      <c r="H26" s="293" t="str">
        <f t="shared" si="1"/>
        <v/>
      </c>
      <c r="I26" s="652"/>
      <c r="J26" s="653"/>
      <c r="K26" s="643"/>
      <c r="L26" s="654"/>
      <c r="M26" s="653"/>
      <c r="N26" s="643"/>
      <c r="O26" s="643"/>
      <c r="P26" s="643"/>
      <c r="Q26" s="652"/>
      <c r="R26" s="655"/>
      <c r="S26" s="649"/>
      <c r="T26" s="292" t="e">
        <f>INDEX(ei_geo!$B:$B,MATCH(S26,ei_geo!$A:$A,0))</f>
        <v>#N/A</v>
      </c>
      <c r="U26" s="666"/>
      <c r="V26" s="666"/>
      <c r="W26" s="667"/>
      <c r="X26" s="668"/>
      <c r="Y26" s="663"/>
      <c r="Z26" s="643"/>
      <c r="AA26" s="643"/>
      <c r="AB26" s="673"/>
      <c r="AC26" s="671"/>
      <c r="AD26" s="649"/>
      <c r="AE26" s="292"/>
      <c r="AF26" s="666"/>
      <c r="AG26" s="666"/>
      <c r="AH26" s="667"/>
      <c r="AI26" s="678"/>
      <c r="AJ26" s="666"/>
      <c r="AK26" s="666"/>
      <c r="AL26" s="666"/>
      <c r="AM26" s="667"/>
      <c r="AN26" s="671"/>
      <c r="AO26" s="649"/>
      <c r="AP26" s="292"/>
      <c r="AQ26" s="666"/>
      <c r="AR26" s="666"/>
      <c r="AS26" s="667"/>
      <c r="AT26" s="678"/>
      <c r="AU26" s="666"/>
      <c r="AV26" s="666"/>
      <c r="AW26" s="666"/>
      <c r="AX26" s="680"/>
      <c r="AY26" s="671"/>
      <c r="AZ26" s="649"/>
      <c r="BA26" s="292"/>
      <c r="BB26" s="666"/>
      <c r="BC26" s="666"/>
      <c r="BD26" s="689"/>
      <c r="BE26" s="678"/>
      <c r="BF26" s="666"/>
      <c r="BG26" s="666"/>
      <c r="BH26" s="666"/>
      <c r="BI26" s="667"/>
      <c r="BJ26" s="678"/>
      <c r="BK26" s="690"/>
      <c r="BL26" s="312"/>
      <c r="BM26" s="577">
        <f t="shared" si="3"/>
        <v>0</v>
      </c>
      <c r="BN26" s="475">
        <f t="shared" si="4"/>
        <v>0</v>
      </c>
      <c r="BO26" s="475">
        <f t="shared" si="5"/>
        <v>0</v>
      </c>
      <c r="BP26" s="475">
        <f t="shared" si="6"/>
        <v>0</v>
      </c>
      <c r="BQ26" s="312"/>
      <c r="BR26" s="476">
        <f>IF($G26&gt;0,(AB26+AM26+AX26+BI26),0)</f>
        <v>0</v>
      </c>
      <c r="BS26" s="465">
        <f>IF($G26&gt;0,"check",IF($G26=0,0))</f>
        <v>0</v>
      </c>
      <c r="BT26" s="466" t="str">
        <f t="shared" si="2"/>
        <v>n.a.</v>
      </c>
    </row>
    <row r="27" spans="1:72">
      <c r="A27" s="201">
        <f t="shared" si="9"/>
        <v>14</v>
      </c>
      <c r="B27" s="630"/>
      <c r="C27" s="631" t="s">
        <v>10896</v>
      </c>
      <c r="D27" s="632"/>
      <c r="E27" s="637"/>
      <c r="F27" s="636"/>
      <c r="G27" s="474">
        <f t="shared" si="0"/>
        <v>0</v>
      </c>
      <c r="H27" s="293" t="str">
        <f t="shared" si="1"/>
        <v/>
      </c>
      <c r="I27" s="652"/>
      <c r="J27" s="653"/>
      <c r="K27" s="643"/>
      <c r="L27" s="654"/>
      <c r="M27" s="653"/>
      <c r="N27" s="643"/>
      <c r="O27" s="643"/>
      <c r="P27" s="643"/>
      <c r="Q27" s="652"/>
      <c r="R27" s="655"/>
      <c r="S27" s="649"/>
      <c r="T27" s="292" t="e">
        <f>INDEX(ei_geo!$B:$B,MATCH(S27,ei_geo!$A:$A,0))</f>
        <v>#N/A</v>
      </c>
      <c r="U27" s="666"/>
      <c r="V27" s="666"/>
      <c r="W27" s="667"/>
      <c r="X27" s="668"/>
      <c r="Y27" s="663"/>
      <c r="Z27" s="643"/>
      <c r="AA27" s="643"/>
      <c r="AB27" s="670"/>
      <c r="AC27" s="671"/>
      <c r="AD27" s="649"/>
      <c r="AE27" s="292"/>
      <c r="AF27" s="666"/>
      <c r="AG27" s="666"/>
      <c r="AH27" s="667"/>
      <c r="AI27" s="678"/>
      <c r="AJ27" s="666"/>
      <c r="AK27" s="666"/>
      <c r="AL27" s="666"/>
      <c r="AM27" s="667"/>
      <c r="AN27" s="671"/>
      <c r="AO27" s="649"/>
      <c r="AP27" s="292"/>
      <c r="AQ27" s="666"/>
      <c r="AR27" s="666"/>
      <c r="AS27" s="667"/>
      <c r="AT27" s="678"/>
      <c r="AU27" s="666"/>
      <c r="AV27" s="666"/>
      <c r="AW27" s="666"/>
      <c r="AX27" s="680"/>
      <c r="AY27" s="671"/>
      <c r="AZ27" s="649"/>
      <c r="BA27" s="292"/>
      <c r="BB27" s="666"/>
      <c r="BC27" s="666"/>
      <c r="BD27" s="689"/>
      <c r="BE27" s="678"/>
      <c r="BF27" s="666"/>
      <c r="BG27" s="666"/>
      <c r="BH27" s="666"/>
      <c r="BI27" s="667"/>
      <c r="BJ27" s="678"/>
      <c r="BK27" s="690"/>
      <c r="BL27" s="312"/>
      <c r="BM27" s="577">
        <f t="shared" si="3"/>
        <v>0</v>
      </c>
      <c r="BN27" s="475">
        <f t="shared" si="4"/>
        <v>0</v>
      </c>
      <c r="BO27" s="475">
        <f t="shared" si="5"/>
        <v>0</v>
      </c>
      <c r="BP27" s="475">
        <f t="shared" si="6"/>
        <v>0</v>
      </c>
      <c r="BQ27" s="312"/>
      <c r="BR27" s="476">
        <f t="shared" ref="BR27:BR31" si="11">IF($G27&gt;0,(AB27+AM27+AX27+BI27),0)</f>
        <v>0</v>
      </c>
      <c r="BS27" s="465">
        <f t="shared" si="8"/>
        <v>0</v>
      </c>
      <c r="BT27" s="466" t="str">
        <f t="shared" si="2"/>
        <v>n.a.</v>
      </c>
    </row>
    <row r="28" spans="1:72">
      <c r="A28" s="201">
        <f t="shared" si="9"/>
        <v>15</v>
      </c>
      <c r="B28" s="630"/>
      <c r="C28" s="631" t="s">
        <v>10897</v>
      </c>
      <c r="D28" s="632"/>
      <c r="E28" s="638"/>
      <c r="F28" s="636"/>
      <c r="G28" s="474">
        <f t="shared" si="0"/>
        <v>0</v>
      </c>
      <c r="H28" s="293" t="str">
        <f t="shared" si="1"/>
        <v/>
      </c>
      <c r="I28" s="652"/>
      <c r="J28" s="653"/>
      <c r="K28" s="643"/>
      <c r="L28" s="654"/>
      <c r="M28" s="653"/>
      <c r="N28" s="643"/>
      <c r="O28" s="643"/>
      <c r="P28" s="643"/>
      <c r="Q28" s="652"/>
      <c r="R28" s="655"/>
      <c r="S28" s="649"/>
      <c r="T28" s="292" t="e">
        <f>INDEX(ei_geo!$B:$B,MATCH(S28,ei_geo!$A:$A,0))</f>
        <v>#N/A</v>
      </c>
      <c r="U28" s="666"/>
      <c r="V28" s="666"/>
      <c r="W28" s="667"/>
      <c r="X28" s="668"/>
      <c r="Y28" s="663"/>
      <c r="Z28" s="643"/>
      <c r="AA28" s="643"/>
      <c r="AB28" s="670"/>
      <c r="AC28" s="671"/>
      <c r="AD28" s="649"/>
      <c r="AE28" s="292"/>
      <c r="AF28" s="666"/>
      <c r="AG28" s="666"/>
      <c r="AH28" s="667"/>
      <c r="AI28" s="678"/>
      <c r="AJ28" s="666"/>
      <c r="AK28" s="666"/>
      <c r="AL28" s="666"/>
      <c r="AM28" s="667"/>
      <c r="AN28" s="671"/>
      <c r="AO28" s="649"/>
      <c r="AP28" s="292"/>
      <c r="AQ28" s="666"/>
      <c r="AR28" s="666"/>
      <c r="AS28" s="667"/>
      <c r="AT28" s="678"/>
      <c r="AU28" s="666"/>
      <c r="AV28" s="666"/>
      <c r="AW28" s="666"/>
      <c r="AX28" s="680"/>
      <c r="AY28" s="671"/>
      <c r="AZ28" s="649"/>
      <c r="BA28" s="292"/>
      <c r="BB28" s="666"/>
      <c r="BC28" s="666"/>
      <c r="BD28" s="689"/>
      <c r="BE28" s="678"/>
      <c r="BF28" s="666"/>
      <c r="BG28" s="666"/>
      <c r="BH28" s="666"/>
      <c r="BI28" s="667"/>
      <c r="BJ28" s="678"/>
      <c r="BK28" s="690"/>
      <c r="BL28" s="312"/>
      <c r="BM28" s="577">
        <f t="shared" si="3"/>
        <v>0</v>
      </c>
      <c r="BN28" s="475">
        <f t="shared" si="4"/>
        <v>0</v>
      </c>
      <c r="BO28" s="475">
        <f t="shared" si="5"/>
        <v>0</v>
      </c>
      <c r="BP28" s="475">
        <f t="shared" si="6"/>
        <v>0</v>
      </c>
      <c r="BQ28" s="312"/>
      <c r="BR28" s="476">
        <f t="shared" si="11"/>
        <v>0</v>
      </c>
      <c r="BS28" s="465">
        <f t="shared" si="8"/>
        <v>0</v>
      </c>
      <c r="BT28" s="466" t="str">
        <f t="shared" si="2"/>
        <v>n.a.</v>
      </c>
    </row>
    <row r="29" spans="1:72">
      <c r="A29" s="201">
        <f t="shared" si="9"/>
        <v>16</v>
      </c>
      <c r="B29" s="630"/>
      <c r="C29" s="631" t="s">
        <v>10898</v>
      </c>
      <c r="D29" s="632"/>
      <c r="E29" s="636"/>
      <c r="F29" s="636"/>
      <c r="G29" s="474">
        <f t="shared" si="0"/>
        <v>0</v>
      </c>
      <c r="H29" s="293" t="str">
        <f t="shared" si="1"/>
        <v/>
      </c>
      <c r="I29" s="652"/>
      <c r="J29" s="653"/>
      <c r="K29" s="643"/>
      <c r="L29" s="654"/>
      <c r="M29" s="653"/>
      <c r="N29" s="643"/>
      <c r="O29" s="643"/>
      <c r="P29" s="643"/>
      <c r="Q29" s="652"/>
      <c r="R29" s="655"/>
      <c r="S29" s="649"/>
      <c r="T29" s="292" t="e">
        <f>INDEX(ei_geo!$B:$B,MATCH(S29,ei_geo!$A:$A,0))</f>
        <v>#N/A</v>
      </c>
      <c r="U29" s="666"/>
      <c r="V29" s="666"/>
      <c r="W29" s="667"/>
      <c r="X29" s="668"/>
      <c r="Y29" s="663"/>
      <c r="Z29" s="643"/>
      <c r="AA29" s="643"/>
      <c r="AB29" s="652"/>
      <c r="AC29" s="671"/>
      <c r="AD29" s="649"/>
      <c r="AE29" s="292"/>
      <c r="AF29" s="666"/>
      <c r="AG29" s="666"/>
      <c r="AH29" s="667"/>
      <c r="AI29" s="678"/>
      <c r="AJ29" s="666"/>
      <c r="AK29" s="666"/>
      <c r="AL29" s="666"/>
      <c r="AM29" s="667"/>
      <c r="AN29" s="671"/>
      <c r="AO29" s="649"/>
      <c r="AP29" s="292"/>
      <c r="AQ29" s="666"/>
      <c r="AR29" s="666"/>
      <c r="AS29" s="667"/>
      <c r="AT29" s="678"/>
      <c r="AU29" s="666"/>
      <c r="AV29" s="666"/>
      <c r="AW29" s="666"/>
      <c r="AX29" s="680"/>
      <c r="AY29" s="671"/>
      <c r="AZ29" s="649"/>
      <c r="BA29" s="292"/>
      <c r="BB29" s="666"/>
      <c r="BC29" s="666"/>
      <c r="BD29" s="689"/>
      <c r="BE29" s="678"/>
      <c r="BF29" s="666"/>
      <c r="BG29" s="666"/>
      <c r="BH29" s="666"/>
      <c r="BI29" s="667"/>
      <c r="BJ29" s="678"/>
      <c r="BK29" s="690"/>
      <c r="BL29" s="312"/>
      <c r="BM29" s="577">
        <f t="shared" si="3"/>
        <v>0</v>
      </c>
      <c r="BN29" s="475">
        <f t="shared" si="4"/>
        <v>0</v>
      </c>
      <c r="BO29" s="475">
        <f t="shared" si="5"/>
        <v>0</v>
      </c>
      <c r="BP29" s="475">
        <f t="shared" si="6"/>
        <v>0</v>
      </c>
      <c r="BQ29" s="312"/>
      <c r="BR29" s="476">
        <f t="shared" si="11"/>
        <v>0</v>
      </c>
      <c r="BS29" s="465">
        <f t="shared" si="8"/>
        <v>0</v>
      </c>
      <c r="BT29" s="466" t="str">
        <f t="shared" si="2"/>
        <v>n.a.</v>
      </c>
    </row>
    <row r="30" spans="1:72">
      <c r="A30" s="201">
        <f t="shared" si="9"/>
        <v>17</v>
      </c>
      <c r="B30" s="630"/>
      <c r="C30" s="631" t="s">
        <v>10899</v>
      </c>
      <c r="D30" s="632"/>
      <c r="E30" s="636"/>
      <c r="F30" s="636"/>
      <c r="G30" s="474">
        <f t="shared" si="0"/>
        <v>0</v>
      </c>
      <c r="H30" s="293" t="str">
        <f t="shared" si="1"/>
        <v/>
      </c>
      <c r="I30" s="652"/>
      <c r="J30" s="653"/>
      <c r="K30" s="643"/>
      <c r="L30" s="654"/>
      <c r="M30" s="653"/>
      <c r="N30" s="643"/>
      <c r="O30" s="643"/>
      <c r="P30" s="643"/>
      <c r="Q30" s="652"/>
      <c r="R30" s="655"/>
      <c r="S30" s="649"/>
      <c r="T30" s="292" t="e">
        <f>INDEX(ei_geo!$B:$B,MATCH(S30,ei_geo!$A:$A,0))</f>
        <v>#N/A</v>
      </c>
      <c r="U30" s="666"/>
      <c r="V30" s="666"/>
      <c r="W30" s="667"/>
      <c r="X30" s="668"/>
      <c r="Y30" s="663"/>
      <c r="Z30" s="643"/>
      <c r="AA30" s="643"/>
      <c r="AB30" s="673"/>
      <c r="AC30" s="671"/>
      <c r="AD30" s="649"/>
      <c r="AE30" s="292"/>
      <c r="AF30" s="666"/>
      <c r="AG30" s="666"/>
      <c r="AH30" s="667"/>
      <c r="AI30" s="678"/>
      <c r="AJ30" s="666"/>
      <c r="AK30" s="666"/>
      <c r="AL30" s="666"/>
      <c r="AM30" s="667"/>
      <c r="AN30" s="671"/>
      <c r="AO30" s="649"/>
      <c r="AP30" s="292"/>
      <c r="AQ30" s="666"/>
      <c r="AR30" s="666"/>
      <c r="AS30" s="667"/>
      <c r="AT30" s="678"/>
      <c r="AU30" s="666"/>
      <c r="AV30" s="666"/>
      <c r="AW30" s="666"/>
      <c r="AX30" s="680"/>
      <c r="AY30" s="671"/>
      <c r="AZ30" s="649"/>
      <c r="BA30" s="292"/>
      <c r="BB30" s="666"/>
      <c r="BC30" s="666"/>
      <c r="BD30" s="689"/>
      <c r="BE30" s="678"/>
      <c r="BF30" s="666"/>
      <c r="BG30" s="666"/>
      <c r="BH30" s="666"/>
      <c r="BI30" s="667"/>
      <c r="BJ30" s="678"/>
      <c r="BK30" s="690"/>
      <c r="BL30" s="312"/>
      <c r="BM30" s="577">
        <f t="shared" si="3"/>
        <v>0</v>
      </c>
      <c r="BN30" s="475">
        <f t="shared" si="4"/>
        <v>0</v>
      </c>
      <c r="BO30" s="475">
        <f t="shared" si="5"/>
        <v>0</v>
      </c>
      <c r="BP30" s="475">
        <f t="shared" si="6"/>
        <v>0</v>
      </c>
      <c r="BQ30" s="312"/>
      <c r="BR30" s="476">
        <f t="shared" si="11"/>
        <v>0</v>
      </c>
      <c r="BS30" s="465">
        <f t="shared" si="8"/>
        <v>0</v>
      </c>
      <c r="BT30" s="466" t="str">
        <f t="shared" si="2"/>
        <v>n.a.</v>
      </c>
    </row>
    <row r="31" spans="1:72">
      <c r="A31" s="201">
        <f t="shared" si="9"/>
        <v>18</v>
      </c>
      <c r="B31" s="630"/>
      <c r="C31" s="631" t="s">
        <v>10900</v>
      </c>
      <c r="D31" s="632"/>
      <c r="E31" s="637"/>
      <c r="F31" s="636"/>
      <c r="G31" s="474">
        <f t="shared" si="0"/>
        <v>0</v>
      </c>
      <c r="H31" s="293" t="str">
        <f t="shared" si="1"/>
        <v/>
      </c>
      <c r="I31" s="652"/>
      <c r="J31" s="653"/>
      <c r="K31" s="643"/>
      <c r="L31" s="654"/>
      <c r="M31" s="653"/>
      <c r="N31" s="643"/>
      <c r="O31" s="643"/>
      <c r="P31" s="643"/>
      <c r="Q31" s="652"/>
      <c r="R31" s="655"/>
      <c r="S31" s="649"/>
      <c r="T31" s="292" t="e">
        <f>INDEX(ei_geo!$B:$B,MATCH(S31,ei_geo!$A:$A,0))</f>
        <v>#N/A</v>
      </c>
      <c r="U31" s="666"/>
      <c r="V31" s="666"/>
      <c r="W31" s="667"/>
      <c r="X31" s="668"/>
      <c r="Y31" s="663"/>
      <c r="Z31" s="643"/>
      <c r="AA31" s="643"/>
      <c r="AB31" s="673"/>
      <c r="AC31" s="671"/>
      <c r="AD31" s="649"/>
      <c r="AE31" s="292"/>
      <c r="AF31" s="666"/>
      <c r="AG31" s="666"/>
      <c r="AH31" s="667"/>
      <c r="AI31" s="678"/>
      <c r="AJ31" s="666"/>
      <c r="AK31" s="666"/>
      <c r="AL31" s="666"/>
      <c r="AM31" s="667"/>
      <c r="AN31" s="671"/>
      <c r="AO31" s="649"/>
      <c r="AP31" s="292"/>
      <c r="AQ31" s="666"/>
      <c r="AR31" s="666"/>
      <c r="AS31" s="667"/>
      <c r="AT31" s="678"/>
      <c r="AU31" s="666"/>
      <c r="AV31" s="666"/>
      <c r="AW31" s="666"/>
      <c r="AX31" s="680"/>
      <c r="AY31" s="671"/>
      <c r="AZ31" s="649"/>
      <c r="BA31" s="292"/>
      <c r="BB31" s="666"/>
      <c r="BC31" s="666"/>
      <c r="BD31" s="689"/>
      <c r="BE31" s="678"/>
      <c r="BF31" s="666"/>
      <c r="BG31" s="666"/>
      <c r="BH31" s="666"/>
      <c r="BI31" s="667"/>
      <c r="BJ31" s="678"/>
      <c r="BK31" s="690"/>
      <c r="BL31" s="312"/>
      <c r="BM31" s="577">
        <f t="shared" si="3"/>
        <v>0</v>
      </c>
      <c r="BN31" s="475">
        <f t="shared" si="4"/>
        <v>0</v>
      </c>
      <c r="BO31" s="475">
        <f t="shared" si="5"/>
        <v>0</v>
      </c>
      <c r="BP31" s="475">
        <f t="shared" si="6"/>
        <v>0</v>
      </c>
      <c r="BQ31" s="312"/>
      <c r="BR31" s="476">
        <f t="shared" si="11"/>
        <v>0</v>
      </c>
      <c r="BS31" s="465">
        <f t="shared" si="8"/>
        <v>0</v>
      </c>
      <c r="BT31" s="466" t="str">
        <f t="shared" si="2"/>
        <v>n.a.</v>
      </c>
    </row>
    <row r="32" spans="1:72">
      <c r="A32" s="201">
        <f t="shared" si="9"/>
        <v>19</v>
      </c>
      <c r="B32" s="639"/>
      <c r="C32" s="631" t="s">
        <v>10901</v>
      </c>
      <c r="D32" s="632"/>
      <c r="E32" s="636"/>
      <c r="F32" s="636"/>
      <c r="G32" s="474">
        <f t="shared" si="0"/>
        <v>0</v>
      </c>
      <c r="H32" s="293" t="str">
        <f t="shared" si="1"/>
        <v/>
      </c>
      <c r="I32" s="652"/>
      <c r="J32" s="653"/>
      <c r="K32" s="643"/>
      <c r="L32" s="654"/>
      <c r="M32" s="653"/>
      <c r="N32" s="643"/>
      <c r="O32" s="643"/>
      <c r="P32" s="643"/>
      <c r="Q32" s="652"/>
      <c r="R32" s="655"/>
      <c r="S32" s="649"/>
      <c r="T32" s="292" t="e">
        <f>INDEX(ei_geo!$B:$B,MATCH(S32,ei_geo!$A:$A,0))</f>
        <v>#N/A</v>
      </c>
      <c r="U32" s="666"/>
      <c r="V32" s="666"/>
      <c r="W32" s="667"/>
      <c r="X32" s="668"/>
      <c r="Y32" s="663"/>
      <c r="Z32" s="643"/>
      <c r="AA32" s="643"/>
      <c r="AB32" s="652"/>
      <c r="AC32" s="671"/>
      <c r="AD32" s="649"/>
      <c r="AE32" s="292"/>
      <c r="AF32" s="666"/>
      <c r="AG32" s="666"/>
      <c r="AH32" s="667"/>
      <c r="AI32" s="678"/>
      <c r="AJ32" s="666"/>
      <c r="AK32" s="666"/>
      <c r="AL32" s="666"/>
      <c r="AM32" s="667"/>
      <c r="AN32" s="671"/>
      <c r="AO32" s="649"/>
      <c r="AP32" s="292"/>
      <c r="AQ32" s="666"/>
      <c r="AR32" s="666"/>
      <c r="AS32" s="667"/>
      <c r="AT32" s="678"/>
      <c r="AU32" s="666"/>
      <c r="AV32" s="666"/>
      <c r="AW32" s="666"/>
      <c r="AX32" s="680"/>
      <c r="AY32" s="671"/>
      <c r="AZ32" s="649"/>
      <c r="BA32" s="292"/>
      <c r="BB32" s="666"/>
      <c r="BC32" s="666"/>
      <c r="BD32" s="689"/>
      <c r="BE32" s="678"/>
      <c r="BF32" s="666"/>
      <c r="BG32" s="666"/>
      <c r="BH32" s="666"/>
      <c r="BI32" s="667"/>
      <c r="BJ32" s="678"/>
      <c r="BK32" s="690"/>
      <c r="BL32" s="312"/>
      <c r="BM32" s="577">
        <f t="shared" si="3"/>
        <v>0</v>
      </c>
      <c r="BN32" s="475">
        <f t="shared" si="4"/>
        <v>0</v>
      </c>
      <c r="BO32" s="475">
        <f t="shared" si="5"/>
        <v>0</v>
      </c>
      <c r="BP32" s="475">
        <f t="shared" si="6"/>
        <v>0</v>
      </c>
      <c r="BQ32" s="312"/>
      <c r="BR32" s="476">
        <f>IF($G32&gt;0,(AB32+AM32+AX32+BI32),0)</f>
        <v>0</v>
      </c>
      <c r="BS32" s="465">
        <f>IF($G32&gt;0,"check",IF($G32=0,0))</f>
        <v>0</v>
      </c>
      <c r="BT32" s="466" t="str">
        <f t="shared" si="2"/>
        <v>n.a.</v>
      </c>
    </row>
    <row r="33" spans="1:72">
      <c r="A33" s="201">
        <f t="shared" si="9"/>
        <v>20</v>
      </c>
      <c r="B33" s="639"/>
      <c r="C33" s="631" t="s">
        <v>8604</v>
      </c>
      <c r="D33" s="632"/>
      <c r="E33" s="637"/>
      <c r="F33" s="636"/>
      <c r="G33" s="474">
        <f>E33*F33</f>
        <v>0</v>
      </c>
      <c r="H33" s="293" t="str">
        <f>IFERROR(G33/$G$214,"")</f>
        <v/>
      </c>
      <c r="I33" s="652"/>
      <c r="J33" s="653"/>
      <c r="K33" s="643"/>
      <c r="L33" s="654"/>
      <c r="M33" s="653"/>
      <c r="N33" s="643"/>
      <c r="O33" s="643"/>
      <c r="P33" s="643"/>
      <c r="Q33" s="652"/>
      <c r="R33" s="655"/>
      <c r="S33" s="649"/>
      <c r="T33" s="292" t="e">
        <f>INDEX(ei_geo!$B:$B,MATCH(S33,ei_geo!$A:$A,0))</f>
        <v>#N/A</v>
      </c>
      <c r="U33" s="666"/>
      <c r="V33" s="666"/>
      <c r="W33" s="667"/>
      <c r="X33" s="668"/>
      <c r="Y33" s="643"/>
      <c r="Z33" s="643"/>
      <c r="AA33" s="643"/>
      <c r="AB33" s="652"/>
      <c r="AC33" s="671"/>
      <c r="AD33" s="649"/>
      <c r="AE33" s="292"/>
      <c r="AF33" s="666"/>
      <c r="AG33" s="666"/>
      <c r="AH33" s="667"/>
      <c r="AI33" s="678"/>
      <c r="AJ33" s="666"/>
      <c r="AK33" s="666"/>
      <c r="AL33" s="666"/>
      <c r="AM33" s="667"/>
      <c r="AN33" s="671"/>
      <c r="AO33" s="649"/>
      <c r="AP33" s="292"/>
      <c r="AQ33" s="666"/>
      <c r="AR33" s="666"/>
      <c r="AS33" s="667"/>
      <c r="AT33" s="678"/>
      <c r="AU33" s="666"/>
      <c r="AV33" s="666"/>
      <c r="AW33" s="666"/>
      <c r="AX33" s="680"/>
      <c r="AY33" s="671"/>
      <c r="AZ33" s="649"/>
      <c r="BA33" s="292"/>
      <c r="BB33" s="666"/>
      <c r="BC33" s="666"/>
      <c r="BD33" s="689"/>
      <c r="BE33" s="678"/>
      <c r="BF33" s="666"/>
      <c r="BG33" s="666"/>
      <c r="BH33" s="666"/>
      <c r="BI33" s="667"/>
      <c r="BJ33" s="678"/>
      <c r="BK33" s="690"/>
      <c r="BL33" s="312"/>
      <c r="BM33" s="475">
        <f t="shared" ref="BM33:BM71" si="12">($G33/1000)*AL33</f>
        <v>0</v>
      </c>
      <c r="BN33" s="475">
        <f t="shared" si="4"/>
        <v>0</v>
      </c>
      <c r="BO33" s="475">
        <f t="shared" si="5"/>
        <v>0</v>
      </c>
      <c r="BP33" s="475">
        <f t="shared" si="6"/>
        <v>0</v>
      </c>
      <c r="BQ33" s="312"/>
      <c r="BR33" s="476">
        <f t="shared" ref="BR33:BR34" si="13">IF($G33&gt;0,(AB33+AM33+AX33+BI33),0)</f>
        <v>0</v>
      </c>
      <c r="BS33" s="465">
        <f t="shared" si="8"/>
        <v>0</v>
      </c>
      <c r="BT33" s="466" t="str">
        <f t="shared" si="2"/>
        <v>n.a.</v>
      </c>
    </row>
    <row r="34" spans="1:72">
      <c r="A34" s="201">
        <f t="shared" si="9"/>
        <v>21</v>
      </c>
      <c r="B34" s="639"/>
      <c r="C34" s="631" t="s">
        <v>8605</v>
      </c>
      <c r="D34" s="632"/>
      <c r="E34" s="635"/>
      <c r="F34" s="636"/>
      <c r="G34" s="474">
        <f t="shared" ref="G34:G97" si="14">E34*F34</f>
        <v>0</v>
      </c>
      <c r="H34" s="293" t="str">
        <f t="shared" ref="H34:H97" si="15">IFERROR(G34/$G$214,"")</f>
        <v/>
      </c>
      <c r="I34" s="652"/>
      <c r="J34" s="653"/>
      <c r="K34" s="643"/>
      <c r="L34" s="654"/>
      <c r="M34" s="653"/>
      <c r="N34" s="643"/>
      <c r="O34" s="643"/>
      <c r="P34" s="643"/>
      <c r="Q34" s="652"/>
      <c r="R34" s="655"/>
      <c r="S34" s="649"/>
      <c r="T34" s="292" t="e">
        <f>INDEX(ei_geo!$B:$B,MATCH(S34,ei_geo!$A:$A,0))</f>
        <v>#N/A</v>
      </c>
      <c r="U34" s="666"/>
      <c r="V34" s="666"/>
      <c r="W34" s="667"/>
      <c r="X34" s="668"/>
      <c r="Y34" s="643"/>
      <c r="Z34" s="643"/>
      <c r="AA34" s="643"/>
      <c r="AB34" s="652"/>
      <c r="AC34" s="671"/>
      <c r="AD34" s="649"/>
      <c r="AE34" s="292"/>
      <c r="AF34" s="666"/>
      <c r="AG34" s="666"/>
      <c r="AH34" s="667"/>
      <c r="AI34" s="678"/>
      <c r="AJ34" s="666"/>
      <c r="AK34" s="666"/>
      <c r="AL34" s="666"/>
      <c r="AM34" s="667"/>
      <c r="AN34" s="671"/>
      <c r="AO34" s="649"/>
      <c r="AP34" s="292"/>
      <c r="AQ34" s="666"/>
      <c r="AR34" s="666"/>
      <c r="AS34" s="667"/>
      <c r="AT34" s="678"/>
      <c r="AU34" s="666"/>
      <c r="AV34" s="666"/>
      <c r="AW34" s="666"/>
      <c r="AX34" s="680"/>
      <c r="AY34" s="671"/>
      <c r="AZ34" s="649"/>
      <c r="BA34" s="292"/>
      <c r="BB34" s="666"/>
      <c r="BC34" s="666"/>
      <c r="BD34" s="689"/>
      <c r="BE34" s="678"/>
      <c r="BF34" s="666"/>
      <c r="BG34" s="666"/>
      <c r="BH34" s="666"/>
      <c r="BI34" s="667"/>
      <c r="BJ34" s="678"/>
      <c r="BK34" s="690"/>
      <c r="BL34" s="312"/>
      <c r="BM34" s="475">
        <f t="shared" si="12"/>
        <v>0</v>
      </c>
      <c r="BN34" s="475">
        <f t="shared" si="4"/>
        <v>0</v>
      </c>
      <c r="BO34" s="475">
        <f t="shared" si="5"/>
        <v>0</v>
      </c>
      <c r="BP34" s="475">
        <f t="shared" si="6"/>
        <v>0</v>
      </c>
      <c r="BQ34" s="312"/>
      <c r="BR34" s="476">
        <f t="shared" si="13"/>
        <v>0</v>
      </c>
      <c r="BS34" s="465">
        <f t="shared" si="8"/>
        <v>0</v>
      </c>
      <c r="BT34" s="466" t="str">
        <f t="shared" si="2"/>
        <v>n.a.</v>
      </c>
    </row>
    <row r="35" spans="1:72">
      <c r="A35" s="201">
        <f t="shared" si="9"/>
        <v>22</v>
      </c>
      <c r="B35" s="639"/>
      <c r="C35" s="631" t="s">
        <v>8606</v>
      </c>
      <c r="D35" s="632"/>
      <c r="E35" s="636"/>
      <c r="F35" s="636"/>
      <c r="G35" s="474">
        <f t="shared" si="14"/>
        <v>0</v>
      </c>
      <c r="H35" s="293" t="str">
        <f t="shared" si="15"/>
        <v/>
      </c>
      <c r="I35" s="652"/>
      <c r="J35" s="653"/>
      <c r="K35" s="643"/>
      <c r="L35" s="654"/>
      <c r="M35" s="653"/>
      <c r="N35" s="643"/>
      <c r="O35" s="643"/>
      <c r="P35" s="643"/>
      <c r="Q35" s="652"/>
      <c r="R35" s="655"/>
      <c r="S35" s="649"/>
      <c r="T35" s="292" t="e">
        <f>INDEX(ei_geo!$B:$B,MATCH(S35,ei_geo!$A:$A,0))</f>
        <v>#N/A</v>
      </c>
      <c r="U35" s="666"/>
      <c r="V35" s="666"/>
      <c r="W35" s="667"/>
      <c r="X35" s="668"/>
      <c r="Y35" s="643"/>
      <c r="Z35" s="643"/>
      <c r="AA35" s="643"/>
      <c r="AB35" s="652"/>
      <c r="AC35" s="671"/>
      <c r="AD35" s="649"/>
      <c r="AE35" s="292"/>
      <c r="AF35" s="666"/>
      <c r="AG35" s="666"/>
      <c r="AH35" s="667"/>
      <c r="AI35" s="678"/>
      <c r="AJ35" s="666"/>
      <c r="AK35" s="666"/>
      <c r="AL35" s="666"/>
      <c r="AM35" s="667"/>
      <c r="AN35" s="671"/>
      <c r="AO35" s="649"/>
      <c r="AP35" s="292"/>
      <c r="AQ35" s="666"/>
      <c r="AR35" s="666"/>
      <c r="AS35" s="667"/>
      <c r="AT35" s="678"/>
      <c r="AU35" s="666"/>
      <c r="AV35" s="666"/>
      <c r="AW35" s="666"/>
      <c r="AX35" s="680"/>
      <c r="AY35" s="671"/>
      <c r="AZ35" s="649"/>
      <c r="BA35" s="292"/>
      <c r="BB35" s="666"/>
      <c r="BC35" s="666"/>
      <c r="BD35" s="689"/>
      <c r="BE35" s="678"/>
      <c r="BF35" s="666"/>
      <c r="BG35" s="666"/>
      <c r="BH35" s="666"/>
      <c r="BI35" s="667"/>
      <c r="BJ35" s="678"/>
      <c r="BK35" s="690"/>
      <c r="BL35" s="312"/>
      <c r="BM35" s="475">
        <f t="shared" si="12"/>
        <v>0</v>
      </c>
      <c r="BN35" s="475">
        <f t="shared" si="4"/>
        <v>0</v>
      </c>
      <c r="BO35" s="475">
        <f t="shared" si="5"/>
        <v>0</v>
      </c>
      <c r="BP35" s="475">
        <f t="shared" si="6"/>
        <v>0</v>
      </c>
      <c r="BQ35" s="312"/>
      <c r="BR35" s="476">
        <f>IF($G35&gt;0,(AB35+AM35+AX35+BI35),0)</f>
        <v>0</v>
      </c>
      <c r="BS35" s="465">
        <f>IF($G35&gt;0,"check",IF($G35=0,0))</f>
        <v>0</v>
      </c>
      <c r="BT35" s="466" t="str">
        <f t="shared" si="2"/>
        <v>n.a.</v>
      </c>
    </row>
    <row r="36" spans="1:72">
      <c r="A36" s="201">
        <f t="shared" si="9"/>
        <v>23</v>
      </c>
      <c r="B36" s="639"/>
      <c r="C36" s="631" t="s">
        <v>8607</v>
      </c>
      <c r="D36" s="632"/>
      <c r="E36" s="637"/>
      <c r="F36" s="636"/>
      <c r="G36" s="474">
        <f t="shared" si="14"/>
        <v>0</v>
      </c>
      <c r="H36" s="293" t="str">
        <f t="shared" si="15"/>
        <v/>
      </c>
      <c r="I36" s="652"/>
      <c r="J36" s="653"/>
      <c r="K36" s="643"/>
      <c r="L36" s="654"/>
      <c r="M36" s="653"/>
      <c r="N36" s="643"/>
      <c r="O36" s="643"/>
      <c r="P36" s="643"/>
      <c r="Q36" s="652"/>
      <c r="R36" s="655"/>
      <c r="S36" s="649"/>
      <c r="T36" s="292" t="e">
        <f>INDEX(ei_geo!$B:$B,MATCH(S36,ei_geo!$A:$A,0))</f>
        <v>#N/A</v>
      </c>
      <c r="U36" s="666"/>
      <c r="V36" s="666"/>
      <c r="W36" s="667"/>
      <c r="X36" s="668"/>
      <c r="Y36" s="643"/>
      <c r="Z36" s="643"/>
      <c r="AA36" s="643"/>
      <c r="AB36" s="652"/>
      <c r="AC36" s="671"/>
      <c r="AD36" s="649"/>
      <c r="AE36" s="292"/>
      <c r="AF36" s="666"/>
      <c r="AG36" s="666"/>
      <c r="AH36" s="667"/>
      <c r="AI36" s="678"/>
      <c r="AJ36" s="666"/>
      <c r="AK36" s="666"/>
      <c r="AL36" s="666"/>
      <c r="AM36" s="667"/>
      <c r="AN36" s="671"/>
      <c r="AO36" s="649"/>
      <c r="AP36" s="292"/>
      <c r="AQ36" s="666"/>
      <c r="AR36" s="666"/>
      <c r="AS36" s="667"/>
      <c r="AT36" s="678"/>
      <c r="AU36" s="666"/>
      <c r="AV36" s="666"/>
      <c r="AW36" s="666"/>
      <c r="AX36" s="680"/>
      <c r="AY36" s="671"/>
      <c r="AZ36" s="649"/>
      <c r="BA36" s="292"/>
      <c r="BB36" s="666"/>
      <c r="BC36" s="666"/>
      <c r="BD36" s="689"/>
      <c r="BE36" s="678"/>
      <c r="BF36" s="666"/>
      <c r="BG36" s="666"/>
      <c r="BH36" s="666"/>
      <c r="BI36" s="667"/>
      <c r="BJ36" s="678"/>
      <c r="BK36" s="690"/>
      <c r="BL36" s="312"/>
      <c r="BM36" s="475">
        <f t="shared" si="12"/>
        <v>0</v>
      </c>
      <c r="BN36" s="475">
        <f t="shared" si="4"/>
        <v>0</v>
      </c>
      <c r="BO36" s="475">
        <f t="shared" si="5"/>
        <v>0</v>
      </c>
      <c r="BP36" s="475">
        <f t="shared" si="6"/>
        <v>0</v>
      </c>
      <c r="BQ36" s="312"/>
      <c r="BR36" s="476">
        <f t="shared" ref="BR36:BR40" si="16">IF($G36&gt;0,(AB36+AM36+AX36+BI36),0)</f>
        <v>0</v>
      </c>
      <c r="BS36" s="465">
        <f t="shared" si="8"/>
        <v>0</v>
      </c>
      <c r="BT36" s="466" t="str">
        <f t="shared" si="2"/>
        <v>n.a.</v>
      </c>
    </row>
    <row r="37" spans="1:72">
      <c r="A37" s="201">
        <f t="shared" si="9"/>
        <v>24</v>
      </c>
      <c r="B37" s="639"/>
      <c r="C37" s="631" t="s">
        <v>8608</v>
      </c>
      <c r="D37" s="632"/>
      <c r="E37" s="636"/>
      <c r="F37" s="636"/>
      <c r="G37" s="474">
        <f t="shared" si="14"/>
        <v>0</v>
      </c>
      <c r="H37" s="293" t="str">
        <f t="shared" si="15"/>
        <v/>
      </c>
      <c r="I37" s="652"/>
      <c r="J37" s="653"/>
      <c r="K37" s="643"/>
      <c r="L37" s="654"/>
      <c r="M37" s="653"/>
      <c r="N37" s="643"/>
      <c r="O37" s="643"/>
      <c r="P37" s="643"/>
      <c r="Q37" s="652"/>
      <c r="R37" s="655"/>
      <c r="S37" s="649"/>
      <c r="T37" s="292" t="e">
        <f>INDEX(ei_geo!$B:$B,MATCH(S37,ei_geo!$A:$A,0))</f>
        <v>#N/A</v>
      </c>
      <c r="U37" s="666"/>
      <c r="V37" s="666"/>
      <c r="W37" s="667"/>
      <c r="X37" s="668"/>
      <c r="Y37" s="643"/>
      <c r="Z37" s="643"/>
      <c r="AA37" s="643"/>
      <c r="AB37" s="652"/>
      <c r="AC37" s="671"/>
      <c r="AD37" s="649"/>
      <c r="AE37" s="292"/>
      <c r="AF37" s="666"/>
      <c r="AG37" s="666"/>
      <c r="AH37" s="667"/>
      <c r="AI37" s="678"/>
      <c r="AJ37" s="666"/>
      <c r="AK37" s="666"/>
      <c r="AL37" s="666"/>
      <c r="AM37" s="667"/>
      <c r="AN37" s="671"/>
      <c r="AO37" s="649"/>
      <c r="AP37" s="292"/>
      <c r="AQ37" s="666"/>
      <c r="AR37" s="666"/>
      <c r="AS37" s="667"/>
      <c r="AT37" s="678"/>
      <c r="AU37" s="666"/>
      <c r="AV37" s="666"/>
      <c r="AW37" s="666"/>
      <c r="AX37" s="680"/>
      <c r="AY37" s="671"/>
      <c r="AZ37" s="649"/>
      <c r="BA37" s="292"/>
      <c r="BB37" s="666"/>
      <c r="BC37" s="666"/>
      <c r="BD37" s="689"/>
      <c r="BE37" s="678"/>
      <c r="BF37" s="666"/>
      <c r="BG37" s="666"/>
      <c r="BH37" s="666"/>
      <c r="BI37" s="667"/>
      <c r="BJ37" s="678"/>
      <c r="BK37" s="690"/>
      <c r="BL37" s="312"/>
      <c r="BM37" s="475">
        <f t="shared" si="12"/>
        <v>0</v>
      </c>
      <c r="BN37" s="475">
        <f t="shared" si="4"/>
        <v>0</v>
      </c>
      <c r="BO37" s="475">
        <f t="shared" si="5"/>
        <v>0</v>
      </c>
      <c r="BP37" s="475">
        <f t="shared" si="6"/>
        <v>0</v>
      </c>
      <c r="BQ37" s="312"/>
      <c r="BR37" s="476">
        <f t="shared" si="16"/>
        <v>0</v>
      </c>
      <c r="BS37" s="465">
        <f t="shared" si="8"/>
        <v>0</v>
      </c>
      <c r="BT37" s="466" t="str">
        <f t="shared" si="2"/>
        <v>n.a.</v>
      </c>
    </row>
    <row r="38" spans="1:72">
      <c r="A38" s="201">
        <f t="shared" si="9"/>
        <v>25</v>
      </c>
      <c r="B38" s="639"/>
      <c r="C38" s="631" t="s">
        <v>8609</v>
      </c>
      <c r="D38" s="632"/>
      <c r="E38" s="637"/>
      <c r="F38" s="636"/>
      <c r="G38" s="474">
        <f t="shared" si="14"/>
        <v>0</v>
      </c>
      <c r="H38" s="293" t="str">
        <f t="shared" si="15"/>
        <v/>
      </c>
      <c r="I38" s="652"/>
      <c r="J38" s="653"/>
      <c r="K38" s="643"/>
      <c r="L38" s="654"/>
      <c r="M38" s="653"/>
      <c r="N38" s="643"/>
      <c r="O38" s="643"/>
      <c r="P38" s="643"/>
      <c r="Q38" s="652"/>
      <c r="R38" s="655"/>
      <c r="S38" s="649"/>
      <c r="T38" s="292" t="e">
        <f>INDEX(ei_geo!$B:$B,MATCH(S38,ei_geo!$A:$A,0))</f>
        <v>#N/A</v>
      </c>
      <c r="U38" s="666"/>
      <c r="V38" s="666"/>
      <c r="W38" s="667"/>
      <c r="X38" s="668"/>
      <c r="Y38" s="643"/>
      <c r="Z38" s="643"/>
      <c r="AA38" s="643"/>
      <c r="AB38" s="670"/>
      <c r="AC38" s="671"/>
      <c r="AD38" s="649"/>
      <c r="AE38" s="292"/>
      <c r="AF38" s="666"/>
      <c r="AG38" s="666"/>
      <c r="AH38" s="667"/>
      <c r="AI38" s="678"/>
      <c r="AJ38" s="666"/>
      <c r="AK38" s="666"/>
      <c r="AL38" s="666"/>
      <c r="AM38" s="679"/>
      <c r="AN38" s="671"/>
      <c r="AO38" s="649"/>
      <c r="AP38" s="292"/>
      <c r="AQ38" s="666"/>
      <c r="AR38" s="666"/>
      <c r="AS38" s="667"/>
      <c r="AT38" s="678"/>
      <c r="AU38" s="666"/>
      <c r="AV38" s="666"/>
      <c r="AW38" s="666"/>
      <c r="AX38" s="680"/>
      <c r="AY38" s="671"/>
      <c r="AZ38" s="649"/>
      <c r="BA38" s="292"/>
      <c r="BB38" s="666"/>
      <c r="BC38" s="666"/>
      <c r="BD38" s="689"/>
      <c r="BE38" s="678"/>
      <c r="BF38" s="666"/>
      <c r="BG38" s="666"/>
      <c r="BH38" s="666"/>
      <c r="BI38" s="667"/>
      <c r="BJ38" s="678"/>
      <c r="BK38" s="690"/>
      <c r="BL38" s="312"/>
      <c r="BM38" s="475">
        <f t="shared" si="12"/>
        <v>0</v>
      </c>
      <c r="BN38" s="475">
        <f t="shared" si="4"/>
        <v>0</v>
      </c>
      <c r="BO38" s="475">
        <f t="shared" si="5"/>
        <v>0</v>
      </c>
      <c r="BP38" s="475">
        <f t="shared" si="6"/>
        <v>0</v>
      </c>
      <c r="BQ38" s="312"/>
      <c r="BR38" s="476">
        <f t="shared" si="16"/>
        <v>0</v>
      </c>
      <c r="BS38" s="465">
        <f t="shared" si="8"/>
        <v>0</v>
      </c>
      <c r="BT38" s="466" t="str">
        <f t="shared" si="2"/>
        <v>n.a.</v>
      </c>
    </row>
    <row r="39" spans="1:72">
      <c r="A39" s="201">
        <f t="shared" si="9"/>
        <v>26</v>
      </c>
      <c r="B39" s="639"/>
      <c r="C39" s="631" t="s">
        <v>8610</v>
      </c>
      <c r="D39" s="632"/>
      <c r="E39" s="635"/>
      <c r="F39" s="636"/>
      <c r="G39" s="474">
        <f t="shared" si="14"/>
        <v>0</v>
      </c>
      <c r="H39" s="293" t="str">
        <f t="shared" si="15"/>
        <v/>
      </c>
      <c r="I39" s="652"/>
      <c r="J39" s="653"/>
      <c r="K39" s="643"/>
      <c r="L39" s="654"/>
      <c r="M39" s="653"/>
      <c r="N39" s="643"/>
      <c r="O39" s="643"/>
      <c r="P39" s="643"/>
      <c r="Q39" s="652"/>
      <c r="R39" s="655"/>
      <c r="S39" s="649"/>
      <c r="T39" s="292" t="e">
        <f>INDEX(ei_geo!$B:$B,MATCH(S39,ei_geo!$A:$A,0))</f>
        <v>#N/A</v>
      </c>
      <c r="U39" s="666"/>
      <c r="V39" s="666"/>
      <c r="W39" s="667"/>
      <c r="X39" s="668"/>
      <c r="Y39" s="643"/>
      <c r="Z39" s="643"/>
      <c r="AA39" s="643"/>
      <c r="AB39" s="670"/>
      <c r="AC39" s="671"/>
      <c r="AD39" s="649"/>
      <c r="AE39" s="292"/>
      <c r="AF39" s="666"/>
      <c r="AG39" s="666"/>
      <c r="AH39" s="667"/>
      <c r="AI39" s="678"/>
      <c r="AJ39" s="666"/>
      <c r="AK39" s="666"/>
      <c r="AL39" s="666"/>
      <c r="AM39" s="679"/>
      <c r="AN39" s="671"/>
      <c r="AO39" s="649"/>
      <c r="AP39" s="292"/>
      <c r="AQ39" s="666"/>
      <c r="AR39" s="666"/>
      <c r="AS39" s="667"/>
      <c r="AT39" s="678"/>
      <c r="AU39" s="666"/>
      <c r="AV39" s="666"/>
      <c r="AW39" s="666"/>
      <c r="AX39" s="680"/>
      <c r="AY39" s="671"/>
      <c r="AZ39" s="649"/>
      <c r="BA39" s="292"/>
      <c r="BB39" s="666"/>
      <c r="BC39" s="666"/>
      <c r="BD39" s="689"/>
      <c r="BE39" s="678"/>
      <c r="BF39" s="666"/>
      <c r="BG39" s="666"/>
      <c r="BH39" s="666"/>
      <c r="BI39" s="667"/>
      <c r="BJ39" s="678"/>
      <c r="BK39" s="690"/>
      <c r="BL39" s="312"/>
      <c r="BM39" s="475">
        <f t="shared" si="12"/>
        <v>0</v>
      </c>
      <c r="BN39" s="475">
        <f t="shared" si="4"/>
        <v>0</v>
      </c>
      <c r="BO39" s="475">
        <f t="shared" si="5"/>
        <v>0</v>
      </c>
      <c r="BP39" s="475">
        <f t="shared" si="6"/>
        <v>0</v>
      </c>
      <c r="BQ39" s="312"/>
      <c r="BR39" s="477">
        <f t="shared" si="16"/>
        <v>0</v>
      </c>
      <c r="BS39" s="465">
        <f t="shared" si="8"/>
        <v>0</v>
      </c>
      <c r="BT39" s="466" t="str">
        <f t="shared" si="2"/>
        <v>n.a.</v>
      </c>
    </row>
    <row r="40" spans="1:72">
      <c r="A40" s="201">
        <f t="shared" si="9"/>
        <v>27</v>
      </c>
      <c r="B40" s="639"/>
      <c r="C40" s="631" t="s">
        <v>8611</v>
      </c>
      <c r="D40" s="632"/>
      <c r="E40" s="637"/>
      <c r="F40" s="636"/>
      <c r="G40" s="474">
        <f t="shared" si="14"/>
        <v>0</v>
      </c>
      <c r="H40" s="293" t="str">
        <f t="shared" si="15"/>
        <v/>
      </c>
      <c r="I40" s="652"/>
      <c r="J40" s="653"/>
      <c r="K40" s="643"/>
      <c r="L40" s="654"/>
      <c r="M40" s="653"/>
      <c r="N40" s="643"/>
      <c r="O40" s="643"/>
      <c r="P40" s="643"/>
      <c r="Q40" s="652"/>
      <c r="R40" s="655"/>
      <c r="S40" s="649"/>
      <c r="T40" s="292" t="e">
        <f>INDEX(ei_geo!$B:$B,MATCH(S40,ei_geo!$A:$A,0))</f>
        <v>#N/A</v>
      </c>
      <c r="U40" s="666"/>
      <c r="V40" s="666"/>
      <c r="W40" s="667"/>
      <c r="X40" s="668"/>
      <c r="Y40" s="643"/>
      <c r="Z40" s="643"/>
      <c r="AA40" s="643"/>
      <c r="AB40" s="670"/>
      <c r="AC40" s="671"/>
      <c r="AD40" s="649"/>
      <c r="AE40" s="292"/>
      <c r="AF40" s="666"/>
      <c r="AG40" s="666"/>
      <c r="AH40" s="667"/>
      <c r="AI40" s="678"/>
      <c r="AJ40" s="666"/>
      <c r="AK40" s="666"/>
      <c r="AL40" s="666"/>
      <c r="AM40" s="679"/>
      <c r="AN40" s="671"/>
      <c r="AO40" s="649"/>
      <c r="AP40" s="292"/>
      <c r="AQ40" s="666"/>
      <c r="AR40" s="666"/>
      <c r="AS40" s="667"/>
      <c r="AT40" s="678"/>
      <c r="AU40" s="666"/>
      <c r="AV40" s="666"/>
      <c r="AW40" s="666"/>
      <c r="AX40" s="680"/>
      <c r="AY40" s="671"/>
      <c r="AZ40" s="649"/>
      <c r="BA40" s="292"/>
      <c r="BB40" s="666"/>
      <c r="BC40" s="666"/>
      <c r="BD40" s="689"/>
      <c r="BE40" s="678"/>
      <c r="BF40" s="666"/>
      <c r="BG40" s="666"/>
      <c r="BH40" s="666"/>
      <c r="BI40" s="667"/>
      <c r="BJ40" s="678"/>
      <c r="BK40" s="690"/>
      <c r="BL40" s="312"/>
      <c r="BM40" s="475">
        <f t="shared" si="12"/>
        <v>0</v>
      </c>
      <c r="BN40" s="475">
        <f t="shared" si="4"/>
        <v>0</v>
      </c>
      <c r="BO40" s="475">
        <f t="shared" si="5"/>
        <v>0</v>
      </c>
      <c r="BP40" s="475">
        <f t="shared" si="6"/>
        <v>0</v>
      </c>
      <c r="BQ40" s="312"/>
      <c r="BR40" s="477">
        <f t="shared" si="16"/>
        <v>0</v>
      </c>
      <c r="BS40" s="465">
        <f t="shared" si="8"/>
        <v>0</v>
      </c>
      <c r="BT40" s="466" t="str">
        <f t="shared" si="2"/>
        <v>n.a.</v>
      </c>
    </row>
    <row r="41" spans="1:72">
      <c r="A41" s="201">
        <f t="shared" si="9"/>
        <v>28</v>
      </c>
      <c r="B41" s="639"/>
      <c r="C41" s="631" t="s">
        <v>8612</v>
      </c>
      <c r="D41" s="632"/>
      <c r="E41" s="635"/>
      <c r="F41" s="636"/>
      <c r="G41" s="474">
        <f t="shared" si="14"/>
        <v>0</v>
      </c>
      <c r="H41" s="293" t="str">
        <f t="shared" si="15"/>
        <v/>
      </c>
      <c r="I41" s="652"/>
      <c r="J41" s="653"/>
      <c r="K41" s="643"/>
      <c r="L41" s="654"/>
      <c r="M41" s="653"/>
      <c r="N41" s="643"/>
      <c r="O41" s="643"/>
      <c r="P41" s="643"/>
      <c r="Q41" s="652"/>
      <c r="R41" s="655"/>
      <c r="S41" s="649"/>
      <c r="T41" s="292" t="e">
        <f>INDEX(ei_geo!$B:$B,MATCH(S41,ei_geo!$A:$A,0))</f>
        <v>#N/A</v>
      </c>
      <c r="U41" s="666"/>
      <c r="V41" s="666"/>
      <c r="W41" s="667"/>
      <c r="X41" s="668"/>
      <c r="Y41" s="643"/>
      <c r="Z41" s="643"/>
      <c r="AA41" s="643"/>
      <c r="AB41" s="670"/>
      <c r="AC41" s="671"/>
      <c r="AD41" s="649"/>
      <c r="AE41" s="292"/>
      <c r="AF41" s="666"/>
      <c r="AG41" s="666"/>
      <c r="AH41" s="667"/>
      <c r="AI41" s="678"/>
      <c r="AJ41" s="666"/>
      <c r="AK41" s="666"/>
      <c r="AL41" s="666"/>
      <c r="AM41" s="679"/>
      <c r="AN41" s="671"/>
      <c r="AO41" s="649"/>
      <c r="AP41" s="292"/>
      <c r="AQ41" s="666"/>
      <c r="AR41" s="666"/>
      <c r="AS41" s="667"/>
      <c r="AT41" s="678"/>
      <c r="AU41" s="666"/>
      <c r="AV41" s="666"/>
      <c r="AW41" s="666"/>
      <c r="AX41" s="680"/>
      <c r="AY41" s="671"/>
      <c r="AZ41" s="649"/>
      <c r="BA41" s="292"/>
      <c r="BB41" s="666"/>
      <c r="BC41" s="666"/>
      <c r="BD41" s="689"/>
      <c r="BE41" s="678"/>
      <c r="BF41" s="666"/>
      <c r="BG41" s="666"/>
      <c r="BH41" s="666"/>
      <c r="BI41" s="667"/>
      <c r="BJ41" s="678"/>
      <c r="BK41" s="690"/>
      <c r="BL41" s="312"/>
      <c r="BM41" s="475">
        <f t="shared" si="12"/>
        <v>0</v>
      </c>
      <c r="BN41" s="475">
        <f t="shared" si="4"/>
        <v>0</v>
      </c>
      <c r="BO41" s="475">
        <f t="shared" si="5"/>
        <v>0</v>
      </c>
      <c r="BP41" s="475">
        <f t="shared" si="6"/>
        <v>0</v>
      </c>
      <c r="BQ41" s="312"/>
      <c r="BR41" s="477">
        <f>IF($G41&gt;0,(AB41+AM41+AX41+BI41),0)</f>
        <v>0</v>
      </c>
      <c r="BS41" s="465">
        <f>IF($G41&gt;0,"check",IF($G41=0,0))</f>
        <v>0</v>
      </c>
      <c r="BT41" s="466" t="str">
        <f t="shared" si="2"/>
        <v>n.a.</v>
      </c>
    </row>
    <row r="42" spans="1:72">
      <c r="A42" s="201">
        <f t="shared" si="9"/>
        <v>29</v>
      </c>
      <c r="B42" s="639"/>
      <c r="C42" s="631" t="s">
        <v>8613</v>
      </c>
      <c r="D42" s="632"/>
      <c r="E42" s="635"/>
      <c r="F42" s="636"/>
      <c r="G42" s="474">
        <f t="shared" si="14"/>
        <v>0</v>
      </c>
      <c r="H42" s="293" t="str">
        <f t="shared" si="15"/>
        <v/>
      </c>
      <c r="I42" s="652"/>
      <c r="J42" s="653"/>
      <c r="K42" s="643"/>
      <c r="L42" s="654"/>
      <c r="M42" s="653"/>
      <c r="N42" s="643"/>
      <c r="O42" s="643"/>
      <c r="P42" s="643"/>
      <c r="Q42" s="652"/>
      <c r="R42" s="655"/>
      <c r="S42" s="649"/>
      <c r="T42" s="292" t="e">
        <f>INDEX(ei_geo!$B:$B,MATCH(S42,ei_geo!$A:$A,0))</f>
        <v>#N/A</v>
      </c>
      <c r="U42" s="666"/>
      <c r="V42" s="666"/>
      <c r="W42" s="667"/>
      <c r="X42" s="668"/>
      <c r="Y42" s="643"/>
      <c r="Z42" s="643"/>
      <c r="AA42" s="643"/>
      <c r="AB42" s="670"/>
      <c r="AC42" s="671"/>
      <c r="AD42" s="649"/>
      <c r="AE42" s="292"/>
      <c r="AF42" s="666"/>
      <c r="AG42" s="666"/>
      <c r="AH42" s="667"/>
      <c r="AI42" s="678"/>
      <c r="AJ42" s="666"/>
      <c r="AK42" s="666"/>
      <c r="AL42" s="666"/>
      <c r="AM42" s="679"/>
      <c r="AN42" s="671"/>
      <c r="AO42" s="649"/>
      <c r="AP42" s="292"/>
      <c r="AQ42" s="666"/>
      <c r="AR42" s="666"/>
      <c r="AS42" s="667"/>
      <c r="AT42" s="678"/>
      <c r="AU42" s="666"/>
      <c r="AV42" s="666"/>
      <c r="AW42" s="666"/>
      <c r="AX42" s="680"/>
      <c r="AY42" s="671"/>
      <c r="AZ42" s="649"/>
      <c r="BA42" s="292"/>
      <c r="BB42" s="666"/>
      <c r="BC42" s="666"/>
      <c r="BD42" s="689"/>
      <c r="BE42" s="678"/>
      <c r="BF42" s="666"/>
      <c r="BG42" s="666"/>
      <c r="BH42" s="666"/>
      <c r="BI42" s="667"/>
      <c r="BJ42" s="678"/>
      <c r="BK42" s="690"/>
      <c r="BL42" s="312"/>
      <c r="BM42" s="475">
        <f t="shared" si="12"/>
        <v>0</v>
      </c>
      <c r="BN42" s="475">
        <f t="shared" si="4"/>
        <v>0</v>
      </c>
      <c r="BO42" s="475">
        <f t="shared" si="5"/>
        <v>0</v>
      </c>
      <c r="BP42" s="475">
        <f t="shared" si="6"/>
        <v>0</v>
      </c>
      <c r="BQ42" s="312"/>
      <c r="BR42" s="477">
        <f t="shared" ref="BR42:BR46" si="17">IF($G42&gt;0,(AB42+AM42+AX42+BI42),0)</f>
        <v>0</v>
      </c>
      <c r="BS42" s="465">
        <f t="shared" si="8"/>
        <v>0</v>
      </c>
      <c r="BT42" s="466" t="str">
        <f t="shared" si="2"/>
        <v>n.a.</v>
      </c>
    </row>
    <row r="43" spans="1:72">
      <c r="A43" s="201">
        <f t="shared" si="9"/>
        <v>30</v>
      </c>
      <c r="B43" s="639"/>
      <c r="C43" s="631" t="s">
        <v>8614</v>
      </c>
      <c r="D43" s="632"/>
      <c r="E43" s="637"/>
      <c r="F43" s="636"/>
      <c r="G43" s="474">
        <f t="shared" si="14"/>
        <v>0</v>
      </c>
      <c r="H43" s="293" t="str">
        <f t="shared" si="15"/>
        <v/>
      </c>
      <c r="I43" s="652"/>
      <c r="J43" s="653"/>
      <c r="K43" s="643"/>
      <c r="L43" s="654"/>
      <c r="M43" s="653"/>
      <c r="N43" s="643"/>
      <c r="O43" s="643"/>
      <c r="P43" s="643"/>
      <c r="Q43" s="652"/>
      <c r="R43" s="655"/>
      <c r="S43" s="649"/>
      <c r="T43" s="292" t="e">
        <f>INDEX(ei_geo!$B:$B,MATCH(S43,ei_geo!$A:$A,0))</f>
        <v>#N/A</v>
      </c>
      <c r="U43" s="666"/>
      <c r="V43" s="666"/>
      <c r="W43" s="667"/>
      <c r="X43" s="668"/>
      <c r="Y43" s="643"/>
      <c r="Z43" s="643"/>
      <c r="AA43" s="643"/>
      <c r="AB43" s="670"/>
      <c r="AC43" s="671"/>
      <c r="AD43" s="649"/>
      <c r="AE43" s="292"/>
      <c r="AF43" s="666"/>
      <c r="AG43" s="666"/>
      <c r="AH43" s="667"/>
      <c r="AI43" s="678"/>
      <c r="AJ43" s="666"/>
      <c r="AK43" s="666"/>
      <c r="AL43" s="666"/>
      <c r="AM43" s="679"/>
      <c r="AN43" s="671"/>
      <c r="AO43" s="649"/>
      <c r="AP43" s="292"/>
      <c r="AQ43" s="666"/>
      <c r="AR43" s="666"/>
      <c r="AS43" s="667"/>
      <c r="AT43" s="678"/>
      <c r="AU43" s="666"/>
      <c r="AV43" s="666"/>
      <c r="AW43" s="666"/>
      <c r="AX43" s="680"/>
      <c r="AY43" s="671"/>
      <c r="AZ43" s="649"/>
      <c r="BA43" s="292"/>
      <c r="BB43" s="666"/>
      <c r="BC43" s="666"/>
      <c r="BD43" s="689"/>
      <c r="BE43" s="678"/>
      <c r="BF43" s="666"/>
      <c r="BG43" s="666"/>
      <c r="BH43" s="666"/>
      <c r="BI43" s="667"/>
      <c r="BJ43" s="678"/>
      <c r="BK43" s="690"/>
      <c r="BL43" s="312"/>
      <c r="BM43" s="475">
        <f t="shared" si="12"/>
        <v>0</v>
      </c>
      <c r="BN43" s="475">
        <f t="shared" si="4"/>
        <v>0</v>
      </c>
      <c r="BO43" s="475">
        <f t="shared" si="5"/>
        <v>0</v>
      </c>
      <c r="BP43" s="475">
        <f t="shared" si="6"/>
        <v>0</v>
      </c>
      <c r="BQ43" s="312"/>
      <c r="BR43" s="477">
        <f t="shared" si="17"/>
        <v>0</v>
      </c>
      <c r="BS43" s="465">
        <f t="shared" si="8"/>
        <v>0</v>
      </c>
      <c r="BT43" s="466" t="str">
        <f t="shared" si="2"/>
        <v>n.a.</v>
      </c>
    </row>
    <row r="44" spans="1:72">
      <c r="A44" s="201">
        <f t="shared" si="9"/>
        <v>31</v>
      </c>
      <c r="B44" s="639"/>
      <c r="C44" s="631" t="s">
        <v>8615</v>
      </c>
      <c r="D44" s="632"/>
      <c r="E44" s="637"/>
      <c r="F44" s="636"/>
      <c r="G44" s="474">
        <f t="shared" si="14"/>
        <v>0</v>
      </c>
      <c r="H44" s="293" t="str">
        <f t="shared" si="15"/>
        <v/>
      </c>
      <c r="I44" s="652"/>
      <c r="J44" s="653"/>
      <c r="K44" s="643"/>
      <c r="L44" s="654"/>
      <c r="M44" s="653"/>
      <c r="N44" s="643"/>
      <c r="O44" s="643"/>
      <c r="P44" s="643"/>
      <c r="Q44" s="652"/>
      <c r="R44" s="655"/>
      <c r="S44" s="649"/>
      <c r="T44" s="292" t="e">
        <f>INDEX(ei_geo!$B:$B,MATCH(S44,ei_geo!$A:$A,0))</f>
        <v>#N/A</v>
      </c>
      <c r="U44" s="666"/>
      <c r="V44" s="666"/>
      <c r="W44" s="667"/>
      <c r="X44" s="668"/>
      <c r="Y44" s="643"/>
      <c r="Z44" s="643"/>
      <c r="AA44" s="643"/>
      <c r="AB44" s="670"/>
      <c r="AC44" s="671"/>
      <c r="AD44" s="649"/>
      <c r="AE44" s="292"/>
      <c r="AF44" s="666"/>
      <c r="AG44" s="666"/>
      <c r="AH44" s="667"/>
      <c r="AI44" s="678"/>
      <c r="AJ44" s="666"/>
      <c r="AK44" s="666"/>
      <c r="AL44" s="666"/>
      <c r="AM44" s="679"/>
      <c r="AN44" s="671"/>
      <c r="AO44" s="649"/>
      <c r="AP44" s="292"/>
      <c r="AQ44" s="666"/>
      <c r="AR44" s="666"/>
      <c r="AS44" s="667"/>
      <c r="AT44" s="678"/>
      <c r="AU44" s="666"/>
      <c r="AV44" s="666"/>
      <c r="AW44" s="666"/>
      <c r="AX44" s="680"/>
      <c r="AY44" s="671"/>
      <c r="AZ44" s="649"/>
      <c r="BA44" s="292"/>
      <c r="BB44" s="666"/>
      <c r="BC44" s="666"/>
      <c r="BD44" s="689"/>
      <c r="BE44" s="678"/>
      <c r="BF44" s="666"/>
      <c r="BG44" s="666"/>
      <c r="BH44" s="666"/>
      <c r="BI44" s="667"/>
      <c r="BJ44" s="678"/>
      <c r="BK44" s="690"/>
      <c r="BL44" s="312"/>
      <c r="BM44" s="475">
        <f t="shared" si="12"/>
        <v>0</v>
      </c>
      <c r="BN44" s="475">
        <f t="shared" si="4"/>
        <v>0</v>
      </c>
      <c r="BO44" s="475">
        <f t="shared" si="5"/>
        <v>0</v>
      </c>
      <c r="BP44" s="475">
        <f t="shared" si="6"/>
        <v>0</v>
      </c>
      <c r="BQ44" s="312"/>
      <c r="BR44" s="477">
        <f t="shared" si="17"/>
        <v>0</v>
      </c>
      <c r="BS44" s="465">
        <f t="shared" si="8"/>
        <v>0</v>
      </c>
      <c r="BT44" s="466" t="str">
        <f t="shared" si="2"/>
        <v>n.a.</v>
      </c>
    </row>
    <row r="45" spans="1:72">
      <c r="A45" s="201">
        <f t="shared" si="9"/>
        <v>32</v>
      </c>
      <c r="B45" s="639"/>
      <c r="C45" s="631" t="s">
        <v>8616</v>
      </c>
      <c r="D45" s="632"/>
      <c r="E45" s="638"/>
      <c r="F45" s="636"/>
      <c r="G45" s="474">
        <f t="shared" si="14"/>
        <v>0</v>
      </c>
      <c r="H45" s="293" t="str">
        <f t="shared" si="15"/>
        <v/>
      </c>
      <c r="I45" s="652"/>
      <c r="J45" s="653"/>
      <c r="K45" s="643"/>
      <c r="L45" s="654"/>
      <c r="M45" s="653"/>
      <c r="N45" s="643"/>
      <c r="O45" s="643"/>
      <c r="P45" s="643"/>
      <c r="Q45" s="652"/>
      <c r="R45" s="655"/>
      <c r="S45" s="649"/>
      <c r="T45" s="292" t="e">
        <f>INDEX(ei_geo!$B:$B,MATCH(S45,ei_geo!$A:$A,0))</f>
        <v>#N/A</v>
      </c>
      <c r="U45" s="666"/>
      <c r="V45" s="666"/>
      <c r="W45" s="667"/>
      <c r="X45" s="668"/>
      <c r="Y45" s="643"/>
      <c r="Z45" s="643"/>
      <c r="AA45" s="643"/>
      <c r="AB45" s="670"/>
      <c r="AC45" s="671"/>
      <c r="AD45" s="649"/>
      <c r="AE45" s="292"/>
      <c r="AF45" s="666"/>
      <c r="AG45" s="666"/>
      <c r="AH45" s="667"/>
      <c r="AI45" s="678"/>
      <c r="AJ45" s="666"/>
      <c r="AK45" s="666"/>
      <c r="AL45" s="666"/>
      <c r="AM45" s="679"/>
      <c r="AN45" s="671"/>
      <c r="AO45" s="649"/>
      <c r="AP45" s="292"/>
      <c r="AQ45" s="666"/>
      <c r="AR45" s="666"/>
      <c r="AS45" s="667"/>
      <c r="AT45" s="678"/>
      <c r="AU45" s="666"/>
      <c r="AV45" s="666"/>
      <c r="AW45" s="666"/>
      <c r="AX45" s="680"/>
      <c r="AY45" s="671"/>
      <c r="AZ45" s="649"/>
      <c r="BA45" s="292"/>
      <c r="BB45" s="666"/>
      <c r="BC45" s="666"/>
      <c r="BD45" s="689"/>
      <c r="BE45" s="678"/>
      <c r="BF45" s="666"/>
      <c r="BG45" s="666"/>
      <c r="BH45" s="666"/>
      <c r="BI45" s="667"/>
      <c r="BJ45" s="678"/>
      <c r="BK45" s="690"/>
      <c r="BL45" s="312"/>
      <c r="BM45" s="475">
        <f t="shared" si="12"/>
        <v>0</v>
      </c>
      <c r="BN45" s="475">
        <f t="shared" si="4"/>
        <v>0</v>
      </c>
      <c r="BO45" s="475">
        <f t="shared" si="5"/>
        <v>0</v>
      </c>
      <c r="BP45" s="475">
        <f t="shared" si="6"/>
        <v>0</v>
      </c>
      <c r="BQ45" s="312"/>
      <c r="BR45" s="477">
        <f t="shared" si="17"/>
        <v>0</v>
      </c>
      <c r="BS45" s="465">
        <f t="shared" si="8"/>
        <v>0</v>
      </c>
      <c r="BT45" s="466" t="str">
        <f t="shared" si="2"/>
        <v>n.a.</v>
      </c>
    </row>
    <row r="46" spans="1:72">
      <c r="A46" s="201">
        <f t="shared" si="9"/>
        <v>33</v>
      </c>
      <c r="B46" s="639"/>
      <c r="C46" s="631" t="s">
        <v>8617</v>
      </c>
      <c r="D46" s="632"/>
      <c r="E46" s="637"/>
      <c r="F46" s="636"/>
      <c r="G46" s="474">
        <f t="shared" si="14"/>
        <v>0</v>
      </c>
      <c r="H46" s="293" t="str">
        <f t="shared" si="15"/>
        <v/>
      </c>
      <c r="I46" s="652"/>
      <c r="J46" s="653"/>
      <c r="K46" s="643"/>
      <c r="L46" s="654"/>
      <c r="M46" s="653"/>
      <c r="N46" s="643"/>
      <c r="O46" s="643"/>
      <c r="P46" s="643"/>
      <c r="Q46" s="652"/>
      <c r="R46" s="655"/>
      <c r="S46" s="649"/>
      <c r="T46" s="292" t="e">
        <f>INDEX(ei_geo!$B:$B,MATCH(S46,ei_geo!$A:$A,0))</f>
        <v>#N/A</v>
      </c>
      <c r="U46" s="666"/>
      <c r="V46" s="666"/>
      <c r="W46" s="667"/>
      <c r="X46" s="668"/>
      <c r="Y46" s="643"/>
      <c r="Z46" s="643"/>
      <c r="AA46" s="643"/>
      <c r="AB46" s="670"/>
      <c r="AC46" s="671"/>
      <c r="AD46" s="649"/>
      <c r="AE46" s="292"/>
      <c r="AF46" s="666"/>
      <c r="AG46" s="666"/>
      <c r="AH46" s="667"/>
      <c r="AI46" s="678"/>
      <c r="AJ46" s="666"/>
      <c r="AK46" s="666"/>
      <c r="AL46" s="666"/>
      <c r="AM46" s="679"/>
      <c r="AN46" s="671"/>
      <c r="AO46" s="649"/>
      <c r="AP46" s="292"/>
      <c r="AQ46" s="666"/>
      <c r="AR46" s="666"/>
      <c r="AS46" s="667"/>
      <c r="AT46" s="678"/>
      <c r="AU46" s="666"/>
      <c r="AV46" s="666"/>
      <c r="AW46" s="666"/>
      <c r="AX46" s="680"/>
      <c r="AY46" s="671"/>
      <c r="AZ46" s="649"/>
      <c r="BA46" s="292"/>
      <c r="BB46" s="666"/>
      <c r="BC46" s="666"/>
      <c r="BD46" s="689"/>
      <c r="BE46" s="678"/>
      <c r="BF46" s="666"/>
      <c r="BG46" s="666"/>
      <c r="BH46" s="666"/>
      <c r="BI46" s="667"/>
      <c r="BJ46" s="678"/>
      <c r="BK46" s="690"/>
      <c r="BL46" s="312"/>
      <c r="BM46" s="475">
        <f t="shared" si="12"/>
        <v>0</v>
      </c>
      <c r="BN46" s="475">
        <f t="shared" si="4"/>
        <v>0</v>
      </c>
      <c r="BO46" s="475">
        <f t="shared" si="5"/>
        <v>0</v>
      </c>
      <c r="BP46" s="475">
        <f t="shared" si="6"/>
        <v>0</v>
      </c>
      <c r="BQ46" s="312"/>
      <c r="BR46" s="477">
        <f t="shared" si="17"/>
        <v>0</v>
      </c>
      <c r="BS46" s="465">
        <f t="shared" si="8"/>
        <v>0</v>
      </c>
      <c r="BT46" s="466" t="str">
        <f t="shared" si="2"/>
        <v>n.a.</v>
      </c>
    </row>
    <row r="47" spans="1:72">
      <c r="A47" s="201">
        <f t="shared" si="9"/>
        <v>34</v>
      </c>
      <c r="B47" s="639"/>
      <c r="C47" s="631" t="s">
        <v>8618</v>
      </c>
      <c r="D47" s="632"/>
      <c r="E47" s="635"/>
      <c r="F47" s="636"/>
      <c r="G47" s="474">
        <f t="shared" si="14"/>
        <v>0</v>
      </c>
      <c r="H47" s="293" t="str">
        <f t="shared" si="15"/>
        <v/>
      </c>
      <c r="I47" s="652"/>
      <c r="J47" s="653"/>
      <c r="K47" s="643"/>
      <c r="L47" s="654"/>
      <c r="M47" s="653"/>
      <c r="N47" s="643"/>
      <c r="O47" s="643"/>
      <c r="P47" s="643"/>
      <c r="Q47" s="652"/>
      <c r="R47" s="655"/>
      <c r="S47" s="649"/>
      <c r="T47" s="292" t="e">
        <f>INDEX(ei_geo!$B:$B,MATCH(S47,ei_geo!$A:$A,0))</f>
        <v>#N/A</v>
      </c>
      <c r="U47" s="666"/>
      <c r="V47" s="666"/>
      <c r="W47" s="667"/>
      <c r="X47" s="668"/>
      <c r="Y47" s="643"/>
      <c r="Z47" s="643"/>
      <c r="AA47" s="643"/>
      <c r="AB47" s="670"/>
      <c r="AC47" s="671"/>
      <c r="AD47" s="649"/>
      <c r="AE47" s="292"/>
      <c r="AF47" s="666"/>
      <c r="AG47" s="666"/>
      <c r="AH47" s="667"/>
      <c r="AI47" s="678"/>
      <c r="AJ47" s="666"/>
      <c r="AK47" s="666"/>
      <c r="AL47" s="666"/>
      <c r="AM47" s="679"/>
      <c r="AN47" s="671"/>
      <c r="AO47" s="649"/>
      <c r="AP47" s="292"/>
      <c r="AQ47" s="666"/>
      <c r="AR47" s="666"/>
      <c r="AS47" s="667"/>
      <c r="AT47" s="678"/>
      <c r="AU47" s="666"/>
      <c r="AV47" s="666"/>
      <c r="AW47" s="666"/>
      <c r="AX47" s="680"/>
      <c r="AY47" s="671"/>
      <c r="AZ47" s="649"/>
      <c r="BA47" s="292"/>
      <c r="BB47" s="666"/>
      <c r="BC47" s="666"/>
      <c r="BD47" s="689"/>
      <c r="BE47" s="678"/>
      <c r="BF47" s="666"/>
      <c r="BG47" s="666"/>
      <c r="BH47" s="666"/>
      <c r="BI47" s="667"/>
      <c r="BJ47" s="678"/>
      <c r="BK47" s="690"/>
      <c r="BL47" s="312"/>
      <c r="BM47" s="475">
        <f t="shared" si="12"/>
        <v>0</v>
      </c>
      <c r="BN47" s="475">
        <f t="shared" si="4"/>
        <v>0</v>
      </c>
      <c r="BO47" s="475">
        <f t="shared" si="5"/>
        <v>0</v>
      </c>
      <c r="BP47" s="475">
        <f t="shared" si="6"/>
        <v>0</v>
      </c>
      <c r="BQ47" s="312"/>
      <c r="BR47" s="477">
        <f>IF($G47&gt;0,(AB47+AM47+AX47+BI47),0)</f>
        <v>0</v>
      </c>
      <c r="BS47" s="465">
        <f>IF($G47&gt;0,"check",IF($G47=0,0))</f>
        <v>0</v>
      </c>
      <c r="BT47" s="466" t="str">
        <f t="shared" si="2"/>
        <v>n.a.</v>
      </c>
    </row>
    <row r="48" spans="1:72">
      <c r="A48" s="201">
        <f t="shared" si="9"/>
        <v>35</v>
      </c>
      <c r="B48" s="639"/>
      <c r="C48" s="631" t="s">
        <v>8619</v>
      </c>
      <c r="D48" s="632"/>
      <c r="E48" s="635"/>
      <c r="F48" s="636"/>
      <c r="G48" s="474">
        <f t="shared" si="14"/>
        <v>0</v>
      </c>
      <c r="H48" s="293" t="str">
        <f t="shared" si="15"/>
        <v/>
      </c>
      <c r="I48" s="652"/>
      <c r="J48" s="653"/>
      <c r="K48" s="643"/>
      <c r="L48" s="654"/>
      <c r="M48" s="653"/>
      <c r="N48" s="643"/>
      <c r="O48" s="643"/>
      <c r="P48" s="643"/>
      <c r="Q48" s="652"/>
      <c r="R48" s="655"/>
      <c r="S48" s="649"/>
      <c r="T48" s="292" t="e">
        <f>INDEX(ei_geo!$B:$B,MATCH(S48,ei_geo!$A:$A,0))</f>
        <v>#N/A</v>
      </c>
      <c r="U48" s="666"/>
      <c r="V48" s="666"/>
      <c r="W48" s="667"/>
      <c r="X48" s="668"/>
      <c r="Y48" s="643"/>
      <c r="Z48" s="643"/>
      <c r="AA48" s="643"/>
      <c r="AB48" s="670"/>
      <c r="AC48" s="671"/>
      <c r="AD48" s="649"/>
      <c r="AE48" s="292"/>
      <c r="AF48" s="666"/>
      <c r="AG48" s="666"/>
      <c r="AH48" s="667"/>
      <c r="AI48" s="678"/>
      <c r="AJ48" s="666"/>
      <c r="AK48" s="666"/>
      <c r="AL48" s="666"/>
      <c r="AM48" s="679"/>
      <c r="AN48" s="671"/>
      <c r="AO48" s="649"/>
      <c r="AP48" s="292"/>
      <c r="AQ48" s="666"/>
      <c r="AR48" s="666"/>
      <c r="AS48" s="667"/>
      <c r="AT48" s="678"/>
      <c r="AU48" s="666"/>
      <c r="AV48" s="666"/>
      <c r="AW48" s="666"/>
      <c r="AX48" s="680"/>
      <c r="AY48" s="671"/>
      <c r="AZ48" s="649"/>
      <c r="BA48" s="292"/>
      <c r="BB48" s="666"/>
      <c r="BC48" s="666"/>
      <c r="BD48" s="689"/>
      <c r="BE48" s="678"/>
      <c r="BF48" s="666"/>
      <c r="BG48" s="666"/>
      <c r="BH48" s="666"/>
      <c r="BI48" s="667"/>
      <c r="BJ48" s="678"/>
      <c r="BK48" s="690"/>
      <c r="BL48" s="312"/>
      <c r="BM48" s="475">
        <f t="shared" si="12"/>
        <v>0</v>
      </c>
      <c r="BN48" s="475">
        <f t="shared" si="4"/>
        <v>0</v>
      </c>
      <c r="BO48" s="475">
        <f t="shared" si="5"/>
        <v>0</v>
      </c>
      <c r="BP48" s="475">
        <f t="shared" si="6"/>
        <v>0</v>
      </c>
      <c r="BQ48" s="312"/>
      <c r="BR48" s="477">
        <f>IF($G48&gt;0,(AB48+AM48+AX48+BI48),0)</f>
        <v>0</v>
      </c>
      <c r="BS48" s="465">
        <f>IF($G48&gt;0,"check",IF($G48=0,0))</f>
        <v>0</v>
      </c>
      <c r="BT48" s="466" t="str">
        <f t="shared" si="2"/>
        <v>n.a.</v>
      </c>
    </row>
    <row r="49" spans="1:72">
      <c r="A49" s="201">
        <f t="shared" si="9"/>
        <v>36</v>
      </c>
      <c r="B49" s="639"/>
      <c r="C49" s="631" t="s">
        <v>8620</v>
      </c>
      <c r="D49" s="632"/>
      <c r="E49" s="635"/>
      <c r="F49" s="636"/>
      <c r="G49" s="474">
        <f t="shared" si="14"/>
        <v>0</v>
      </c>
      <c r="H49" s="293" t="str">
        <f t="shared" si="15"/>
        <v/>
      </c>
      <c r="I49" s="652"/>
      <c r="J49" s="653"/>
      <c r="K49" s="643"/>
      <c r="L49" s="654"/>
      <c r="M49" s="653"/>
      <c r="N49" s="643"/>
      <c r="O49" s="643"/>
      <c r="P49" s="643"/>
      <c r="Q49" s="652"/>
      <c r="R49" s="655"/>
      <c r="S49" s="649"/>
      <c r="T49" s="292" t="e">
        <f>INDEX(ei_geo!$B:$B,MATCH(S49,ei_geo!$A:$A,0))</f>
        <v>#N/A</v>
      </c>
      <c r="U49" s="666"/>
      <c r="V49" s="666"/>
      <c r="W49" s="667"/>
      <c r="X49" s="668"/>
      <c r="Y49" s="643"/>
      <c r="Z49" s="643"/>
      <c r="AA49" s="643"/>
      <c r="AB49" s="670"/>
      <c r="AC49" s="671"/>
      <c r="AD49" s="649"/>
      <c r="AE49" s="292"/>
      <c r="AF49" s="666"/>
      <c r="AG49" s="666"/>
      <c r="AH49" s="667"/>
      <c r="AI49" s="678"/>
      <c r="AJ49" s="666"/>
      <c r="AK49" s="666"/>
      <c r="AL49" s="666"/>
      <c r="AM49" s="679"/>
      <c r="AN49" s="671"/>
      <c r="AO49" s="649"/>
      <c r="AP49" s="292"/>
      <c r="AQ49" s="666"/>
      <c r="AR49" s="666"/>
      <c r="AS49" s="667"/>
      <c r="AT49" s="678"/>
      <c r="AU49" s="666"/>
      <c r="AV49" s="666"/>
      <c r="AW49" s="666"/>
      <c r="AX49" s="680"/>
      <c r="AY49" s="671"/>
      <c r="AZ49" s="649"/>
      <c r="BA49" s="292"/>
      <c r="BB49" s="666"/>
      <c r="BC49" s="666"/>
      <c r="BD49" s="689"/>
      <c r="BE49" s="678"/>
      <c r="BF49" s="666"/>
      <c r="BG49" s="666"/>
      <c r="BH49" s="666"/>
      <c r="BI49" s="667"/>
      <c r="BJ49" s="678"/>
      <c r="BK49" s="690"/>
      <c r="BL49" s="312"/>
      <c r="BM49" s="475">
        <f t="shared" si="12"/>
        <v>0</v>
      </c>
      <c r="BN49" s="475">
        <f t="shared" si="4"/>
        <v>0</v>
      </c>
      <c r="BO49" s="475">
        <f t="shared" si="5"/>
        <v>0</v>
      </c>
      <c r="BP49" s="475">
        <f t="shared" si="6"/>
        <v>0</v>
      </c>
      <c r="BQ49" s="312"/>
      <c r="BR49" s="477">
        <f t="shared" ref="BR49:BR53" si="18">IF($G49&gt;0,(AB49+AM49+AX49+BI49),0)</f>
        <v>0</v>
      </c>
      <c r="BS49" s="465">
        <f t="shared" ref="BS49:BS59" si="19">IF($G49&gt;0,"check",IF($G49=0,0))</f>
        <v>0</v>
      </c>
      <c r="BT49" s="466" t="str">
        <f t="shared" si="2"/>
        <v>n.a.</v>
      </c>
    </row>
    <row r="50" spans="1:72">
      <c r="A50" s="201">
        <f t="shared" si="9"/>
        <v>37</v>
      </c>
      <c r="B50" s="639"/>
      <c r="C50" s="631" t="s">
        <v>8621</v>
      </c>
      <c r="D50" s="632"/>
      <c r="E50" s="636"/>
      <c r="F50" s="636"/>
      <c r="G50" s="474">
        <f t="shared" si="14"/>
        <v>0</v>
      </c>
      <c r="H50" s="293" t="str">
        <f t="shared" si="15"/>
        <v/>
      </c>
      <c r="I50" s="652"/>
      <c r="J50" s="653"/>
      <c r="K50" s="643"/>
      <c r="L50" s="654"/>
      <c r="M50" s="653"/>
      <c r="N50" s="643"/>
      <c r="O50" s="643"/>
      <c r="P50" s="643"/>
      <c r="Q50" s="652"/>
      <c r="R50" s="655"/>
      <c r="S50" s="649"/>
      <c r="T50" s="292" t="e">
        <f>INDEX(ei_geo!$B:$B,MATCH(S50,ei_geo!$A:$A,0))</f>
        <v>#N/A</v>
      </c>
      <c r="U50" s="666"/>
      <c r="V50" s="666"/>
      <c r="W50" s="667"/>
      <c r="X50" s="668"/>
      <c r="Y50" s="643"/>
      <c r="Z50" s="643"/>
      <c r="AA50" s="643"/>
      <c r="AB50" s="670"/>
      <c r="AC50" s="671"/>
      <c r="AD50" s="649"/>
      <c r="AE50" s="292"/>
      <c r="AF50" s="666"/>
      <c r="AG50" s="666"/>
      <c r="AH50" s="667"/>
      <c r="AI50" s="678"/>
      <c r="AJ50" s="666"/>
      <c r="AK50" s="666"/>
      <c r="AL50" s="666"/>
      <c r="AM50" s="679"/>
      <c r="AN50" s="671"/>
      <c r="AO50" s="649"/>
      <c r="AP50" s="292"/>
      <c r="AQ50" s="666"/>
      <c r="AR50" s="666"/>
      <c r="AS50" s="667"/>
      <c r="AT50" s="678"/>
      <c r="AU50" s="666"/>
      <c r="AV50" s="666"/>
      <c r="AW50" s="666"/>
      <c r="AX50" s="680"/>
      <c r="AY50" s="671"/>
      <c r="AZ50" s="649"/>
      <c r="BA50" s="292"/>
      <c r="BB50" s="666"/>
      <c r="BC50" s="666"/>
      <c r="BD50" s="689"/>
      <c r="BE50" s="678"/>
      <c r="BF50" s="666"/>
      <c r="BG50" s="666"/>
      <c r="BH50" s="666"/>
      <c r="BI50" s="667"/>
      <c r="BJ50" s="678"/>
      <c r="BK50" s="690"/>
      <c r="BL50" s="312"/>
      <c r="BM50" s="475">
        <f t="shared" si="12"/>
        <v>0</v>
      </c>
      <c r="BN50" s="475">
        <f t="shared" si="4"/>
        <v>0</v>
      </c>
      <c r="BO50" s="475">
        <f t="shared" si="5"/>
        <v>0</v>
      </c>
      <c r="BP50" s="475">
        <f t="shared" si="6"/>
        <v>0</v>
      </c>
      <c r="BQ50" s="312"/>
      <c r="BR50" s="477">
        <f t="shared" si="18"/>
        <v>0</v>
      </c>
      <c r="BS50" s="465">
        <f t="shared" si="19"/>
        <v>0</v>
      </c>
      <c r="BT50" s="466" t="str">
        <f t="shared" si="2"/>
        <v>n.a.</v>
      </c>
    </row>
    <row r="51" spans="1:72">
      <c r="A51" s="201">
        <f t="shared" si="9"/>
        <v>38</v>
      </c>
      <c r="B51" s="639"/>
      <c r="C51" s="631" t="s">
        <v>8622</v>
      </c>
      <c r="D51" s="632"/>
      <c r="E51" s="637"/>
      <c r="F51" s="636"/>
      <c r="G51" s="474">
        <f t="shared" si="14"/>
        <v>0</v>
      </c>
      <c r="H51" s="293" t="str">
        <f t="shared" si="15"/>
        <v/>
      </c>
      <c r="I51" s="652"/>
      <c r="J51" s="653"/>
      <c r="K51" s="643"/>
      <c r="L51" s="654"/>
      <c r="M51" s="653"/>
      <c r="N51" s="643"/>
      <c r="O51" s="643"/>
      <c r="P51" s="643"/>
      <c r="Q51" s="652"/>
      <c r="R51" s="655"/>
      <c r="S51" s="649"/>
      <c r="T51" s="292" t="e">
        <f>INDEX(ei_geo!$B:$B,MATCH(S51,ei_geo!$A:$A,0))</f>
        <v>#N/A</v>
      </c>
      <c r="U51" s="666"/>
      <c r="V51" s="666"/>
      <c r="W51" s="667"/>
      <c r="X51" s="668"/>
      <c r="Y51" s="643"/>
      <c r="Z51" s="643"/>
      <c r="AA51" s="643"/>
      <c r="AB51" s="652"/>
      <c r="AC51" s="671"/>
      <c r="AD51" s="649"/>
      <c r="AE51" s="292"/>
      <c r="AF51" s="666"/>
      <c r="AG51" s="666"/>
      <c r="AH51" s="667"/>
      <c r="AI51" s="678"/>
      <c r="AJ51" s="666"/>
      <c r="AK51" s="666"/>
      <c r="AL51" s="666"/>
      <c r="AM51" s="667"/>
      <c r="AN51" s="671"/>
      <c r="AO51" s="649"/>
      <c r="AP51" s="292"/>
      <c r="AQ51" s="666"/>
      <c r="AR51" s="666"/>
      <c r="AS51" s="667"/>
      <c r="AT51" s="678"/>
      <c r="AU51" s="666"/>
      <c r="AV51" s="666"/>
      <c r="AW51" s="666"/>
      <c r="AX51" s="680"/>
      <c r="AY51" s="671"/>
      <c r="AZ51" s="649"/>
      <c r="BA51" s="292"/>
      <c r="BB51" s="666"/>
      <c r="BC51" s="666"/>
      <c r="BD51" s="689"/>
      <c r="BE51" s="678"/>
      <c r="BF51" s="666"/>
      <c r="BG51" s="666"/>
      <c r="BH51" s="666"/>
      <c r="BI51" s="667"/>
      <c r="BJ51" s="678"/>
      <c r="BK51" s="690"/>
      <c r="BL51" s="312"/>
      <c r="BM51" s="475">
        <f t="shared" si="12"/>
        <v>0</v>
      </c>
      <c r="BN51" s="475">
        <f t="shared" si="4"/>
        <v>0</v>
      </c>
      <c r="BO51" s="475">
        <f t="shared" si="5"/>
        <v>0</v>
      </c>
      <c r="BP51" s="475">
        <f t="shared" si="6"/>
        <v>0</v>
      </c>
      <c r="BQ51" s="312"/>
      <c r="BR51" s="476">
        <f t="shared" si="18"/>
        <v>0</v>
      </c>
      <c r="BS51" s="465">
        <f t="shared" si="19"/>
        <v>0</v>
      </c>
      <c r="BT51" s="466" t="str">
        <f t="shared" si="2"/>
        <v>n.a.</v>
      </c>
    </row>
    <row r="52" spans="1:72">
      <c r="A52" s="201">
        <f t="shared" si="9"/>
        <v>39</v>
      </c>
      <c r="B52" s="639"/>
      <c r="C52" s="631" t="s">
        <v>8623</v>
      </c>
      <c r="D52" s="632"/>
      <c r="E52" s="637"/>
      <c r="F52" s="636"/>
      <c r="G52" s="474">
        <f t="shared" si="14"/>
        <v>0</v>
      </c>
      <c r="H52" s="293" t="str">
        <f t="shared" si="15"/>
        <v/>
      </c>
      <c r="I52" s="652"/>
      <c r="J52" s="653"/>
      <c r="K52" s="643"/>
      <c r="L52" s="654"/>
      <c r="M52" s="653"/>
      <c r="N52" s="643"/>
      <c r="O52" s="643"/>
      <c r="P52" s="643"/>
      <c r="Q52" s="652"/>
      <c r="R52" s="655"/>
      <c r="S52" s="649"/>
      <c r="T52" s="292" t="e">
        <f>INDEX(ei_geo!$B:$B,MATCH(S52,ei_geo!$A:$A,0))</f>
        <v>#N/A</v>
      </c>
      <c r="U52" s="666"/>
      <c r="V52" s="666"/>
      <c r="W52" s="667"/>
      <c r="X52" s="668"/>
      <c r="Y52" s="643"/>
      <c r="Z52" s="643"/>
      <c r="AA52" s="643"/>
      <c r="AB52" s="652"/>
      <c r="AC52" s="671"/>
      <c r="AD52" s="649"/>
      <c r="AE52" s="292"/>
      <c r="AF52" s="666"/>
      <c r="AG52" s="666"/>
      <c r="AH52" s="667"/>
      <c r="AI52" s="678"/>
      <c r="AJ52" s="666"/>
      <c r="AK52" s="666"/>
      <c r="AL52" s="666"/>
      <c r="AM52" s="667"/>
      <c r="AN52" s="671"/>
      <c r="AO52" s="649"/>
      <c r="AP52" s="292"/>
      <c r="AQ52" s="666"/>
      <c r="AR52" s="666"/>
      <c r="AS52" s="667"/>
      <c r="AT52" s="678"/>
      <c r="AU52" s="666"/>
      <c r="AV52" s="666"/>
      <c r="AW52" s="666"/>
      <c r="AX52" s="680"/>
      <c r="AY52" s="671"/>
      <c r="AZ52" s="649"/>
      <c r="BA52" s="292"/>
      <c r="BB52" s="666"/>
      <c r="BC52" s="666"/>
      <c r="BD52" s="689"/>
      <c r="BE52" s="678"/>
      <c r="BF52" s="666"/>
      <c r="BG52" s="666"/>
      <c r="BH52" s="666"/>
      <c r="BI52" s="667"/>
      <c r="BJ52" s="678"/>
      <c r="BK52" s="690"/>
      <c r="BL52" s="312"/>
      <c r="BM52" s="475">
        <f t="shared" si="12"/>
        <v>0</v>
      </c>
      <c r="BN52" s="475">
        <f t="shared" si="4"/>
        <v>0</v>
      </c>
      <c r="BO52" s="475">
        <f t="shared" si="5"/>
        <v>0</v>
      </c>
      <c r="BP52" s="475">
        <f t="shared" si="6"/>
        <v>0</v>
      </c>
      <c r="BQ52" s="312"/>
      <c r="BR52" s="476">
        <f t="shared" si="18"/>
        <v>0</v>
      </c>
      <c r="BS52" s="465">
        <f t="shared" si="19"/>
        <v>0</v>
      </c>
      <c r="BT52" s="466" t="str">
        <f t="shared" si="2"/>
        <v>n.a.</v>
      </c>
    </row>
    <row r="53" spans="1:72">
      <c r="A53" s="201">
        <f t="shared" si="9"/>
        <v>40</v>
      </c>
      <c r="B53" s="639"/>
      <c r="C53" s="631" t="s">
        <v>8624</v>
      </c>
      <c r="D53" s="632"/>
      <c r="E53" s="636"/>
      <c r="F53" s="636"/>
      <c r="G53" s="474">
        <f t="shared" si="14"/>
        <v>0</v>
      </c>
      <c r="H53" s="293" t="str">
        <f t="shared" si="15"/>
        <v/>
      </c>
      <c r="I53" s="652"/>
      <c r="J53" s="653"/>
      <c r="K53" s="643"/>
      <c r="L53" s="654"/>
      <c r="M53" s="653"/>
      <c r="N53" s="643"/>
      <c r="O53" s="643"/>
      <c r="P53" s="643"/>
      <c r="Q53" s="652"/>
      <c r="R53" s="655"/>
      <c r="S53" s="649"/>
      <c r="T53" s="292" t="e">
        <f>INDEX(ei_geo!$B:$B,MATCH(S53,ei_geo!$A:$A,0))</f>
        <v>#N/A</v>
      </c>
      <c r="U53" s="666"/>
      <c r="V53" s="666"/>
      <c r="W53" s="667"/>
      <c r="X53" s="668"/>
      <c r="Y53" s="643"/>
      <c r="Z53" s="643"/>
      <c r="AA53" s="643"/>
      <c r="AB53" s="652"/>
      <c r="AC53" s="671"/>
      <c r="AD53" s="649"/>
      <c r="AE53" s="292"/>
      <c r="AF53" s="666"/>
      <c r="AG53" s="666"/>
      <c r="AH53" s="667"/>
      <c r="AI53" s="678"/>
      <c r="AJ53" s="666"/>
      <c r="AK53" s="666"/>
      <c r="AL53" s="666"/>
      <c r="AM53" s="667"/>
      <c r="AN53" s="671"/>
      <c r="AO53" s="649"/>
      <c r="AP53" s="292"/>
      <c r="AQ53" s="666"/>
      <c r="AR53" s="666"/>
      <c r="AS53" s="667"/>
      <c r="AT53" s="678"/>
      <c r="AU53" s="666"/>
      <c r="AV53" s="666"/>
      <c r="AW53" s="666"/>
      <c r="AX53" s="680"/>
      <c r="AY53" s="671"/>
      <c r="AZ53" s="649"/>
      <c r="BA53" s="292"/>
      <c r="BB53" s="666"/>
      <c r="BC53" s="666"/>
      <c r="BD53" s="689"/>
      <c r="BE53" s="678"/>
      <c r="BF53" s="666"/>
      <c r="BG53" s="666"/>
      <c r="BH53" s="666"/>
      <c r="BI53" s="667"/>
      <c r="BJ53" s="678"/>
      <c r="BK53" s="690"/>
      <c r="BL53" s="312"/>
      <c r="BM53" s="475">
        <f t="shared" si="12"/>
        <v>0</v>
      </c>
      <c r="BN53" s="475">
        <f t="shared" si="4"/>
        <v>0</v>
      </c>
      <c r="BO53" s="475">
        <f t="shared" si="5"/>
        <v>0</v>
      </c>
      <c r="BP53" s="475">
        <f t="shared" si="6"/>
        <v>0</v>
      </c>
      <c r="BQ53" s="312"/>
      <c r="BR53" s="476">
        <f t="shared" si="18"/>
        <v>0</v>
      </c>
      <c r="BS53" s="465">
        <f t="shared" si="19"/>
        <v>0</v>
      </c>
      <c r="BT53" s="466" t="str">
        <f t="shared" si="2"/>
        <v>n.a.</v>
      </c>
    </row>
    <row r="54" spans="1:72">
      <c r="A54" s="201">
        <f t="shared" si="9"/>
        <v>41</v>
      </c>
      <c r="B54" s="639"/>
      <c r="C54" s="631" t="s">
        <v>8625</v>
      </c>
      <c r="D54" s="632"/>
      <c r="E54" s="636"/>
      <c r="F54" s="636"/>
      <c r="G54" s="474">
        <f t="shared" si="14"/>
        <v>0</v>
      </c>
      <c r="H54" s="293" t="str">
        <f t="shared" si="15"/>
        <v/>
      </c>
      <c r="I54" s="652"/>
      <c r="J54" s="653"/>
      <c r="K54" s="643"/>
      <c r="L54" s="654"/>
      <c r="M54" s="653"/>
      <c r="N54" s="643"/>
      <c r="O54" s="643"/>
      <c r="P54" s="643"/>
      <c r="Q54" s="652"/>
      <c r="R54" s="655"/>
      <c r="S54" s="649"/>
      <c r="T54" s="292" t="e">
        <f>INDEX(ei_geo!$B:$B,MATCH(S54,ei_geo!$A:$A,0))</f>
        <v>#N/A</v>
      </c>
      <c r="U54" s="666"/>
      <c r="V54" s="666"/>
      <c r="W54" s="667"/>
      <c r="X54" s="668"/>
      <c r="Y54" s="643"/>
      <c r="Z54" s="643"/>
      <c r="AA54" s="643"/>
      <c r="AB54" s="652"/>
      <c r="AC54" s="671"/>
      <c r="AD54" s="649"/>
      <c r="AE54" s="292"/>
      <c r="AF54" s="666"/>
      <c r="AG54" s="666"/>
      <c r="AH54" s="667"/>
      <c r="AI54" s="678"/>
      <c r="AJ54" s="666"/>
      <c r="AK54" s="666"/>
      <c r="AL54" s="666"/>
      <c r="AM54" s="667"/>
      <c r="AN54" s="671"/>
      <c r="AO54" s="649"/>
      <c r="AP54" s="292"/>
      <c r="AQ54" s="666"/>
      <c r="AR54" s="666"/>
      <c r="AS54" s="667"/>
      <c r="AT54" s="678"/>
      <c r="AU54" s="666"/>
      <c r="AV54" s="666"/>
      <c r="AW54" s="666"/>
      <c r="AX54" s="680"/>
      <c r="AY54" s="671"/>
      <c r="AZ54" s="649"/>
      <c r="BA54" s="292"/>
      <c r="BB54" s="666"/>
      <c r="BC54" s="666"/>
      <c r="BD54" s="689"/>
      <c r="BE54" s="678"/>
      <c r="BF54" s="666"/>
      <c r="BG54" s="666"/>
      <c r="BH54" s="666"/>
      <c r="BI54" s="667"/>
      <c r="BJ54" s="678"/>
      <c r="BK54" s="690"/>
      <c r="BL54" s="312"/>
      <c r="BM54" s="475">
        <f t="shared" si="12"/>
        <v>0</v>
      </c>
      <c r="BN54" s="475">
        <f t="shared" si="4"/>
        <v>0</v>
      </c>
      <c r="BO54" s="475">
        <f t="shared" si="5"/>
        <v>0</v>
      </c>
      <c r="BP54" s="475">
        <f t="shared" si="6"/>
        <v>0</v>
      </c>
      <c r="BQ54" s="312"/>
      <c r="BR54" s="476">
        <f>IF($G54&gt;0,(AB54+AM54+AX54+BI54),0)</f>
        <v>0</v>
      </c>
      <c r="BS54" s="465">
        <f>IF($G54&gt;0,"check",IF($G54=0,0))</f>
        <v>0</v>
      </c>
      <c r="BT54" s="466" t="str">
        <f t="shared" si="2"/>
        <v>n.a.</v>
      </c>
    </row>
    <row r="55" spans="1:72">
      <c r="A55" s="201">
        <f t="shared" si="9"/>
        <v>42</v>
      </c>
      <c r="B55" s="639"/>
      <c r="C55" s="631" t="s">
        <v>8626</v>
      </c>
      <c r="D55" s="632"/>
      <c r="E55" s="638"/>
      <c r="F55" s="636"/>
      <c r="G55" s="474">
        <f t="shared" si="14"/>
        <v>0</v>
      </c>
      <c r="H55" s="293" t="str">
        <f t="shared" si="15"/>
        <v/>
      </c>
      <c r="I55" s="652"/>
      <c r="J55" s="653"/>
      <c r="K55" s="643"/>
      <c r="L55" s="654"/>
      <c r="M55" s="653"/>
      <c r="N55" s="643"/>
      <c r="O55" s="643"/>
      <c r="P55" s="643"/>
      <c r="Q55" s="652"/>
      <c r="R55" s="655"/>
      <c r="S55" s="649"/>
      <c r="T55" s="292" t="e">
        <f>INDEX(ei_geo!$B:$B,MATCH(S55,ei_geo!$A:$A,0))</f>
        <v>#N/A</v>
      </c>
      <c r="U55" s="666"/>
      <c r="V55" s="666"/>
      <c r="W55" s="667"/>
      <c r="X55" s="668"/>
      <c r="Y55" s="643"/>
      <c r="Z55" s="643"/>
      <c r="AA55" s="643"/>
      <c r="AB55" s="652"/>
      <c r="AC55" s="671"/>
      <c r="AD55" s="649"/>
      <c r="AE55" s="292"/>
      <c r="AF55" s="666"/>
      <c r="AG55" s="666"/>
      <c r="AH55" s="667"/>
      <c r="AI55" s="678"/>
      <c r="AJ55" s="666"/>
      <c r="AK55" s="666"/>
      <c r="AL55" s="666"/>
      <c r="AM55" s="667"/>
      <c r="AN55" s="671"/>
      <c r="AO55" s="649"/>
      <c r="AP55" s="292"/>
      <c r="AQ55" s="666"/>
      <c r="AR55" s="666"/>
      <c r="AS55" s="667"/>
      <c r="AT55" s="678"/>
      <c r="AU55" s="666"/>
      <c r="AV55" s="666"/>
      <c r="AW55" s="666"/>
      <c r="AX55" s="680"/>
      <c r="AY55" s="671"/>
      <c r="AZ55" s="649"/>
      <c r="BA55" s="292"/>
      <c r="BB55" s="666"/>
      <c r="BC55" s="666"/>
      <c r="BD55" s="689"/>
      <c r="BE55" s="678"/>
      <c r="BF55" s="666"/>
      <c r="BG55" s="666"/>
      <c r="BH55" s="666"/>
      <c r="BI55" s="667"/>
      <c r="BJ55" s="678"/>
      <c r="BK55" s="690"/>
      <c r="BL55" s="312"/>
      <c r="BM55" s="475">
        <f t="shared" si="12"/>
        <v>0</v>
      </c>
      <c r="BN55" s="475">
        <f t="shared" si="4"/>
        <v>0</v>
      </c>
      <c r="BO55" s="475">
        <f t="shared" si="5"/>
        <v>0</v>
      </c>
      <c r="BP55" s="475">
        <f t="shared" si="6"/>
        <v>0</v>
      </c>
      <c r="BQ55" s="312"/>
      <c r="BR55" s="476">
        <f t="shared" ref="BR55:BR59" si="20">IF($G55&gt;0,(AB55+AM55+AX55+BI55),0)</f>
        <v>0</v>
      </c>
      <c r="BS55" s="465">
        <f t="shared" si="19"/>
        <v>0</v>
      </c>
      <c r="BT55" s="466" t="str">
        <f t="shared" si="2"/>
        <v>n.a.</v>
      </c>
    </row>
    <row r="56" spans="1:72">
      <c r="A56" s="201">
        <f t="shared" si="9"/>
        <v>43</v>
      </c>
      <c r="B56" s="639"/>
      <c r="C56" s="631" t="s">
        <v>8627</v>
      </c>
      <c r="D56" s="632"/>
      <c r="E56" s="637"/>
      <c r="F56" s="640"/>
      <c r="G56" s="474">
        <f t="shared" si="14"/>
        <v>0</v>
      </c>
      <c r="H56" s="293" t="str">
        <f t="shared" si="15"/>
        <v/>
      </c>
      <c r="I56" s="652"/>
      <c r="J56" s="653"/>
      <c r="K56" s="643"/>
      <c r="L56" s="654"/>
      <c r="M56" s="653"/>
      <c r="N56" s="643"/>
      <c r="O56" s="643"/>
      <c r="P56" s="643"/>
      <c r="Q56" s="652"/>
      <c r="R56" s="655"/>
      <c r="S56" s="649"/>
      <c r="T56" s="292" t="e">
        <f>INDEX(ei_geo!$B:$B,MATCH(S56,ei_geo!$A:$A,0))</f>
        <v>#N/A</v>
      </c>
      <c r="U56" s="666"/>
      <c r="V56" s="666"/>
      <c r="W56" s="667"/>
      <c r="X56" s="668"/>
      <c r="Y56" s="643"/>
      <c r="Z56" s="643"/>
      <c r="AA56" s="643"/>
      <c r="AB56" s="652"/>
      <c r="AC56" s="671"/>
      <c r="AD56" s="649"/>
      <c r="AE56" s="292"/>
      <c r="AF56" s="666"/>
      <c r="AG56" s="666"/>
      <c r="AH56" s="667"/>
      <c r="AI56" s="678"/>
      <c r="AJ56" s="666"/>
      <c r="AK56" s="666"/>
      <c r="AL56" s="666"/>
      <c r="AM56" s="667"/>
      <c r="AN56" s="671"/>
      <c r="AO56" s="649"/>
      <c r="AP56" s="292"/>
      <c r="AQ56" s="666"/>
      <c r="AR56" s="666"/>
      <c r="AS56" s="667"/>
      <c r="AT56" s="678"/>
      <c r="AU56" s="666"/>
      <c r="AV56" s="666"/>
      <c r="AW56" s="666"/>
      <c r="AX56" s="680"/>
      <c r="AY56" s="671"/>
      <c r="AZ56" s="649"/>
      <c r="BA56" s="292"/>
      <c r="BB56" s="666"/>
      <c r="BC56" s="666"/>
      <c r="BD56" s="689"/>
      <c r="BE56" s="678"/>
      <c r="BF56" s="666"/>
      <c r="BG56" s="666"/>
      <c r="BH56" s="666"/>
      <c r="BI56" s="667"/>
      <c r="BJ56" s="678"/>
      <c r="BK56" s="690"/>
      <c r="BL56" s="312"/>
      <c r="BM56" s="475">
        <f t="shared" si="12"/>
        <v>0</v>
      </c>
      <c r="BN56" s="475">
        <f t="shared" si="4"/>
        <v>0</v>
      </c>
      <c r="BO56" s="475">
        <f t="shared" si="5"/>
        <v>0</v>
      </c>
      <c r="BP56" s="475">
        <f t="shared" si="6"/>
        <v>0</v>
      </c>
      <c r="BQ56" s="312"/>
      <c r="BR56" s="476">
        <f t="shared" si="20"/>
        <v>0</v>
      </c>
      <c r="BS56" s="465">
        <f t="shared" si="19"/>
        <v>0</v>
      </c>
      <c r="BT56" s="466" t="str">
        <f t="shared" si="2"/>
        <v>n.a.</v>
      </c>
    </row>
    <row r="57" spans="1:72">
      <c r="A57" s="201">
        <f t="shared" si="9"/>
        <v>44</v>
      </c>
      <c r="B57" s="639"/>
      <c r="C57" s="631" t="s">
        <v>8628</v>
      </c>
      <c r="D57" s="632"/>
      <c r="E57" s="637"/>
      <c r="F57" s="636"/>
      <c r="G57" s="474">
        <f t="shared" si="14"/>
        <v>0</v>
      </c>
      <c r="H57" s="293" t="str">
        <f t="shared" si="15"/>
        <v/>
      </c>
      <c r="I57" s="652"/>
      <c r="J57" s="653"/>
      <c r="K57" s="643"/>
      <c r="L57" s="654"/>
      <c r="M57" s="653"/>
      <c r="N57" s="643"/>
      <c r="O57" s="643"/>
      <c r="P57" s="643"/>
      <c r="Q57" s="652"/>
      <c r="R57" s="655"/>
      <c r="S57" s="649"/>
      <c r="T57" s="292" t="e">
        <f>INDEX(ei_geo!$B:$B,MATCH(S57,ei_geo!$A:$A,0))</f>
        <v>#N/A</v>
      </c>
      <c r="U57" s="666"/>
      <c r="V57" s="666"/>
      <c r="W57" s="667"/>
      <c r="X57" s="668"/>
      <c r="Y57" s="643"/>
      <c r="Z57" s="643"/>
      <c r="AA57" s="643"/>
      <c r="AB57" s="652"/>
      <c r="AC57" s="671"/>
      <c r="AD57" s="649"/>
      <c r="AE57" s="292"/>
      <c r="AF57" s="666"/>
      <c r="AG57" s="666"/>
      <c r="AH57" s="667"/>
      <c r="AI57" s="678"/>
      <c r="AJ57" s="666"/>
      <c r="AK57" s="666"/>
      <c r="AL57" s="666"/>
      <c r="AM57" s="667"/>
      <c r="AN57" s="671"/>
      <c r="AO57" s="649"/>
      <c r="AP57" s="292"/>
      <c r="AQ57" s="666"/>
      <c r="AR57" s="666"/>
      <c r="AS57" s="667"/>
      <c r="AT57" s="678"/>
      <c r="AU57" s="666"/>
      <c r="AV57" s="666"/>
      <c r="AW57" s="666"/>
      <c r="AX57" s="680"/>
      <c r="AY57" s="671"/>
      <c r="AZ57" s="649"/>
      <c r="BA57" s="292"/>
      <c r="BB57" s="666"/>
      <c r="BC57" s="666"/>
      <c r="BD57" s="689"/>
      <c r="BE57" s="678"/>
      <c r="BF57" s="666"/>
      <c r="BG57" s="666"/>
      <c r="BH57" s="666"/>
      <c r="BI57" s="667"/>
      <c r="BJ57" s="678"/>
      <c r="BK57" s="690"/>
      <c r="BL57" s="312"/>
      <c r="BM57" s="475">
        <f t="shared" si="12"/>
        <v>0</v>
      </c>
      <c r="BN57" s="475">
        <f t="shared" si="4"/>
        <v>0</v>
      </c>
      <c r="BO57" s="475">
        <f t="shared" si="5"/>
        <v>0</v>
      </c>
      <c r="BP57" s="475">
        <f t="shared" si="6"/>
        <v>0</v>
      </c>
      <c r="BQ57" s="312"/>
      <c r="BR57" s="476">
        <f t="shared" si="20"/>
        <v>0</v>
      </c>
      <c r="BS57" s="465">
        <f t="shared" si="19"/>
        <v>0</v>
      </c>
      <c r="BT57" s="466" t="str">
        <f t="shared" si="2"/>
        <v>n.a.</v>
      </c>
    </row>
    <row r="58" spans="1:72">
      <c r="A58" s="201">
        <f t="shared" si="9"/>
        <v>45</v>
      </c>
      <c r="B58" s="639"/>
      <c r="C58" s="631" t="s">
        <v>8629</v>
      </c>
      <c r="D58" s="632"/>
      <c r="E58" s="638"/>
      <c r="F58" s="636"/>
      <c r="G58" s="474">
        <f t="shared" si="14"/>
        <v>0</v>
      </c>
      <c r="H58" s="293" t="str">
        <f t="shared" si="15"/>
        <v/>
      </c>
      <c r="I58" s="652"/>
      <c r="J58" s="653"/>
      <c r="K58" s="643"/>
      <c r="L58" s="654"/>
      <c r="M58" s="653"/>
      <c r="N58" s="643"/>
      <c r="O58" s="643"/>
      <c r="P58" s="643"/>
      <c r="Q58" s="652"/>
      <c r="R58" s="655"/>
      <c r="S58" s="649"/>
      <c r="T58" s="292" t="e">
        <f>INDEX(ei_geo!$B:$B,MATCH(S58,ei_geo!$A:$A,0))</f>
        <v>#N/A</v>
      </c>
      <c r="U58" s="666"/>
      <c r="V58" s="666"/>
      <c r="W58" s="667"/>
      <c r="X58" s="668"/>
      <c r="Y58" s="643"/>
      <c r="Z58" s="643"/>
      <c r="AA58" s="643"/>
      <c r="AB58" s="652"/>
      <c r="AC58" s="671"/>
      <c r="AD58" s="649"/>
      <c r="AE58" s="292"/>
      <c r="AF58" s="666"/>
      <c r="AG58" s="666"/>
      <c r="AH58" s="667"/>
      <c r="AI58" s="678"/>
      <c r="AJ58" s="666"/>
      <c r="AK58" s="666"/>
      <c r="AL58" s="666"/>
      <c r="AM58" s="667"/>
      <c r="AN58" s="671"/>
      <c r="AO58" s="649"/>
      <c r="AP58" s="292"/>
      <c r="AQ58" s="666"/>
      <c r="AR58" s="666"/>
      <c r="AS58" s="667"/>
      <c r="AT58" s="678"/>
      <c r="AU58" s="666"/>
      <c r="AV58" s="666"/>
      <c r="AW58" s="666"/>
      <c r="AX58" s="680"/>
      <c r="AY58" s="671"/>
      <c r="AZ58" s="649"/>
      <c r="BA58" s="292"/>
      <c r="BB58" s="666"/>
      <c r="BC58" s="666"/>
      <c r="BD58" s="689"/>
      <c r="BE58" s="678"/>
      <c r="BF58" s="666"/>
      <c r="BG58" s="666"/>
      <c r="BH58" s="666"/>
      <c r="BI58" s="667"/>
      <c r="BJ58" s="678"/>
      <c r="BK58" s="690"/>
      <c r="BL58" s="312"/>
      <c r="BM58" s="475">
        <f t="shared" si="12"/>
        <v>0</v>
      </c>
      <c r="BN58" s="475">
        <f t="shared" si="4"/>
        <v>0</v>
      </c>
      <c r="BO58" s="475">
        <f t="shared" si="5"/>
        <v>0</v>
      </c>
      <c r="BP58" s="475">
        <f t="shared" si="6"/>
        <v>0</v>
      </c>
      <c r="BQ58" s="312"/>
      <c r="BR58" s="476">
        <f t="shared" si="20"/>
        <v>0</v>
      </c>
      <c r="BS58" s="465">
        <f t="shared" si="19"/>
        <v>0</v>
      </c>
      <c r="BT58" s="466" t="str">
        <f t="shared" si="2"/>
        <v>n.a.</v>
      </c>
    </row>
    <row r="59" spans="1:72">
      <c r="A59" s="201">
        <f t="shared" si="9"/>
        <v>46</v>
      </c>
      <c r="B59" s="639"/>
      <c r="C59" s="631" t="s">
        <v>8630</v>
      </c>
      <c r="D59" s="632"/>
      <c r="E59" s="637"/>
      <c r="F59" s="640"/>
      <c r="G59" s="474">
        <f t="shared" si="14"/>
        <v>0</v>
      </c>
      <c r="H59" s="293" t="str">
        <f t="shared" si="15"/>
        <v/>
      </c>
      <c r="I59" s="652"/>
      <c r="J59" s="653"/>
      <c r="K59" s="643"/>
      <c r="L59" s="654"/>
      <c r="M59" s="653"/>
      <c r="N59" s="643"/>
      <c r="O59" s="643"/>
      <c r="P59" s="643"/>
      <c r="Q59" s="652"/>
      <c r="R59" s="655"/>
      <c r="S59" s="649"/>
      <c r="T59" s="292" t="e">
        <f>INDEX(ei_geo!$B:$B,MATCH(S59,ei_geo!$A:$A,0))</f>
        <v>#N/A</v>
      </c>
      <c r="U59" s="666"/>
      <c r="V59" s="666"/>
      <c r="W59" s="667"/>
      <c r="X59" s="668"/>
      <c r="Y59" s="643"/>
      <c r="Z59" s="643"/>
      <c r="AA59" s="643"/>
      <c r="AB59" s="652"/>
      <c r="AC59" s="671"/>
      <c r="AD59" s="649"/>
      <c r="AE59" s="292"/>
      <c r="AF59" s="666"/>
      <c r="AG59" s="666"/>
      <c r="AH59" s="667"/>
      <c r="AI59" s="678"/>
      <c r="AJ59" s="666"/>
      <c r="AK59" s="666"/>
      <c r="AL59" s="666"/>
      <c r="AM59" s="667"/>
      <c r="AN59" s="671"/>
      <c r="AO59" s="649"/>
      <c r="AP59" s="292"/>
      <c r="AQ59" s="666"/>
      <c r="AR59" s="666"/>
      <c r="AS59" s="667"/>
      <c r="AT59" s="678"/>
      <c r="AU59" s="666"/>
      <c r="AV59" s="666"/>
      <c r="AW59" s="666"/>
      <c r="AX59" s="680"/>
      <c r="AY59" s="671"/>
      <c r="AZ59" s="649"/>
      <c r="BA59" s="292"/>
      <c r="BB59" s="666"/>
      <c r="BC59" s="666"/>
      <c r="BD59" s="689"/>
      <c r="BE59" s="678"/>
      <c r="BF59" s="666"/>
      <c r="BG59" s="666"/>
      <c r="BH59" s="666"/>
      <c r="BI59" s="667"/>
      <c r="BJ59" s="678"/>
      <c r="BK59" s="690"/>
      <c r="BL59" s="312"/>
      <c r="BM59" s="475">
        <f t="shared" si="12"/>
        <v>0</v>
      </c>
      <c r="BN59" s="475">
        <f t="shared" si="4"/>
        <v>0</v>
      </c>
      <c r="BO59" s="475">
        <f t="shared" si="5"/>
        <v>0</v>
      </c>
      <c r="BP59" s="475">
        <f t="shared" si="6"/>
        <v>0</v>
      </c>
      <c r="BQ59" s="312"/>
      <c r="BR59" s="476">
        <f t="shared" si="20"/>
        <v>0</v>
      </c>
      <c r="BS59" s="465">
        <f t="shared" si="19"/>
        <v>0</v>
      </c>
      <c r="BT59" s="466" t="str">
        <f t="shared" si="2"/>
        <v>n.a.</v>
      </c>
    </row>
    <row r="60" spans="1:72">
      <c r="A60" s="201">
        <f t="shared" si="9"/>
        <v>47</v>
      </c>
      <c r="B60" s="639"/>
      <c r="C60" s="631" t="s">
        <v>8631</v>
      </c>
      <c r="D60" s="632"/>
      <c r="E60" s="638"/>
      <c r="F60" s="636"/>
      <c r="G60" s="474">
        <f t="shared" si="14"/>
        <v>0</v>
      </c>
      <c r="H60" s="293" t="str">
        <f t="shared" si="15"/>
        <v/>
      </c>
      <c r="I60" s="652"/>
      <c r="J60" s="653"/>
      <c r="K60" s="643"/>
      <c r="L60" s="654"/>
      <c r="M60" s="653"/>
      <c r="N60" s="643"/>
      <c r="O60" s="643"/>
      <c r="P60" s="643"/>
      <c r="Q60" s="652"/>
      <c r="R60" s="655"/>
      <c r="S60" s="649"/>
      <c r="T60" s="292" t="e">
        <f>INDEX(ei_geo!$B:$B,MATCH(S60,ei_geo!$A:$A,0))</f>
        <v>#N/A</v>
      </c>
      <c r="U60" s="666"/>
      <c r="V60" s="666"/>
      <c r="W60" s="667"/>
      <c r="X60" s="668"/>
      <c r="Y60" s="643"/>
      <c r="Z60" s="643"/>
      <c r="AA60" s="643"/>
      <c r="AB60" s="652"/>
      <c r="AC60" s="671"/>
      <c r="AD60" s="649"/>
      <c r="AE60" s="292"/>
      <c r="AF60" s="666"/>
      <c r="AG60" s="666"/>
      <c r="AH60" s="667"/>
      <c r="AI60" s="678"/>
      <c r="AJ60" s="666"/>
      <c r="AK60" s="666"/>
      <c r="AL60" s="666"/>
      <c r="AM60" s="667"/>
      <c r="AN60" s="671"/>
      <c r="AO60" s="649"/>
      <c r="AP60" s="292"/>
      <c r="AQ60" s="666"/>
      <c r="AR60" s="666"/>
      <c r="AS60" s="667"/>
      <c r="AT60" s="678"/>
      <c r="AU60" s="666"/>
      <c r="AV60" s="666"/>
      <c r="AW60" s="666"/>
      <c r="AX60" s="680"/>
      <c r="AY60" s="671"/>
      <c r="AZ60" s="649"/>
      <c r="BA60" s="292"/>
      <c r="BB60" s="666"/>
      <c r="BC60" s="666"/>
      <c r="BD60" s="689"/>
      <c r="BE60" s="678"/>
      <c r="BF60" s="666"/>
      <c r="BG60" s="666"/>
      <c r="BH60" s="666"/>
      <c r="BI60" s="667"/>
      <c r="BJ60" s="678"/>
      <c r="BK60" s="690"/>
      <c r="BL60" s="312"/>
      <c r="BM60" s="475">
        <f t="shared" si="12"/>
        <v>0</v>
      </c>
      <c r="BN60" s="475">
        <f t="shared" si="4"/>
        <v>0</v>
      </c>
      <c r="BO60" s="475">
        <f t="shared" si="5"/>
        <v>0</v>
      </c>
      <c r="BP60" s="475">
        <f t="shared" si="6"/>
        <v>0</v>
      </c>
      <c r="BQ60" s="312"/>
      <c r="BR60" s="476">
        <f>IF($G60&gt;0,(AB60+AM60+AX60+BI60),0)</f>
        <v>0</v>
      </c>
      <c r="BS60" s="465">
        <f>IF($G60&gt;0,"check",IF($G60=0,0))</f>
        <v>0</v>
      </c>
      <c r="BT60" s="466" t="str">
        <f t="shared" si="2"/>
        <v>n.a.</v>
      </c>
    </row>
    <row r="61" spans="1:72">
      <c r="A61" s="201">
        <f t="shared" si="9"/>
        <v>48</v>
      </c>
      <c r="B61" s="639"/>
      <c r="C61" s="631" t="s">
        <v>8632</v>
      </c>
      <c r="D61" s="632"/>
      <c r="E61" s="637"/>
      <c r="F61" s="636"/>
      <c r="G61" s="474">
        <f t="shared" si="14"/>
        <v>0</v>
      </c>
      <c r="H61" s="293" t="str">
        <f t="shared" si="15"/>
        <v/>
      </c>
      <c r="I61" s="652"/>
      <c r="J61" s="653"/>
      <c r="K61" s="643"/>
      <c r="L61" s="654"/>
      <c r="M61" s="653"/>
      <c r="N61" s="643"/>
      <c r="O61" s="643"/>
      <c r="P61" s="643"/>
      <c r="Q61" s="652"/>
      <c r="R61" s="655"/>
      <c r="S61" s="649"/>
      <c r="T61" s="292" t="e">
        <f>INDEX(ei_geo!$B:$B,MATCH(S61,ei_geo!$A:$A,0))</f>
        <v>#N/A</v>
      </c>
      <c r="U61" s="666"/>
      <c r="V61" s="666"/>
      <c r="W61" s="667"/>
      <c r="X61" s="668"/>
      <c r="Y61" s="643"/>
      <c r="Z61" s="643"/>
      <c r="AA61" s="643"/>
      <c r="AB61" s="652"/>
      <c r="AC61" s="671"/>
      <c r="AD61" s="649"/>
      <c r="AE61" s="292"/>
      <c r="AF61" s="666"/>
      <c r="AG61" s="666"/>
      <c r="AH61" s="667"/>
      <c r="AI61" s="678"/>
      <c r="AJ61" s="666"/>
      <c r="AK61" s="666"/>
      <c r="AL61" s="666"/>
      <c r="AM61" s="667"/>
      <c r="AN61" s="671"/>
      <c r="AO61" s="649"/>
      <c r="AP61" s="292"/>
      <c r="AQ61" s="666"/>
      <c r="AR61" s="666"/>
      <c r="AS61" s="667"/>
      <c r="AT61" s="678"/>
      <c r="AU61" s="666"/>
      <c r="AV61" s="666"/>
      <c r="AW61" s="666"/>
      <c r="AX61" s="680"/>
      <c r="AY61" s="671"/>
      <c r="AZ61" s="649"/>
      <c r="BA61" s="292"/>
      <c r="BB61" s="666"/>
      <c r="BC61" s="666"/>
      <c r="BD61" s="689"/>
      <c r="BE61" s="678"/>
      <c r="BF61" s="666"/>
      <c r="BG61" s="666"/>
      <c r="BH61" s="666"/>
      <c r="BI61" s="667"/>
      <c r="BJ61" s="678"/>
      <c r="BK61" s="690"/>
      <c r="BL61" s="312"/>
      <c r="BM61" s="475">
        <f t="shared" si="12"/>
        <v>0</v>
      </c>
      <c r="BN61" s="475">
        <f t="shared" si="4"/>
        <v>0</v>
      </c>
      <c r="BO61" s="475">
        <f t="shared" si="5"/>
        <v>0</v>
      </c>
      <c r="BP61" s="475">
        <f t="shared" si="6"/>
        <v>0</v>
      </c>
      <c r="BQ61" s="312"/>
      <c r="BR61" s="476">
        <f t="shared" ref="BR61:BR66" si="21">IF($G61&gt;0,(AB61+AM61+AX61+BI61),0)</f>
        <v>0</v>
      </c>
      <c r="BS61" s="465">
        <f t="shared" ref="BS61:BS73" si="22">IF($G61&gt;0,"check",IF($G61=0,0))</f>
        <v>0</v>
      </c>
      <c r="BT61" s="466" t="str">
        <f t="shared" si="2"/>
        <v>n.a.</v>
      </c>
    </row>
    <row r="62" spans="1:72">
      <c r="A62" s="201">
        <f t="shared" si="9"/>
        <v>49</v>
      </c>
      <c r="B62" s="639"/>
      <c r="C62" s="631" t="s">
        <v>8633</v>
      </c>
      <c r="D62" s="632"/>
      <c r="E62" s="637"/>
      <c r="F62" s="636"/>
      <c r="G62" s="474">
        <f t="shared" si="14"/>
        <v>0</v>
      </c>
      <c r="H62" s="293" t="str">
        <f t="shared" si="15"/>
        <v/>
      </c>
      <c r="I62" s="652"/>
      <c r="J62" s="653"/>
      <c r="K62" s="643"/>
      <c r="L62" s="654"/>
      <c r="M62" s="653"/>
      <c r="N62" s="643"/>
      <c r="O62" s="643"/>
      <c r="P62" s="643"/>
      <c r="Q62" s="652"/>
      <c r="R62" s="655"/>
      <c r="S62" s="649"/>
      <c r="T62" s="292" t="e">
        <f>INDEX(ei_geo!$B:$B,MATCH(S62,ei_geo!$A:$A,0))</f>
        <v>#N/A</v>
      </c>
      <c r="U62" s="666"/>
      <c r="V62" s="666"/>
      <c r="W62" s="667"/>
      <c r="X62" s="668"/>
      <c r="Y62" s="643"/>
      <c r="Z62" s="643"/>
      <c r="AA62" s="643"/>
      <c r="AB62" s="652"/>
      <c r="AC62" s="671"/>
      <c r="AD62" s="649"/>
      <c r="AE62" s="292"/>
      <c r="AF62" s="666"/>
      <c r="AG62" s="666"/>
      <c r="AH62" s="667"/>
      <c r="AI62" s="678"/>
      <c r="AJ62" s="666"/>
      <c r="AK62" s="666"/>
      <c r="AL62" s="666"/>
      <c r="AM62" s="667"/>
      <c r="AN62" s="671"/>
      <c r="AO62" s="649"/>
      <c r="AP62" s="292"/>
      <c r="AQ62" s="666"/>
      <c r="AR62" s="666"/>
      <c r="AS62" s="667"/>
      <c r="AT62" s="678"/>
      <c r="AU62" s="666"/>
      <c r="AV62" s="666"/>
      <c r="AW62" s="666"/>
      <c r="AX62" s="680"/>
      <c r="AY62" s="671"/>
      <c r="AZ62" s="649"/>
      <c r="BA62" s="292"/>
      <c r="BB62" s="666"/>
      <c r="BC62" s="666"/>
      <c r="BD62" s="689"/>
      <c r="BE62" s="678"/>
      <c r="BF62" s="666"/>
      <c r="BG62" s="666"/>
      <c r="BH62" s="666"/>
      <c r="BI62" s="667"/>
      <c r="BJ62" s="678"/>
      <c r="BK62" s="690"/>
      <c r="BL62" s="312"/>
      <c r="BM62" s="475">
        <f t="shared" si="12"/>
        <v>0</v>
      </c>
      <c r="BN62" s="475">
        <f t="shared" si="4"/>
        <v>0</v>
      </c>
      <c r="BO62" s="475">
        <f t="shared" si="5"/>
        <v>0</v>
      </c>
      <c r="BP62" s="475">
        <f t="shared" si="6"/>
        <v>0</v>
      </c>
      <c r="BQ62" s="312"/>
      <c r="BR62" s="476">
        <f t="shared" si="21"/>
        <v>0</v>
      </c>
      <c r="BS62" s="465">
        <f t="shared" si="22"/>
        <v>0</v>
      </c>
      <c r="BT62" s="466" t="str">
        <f t="shared" si="2"/>
        <v>n.a.</v>
      </c>
    </row>
    <row r="63" spans="1:72">
      <c r="A63" s="201">
        <f t="shared" si="9"/>
        <v>50</v>
      </c>
      <c r="B63" s="639"/>
      <c r="C63" s="631" t="s">
        <v>8634</v>
      </c>
      <c r="D63" s="632"/>
      <c r="E63" s="637"/>
      <c r="F63" s="640"/>
      <c r="G63" s="474">
        <f t="shared" si="14"/>
        <v>0</v>
      </c>
      <c r="H63" s="293" t="str">
        <f t="shared" si="15"/>
        <v/>
      </c>
      <c r="I63" s="652"/>
      <c r="J63" s="653"/>
      <c r="K63" s="643"/>
      <c r="L63" s="654"/>
      <c r="M63" s="653"/>
      <c r="N63" s="643"/>
      <c r="O63" s="643"/>
      <c r="P63" s="643"/>
      <c r="Q63" s="652"/>
      <c r="R63" s="655"/>
      <c r="S63" s="649"/>
      <c r="T63" s="292" t="e">
        <f>INDEX(ei_geo!$B:$B,MATCH(S63,ei_geo!$A:$A,0))</f>
        <v>#N/A</v>
      </c>
      <c r="U63" s="666"/>
      <c r="V63" s="666"/>
      <c r="W63" s="667"/>
      <c r="X63" s="668"/>
      <c r="Y63" s="643"/>
      <c r="Z63" s="643"/>
      <c r="AA63" s="643"/>
      <c r="AB63" s="652"/>
      <c r="AC63" s="671"/>
      <c r="AD63" s="649"/>
      <c r="AE63" s="292"/>
      <c r="AF63" s="666"/>
      <c r="AG63" s="666"/>
      <c r="AH63" s="667"/>
      <c r="AI63" s="678"/>
      <c r="AJ63" s="666"/>
      <c r="AK63" s="666"/>
      <c r="AL63" s="666"/>
      <c r="AM63" s="667"/>
      <c r="AN63" s="671"/>
      <c r="AO63" s="649"/>
      <c r="AP63" s="292"/>
      <c r="AQ63" s="666"/>
      <c r="AR63" s="666"/>
      <c r="AS63" s="667"/>
      <c r="AT63" s="678"/>
      <c r="AU63" s="666"/>
      <c r="AV63" s="666"/>
      <c r="AW63" s="666"/>
      <c r="AX63" s="680"/>
      <c r="AY63" s="671"/>
      <c r="AZ63" s="649"/>
      <c r="BA63" s="292"/>
      <c r="BB63" s="666"/>
      <c r="BC63" s="666"/>
      <c r="BD63" s="689"/>
      <c r="BE63" s="678"/>
      <c r="BF63" s="666"/>
      <c r="BG63" s="666"/>
      <c r="BH63" s="666"/>
      <c r="BI63" s="667"/>
      <c r="BJ63" s="678"/>
      <c r="BK63" s="690"/>
      <c r="BL63" s="312"/>
      <c r="BM63" s="475">
        <f t="shared" si="12"/>
        <v>0</v>
      </c>
      <c r="BN63" s="475">
        <f t="shared" si="4"/>
        <v>0</v>
      </c>
      <c r="BO63" s="475">
        <f t="shared" si="5"/>
        <v>0</v>
      </c>
      <c r="BP63" s="475">
        <f t="shared" si="6"/>
        <v>0</v>
      </c>
      <c r="BQ63" s="312"/>
      <c r="BR63" s="476">
        <f t="shared" si="21"/>
        <v>0</v>
      </c>
      <c r="BS63" s="465">
        <f t="shared" si="22"/>
        <v>0</v>
      </c>
      <c r="BT63" s="466" t="str">
        <f t="shared" si="2"/>
        <v>n.a.</v>
      </c>
    </row>
    <row r="64" spans="1:72">
      <c r="A64" s="201">
        <f t="shared" si="9"/>
        <v>51</v>
      </c>
      <c r="B64" s="641"/>
      <c r="C64" s="631" t="s">
        <v>8635</v>
      </c>
      <c r="D64" s="642"/>
      <c r="E64" s="643"/>
      <c r="F64" s="643"/>
      <c r="G64" s="474">
        <f t="shared" si="14"/>
        <v>0</v>
      </c>
      <c r="H64" s="293" t="str">
        <f t="shared" si="15"/>
        <v/>
      </c>
      <c r="I64" s="652"/>
      <c r="J64" s="653"/>
      <c r="K64" s="643"/>
      <c r="L64" s="654"/>
      <c r="M64" s="653"/>
      <c r="N64" s="643"/>
      <c r="O64" s="643"/>
      <c r="P64" s="643"/>
      <c r="Q64" s="652"/>
      <c r="R64" s="655"/>
      <c r="S64" s="649"/>
      <c r="T64" s="292" t="e">
        <f>INDEX(ei_geo!$B:$B,MATCH(S64,ei_geo!$A:$A,0))</f>
        <v>#N/A</v>
      </c>
      <c r="U64" s="666"/>
      <c r="V64" s="666"/>
      <c r="W64" s="667"/>
      <c r="X64" s="653"/>
      <c r="Y64" s="643"/>
      <c r="Z64" s="643"/>
      <c r="AA64" s="643"/>
      <c r="AB64" s="652"/>
      <c r="AC64" s="671"/>
      <c r="AD64" s="649"/>
      <c r="AE64" s="292"/>
      <c r="AF64" s="666"/>
      <c r="AG64" s="666"/>
      <c r="AH64" s="667"/>
      <c r="AI64" s="678"/>
      <c r="AJ64" s="666"/>
      <c r="AK64" s="666"/>
      <c r="AL64" s="666"/>
      <c r="AM64" s="667"/>
      <c r="AN64" s="671"/>
      <c r="AO64" s="649"/>
      <c r="AP64" s="292"/>
      <c r="AQ64" s="666"/>
      <c r="AR64" s="666"/>
      <c r="AS64" s="667"/>
      <c r="AT64" s="678"/>
      <c r="AU64" s="666"/>
      <c r="AV64" s="666"/>
      <c r="AW64" s="666"/>
      <c r="AX64" s="680"/>
      <c r="AY64" s="671"/>
      <c r="AZ64" s="649"/>
      <c r="BA64" s="292"/>
      <c r="BB64" s="666"/>
      <c r="BC64" s="666"/>
      <c r="BD64" s="689"/>
      <c r="BE64" s="678"/>
      <c r="BF64" s="666"/>
      <c r="BG64" s="666"/>
      <c r="BH64" s="666"/>
      <c r="BI64" s="667"/>
      <c r="BJ64" s="678"/>
      <c r="BK64" s="690"/>
      <c r="BL64" s="312"/>
      <c r="BM64" s="475">
        <f t="shared" si="12"/>
        <v>0</v>
      </c>
      <c r="BN64" s="475">
        <f t="shared" si="4"/>
        <v>0</v>
      </c>
      <c r="BO64" s="475">
        <f t="shared" si="5"/>
        <v>0</v>
      </c>
      <c r="BP64" s="475">
        <f t="shared" si="6"/>
        <v>0</v>
      </c>
      <c r="BQ64" s="312"/>
      <c r="BR64" s="476">
        <f t="shared" si="21"/>
        <v>0</v>
      </c>
      <c r="BS64" s="465">
        <f t="shared" si="22"/>
        <v>0</v>
      </c>
      <c r="BT64" s="466" t="str">
        <f t="shared" ref="BT64:BT115" si="23">IF((AND(BS64="check", $BR64&gt;0)),"Pass",IF($BS64=0,"n.a.","CHECK FOR TRANSPORT ENTRY ERROR"))</f>
        <v>n.a.</v>
      </c>
    </row>
    <row r="65" spans="1:72">
      <c r="A65" s="201">
        <f t="shared" si="9"/>
        <v>52</v>
      </c>
      <c r="B65" s="641"/>
      <c r="C65" s="631" t="s">
        <v>8636</v>
      </c>
      <c r="D65" s="642"/>
      <c r="E65" s="643"/>
      <c r="F65" s="643"/>
      <c r="G65" s="474">
        <f t="shared" si="14"/>
        <v>0</v>
      </c>
      <c r="H65" s="293" t="str">
        <f t="shared" si="15"/>
        <v/>
      </c>
      <c r="I65" s="652"/>
      <c r="J65" s="653"/>
      <c r="K65" s="643"/>
      <c r="L65" s="654"/>
      <c r="M65" s="653"/>
      <c r="N65" s="643"/>
      <c r="O65" s="643"/>
      <c r="P65" s="643"/>
      <c r="Q65" s="652"/>
      <c r="R65" s="655"/>
      <c r="S65" s="649"/>
      <c r="T65" s="292" t="e">
        <f>INDEX(ei_geo!$B:$B,MATCH(S65,ei_geo!$A:$A,0))</f>
        <v>#N/A</v>
      </c>
      <c r="U65" s="666"/>
      <c r="V65" s="666"/>
      <c r="W65" s="667"/>
      <c r="X65" s="653"/>
      <c r="Y65" s="643"/>
      <c r="Z65" s="643"/>
      <c r="AA65" s="643"/>
      <c r="AB65" s="652"/>
      <c r="AC65" s="671"/>
      <c r="AD65" s="649"/>
      <c r="AE65" s="292"/>
      <c r="AF65" s="666"/>
      <c r="AG65" s="666"/>
      <c r="AH65" s="667"/>
      <c r="AI65" s="678"/>
      <c r="AJ65" s="666"/>
      <c r="AK65" s="666"/>
      <c r="AL65" s="666"/>
      <c r="AM65" s="667"/>
      <c r="AN65" s="671"/>
      <c r="AO65" s="649"/>
      <c r="AP65" s="292"/>
      <c r="AQ65" s="666"/>
      <c r="AR65" s="666"/>
      <c r="AS65" s="667"/>
      <c r="AT65" s="678"/>
      <c r="AU65" s="666"/>
      <c r="AV65" s="666"/>
      <c r="AW65" s="666"/>
      <c r="AX65" s="680"/>
      <c r="AY65" s="671"/>
      <c r="AZ65" s="649"/>
      <c r="BA65" s="292"/>
      <c r="BB65" s="666"/>
      <c r="BC65" s="666"/>
      <c r="BD65" s="689"/>
      <c r="BE65" s="678"/>
      <c r="BF65" s="666"/>
      <c r="BG65" s="666"/>
      <c r="BH65" s="666"/>
      <c r="BI65" s="667"/>
      <c r="BJ65" s="678"/>
      <c r="BK65" s="690"/>
      <c r="BL65" s="312"/>
      <c r="BM65" s="475">
        <f t="shared" si="12"/>
        <v>0</v>
      </c>
      <c r="BN65" s="475">
        <f t="shared" si="4"/>
        <v>0</v>
      </c>
      <c r="BO65" s="475">
        <f t="shared" si="5"/>
        <v>0</v>
      </c>
      <c r="BP65" s="475">
        <f t="shared" si="6"/>
        <v>0</v>
      </c>
      <c r="BQ65" s="312"/>
      <c r="BR65" s="476">
        <f t="shared" si="21"/>
        <v>0</v>
      </c>
      <c r="BS65" s="465">
        <f t="shared" si="22"/>
        <v>0</v>
      </c>
      <c r="BT65" s="466" t="str">
        <f t="shared" si="23"/>
        <v>n.a.</v>
      </c>
    </row>
    <row r="66" spans="1:72">
      <c r="A66" s="201">
        <f t="shared" si="9"/>
        <v>53</v>
      </c>
      <c r="B66" s="641"/>
      <c r="C66" s="631" t="s">
        <v>8637</v>
      </c>
      <c r="D66" s="642"/>
      <c r="E66" s="643"/>
      <c r="F66" s="643"/>
      <c r="G66" s="474">
        <f t="shared" si="14"/>
        <v>0</v>
      </c>
      <c r="H66" s="293" t="str">
        <f t="shared" si="15"/>
        <v/>
      </c>
      <c r="I66" s="652"/>
      <c r="J66" s="653"/>
      <c r="K66" s="643"/>
      <c r="L66" s="654"/>
      <c r="M66" s="653"/>
      <c r="N66" s="643"/>
      <c r="O66" s="643"/>
      <c r="P66" s="643"/>
      <c r="Q66" s="652"/>
      <c r="R66" s="655"/>
      <c r="S66" s="649"/>
      <c r="T66" s="292" t="e">
        <f>INDEX(ei_geo!$B:$B,MATCH(S66,ei_geo!$A:$A,0))</f>
        <v>#N/A</v>
      </c>
      <c r="U66" s="666"/>
      <c r="V66" s="666"/>
      <c r="W66" s="667"/>
      <c r="X66" s="653"/>
      <c r="Y66" s="643"/>
      <c r="Z66" s="643"/>
      <c r="AA66" s="643"/>
      <c r="AB66" s="652"/>
      <c r="AC66" s="671"/>
      <c r="AD66" s="649"/>
      <c r="AE66" s="292"/>
      <c r="AF66" s="666"/>
      <c r="AG66" s="666"/>
      <c r="AH66" s="667"/>
      <c r="AI66" s="678"/>
      <c r="AJ66" s="666"/>
      <c r="AK66" s="666"/>
      <c r="AL66" s="666"/>
      <c r="AM66" s="667"/>
      <c r="AN66" s="671"/>
      <c r="AO66" s="649"/>
      <c r="AP66" s="292"/>
      <c r="AQ66" s="666"/>
      <c r="AR66" s="666"/>
      <c r="AS66" s="667"/>
      <c r="AT66" s="678"/>
      <c r="AU66" s="666"/>
      <c r="AV66" s="666"/>
      <c r="AW66" s="666"/>
      <c r="AX66" s="680"/>
      <c r="AY66" s="671"/>
      <c r="AZ66" s="649"/>
      <c r="BA66" s="292"/>
      <c r="BB66" s="666"/>
      <c r="BC66" s="666"/>
      <c r="BD66" s="689"/>
      <c r="BE66" s="678"/>
      <c r="BF66" s="666"/>
      <c r="BG66" s="666"/>
      <c r="BH66" s="666"/>
      <c r="BI66" s="667"/>
      <c r="BJ66" s="678"/>
      <c r="BK66" s="690"/>
      <c r="BL66" s="312"/>
      <c r="BM66" s="475">
        <f t="shared" si="12"/>
        <v>0</v>
      </c>
      <c r="BN66" s="475">
        <f t="shared" ref="BN66:BN78" si="24">($G66/1000)*AM66</f>
        <v>0</v>
      </c>
      <c r="BO66" s="475">
        <f t="shared" si="5"/>
        <v>0</v>
      </c>
      <c r="BP66" s="475">
        <f t="shared" si="6"/>
        <v>0</v>
      </c>
      <c r="BQ66" s="312"/>
      <c r="BR66" s="476">
        <f t="shared" si="21"/>
        <v>0</v>
      </c>
      <c r="BS66" s="465">
        <f t="shared" si="22"/>
        <v>0</v>
      </c>
      <c r="BT66" s="466" t="str">
        <f t="shared" si="23"/>
        <v>n.a.</v>
      </c>
    </row>
    <row r="67" spans="1:72">
      <c r="A67" s="201">
        <f t="shared" si="9"/>
        <v>54</v>
      </c>
      <c r="B67" s="641"/>
      <c r="C67" s="631" t="s">
        <v>8638</v>
      </c>
      <c r="D67" s="642"/>
      <c r="E67" s="643"/>
      <c r="F67" s="643"/>
      <c r="G67" s="474">
        <f t="shared" si="14"/>
        <v>0</v>
      </c>
      <c r="H67" s="293" t="str">
        <f t="shared" si="15"/>
        <v/>
      </c>
      <c r="I67" s="652"/>
      <c r="J67" s="653"/>
      <c r="K67" s="643"/>
      <c r="L67" s="654"/>
      <c r="M67" s="653"/>
      <c r="N67" s="643"/>
      <c r="O67" s="643"/>
      <c r="P67" s="643"/>
      <c r="Q67" s="652"/>
      <c r="R67" s="655"/>
      <c r="S67" s="649"/>
      <c r="T67" s="292" t="e">
        <f>INDEX(ei_geo!$B:$B,MATCH(S67,ei_geo!$A:$A,0))</f>
        <v>#N/A</v>
      </c>
      <c r="U67" s="666"/>
      <c r="V67" s="666"/>
      <c r="W67" s="667"/>
      <c r="X67" s="653"/>
      <c r="Y67" s="643"/>
      <c r="Z67" s="643"/>
      <c r="AA67" s="643"/>
      <c r="AB67" s="652"/>
      <c r="AC67" s="671"/>
      <c r="AD67" s="649"/>
      <c r="AE67" s="292"/>
      <c r="AF67" s="666"/>
      <c r="AG67" s="666"/>
      <c r="AH67" s="667"/>
      <c r="AI67" s="678"/>
      <c r="AJ67" s="666"/>
      <c r="AK67" s="666"/>
      <c r="AL67" s="666"/>
      <c r="AM67" s="667"/>
      <c r="AN67" s="671"/>
      <c r="AO67" s="649"/>
      <c r="AP67" s="292"/>
      <c r="AQ67" s="666"/>
      <c r="AR67" s="666"/>
      <c r="AS67" s="667"/>
      <c r="AT67" s="678"/>
      <c r="AU67" s="666"/>
      <c r="AV67" s="666"/>
      <c r="AW67" s="666"/>
      <c r="AX67" s="680"/>
      <c r="AY67" s="671"/>
      <c r="AZ67" s="649"/>
      <c r="BA67" s="292"/>
      <c r="BB67" s="666"/>
      <c r="BC67" s="666"/>
      <c r="BD67" s="689"/>
      <c r="BE67" s="678"/>
      <c r="BF67" s="666"/>
      <c r="BG67" s="666"/>
      <c r="BH67" s="666"/>
      <c r="BI67" s="667"/>
      <c r="BJ67" s="678"/>
      <c r="BK67" s="690"/>
      <c r="BL67" s="312"/>
      <c r="BM67" s="475">
        <f t="shared" si="12"/>
        <v>0</v>
      </c>
      <c r="BN67" s="475">
        <f t="shared" si="24"/>
        <v>0</v>
      </c>
      <c r="BO67" s="475">
        <f t="shared" si="5"/>
        <v>0</v>
      </c>
      <c r="BP67" s="475">
        <f t="shared" si="6"/>
        <v>0</v>
      </c>
      <c r="BQ67" s="312"/>
      <c r="BR67" s="476">
        <f>IF($G67&gt;0,(AB67+AM67+AX67+BI67),0)</f>
        <v>0</v>
      </c>
      <c r="BS67" s="465">
        <f>IF($G67&gt;0,"check",IF($G67=0,0))</f>
        <v>0</v>
      </c>
      <c r="BT67" s="466" t="str">
        <f t="shared" si="23"/>
        <v>n.a.</v>
      </c>
    </row>
    <row r="68" spans="1:72">
      <c r="A68" s="201">
        <f t="shared" si="9"/>
        <v>55</v>
      </c>
      <c r="B68" s="641"/>
      <c r="C68" s="631" t="s">
        <v>8639</v>
      </c>
      <c r="D68" s="642"/>
      <c r="E68" s="643"/>
      <c r="F68" s="643"/>
      <c r="G68" s="474">
        <f t="shared" si="14"/>
        <v>0</v>
      </c>
      <c r="H68" s="293" t="str">
        <f t="shared" si="15"/>
        <v/>
      </c>
      <c r="I68" s="652"/>
      <c r="J68" s="653"/>
      <c r="K68" s="643"/>
      <c r="L68" s="654"/>
      <c r="M68" s="653"/>
      <c r="N68" s="643"/>
      <c r="O68" s="643"/>
      <c r="P68" s="643"/>
      <c r="Q68" s="652"/>
      <c r="R68" s="655"/>
      <c r="S68" s="649"/>
      <c r="T68" s="292" t="e">
        <f>INDEX(ei_geo!$B:$B,MATCH(S68,ei_geo!$A:$A,0))</f>
        <v>#N/A</v>
      </c>
      <c r="U68" s="666"/>
      <c r="V68" s="666"/>
      <c r="W68" s="667"/>
      <c r="X68" s="653"/>
      <c r="Y68" s="643"/>
      <c r="Z68" s="643"/>
      <c r="AA68" s="643"/>
      <c r="AB68" s="652"/>
      <c r="AC68" s="671"/>
      <c r="AD68" s="649"/>
      <c r="AE68" s="292"/>
      <c r="AF68" s="666"/>
      <c r="AG68" s="666"/>
      <c r="AH68" s="667"/>
      <c r="AI68" s="678"/>
      <c r="AJ68" s="666"/>
      <c r="AK68" s="666"/>
      <c r="AL68" s="666"/>
      <c r="AM68" s="667"/>
      <c r="AN68" s="671"/>
      <c r="AO68" s="649"/>
      <c r="AP68" s="292"/>
      <c r="AQ68" s="666"/>
      <c r="AR68" s="666"/>
      <c r="AS68" s="667"/>
      <c r="AT68" s="678"/>
      <c r="AU68" s="666"/>
      <c r="AV68" s="666"/>
      <c r="AW68" s="666"/>
      <c r="AX68" s="680"/>
      <c r="AY68" s="671"/>
      <c r="AZ68" s="649"/>
      <c r="BA68" s="292"/>
      <c r="BB68" s="666"/>
      <c r="BC68" s="666"/>
      <c r="BD68" s="689"/>
      <c r="BE68" s="678"/>
      <c r="BF68" s="666"/>
      <c r="BG68" s="666"/>
      <c r="BH68" s="666"/>
      <c r="BI68" s="667"/>
      <c r="BJ68" s="678"/>
      <c r="BK68" s="690"/>
      <c r="BL68" s="312"/>
      <c r="BM68" s="475">
        <f t="shared" si="12"/>
        <v>0</v>
      </c>
      <c r="BN68" s="475">
        <f t="shared" si="24"/>
        <v>0</v>
      </c>
      <c r="BO68" s="475">
        <f t="shared" si="5"/>
        <v>0</v>
      </c>
      <c r="BP68" s="475">
        <f t="shared" si="6"/>
        <v>0</v>
      </c>
      <c r="BQ68" s="312"/>
      <c r="BR68" s="476">
        <f t="shared" ref="BR68:BR73" si="25">IF($G68&gt;0,(AB68+AM68+AX68+BI68),0)</f>
        <v>0</v>
      </c>
      <c r="BS68" s="465">
        <f t="shared" si="22"/>
        <v>0</v>
      </c>
      <c r="BT68" s="466" t="str">
        <f t="shared" si="23"/>
        <v>n.a.</v>
      </c>
    </row>
    <row r="69" spans="1:72">
      <c r="A69" s="201">
        <f t="shared" si="9"/>
        <v>56</v>
      </c>
      <c r="B69" s="641"/>
      <c r="C69" s="631" t="s">
        <v>8640</v>
      </c>
      <c r="D69" s="642"/>
      <c r="E69" s="643"/>
      <c r="F69" s="643"/>
      <c r="G69" s="474">
        <f t="shared" si="14"/>
        <v>0</v>
      </c>
      <c r="H69" s="293" t="str">
        <f t="shared" si="15"/>
        <v/>
      </c>
      <c r="I69" s="652"/>
      <c r="J69" s="653"/>
      <c r="K69" s="643"/>
      <c r="L69" s="654"/>
      <c r="M69" s="653"/>
      <c r="N69" s="643"/>
      <c r="O69" s="643"/>
      <c r="P69" s="643"/>
      <c r="Q69" s="652"/>
      <c r="R69" s="655"/>
      <c r="S69" s="649"/>
      <c r="T69" s="292" t="e">
        <f>INDEX(ei_geo!$B:$B,MATCH(S69,ei_geo!$A:$A,0))</f>
        <v>#N/A</v>
      </c>
      <c r="U69" s="666"/>
      <c r="V69" s="666"/>
      <c r="W69" s="667"/>
      <c r="X69" s="653"/>
      <c r="Y69" s="643"/>
      <c r="Z69" s="643"/>
      <c r="AA69" s="643"/>
      <c r="AB69" s="652"/>
      <c r="AC69" s="671"/>
      <c r="AD69" s="649"/>
      <c r="AE69" s="292"/>
      <c r="AF69" s="666"/>
      <c r="AG69" s="666"/>
      <c r="AH69" s="667"/>
      <c r="AI69" s="678"/>
      <c r="AJ69" s="666"/>
      <c r="AK69" s="666"/>
      <c r="AL69" s="666"/>
      <c r="AM69" s="667"/>
      <c r="AN69" s="671"/>
      <c r="AO69" s="649"/>
      <c r="AP69" s="292"/>
      <c r="AQ69" s="666"/>
      <c r="AR69" s="666"/>
      <c r="AS69" s="667"/>
      <c r="AT69" s="678"/>
      <c r="AU69" s="666"/>
      <c r="AV69" s="666"/>
      <c r="AW69" s="666"/>
      <c r="AX69" s="680"/>
      <c r="AY69" s="671"/>
      <c r="AZ69" s="649"/>
      <c r="BA69" s="292"/>
      <c r="BB69" s="666"/>
      <c r="BC69" s="666"/>
      <c r="BD69" s="689"/>
      <c r="BE69" s="678"/>
      <c r="BF69" s="666"/>
      <c r="BG69" s="666"/>
      <c r="BH69" s="666"/>
      <c r="BI69" s="667"/>
      <c r="BJ69" s="678"/>
      <c r="BK69" s="690"/>
      <c r="BL69" s="312"/>
      <c r="BM69" s="475">
        <f t="shared" si="12"/>
        <v>0</v>
      </c>
      <c r="BN69" s="475">
        <f t="shared" si="24"/>
        <v>0</v>
      </c>
      <c r="BO69" s="475">
        <f t="shared" si="5"/>
        <v>0</v>
      </c>
      <c r="BP69" s="475">
        <f t="shared" si="6"/>
        <v>0</v>
      </c>
      <c r="BQ69" s="312"/>
      <c r="BR69" s="476">
        <f t="shared" si="25"/>
        <v>0</v>
      </c>
      <c r="BS69" s="465">
        <f t="shared" si="22"/>
        <v>0</v>
      </c>
      <c r="BT69" s="466" t="str">
        <f t="shared" si="23"/>
        <v>n.a.</v>
      </c>
    </row>
    <row r="70" spans="1:72">
      <c r="A70" s="201">
        <f t="shared" si="9"/>
        <v>57</v>
      </c>
      <c r="B70" s="641"/>
      <c r="C70" s="631" t="s">
        <v>8641</v>
      </c>
      <c r="D70" s="642"/>
      <c r="E70" s="643"/>
      <c r="F70" s="643"/>
      <c r="G70" s="474">
        <f t="shared" si="14"/>
        <v>0</v>
      </c>
      <c r="H70" s="293" t="str">
        <f t="shared" si="15"/>
        <v/>
      </c>
      <c r="I70" s="652"/>
      <c r="J70" s="653"/>
      <c r="K70" s="643"/>
      <c r="L70" s="654"/>
      <c r="M70" s="653"/>
      <c r="N70" s="643"/>
      <c r="O70" s="643"/>
      <c r="P70" s="643"/>
      <c r="Q70" s="652"/>
      <c r="R70" s="655"/>
      <c r="S70" s="649"/>
      <c r="T70" s="292" t="e">
        <f>INDEX(ei_geo!$B:$B,MATCH(S70,ei_geo!$A:$A,0))</f>
        <v>#N/A</v>
      </c>
      <c r="U70" s="666"/>
      <c r="V70" s="666"/>
      <c r="W70" s="667"/>
      <c r="X70" s="653"/>
      <c r="Y70" s="643"/>
      <c r="Z70" s="643"/>
      <c r="AA70" s="643"/>
      <c r="AB70" s="652"/>
      <c r="AC70" s="671"/>
      <c r="AD70" s="649"/>
      <c r="AE70" s="292"/>
      <c r="AF70" s="666"/>
      <c r="AG70" s="666"/>
      <c r="AH70" s="667"/>
      <c r="AI70" s="678"/>
      <c r="AJ70" s="666"/>
      <c r="AK70" s="666"/>
      <c r="AL70" s="666"/>
      <c r="AM70" s="667"/>
      <c r="AN70" s="671"/>
      <c r="AO70" s="649"/>
      <c r="AP70" s="292"/>
      <c r="AQ70" s="666"/>
      <c r="AR70" s="666"/>
      <c r="AS70" s="667"/>
      <c r="AT70" s="678"/>
      <c r="AU70" s="666"/>
      <c r="AV70" s="666"/>
      <c r="AW70" s="666"/>
      <c r="AX70" s="680"/>
      <c r="AY70" s="671"/>
      <c r="AZ70" s="649"/>
      <c r="BA70" s="292"/>
      <c r="BB70" s="666"/>
      <c r="BC70" s="666"/>
      <c r="BD70" s="689"/>
      <c r="BE70" s="678"/>
      <c r="BF70" s="666"/>
      <c r="BG70" s="666"/>
      <c r="BH70" s="666"/>
      <c r="BI70" s="667"/>
      <c r="BJ70" s="678"/>
      <c r="BK70" s="690"/>
      <c r="BL70" s="312"/>
      <c r="BM70" s="475">
        <f t="shared" si="12"/>
        <v>0</v>
      </c>
      <c r="BN70" s="475">
        <f t="shared" si="24"/>
        <v>0</v>
      </c>
      <c r="BO70" s="475">
        <f t="shared" si="5"/>
        <v>0</v>
      </c>
      <c r="BP70" s="475">
        <f t="shared" si="6"/>
        <v>0</v>
      </c>
      <c r="BQ70" s="312"/>
      <c r="BR70" s="476">
        <f t="shared" si="25"/>
        <v>0</v>
      </c>
      <c r="BS70" s="465">
        <f t="shared" si="22"/>
        <v>0</v>
      </c>
      <c r="BT70" s="466" t="str">
        <f t="shared" si="23"/>
        <v>n.a.</v>
      </c>
    </row>
    <row r="71" spans="1:72">
      <c r="A71" s="201">
        <f t="shared" si="9"/>
        <v>58</v>
      </c>
      <c r="B71" s="641"/>
      <c r="C71" s="631" t="s">
        <v>8642</v>
      </c>
      <c r="D71" s="642"/>
      <c r="E71" s="643"/>
      <c r="F71" s="643"/>
      <c r="G71" s="474">
        <f t="shared" si="14"/>
        <v>0</v>
      </c>
      <c r="H71" s="293" t="str">
        <f t="shared" si="15"/>
        <v/>
      </c>
      <c r="I71" s="652"/>
      <c r="J71" s="653"/>
      <c r="K71" s="643"/>
      <c r="L71" s="654"/>
      <c r="M71" s="653"/>
      <c r="N71" s="643"/>
      <c r="O71" s="643"/>
      <c r="P71" s="643"/>
      <c r="Q71" s="652"/>
      <c r="R71" s="655"/>
      <c r="S71" s="649"/>
      <c r="T71" s="292" t="e">
        <f>INDEX(ei_geo!$B:$B,MATCH(S71,ei_geo!$A:$A,0))</f>
        <v>#N/A</v>
      </c>
      <c r="U71" s="666"/>
      <c r="V71" s="666"/>
      <c r="W71" s="667"/>
      <c r="X71" s="653"/>
      <c r="Y71" s="643"/>
      <c r="Z71" s="643"/>
      <c r="AA71" s="643"/>
      <c r="AB71" s="652"/>
      <c r="AC71" s="671"/>
      <c r="AD71" s="649"/>
      <c r="AE71" s="292"/>
      <c r="AF71" s="666"/>
      <c r="AG71" s="666"/>
      <c r="AH71" s="667"/>
      <c r="AI71" s="678"/>
      <c r="AJ71" s="666"/>
      <c r="AK71" s="666"/>
      <c r="AL71" s="666"/>
      <c r="AM71" s="667"/>
      <c r="AN71" s="671"/>
      <c r="AO71" s="649"/>
      <c r="AP71" s="292"/>
      <c r="AQ71" s="666"/>
      <c r="AR71" s="666"/>
      <c r="AS71" s="667"/>
      <c r="AT71" s="678"/>
      <c r="AU71" s="666"/>
      <c r="AV71" s="666"/>
      <c r="AW71" s="666"/>
      <c r="AX71" s="680"/>
      <c r="AY71" s="671"/>
      <c r="AZ71" s="649"/>
      <c r="BA71" s="292"/>
      <c r="BB71" s="666"/>
      <c r="BC71" s="666"/>
      <c r="BD71" s="689"/>
      <c r="BE71" s="678"/>
      <c r="BF71" s="666"/>
      <c r="BG71" s="666"/>
      <c r="BH71" s="666"/>
      <c r="BI71" s="667"/>
      <c r="BJ71" s="678"/>
      <c r="BK71" s="690"/>
      <c r="BL71" s="312"/>
      <c r="BM71" s="475">
        <f t="shared" si="12"/>
        <v>0</v>
      </c>
      <c r="BN71" s="475">
        <f t="shared" si="24"/>
        <v>0</v>
      </c>
      <c r="BO71" s="475">
        <f t="shared" si="5"/>
        <v>0</v>
      </c>
      <c r="BP71" s="475">
        <f t="shared" si="6"/>
        <v>0</v>
      </c>
      <c r="BQ71" s="312"/>
      <c r="BR71" s="476">
        <f t="shared" si="25"/>
        <v>0</v>
      </c>
      <c r="BS71" s="465">
        <f t="shared" si="22"/>
        <v>0</v>
      </c>
      <c r="BT71" s="466" t="str">
        <f t="shared" si="23"/>
        <v>n.a.</v>
      </c>
    </row>
    <row r="72" spans="1:72">
      <c r="A72" s="201">
        <f t="shared" si="9"/>
        <v>59</v>
      </c>
      <c r="B72" s="641"/>
      <c r="C72" s="631" t="s">
        <v>8643</v>
      </c>
      <c r="D72" s="642"/>
      <c r="E72" s="643"/>
      <c r="F72" s="643"/>
      <c r="G72" s="474">
        <f t="shared" si="14"/>
        <v>0</v>
      </c>
      <c r="H72" s="293" t="str">
        <f t="shared" si="15"/>
        <v/>
      </c>
      <c r="I72" s="652"/>
      <c r="J72" s="653"/>
      <c r="K72" s="643"/>
      <c r="L72" s="654"/>
      <c r="M72" s="653"/>
      <c r="N72" s="643"/>
      <c r="O72" s="643"/>
      <c r="P72" s="643"/>
      <c r="Q72" s="652"/>
      <c r="R72" s="655"/>
      <c r="S72" s="649"/>
      <c r="T72" s="292" t="e">
        <f>INDEX(ei_geo!$B:$B,MATCH(S72,ei_geo!$A:$A,0))</f>
        <v>#N/A</v>
      </c>
      <c r="U72" s="666"/>
      <c r="V72" s="666"/>
      <c r="W72" s="667"/>
      <c r="X72" s="653"/>
      <c r="Y72" s="643"/>
      <c r="Z72" s="643"/>
      <c r="AA72" s="643"/>
      <c r="AB72" s="652"/>
      <c r="AC72" s="671"/>
      <c r="AD72" s="649"/>
      <c r="AE72" s="292"/>
      <c r="AF72" s="666"/>
      <c r="AG72" s="666"/>
      <c r="AH72" s="667"/>
      <c r="AI72" s="678"/>
      <c r="AJ72" s="666"/>
      <c r="AK72" s="666"/>
      <c r="AL72" s="666"/>
      <c r="AM72" s="667"/>
      <c r="AN72" s="671"/>
      <c r="AO72" s="649"/>
      <c r="AP72" s="292"/>
      <c r="AQ72" s="666"/>
      <c r="AR72" s="666"/>
      <c r="AS72" s="667"/>
      <c r="AT72" s="678"/>
      <c r="AU72" s="666"/>
      <c r="AV72" s="666"/>
      <c r="AW72" s="666"/>
      <c r="AX72" s="680"/>
      <c r="AY72" s="671"/>
      <c r="AZ72" s="649"/>
      <c r="BA72" s="292"/>
      <c r="BB72" s="666"/>
      <c r="BC72" s="666"/>
      <c r="BD72" s="689"/>
      <c r="BE72" s="678"/>
      <c r="BF72" s="666"/>
      <c r="BG72" s="666"/>
      <c r="BH72" s="666"/>
      <c r="BI72" s="667"/>
      <c r="BJ72" s="678"/>
      <c r="BK72" s="690"/>
      <c r="BL72" s="312"/>
      <c r="BM72" s="475">
        <f t="shared" ref="BM72:BM78" si="26">($G72/1000)*AB72</f>
        <v>0</v>
      </c>
      <c r="BN72" s="475">
        <f t="shared" si="24"/>
        <v>0</v>
      </c>
      <c r="BO72" s="475">
        <f t="shared" si="5"/>
        <v>0</v>
      </c>
      <c r="BP72" s="475">
        <f t="shared" si="6"/>
        <v>0</v>
      </c>
      <c r="BQ72" s="312"/>
      <c r="BR72" s="476">
        <f t="shared" si="25"/>
        <v>0</v>
      </c>
      <c r="BS72" s="465">
        <f t="shared" si="22"/>
        <v>0</v>
      </c>
      <c r="BT72" s="466" t="str">
        <f t="shared" si="23"/>
        <v>n.a.</v>
      </c>
    </row>
    <row r="73" spans="1:72">
      <c r="A73" s="201">
        <f t="shared" si="9"/>
        <v>60</v>
      </c>
      <c r="B73" s="641"/>
      <c r="C73" s="631" t="s">
        <v>8644</v>
      </c>
      <c r="D73" s="642"/>
      <c r="E73" s="643"/>
      <c r="F73" s="643"/>
      <c r="G73" s="474">
        <f t="shared" si="14"/>
        <v>0</v>
      </c>
      <c r="H73" s="293" t="str">
        <f t="shared" si="15"/>
        <v/>
      </c>
      <c r="I73" s="652"/>
      <c r="J73" s="653"/>
      <c r="K73" s="643"/>
      <c r="L73" s="654"/>
      <c r="M73" s="653"/>
      <c r="N73" s="643"/>
      <c r="O73" s="643"/>
      <c r="P73" s="643"/>
      <c r="Q73" s="652"/>
      <c r="R73" s="655"/>
      <c r="S73" s="649"/>
      <c r="T73" s="292" t="e">
        <f>INDEX(ei_geo!$B:$B,MATCH(S73,ei_geo!$A:$A,0))</f>
        <v>#N/A</v>
      </c>
      <c r="U73" s="666"/>
      <c r="V73" s="666"/>
      <c r="W73" s="667"/>
      <c r="X73" s="653"/>
      <c r="Y73" s="643"/>
      <c r="Z73" s="643"/>
      <c r="AA73" s="643"/>
      <c r="AB73" s="652"/>
      <c r="AC73" s="671"/>
      <c r="AD73" s="649"/>
      <c r="AE73" s="292"/>
      <c r="AF73" s="666"/>
      <c r="AG73" s="666"/>
      <c r="AH73" s="667"/>
      <c r="AI73" s="678"/>
      <c r="AJ73" s="666"/>
      <c r="AK73" s="666"/>
      <c r="AL73" s="666"/>
      <c r="AM73" s="667"/>
      <c r="AN73" s="671"/>
      <c r="AO73" s="649"/>
      <c r="AP73" s="292"/>
      <c r="AQ73" s="666"/>
      <c r="AR73" s="666"/>
      <c r="AS73" s="667"/>
      <c r="AT73" s="678"/>
      <c r="AU73" s="666"/>
      <c r="AV73" s="666"/>
      <c r="AW73" s="666"/>
      <c r="AX73" s="680"/>
      <c r="AY73" s="671"/>
      <c r="AZ73" s="649"/>
      <c r="BA73" s="292"/>
      <c r="BB73" s="666"/>
      <c r="BC73" s="666"/>
      <c r="BD73" s="689"/>
      <c r="BE73" s="678"/>
      <c r="BF73" s="666"/>
      <c r="BG73" s="666"/>
      <c r="BH73" s="666"/>
      <c r="BI73" s="667"/>
      <c r="BJ73" s="678"/>
      <c r="BK73" s="690"/>
      <c r="BL73" s="312"/>
      <c r="BM73" s="475">
        <f t="shared" si="26"/>
        <v>0</v>
      </c>
      <c r="BN73" s="475">
        <f t="shared" si="24"/>
        <v>0</v>
      </c>
      <c r="BO73" s="475">
        <f t="shared" si="5"/>
        <v>0</v>
      </c>
      <c r="BP73" s="475">
        <f t="shared" si="6"/>
        <v>0</v>
      </c>
      <c r="BQ73" s="312"/>
      <c r="BR73" s="476">
        <f t="shared" si="25"/>
        <v>0</v>
      </c>
      <c r="BS73" s="465">
        <f t="shared" si="22"/>
        <v>0</v>
      </c>
      <c r="BT73" s="466" t="str">
        <f t="shared" si="23"/>
        <v>n.a.</v>
      </c>
    </row>
    <row r="74" spans="1:72">
      <c r="A74" s="201">
        <f t="shared" si="9"/>
        <v>61</v>
      </c>
      <c r="B74" s="641"/>
      <c r="C74" s="631" t="s">
        <v>8645</v>
      </c>
      <c r="D74" s="642"/>
      <c r="E74" s="643"/>
      <c r="F74" s="643"/>
      <c r="G74" s="474">
        <f t="shared" si="14"/>
        <v>0</v>
      </c>
      <c r="H74" s="293" t="str">
        <f t="shared" si="15"/>
        <v/>
      </c>
      <c r="I74" s="652"/>
      <c r="J74" s="653"/>
      <c r="K74" s="643"/>
      <c r="L74" s="654"/>
      <c r="M74" s="653"/>
      <c r="N74" s="643"/>
      <c r="O74" s="643"/>
      <c r="P74" s="643"/>
      <c r="Q74" s="652"/>
      <c r="R74" s="655"/>
      <c r="S74" s="649"/>
      <c r="T74" s="292" t="e">
        <f>INDEX(ei_geo!$B:$B,MATCH(S74,ei_geo!$A:$A,0))</f>
        <v>#N/A</v>
      </c>
      <c r="U74" s="666"/>
      <c r="V74" s="666"/>
      <c r="W74" s="667"/>
      <c r="X74" s="653"/>
      <c r="Y74" s="643"/>
      <c r="Z74" s="643"/>
      <c r="AA74" s="643"/>
      <c r="AB74" s="652"/>
      <c r="AC74" s="671"/>
      <c r="AD74" s="649"/>
      <c r="AE74" s="292"/>
      <c r="AF74" s="666"/>
      <c r="AG74" s="666"/>
      <c r="AH74" s="667"/>
      <c r="AI74" s="678"/>
      <c r="AJ74" s="666"/>
      <c r="AK74" s="666"/>
      <c r="AL74" s="666"/>
      <c r="AM74" s="667"/>
      <c r="AN74" s="671"/>
      <c r="AO74" s="649"/>
      <c r="AP74" s="292"/>
      <c r="AQ74" s="666"/>
      <c r="AR74" s="666"/>
      <c r="AS74" s="667"/>
      <c r="AT74" s="678"/>
      <c r="AU74" s="666"/>
      <c r="AV74" s="666"/>
      <c r="AW74" s="666"/>
      <c r="AX74" s="680"/>
      <c r="AY74" s="671"/>
      <c r="AZ74" s="649"/>
      <c r="BA74" s="292"/>
      <c r="BB74" s="666"/>
      <c r="BC74" s="666"/>
      <c r="BD74" s="689"/>
      <c r="BE74" s="678"/>
      <c r="BF74" s="666"/>
      <c r="BG74" s="666"/>
      <c r="BH74" s="666"/>
      <c r="BI74" s="667"/>
      <c r="BJ74" s="678"/>
      <c r="BK74" s="690"/>
      <c r="BL74" s="312"/>
      <c r="BM74" s="475">
        <f t="shared" si="26"/>
        <v>0</v>
      </c>
      <c r="BN74" s="475">
        <f t="shared" si="24"/>
        <v>0</v>
      </c>
      <c r="BO74" s="475">
        <f t="shared" si="5"/>
        <v>0</v>
      </c>
      <c r="BP74" s="475">
        <f t="shared" si="6"/>
        <v>0</v>
      </c>
      <c r="BQ74" s="312"/>
      <c r="BR74" s="476">
        <f t="shared" ref="BR74:BR78" si="27">IF(E74&gt;0,(AB74+AM74+AX74+BI74),0)</f>
        <v>0</v>
      </c>
      <c r="BS74" s="465">
        <f t="shared" ref="BS74:BS78" si="28">IF($G74&gt;0,"check",IF($G74=0,0))</f>
        <v>0</v>
      </c>
      <c r="BT74" s="466" t="str">
        <f t="shared" si="23"/>
        <v>n.a.</v>
      </c>
    </row>
    <row r="75" spans="1:72">
      <c r="A75" s="201">
        <f t="shared" si="9"/>
        <v>62</v>
      </c>
      <c r="B75" s="641"/>
      <c r="C75" s="631" t="s">
        <v>8646</v>
      </c>
      <c r="D75" s="642"/>
      <c r="E75" s="643"/>
      <c r="F75" s="643"/>
      <c r="G75" s="474">
        <f t="shared" si="14"/>
        <v>0</v>
      </c>
      <c r="H75" s="293" t="str">
        <f t="shared" si="15"/>
        <v/>
      </c>
      <c r="I75" s="652"/>
      <c r="J75" s="653"/>
      <c r="K75" s="643"/>
      <c r="L75" s="654"/>
      <c r="M75" s="653"/>
      <c r="N75" s="643"/>
      <c r="O75" s="643"/>
      <c r="P75" s="643"/>
      <c r="Q75" s="652"/>
      <c r="R75" s="655"/>
      <c r="S75" s="649"/>
      <c r="T75" s="292" t="e">
        <f>INDEX(ei_geo!$B:$B,MATCH(S75,ei_geo!$A:$A,0))</f>
        <v>#N/A</v>
      </c>
      <c r="U75" s="666"/>
      <c r="V75" s="666"/>
      <c r="W75" s="667"/>
      <c r="X75" s="653"/>
      <c r="Y75" s="643"/>
      <c r="Z75" s="643"/>
      <c r="AA75" s="643"/>
      <c r="AB75" s="652"/>
      <c r="AC75" s="671"/>
      <c r="AD75" s="649"/>
      <c r="AE75" s="292"/>
      <c r="AF75" s="666"/>
      <c r="AG75" s="666"/>
      <c r="AH75" s="667"/>
      <c r="AI75" s="678"/>
      <c r="AJ75" s="666"/>
      <c r="AK75" s="666"/>
      <c r="AL75" s="666"/>
      <c r="AM75" s="667"/>
      <c r="AN75" s="671"/>
      <c r="AO75" s="649"/>
      <c r="AP75" s="292"/>
      <c r="AQ75" s="666"/>
      <c r="AR75" s="666"/>
      <c r="AS75" s="667"/>
      <c r="AT75" s="678"/>
      <c r="AU75" s="666"/>
      <c r="AV75" s="666"/>
      <c r="AW75" s="666"/>
      <c r="AX75" s="680"/>
      <c r="AY75" s="671"/>
      <c r="AZ75" s="649"/>
      <c r="BA75" s="292"/>
      <c r="BB75" s="666"/>
      <c r="BC75" s="666"/>
      <c r="BD75" s="689"/>
      <c r="BE75" s="678"/>
      <c r="BF75" s="666"/>
      <c r="BG75" s="666"/>
      <c r="BH75" s="666"/>
      <c r="BI75" s="667"/>
      <c r="BJ75" s="678"/>
      <c r="BK75" s="690"/>
      <c r="BL75" s="312"/>
      <c r="BM75" s="475">
        <f t="shared" si="26"/>
        <v>0</v>
      </c>
      <c r="BN75" s="475">
        <f t="shared" si="24"/>
        <v>0</v>
      </c>
      <c r="BO75" s="475">
        <f t="shared" si="5"/>
        <v>0</v>
      </c>
      <c r="BP75" s="475">
        <f t="shared" si="6"/>
        <v>0</v>
      </c>
      <c r="BQ75" s="312"/>
      <c r="BR75" s="476">
        <f t="shared" si="27"/>
        <v>0</v>
      </c>
      <c r="BS75" s="465">
        <f t="shared" si="28"/>
        <v>0</v>
      </c>
      <c r="BT75" s="466" t="str">
        <f t="shared" si="23"/>
        <v>n.a.</v>
      </c>
    </row>
    <row r="76" spans="1:72">
      <c r="A76" s="201">
        <f t="shared" si="9"/>
        <v>63</v>
      </c>
      <c r="B76" s="641"/>
      <c r="C76" s="631" t="s">
        <v>8647</v>
      </c>
      <c r="D76" s="642"/>
      <c r="E76" s="643"/>
      <c r="F76" s="643"/>
      <c r="G76" s="474">
        <f t="shared" si="14"/>
        <v>0</v>
      </c>
      <c r="H76" s="293" t="str">
        <f t="shared" si="15"/>
        <v/>
      </c>
      <c r="I76" s="652"/>
      <c r="J76" s="653"/>
      <c r="K76" s="643"/>
      <c r="L76" s="654"/>
      <c r="M76" s="653"/>
      <c r="N76" s="643"/>
      <c r="O76" s="643"/>
      <c r="P76" s="643"/>
      <c r="Q76" s="652"/>
      <c r="R76" s="655"/>
      <c r="S76" s="649"/>
      <c r="T76" s="292" t="e">
        <f>INDEX(ei_geo!$B:$B,MATCH(S76,ei_geo!$A:$A,0))</f>
        <v>#N/A</v>
      </c>
      <c r="U76" s="666"/>
      <c r="V76" s="666"/>
      <c r="W76" s="667"/>
      <c r="X76" s="653"/>
      <c r="Y76" s="643"/>
      <c r="Z76" s="643"/>
      <c r="AA76" s="643"/>
      <c r="AB76" s="652"/>
      <c r="AC76" s="671"/>
      <c r="AD76" s="649"/>
      <c r="AE76" s="292"/>
      <c r="AF76" s="666"/>
      <c r="AG76" s="666"/>
      <c r="AH76" s="667"/>
      <c r="AI76" s="678"/>
      <c r="AJ76" s="666"/>
      <c r="AK76" s="666"/>
      <c r="AL76" s="666"/>
      <c r="AM76" s="667"/>
      <c r="AN76" s="671"/>
      <c r="AO76" s="649"/>
      <c r="AP76" s="292"/>
      <c r="AQ76" s="666"/>
      <c r="AR76" s="666"/>
      <c r="AS76" s="667"/>
      <c r="AT76" s="678"/>
      <c r="AU76" s="666"/>
      <c r="AV76" s="666"/>
      <c r="AW76" s="666"/>
      <c r="AX76" s="680"/>
      <c r="AY76" s="671"/>
      <c r="AZ76" s="649"/>
      <c r="BA76" s="292"/>
      <c r="BB76" s="666"/>
      <c r="BC76" s="666"/>
      <c r="BD76" s="689"/>
      <c r="BE76" s="678"/>
      <c r="BF76" s="666"/>
      <c r="BG76" s="666"/>
      <c r="BH76" s="666"/>
      <c r="BI76" s="667"/>
      <c r="BJ76" s="678"/>
      <c r="BK76" s="690"/>
      <c r="BL76" s="312"/>
      <c r="BM76" s="475">
        <f t="shared" si="26"/>
        <v>0</v>
      </c>
      <c r="BN76" s="475">
        <f t="shared" si="24"/>
        <v>0</v>
      </c>
      <c r="BO76" s="475">
        <f t="shared" si="5"/>
        <v>0</v>
      </c>
      <c r="BP76" s="475">
        <f t="shared" si="6"/>
        <v>0</v>
      </c>
      <c r="BQ76" s="312"/>
      <c r="BR76" s="476">
        <f t="shared" si="27"/>
        <v>0</v>
      </c>
      <c r="BS76" s="465">
        <f t="shared" si="28"/>
        <v>0</v>
      </c>
      <c r="BT76" s="466" t="str">
        <f t="shared" si="23"/>
        <v>n.a.</v>
      </c>
    </row>
    <row r="77" spans="1:72">
      <c r="A77" s="201">
        <f t="shared" si="9"/>
        <v>64</v>
      </c>
      <c r="B77" s="641"/>
      <c r="C77" s="631" t="s">
        <v>8648</v>
      </c>
      <c r="D77" s="642"/>
      <c r="E77" s="643"/>
      <c r="F77" s="643"/>
      <c r="G77" s="474">
        <f t="shared" si="14"/>
        <v>0</v>
      </c>
      <c r="H77" s="293" t="str">
        <f t="shared" si="15"/>
        <v/>
      </c>
      <c r="I77" s="652"/>
      <c r="J77" s="653"/>
      <c r="K77" s="643"/>
      <c r="L77" s="654"/>
      <c r="M77" s="653"/>
      <c r="N77" s="643"/>
      <c r="O77" s="643"/>
      <c r="P77" s="643"/>
      <c r="Q77" s="652"/>
      <c r="R77" s="655"/>
      <c r="S77" s="649"/>
      <c r="T77" s="292" t="e">
        <f>INDEX(ei_geo!$B:$B,MATCH(S77,ei_geo!$A:$A,0))</f>
        <v>#N/A</v>
      </c>
      <c r="U77" s="666"/>
      <c r="V77" s="666"/>
      <c r="W77" s="667"/>
      <c r="X77" s="653"/>
      <c r="Y77" s="643"/>
      <c r="Z77" s="643"/>
      <c r="AA77" s="643"/>
      <c r="AB77" s="652"/>
      <c r="AC77" s="671"/>
      <c r="AD77" s="649"/>
      <c r="AE77" s="292"/>
      <c r="AF77" s="666"/>
      <c r="AG77" s="666"/>
      <c r="AH77" s="667"/>
      <c r="AI77" s="678"/>
      <c r="AJ77" s="666"/>
      <c r="AK77" s="666"/>
      <c r="AL77" s="666"/>
      <c r="AM77" s="667"/>
      <c r="AN77" s="671"/>
      <c r="AO77" s="649"/>
      <c r="AP77" s="292"/>
      <c r="AQ77" s="666"/>
      <c r="AR77" s="666"/>
      <c r="AS77" s="667"/>
      <c r="AT77" s="678"/>
      <c r="AU77" s="666"/>
      <c r="AV77" s="666"/>
      <c r="AW77" s="666"/>
      <c r="AX77" s="680"/>
      <c r="AY77" s="671"/>
      <c r="AZ77" s="649"/>
      <c r="BA77" s="292"/>
      <c r="BB77" s="666"/>
      <c r="BC77" s="666"/>
      <c r="BD77" s="689"/>
      <c r="BE77" s="678"/>
      <c r="BF77" s="666"/>
      <c r="BG77" s="666"/>
      <c r="BH77" s="666"/>
      <c r="BI77" s="667"/>
      <c r="BJ77" s="678"/>
      <c r="BK77" s="690"/>
      <c r="BL77" s="312"/>
      <c r="BM77" s="475">
        <f t="shared" si="26"/>
        <v>0</v>
      </c>
      <c r="BN77" s="475">
        <f t="shared" si="24"/>
        <v>0</v>
      </c>
      <c r="BO77" s="475">
        <f t="shared" si="5"/>
        <v>0</v>
      </c>
      <c r="BP77" s="475">
        <f t="shared" si="6"/>
        <v>0</v>
      </c>
      <c r="BQ77" s="312"/>
      <c r="BR77" s="476">
        <f t="shared" si="27"/>
        <v>0</v>
      </c>
      <c r="BS77" s="465">
        <f t="shared" si="28"/>
        <v>0</v>
      </c>
      <c r="BT77" s="466" t="str">
        <f t="shared" si="23"/>
        <v>n.a.</v>
      </c>
    </row>
    <row r="78" spans="1:72">
      <c r="A78" s="201">
        <f t="shared" si="9"/>
        <v>65</v>
      </c>
      <c r="B78" s="641"/>
      <c r="C78" s="631" t="s">
        <v>8649</v>
      </c>
      <c r="D78" s="642"/>
      <c r="E78" s="643"/>
      <c r="F78" s="643"/>
      <c r="G78" s="474">
        <f t="shared" si="14"/>
        <v>0</v>
      </c>
      <c r="H78" s="293" t="str">
        <f t="shared" si="15"/>
        <v/>
      </c>
      <c r="I78" s="652"/>
      <c r="J78" s="653"/>
      <c r="K78" s="643"/>
      <c r="L78" s="654"/>
      <c r="M78" s="653"/>
      <c r="N78" s="643"/>
      <c r="O78" s="643"/>
      <c r="P78" s="643"/>
      <c r="Q78" s="652"/>
      <c r="R78" s="655"/>
      <c r="S78" s="649"/>
      <c r="T78" s="292" t="e">
        <f>INDEX(ei_geo!$B:$B,MATCH(S78,ei_geo!$A:$A,0))</f>
        <v>#N/A</v>
      </c>
      <c r="U78" s="666"/>
      <c r="V78" s="666"/>
      <c r="W78" s="667"/>
      <c r="X78" s="653"/>
      <c r="Y78" s="643"/>
      <c r="Z78" s="643"/>
      <c r="AA78" s="643"/>
      <c r="AB78" s="652"/>
      <c r="AC78" s="671"/>
      <c r="AD78" s="649"/>
      <c r="AE78" s="292"/>
      <c r="AF78" s="666"/>
      <c r="AG78" s="666"/>
      <c r="AH78" s="667"/>
      <c r="AI78" s="678"/>
      <c r="AJ78" s="666"/>
      <c r="AK78" s="666"/>
      <c r="AL78" s="666"/>
      <c r="AM78" s="667"/>
      <c r="AN78" s="671"/>
      <c r="AO78" s="649"/>
      <c r="AP78" s="292"/>
      <c r="AQ78" s="666"/>
      <c r="AR78" s="666"/>
      <c r="AS78" s="667"/>
      <c r="AT78" s="678"/>
      <c r="AU78" s="666"/>
      <c r="AV78" s="666"/>
      <c r="AW78" s="666"/>
      <c r="AX78" s="680"/>
      <c r="AY78" s="671"/>
      <c r="AZ78" s="649"/>
      <c r="BA78" s="292"/>
      <c r="BB78" s="666"/>
      <c r="BC78" s="666"/>
      <c r="BD78" s="689"/>
      <c r="BE78" s="678"/>
      <c r="BF78" s="666"/>
      <c r="BG78" s="666"/>
      <c r="BH78" s="666"/>
      <c r="BI78" s="667"/>
      <c r="BJ78" s="678"/>
      <c r="BK78" s="690"/>
      <c r="BL78" s="312"/>
      <c r="BM78" s="475">
        <f t="shared" si="26"/>
        <v>0</v>
      </c>
      <c r="BN78" s="475">
        <f t="shared" si="24"/>
        <v>0</v>
      </c>
      <c r="BO78" s="475">
        <f t="shared" si="5"/>
        <v>0</v>
      </c>
      <c r="BP78" s="475">
        <f t="shared" si="6"/>
        <v>0</v>
      </c>
      <c r="BQ78" s="312"/>
      <c r="BR78" s="476">
        <f t="shared" si="27"/>
        <v>0</v>
      </c>
      <c r="BS78" s="465">
        <f t="shared" si="28"/>
        <v>0</v>
      </c>
      <c r="BT78" s="466" t="str">
        <f t="shared" si="23"/>
        <v>n.a.</v>
      </c>
    </row>
    <row r="79" spans="1:72">
      <c r="A79" s="201">
        <f t="shared" si="9"/>
        <v>66</v>
      </c>
      <c r="B79" s="641"/>
      <c r="C79" s="631" t="s">
        <v>8650</v>
      </c>
      <c r="D79" s="642"/>
      <c r="E79" s="643"/>
      <c r="F79" s="643"/>
      <c r="G79" s="474">
        <f t="shared" si="14"/>
        <v>0</v>
      </c>
      <c r="H79" s="293" t="str">
        <f t="shared" si="15"/>
        <v/>
      </c>
      <c r="I79" s="652"/>
      <c r="J79" s="653"/>
      <c r="K79" s="643"/>
      <c r="L79" s="654"/>
      <c r="M79" s="653"/>
      <c r="N79" s="643"/>
      <c r="O79" s="643"/>
      <c r="P79" s="643"/>
      <c r="Q79" s="652"/>
      <c r="R79" s="655"/>
      <c r="S79" s="649"/>
      <c r="T79" s="292" t="e">
        <f>INDEX(ei_geo!$B:$B,MATCH(S79,ei_geo!$A:$A,0))</f>
        <v>#N/A</v>
      </c>
      <c r="U79" s="666"/>
      <c r="V79" s="666"/>
      <c r="W79" s="667"/>
      <c r="X79" s="653"/>
      <c r="Y79" s="643"/>
      <c r="Z79" s="643"/>
      <c r="AA79" s="643"/>
      <c r="AB79" s="652"/>
      <c r="AC79" s="671"/>
      <c r="AD79" s="649"/>
      <c r="AE79" s="292"/>
      <c r="AF79" s="666"/>
      <c r="AG79" s="666"/>
      <c r="AH79" s="667"/>
      <c r="AI79" s="678"/>
      <c r="AJ79" s="666"/>
      <c r="AK79" s="666"/>
      <c r="AL79" s="666"/>
      <c r="AM79" s="667"/>
      <c r="AN79" s="671"/>
      <c r="AO79" s="649"/>
      <c r="AP79" s="292"/>
      <c r="AQ79" s="666"/>
      <c r="AR79" s="666"/>
      <c r="AS79" s="667"/>
      <c r="AT79" s="678"/>
      <c r="AU79" s="666"/>
      <c r="AV79" s="666"/>
      <c r="AW79" s="666"/>
      <c r="AX79" s="680"/>
      <c r="AY79" s="671"/>
      <c r="AZ79" s="649"/>
      <c r="BA79" s="292"/>
      <c r="BB79" s="666"/>
      <c r="BC79" s="666"/>
      <c r="BD79" s="689"/>
      <c r="BE79" s="678"/>
      <c r="BF79" s="666"/>
      <c r="BG79" s="666"/>
      <c r="BH79" s="666"/>
      <c r="BI79" s="667"/>
      <c r="BJ79" s="678"/>
      <c r="BK79" s="690"/>
      <c r="BL79" s="312"/>
      <c r="BM79" s="475">
        <f t="shared" ref="BM79:BM142" si="29">($G79/1000)*AB79</f>
        <v>0</v>
      </c>
      <c r="BN79" s="475">
        <f t="shared" ref="BN79:BN142" si="30">($G79/1000)*AM79</f>
        <v>0</v>
      </c>
      <c r="BO79" s="475">
        <f t="shared" ref="BO79:BO142" si="31">($G79/1000)*AX79</f>
        <v>0</v>
      </c>
      <c r="BP79" s="475">
        <f t="shared" ref="BP79:BP142" si="32">($G79/1000)*BI79</f>
        <v>0</v>
      </c>
      <c r="BQ79" s="312"/>
      <c r="BR79" s="476">
        <f t="shared" ref="BR79:BR142" si="33">IF(E79&gt;0,(AB79+AM79+AX79+BI79),0)</f>
        <v>0</v>
      </c>
      <c r="BS79" s="465">
        <f t="shared" ref="BS79:BS142" si="34">IF($G79&gt;0,"check",IF($G79=0,0))</f>
        <v>0</v>
      </c>
      <c r="BT79" s="466" t="str">
        <f t="shared" si="23"/>
        <v>n.a.</v>
      </c>
    </row>
    <row r="80" spans="1:72">
      <c r="A80" s="201">
        <f t="shared" ref="A80:A157" si="35">A79+1</f>
        <v>67</v>
      </c>
      <c r="B80" s="641"/>
      <c r="C80" s="631" t="s">
        <v>8651</v>
      </c>
      <c r="D80" s="642"/>
      <c r="E80" s="643"/>
      <c r="F80" s="643"/>
      <c r="G80" s="474">
        <f t="shared" si="14"/>
        <v>0</v>
      </c>
      <c r="H80" s="293" t="str">
        <f t="shared" si="15"/>
        <v/>
      </c>
      <c r="I80" s="652"/>
      <c r="J80" s="653"/>
      <c r="K80" s="643"/>
      <c r="L80" s="654"/>
      <c r="M80" s="653"/>
      <c r="N80" s="643"/>
      <c r="O80" s="643"/>
      <c r="P80" s="643"/>
      <c r="Q80" s="652"/>
      <c r="R80" s="655"/>
      <c r="S80" s="649"/>
      <c r="T80" s="292" t="e">
        <f>INDEX(ei_geo!$B:$B,MATCH(S80,ei_geo!$A:$A,0))</f>
        <v>#N/A</v>
      </c>
      <c r="U80" s="666"/>
      <c r="V80" s="666"/>
      <c r="W80" s="667"/>
      <c r="X80" s="653"/>
      <c r="Y80" s="643"/>
      <c r="Z80" s="643"/>
      <c r="AA80" s="643"/>
      <c r="AB80" s="652"/>
      <c r="AC80" s="671"/>
      <c r="AD80" s="649"/>
      <c r="AE80" s="292"/>
      <c r="AF80" s="666"/>
      <c r="AG80" s="666"/>
      <c r="AH80" s="667"/>
      <c r="AI80" s="678"/>
      <c r="AJ80" s="666"/>
      <c r="AK80" s="666"/>
      <c r="AL80" s="666"/>
      <c r="AM80" s="667"/>
      <c r="AN80" s="671"/>
      <c r="AO80" s="649"/>
      <c r="AP80" s="292"/>
      <c r="AQ80" s="666"/>
      <c r="AR80" s="666"/>
      <c r="AS80" s="667"/>
      <c r="AT80" s="678"/>
      <c r="AU80" s="666"/>
      <c r="AV80" s="666"/>
      <c r="AW80" s="666"/>
      <c r="AX80" s="680"/>
      <c r="AY80" s="671"/>
      <c r="AZ80" s="649"/>
      <c r="BA80" s="292"/>
      <c r="BB80" s="666"/>
      <c r="BC80" s="666"/>
      <c r="BD80" s="689"/>
      <c r="BE80" s="678"/>
      <c r="BF80" s="666"/>
      <c r="BG80" s="666"/>
      <c r="BH80" s="666"/>
      <c r="BI80" s="667"/>
      <c r="BJ80" s="678"/>
      <c r="BK80" s="690"/>
      <c r="BL80" s="312"/>
      <c r="BM80" s="475">
        <f t="shared" si="29"/>
        <v>0</v>
      </c>
      <c r="BN80" s="475">
        <f t="shared" si="30"/>
        <v>0</v>
      </c>
      <c r="BO80" s="475">
        <f t="shared" si="31"/>
        <v>0</v>
      </c>
      <c r="BP80" s="475">
        <f t="shared" si="32"/>
        <v>0</v>
      </c>
      <c r="BQ80" s="312"/>
      <c r="BR80" s="476">
        <f t="shared" si="33"/>
        <v>0</v>
      </c>
      <c r="BS80" s="465">
        <f t="shared" si="34"/>
        <v>0</v>
      </c>
      <c r="BT80" s="466" t="str">
        <f t="shared" si="23"/>
        <v>n.a.</v>
      </c>
    </row>
    <row r="81" spans="1:72">
      <c r="A81" s="201">
        <f t="shared" si="35"/>
        <v>68</v>
      </c>
      <c r="B81" s="641"/>
      <c r="C81" s="631" t="s">
        <v>8652</v>
      </c>
      <c r="D81" s="642"/>
      <c r="E81" s="643"/>
      <c r="F81" s="643"/>
      <c r="G81" s="474">
        <f t="shared" si="14"/>
        <v>0</v>
      </c>
      <c r="H81" s="293" t="str">
        <f t="shared" si="15"/>
        <v/>
      </c>
      <c r="I81" s="652"/>
      <c r="J81" s="653"/>
      <c r="K81" s="643"/>
      <c r="L81" s="654"/>
      <c r="M81" s="653"/>
      <c r="N81" s="643"/>
      <c r="O81" s="643"/>
      <c r="P81" s="643"/>
      <c r="Q81" s="652"/>
      <c r="R81" s="655"/>
      <c r="S81" s="649"/>
      <c r="T81" s="292" t="e">
        <f>INDEX(ei_geo!$B:$B,MATCH(S81,ei_geo!$A:$A,0))</f>
        <v>#N/A</v>
      </c>
      <c r="U81" s="666"/>
      <c r="V81" s="666"/>
      <c r="W81" s="667"/>
      <c r="X81" s="653"/>
      <c r="Y81" s="643"/>
      <c r="Z81" s="643"/>
      <c r="AA81" s="643"/>
      <c r="AB81" s="652"/>
      <c r="AC81" s="671"/>
      <c r="AD81" s="649"/>
      <c r="AE81" s="292"/>
      <c r="AF81" s="666"/>
      <c r="AG81" s="666"/>
      <c r="AH81" s="667"/>
      <c r="AI81" s="678"/>
      <c r="AJ81" s="666"/>
      <c r="AK81" s="666"/>
      <c r="AL81" s="666"/>
      <c r="AM81" s="667"/>
      <c r="AN81" s="671"/>
      <c r="AO81" s="649"/>
      <c r="AP81" s="292"/>
      <c r="AQ81" s="666"/>
      <c r="AR81" s="666"/>
      <c r="AS81" s="667"/>
      <c r="AT81" s="678"/>
      <c r="AU81" s="666"/>
      <c r="AV81" s="666"/>
      <c r="AW81" s="666"/>
      <c r="AX81" s="680"/>
      <c r="AY81" s="671"/>
      <c r="AZ81" s="649"/>
      <c r="BA81" s="292"/>
      <c r="BB81" s="666"/>
      <c r="BC81" s="666"/>
      <c r="BD81" s="689"/>
      <c r="BE81" s="678"/>
      <c r="BF81" s="666"/>
      <c r="BG81" s="666"/>
      <c r="BH81" s="666"/>
      <c r="BI81" s="667"/>
      <c r="BJ81" s="678"/>
      <c r="BK81" s="690"/>
      <c r="BL81" s="312"/>
      <c r="BM81" s="475">
        <f t="shared" si="29"/>
        <v>0</v>
      </c>
      <c r="BN81" s="475">
        <f t="shared" si="30"/>
        <v>0</v>
      </c>
      <c r="BO81" s="475">
        <f t="shared" si="31"/>
        <v>0</v>
      </c>
      <c r="BP81" s="475">
        <f t="shared" si="32"/>
        <v>0</v>
      </c>
      <c r="BQ81" s="312"/>
      <c r="BR81" s="476">
        <f t="shared" si="33"/>
        <v>0</v>
      </c>
      <c r="BS81" s="465">
        <f t="shared" si="34"/>
        <v>0</v>
      </c>
      <c r="BT81" s="466" t="str">
        <f t="shared" si="23"/>
        <v>n.a.</v>
      </c>
    </row>
    <row r="82" spans="1:72">
      <c r="A82" s="201">
        <f t="shared" si="35"/>
        <v>69</v>
      </c>
      <c r="B82" s="641"/>
      <c r="C82" s="631" t="s">
        <v>8653</v>
      </c>
      <c r="D82" s="642"/>
      <c r="E82" s="643"/>
      <c r="F82" s="643"/>
      <c r="G82" s="474">
        <f t="shared" si="14"/>
        <v>0</v>
      </c>
      <c r="H82" s="293" t="str">
        <f t="shared" si="15"/>
        <v/>
      </c>
      <c r="I82" s="652"/>
      <c r="J82" s="653"/>
      <c r="K82" s="643"/>
      <c r="L82" s="654"/>
      <c r="M82" s="653"/>
      <c r="N82" s="643"/>
      <c r="O82" s="643"/>
      <c r="P82" s="643"/>
      <c r="Q82" s="652"/>
      <c r="R82" s="655"/>
      <c r="S82" s="649"/>
      <c r="T82" s="292" t="e">
        <f>INDEX(ei_geo!$B:$B,MATCH(S82,ei_geo!$A:$A,0))</f>
        <v>#N/A</v>
      </c>
      <c r="U82" s="666"/>
      <c r="V82" s="666"/>
      <c r="W82" s="667"/>
      <c r="X82" s="653"/>
      <c r="Y82" s="643"/>
      <c r="Z82" s="643"/>
      <c r="AA82" s="643"/>
      <c r="AB82" s="652"/>
      <c r="AC82" s="671"/>
      <c r="AD82" s="649"/>
      <c r="AE82" s="292"/>
      <c r="AF82" s="666"/>
      <c r="AG82" s="666"/>
      <c r="AH82" s="667"/>
      <c r="AI82" s="678"/>
      <c r="AJ82" s="666"/>
      <c r="AK82" s="666"/>
      <c r="AL82" s="666"/>
      <c r="AM82" s="667"/>
      <c r="AN82" s="671"/>
      <c r="AO82" s="649"/>
      <c r="AP82" s="292"/>
      <c r="AQ82" s="666"/>
      <c r="AR82" s="666"/>
      <c r="AS82" s="667"/>
      <c r="AT82" s="678"/>
      <c r="AU82" s="666"/>
      <c r="AV82" s="666"/>
      <c r="AW82" s="666"/>
      <c r="AX82" s="680"/>
      <c r="AY82" s="671"/>
      <c r="AZ82" s="649"/>
      <c r="BA82" s="292"/>
      <c r="BB82" s="666"/>
      <c r="BC82" s="666"/>
      <c r="BD82" s="689"/>
      <c r="BE82" s="678"/>
      <c r="BF82" s="666"/>
      <c r="BG82" s="666"/>
      <c r="BH82" s="666"/>
      <c r="BI82" s="667"/>
      <c r="BJ82" s="678"/>
      <c r="BK82" s="690"/>
      <c r="BL82" s="312"/>
      <c r="BM82" s="475">
        <f t="shared" si="29"/>
        <v>0</v>
      </c>
      <c r="BN82" s="475">
        <f t="shared" si="30"/>
        <v>0</v>
      </c>
      <c r="BO82" s="475">
        <f t="shared" si="31"/>
        <v>0</v>
      </c>
      <c r="BP82" s="475">
        <f t="shared" si="32"/>
        <v>0</v>
      </c>
      <c r="BQ82" s="312"/>
      <c r="BR82" s="476">
        <f t="shared" si="33"/>
        <v>0</v>
      </c>
      <c r="BS82" s="465">
        <f t="shared" si="34"/>
        <v>0</v>
      </c>
      <c r="BT82" s="466" t="str">
        <f t="shared" si="23"/>
        <v>n.a.</v>
      </c>
    </row>
    <row r="83" spans="1:72">
      <c r="A83" s="201">
        <f t="shared" si="35"/>
        <v>70</v>
      </c>
      <c r="B83" s="641"/>
      <c r="C83" s="631" t="s">
        <v>8654</v>
      </c>
      <c r="D83" s="642"/>
      <c r="E83" s="643"/>
      <c r="F83" s="643"/>
      <c r="G83" s="474">
        <f t="shared" si="14"/>
        <v>0</v>
      </c>
      <c r="H83" s="293" t="str">
        <f t="shared" si="15"/>
        <v/>
      </c>
      <c r="I83" s="652"/>
      <c r="J83" s="653"/>
      <c r="K83" s="643"/>
      <c r="L83" s="654"/>
      <c r="M83" s="653"/>
      <c r="N83" s="643"/>
      <c r="O83" s="643"/>
      <c r="P83" s="643"/>
      <c r="Q83" s="652"/>
      <c r="R83" s="655"/>
      <c r="S83" s="649"/>
      <c r="T83" s="292" t="e">
        <f>INDEX(ei_geo!$B:$B,MATCH(S83,ei_geo!$A:$A,0))</f>
        <v>#N/A</v>
      </c>
      <c r="U83" s="666"/>
      <c r="V83" s="666"/>
      <c r="W83" s="667"/>
      <c r="X83" s="653"/>
      <c r="Y83" s="643"/>
      <c r="Z83" s="643"/>
      <c r="AA83" s="643"/>
      <c r="AB83" s="652"/>
      <c r="AC83" s="671"/>
      <c r="AD83" s="649"/>
      <c r="AE83" s="292"/>
      <c r="AF83" s="666"/>
      <c r="AG83" s="666"/>
      <c r="AH83" s="667"/>
      <c r="AI83" s="678"/>
      <c r="AJ83" s="666"/>
      <c r="AK83" s="666"/>
      <c r="AL83" s="666"/>
      <c r="AM83" s="667"/>
      <c r="AN83" s="671"/>
      <c r="AO83" s="649"/>
      <c r="AP83" s="292"/>
      <c r="AQ83" s="666"/>
      <c r="AR83" s="666"/>
      <c r="AS83" s="667"/>
      <c r="AT83" s="678"/>
      <c r="AU83" s="666"/>
      <c r="AV83" s="666"/>
      <c r="AW83" s="666"/>
      <c r="AX83" s="680"/>
      <c r="AY83" s="671"/>
      <c r="AZ83" s="649"/>
      <c r="BA83" s="292"/>
      <c r="BB83" s="666"/>
      <c r="BC83" s="666"/>
      <c r="BD83" s="689"/>
      <c r="BE83" s="678"/>
      <c r="BF83" s="666"/>
      <c r="BG83" s="666"/>
      <c r="BH83" s="666"/>
      <c r="BI83" s="667"/>
      <c r="BJ83" s="678"/>
      <c r="BK83" s="690"/>
      <c r="BL83" s="312"/>
      <c r="BM83" s="475">
        <f t="shared" si="29"/>
        <v>0</v>
      </c>
      <c r="BN83" s="475">
        <f t="shared" si="30"/>
        <v>0</v>
      </c>
      <c r="BO83" s="475">
        <f t="shared" si="31"/>
        <v>0</v>
      </c>
      <c r="BP83" s="475">
        <f t="shared" si="32"/>
        <v>0</v>
      </c>
      <c r="BQ83" s="312"/>
      <c r="BR83" s="476">
        <f t="shared" si="33"/>
        <v>0</v>
      </c>
      <c r="BS83" s="465">
        <f t="shared" si="34"/>
        <v>0</v>
      </c>
      <c r="BT83" s="466" t="str">
        <f t="shared" si="23"/>
        <v>n.a.</v>
      </c>
    </row>
    <row r="84" spans="1:72">
      <c r="A84" s="201">
        <f t="shared" si="35"/>
        <v>71</v>
      </c>
      <c r="B84" s="641"/>
      <c r="C84" s="631" t="s">
        <v>8655</v>
      </c>
      <c r="D84" s="642"/>
      <c r="E84" s="643"/>
      <c r="F84" s="643"/>
      <c r="G84" s="474">
        <f t="shared" si="14"/>
        <v>0</v>
      </c>
      <c r="H84" s="293" t="str">
        <f t="shared" si="15"/>
        <v/>
      </c>
      <c r="I84" s="652"/>
      <c r="J84" s="653"/>
      <c r="K84" s="643"/>
      <c r="L84" s="654"/>
      <c r="M84" s="653"/>
      <c r="N84" s="643"/>
      <c r="O84" s="643"/>
      <c r="P84" s="643"/>
      <c r="Q84" s="652"/>
      <c r="R84" s="655"/>
      <c r="S84" s="649"/>
      <c r="T84" s="292" t="e">
        <f>INDEX(ei_geo!$B:$B,MATCH(S84,ei_geo!$A:$A,0))</f>
        <v>#N/A</v>
      </c>
      <c r="U84" s="666"/>
      <c r="V84" s="666"/>
      <c r="W84" s="667"/>
      <c r="X84" s="653"/>
      <c r="Y84" s="643"/>
      <c r="Z84" s="643"/>
      <c r="AA84" s="643"/>
      <c r="AB84" s="652"/>
      <c r="AC84" s="671"/>
      <c r="AD84" s="649"/>
      <c r="AE84" s="292"/>
      <c r="AF84" s="666"/>
      <c r="AG84" s="666"/>
      <c r="AH84" s="667"/>
      <c r="AI84" s="678"/>
      <c r="AJ84" s="666"/>
      <c r="AK84" s="666"/>
      <c r="AL84" s="666"/>
      <c r="AM84" s="667"/>
      <c r="AN84" s="671"/>
      <c r="AO84" s="649"/>
      <c r="AP84" s="292"/>
      <c r="AQ84" s="666"/>
      <c r="AR84" s="666"/>
      <c r="AS84" s="667"/>
      <c r="AT84" s="678"/>
      <c r="AU84" s="666"/>
      <c r="AV84" s="666"/>
      <c r="AW84" s="666"/>
      <c r="AX84" s="680"/>
      <c r="AY84" s="671"/>
      <c r="AZ84" s="649"/>
      <c r="BA84" s="292"/>
      <c r="BB84" s="666"/>
      <c r="BC84" s="666"/>
      <c r="BD84" s="689"/>
      <c r="BE84" s="678"/>
      <c r="BF84" s="666"/>
      <c r="BG84" s="666"/>
      <c r="BH84" s="666"/>
      <c r="BI84" s="667"/>
      <c r="BJ84" s="678"/>
      <c r="BK84" s="690"/>
      <c r="BL84" s="312"/>
      <c r="BM84" s="475">
        <f t="shared" si="29"/>
        <v>0</v>
      </c>
      <c r="BN84" s="475">
        <f t="shared" si="30"/>
        <v>0</v>
      </c>
      <c r="BO84" s="475">
        <f t="shared" si="31"/>
        <v>0</v>
      </c>
      <c r="BP84" s="475">
        <f t="shared" si="32"/>
        <v>0</v>
      </c>
      <c r="BQ84" s="312"/>
      <c r="BR84" s="476">
        <f t="shared" si="33"/>
        <v>0</v>
      </c>
      <c r="BS84" s="465">
        <f t="shared" si="34"/>
        <v>0</v>
      </c>
      <c r="BT84" s="466" t="str">
        <f t="shared" si="23"/>
        <v>n.a.</v>
      </c>
    </row>
    <row r="85" spans="1:72">
      <c r="A85" s="201">
        <f t="shared" si="35"/>
        <v>72</v>
      </c>
      <c r="B85" s="641"/>
      <c r="C85" s="631" t="s">
        <v>8656</v>
      </c>
      <c r="D85" s="642"/>
      <c r="E85" s="643"/>
      <c r="F85" s="643"/>
      <c r="G85" s="474">
        <f t="shared" si="14"/>
        <v>0</v>
      </c>
      <c r="H85" s="293" t="str">
        <f t="shared" si="15"/>
        <v/>
      </c>
      <c r="I85" s="652"/>
      <c r="J85" s="653"/>
      <c r="K85" s="643"/>
      <c r="L85" s="654"/>
      <c r="M85" s="653"/>
      <c r="N85" s="643"/>
      <c r="O85" s="643"/>
      <c r="P85" s="643"/>
      <c r="Q85" s="652"/>
      <c r="R85" s="655"/>
      <c r="S85" s="649"/>
      <c r="T85" s="292" t="e">
        <f>INDEX(ei_geo!$B:$B,MATCH(S85,ei_geo!$A:$A,0))</f>
        <v>#N/A</v>
      </c>
      <c r="U85" s="666"/>
      <c r="V85" s="666"/>
      <c r="W85" s="667"/>
      <c r="X85" s="653"/>
      <c r="Y85" s="643"/>
      <c r="Z85" s="643"/>
      <c r="AA85" s="643"/>
      <c r="AB85" s="652"/>
      <c r="AC85" s="671"/>
      <c r="AD85" s="649"/>
      <c r="AE85" s="292"/>
      <c r="AF85" s="666"/>
      <c r="AG85" s="666"/>
      <c r="AH85" s="667"/>
      <c r="AI85" s="678"/>
      <c r="AJ85" s="666"/>
      <c r="AK85" s="666"/>
      <c r="AL85" s="666"/>
      <c r="AM85" s="667"/>
      <c r="AN85" s="671"/>
      <c r="AO85" s="649"/>
      <c r="AP85" s="292"/>
      <c r="AQ85" s="666"/>
      <c r="AR85" s="666"/>
      <c r="AS85" s="667"/>
      <c r="AT85" s="678"/>
      <c r="AU85" s="666"/>
      <c r="AV85" s="666"/>
      <c r="AW85" s="666"/>
      <c r="AX85" s="680"/>
      <c r="AY85" s="671"/>
      <c r="AZ85" s="649"/>
      <c r="BA85" s="292"/>
      <c r="BB85" s="666"/>
      <c r="BC85" s="666"/>
      <c r="BD85" s="689"/>
      <c r="BE85" s="678"/>
      <c r="BF85" s="666"/>
      <c r="BG85" s="666"/>
      <c r="BH85" s="666"/>
      <c r="BI85" s="667"/>
      <c r="BJ85" s="678"/>
      <c r="BK85" s="690"/>
      <c r="BL85" s="312"/>
      <c r="BM85" s="475">
        <f t="shared" si="29"/>
        <v>0</v>
      </c>
      <c r="BN85" s="475">
        <f t="shared" si="30"/>
        <v>0</v>
      </c>
      <c r="BO85" s="475">
        <f t="shared" si="31"/>
        <v>0</v>
      </c>
      <c r="BP85" s="475">
        <f t="shared" si="32"/>
        <v>0</v>
      </c>
      <c r="BQ85" s="312"/>
      <c r="BR85" s="476">
        <f t="shared" si="33"/>
        <v>0</v>
      </c>
      <c r="BS85" s="465">
        <f t="shared" si="34"/>
        <v>0</v>
      </c>
      <c r="BT85" s="466" t="str">
        <f t="shared" si="23"/>
        <v>n.a.</v>
      </c>
    </row>
    <row r="86" spans="1:72">
      <c r="A86" s="201">
        <f t="shared" si="35"/>
        <v>73</v>
      </c>
      <c r="B86" s="641"/>
      <c r="C86" s="631" t="s">
        <v>8657</v>
      </c>
      <c r="D86" s="642"/>
      <c r="E86" s="643"/>
      <c r="F86" s="643"/>
      <c r="G86" s="474">
        <f t="shared" si="14"/>
        <v>0</v>
      </c>
      <c r="H86" s="293" t="str">
        <f t="shared" si="15"/>
        <v/>
      </c>
      <c r="I86" s="652"/>
      <c r="J86" s="653"/>
      <c r="K86" s="643"/>
      <c r="L86" s="654"/>
      <c r="M86" s="653"/>
      <c r="N86" s="643"/>
      <c r="O86" s="643"/>
      <c r="P86" s="643"/>
      <c r="Q86" s="652"/>
      <c r="R86" s="655"/>
      <c r="S86" s="649"/>
      <c r="T86" s="292" t="e">
        <f>INDEX(ei_geo!$B:$B,MATCH(S86,ei_geo!$A:$A,0))</f>
        <v>#N/A</v>
      </c>
      <c r="U86" s="666"/>
      <c r="V86" s="666"/>
      <c r="W86" s="667"/>
      <c r="X86" s="653"/>
      <c r="Y86" s="643"/>
      <c r="Z86" s="643"/>
      <c r="AA86" s="643"/>
      <c r="AB86" s="652"/>
      <c r="AC86" s="671"/>
      <c r="AD86" s="649"/>
      <c r="AE86" s="292"/>
      <c r="AF86" s="666"/>
      <c r="AG86" s="666"/>
      <c r="AH86" s="667"/>
      <c r="AI86" s="678"/>
      <c r="AJ86" s="666"/>
      <c r="AK86" s="666"/>
      <c r="AL86" s="666"/>
      <c r="AM86" s="667"/>
      <c r="AN86" s="671"/>
      <c r="AO86" s="649"/>
      <c r="AP86" s="292"/>
      <c r="AQ86" s="666"/>
      <c r="AR86" s="666"/>
      <c r="AS86" s="667"/>
      <c r="AT86" s="678"/>
      <c r="AU86" s="666"/>
      <c r="AV86" s="666"/>
      <c r="AW86" s="666"/>
      <c r="AX86" s="680"/>
      <c r="AY86" s="671"/>
      <c r="AZ86" s="649"/>
      <c r="BA86" s="292"/>
      <c r="BB86" s="666"/>
      <c r="BC86" s="666"/>
      <c r="BD86" s="689"/>
      <c r="BE86" s="678"/>
      <c r="BF86" s="666"/>
      <c r="BG86" s="666"/>
      <c r="BH86" s="666"/>
      <c r="BI86" s="667"/>
      <c r="BJ86" s="678"/>
      <c r="BK86" s="690"/>
      <c r="BL86" s="312"/>
      <c r="BM86" s="475">
        <f t="shared" si="29"/>
        <v>0</v>
      </c>
      <c r="BN86" s="475">
        <f t="shared" si="30"/>
        <v>0</v>
      </c>
      <c r="BO86" s="475">
        <f t="shared" si="31"/>
        <v>0</v>
      </c>
      <c r="BP86" s="475">
        <f t="shared" si="32"/>
        <v>0</v>
      </c>
      <c r="BQ86" s="312"/>
      <c r="BR86" s="476">
        <f t="shared" si="33"/>
        <v>0</v>
      </c>
      <c r="BS86" s="465">
        <f t="shared" si="34"/>
        <v>0</v>
      </c>
      <c r="BT86" s="466" t="str">
        <f t="shared" si="23"/>
        <v>n.a.</v>
      </c>
    </row>
    <row r="87" spans="1:72">
      <c r="A87" s="201">
        <f t="shared" si="35"/>
        <v>74</v>
      </c>
      <c r="B87" s="641"/>
      <c r="C87" s="631" t="s">
        <v>8658</v>
      </c>
      <c r="D87" s="642"/>
      <c r="E87" s="643"/>
      <c r="F87" s="643"/>
      <c r="G87" s="474">
        <f t="shared" si="14"/>
        <v>0</v>
      </c>
      <c r="H87" s="293" t="str">
        <f t="shared" si="15"/>
        <v/>
      </c>
      <c r="I87" s="652"/>
      <c r="J87" s="653"/>
      <c r="K87" s="643"/>
      <c r="L87" s="654"/>
      <c r="M87" s="653"/>
      <c r="N87" s="643"/>
      <c r="O87" s="643"/>
      <c r="P87" s="643"/>
      <c r="Q87" s="652"/>
      <c r="R87" s="655"/>
      <c r="S87" s="649"/>
      <c r="T87" s="292" t="e">
        <f>INDEX(ei_geo!$B:$B,MATCH(S87,ei_geo!$A:$A,0))</f>
        <v>#N/A</v>
      </c>
      <c r="U87" s="666"/>
      <c r="V87" s="666"/>
      <c r="W87" s="667"/>
      <c r="X87" s="653"/>
      <c r="Y87" s="643"/>
      <c r="Z87" s="643"/>
      <c r="AA87" s="643"/>
      <c r="AB87" s="652"/>
      <c r="AC87" s="671"/>
      <c r="AD87" s="649"/>
      <c r="AE87" s="292"/>
      <c r="AF87" s="666"/>
      <c r="AG87" s="666"/>
      <c r="AH87" s="667"/>
      <c r="AI87" s="678"/>
      <c r="AJ87" s="666"/>
      <c r="AK87" s="666"/>
      <c r="AL87" s="666"/>
      <c r="AM87" s="667"/>
      <c r="AN87" s="671"/>
      <c r="AO87" s="649"/>
      <c r="AP87" s="292"/>
      <c r="AQ87" s="666"/>
      <c r="AR87" s="666"/>
      <c r="AS87" s="667"/>
      <c r="AT87" s="678"/>
      <c r="AU87" s="666"/>
      <c r="AV87" s="666"/>
      <c r="AW87" s="666"/>
      <c r="AX87" s="680"/>
      <c r="AY87" s="671"/>
      <c r="AZ87" s="649"/>
      <c r="BA87" s="292"/>
      <c r="BB87" s="666"/>
      <c r="BC87" s="666"/>
      <c r="BD87" s="689"/>
      <c r="BE87" s="678"/>
      <c r="BF87" s="666"/>
      <c r="BG87" s="666"/>
      <c r="BH87" s="666"/>
      <c r="BI87" s="667"/>
      <c r="BJ87" s="678"/>
      <c r="BK87" s="690"/>
      <c r="BL87" s="312"/>
      <c r="BM87" s="475">
        <f t="shared" si="29"/>
        <v>0</v>
      </c>
      <c r="BN87" s="475">
        <f t="shared" si="30"/>
        <v>0</v>
      </c>
      <c r="BO87" s="475">
        <f t="shared" si="31"/>
        <v>0</v>
      </c>
      <c r="BP87" s="475">
        <f t="shared" si="32"/>
        <v>0</v>
      </c>
      <c r="BQ87" s="312"/>
      <c r="BR87" s="476">
        <f t="shared" si="33"/>
        <v>0</v>
      </c>
      <c r="BS87" s="465">
        <f t="shared" si="34"/>
        <v>0</v>
      </c>
      <c r="BT87" s="466" t="str">
        <f t="shared" si="23"/>
        <v>n.a.</v>
      </c>
    </row>
    <row r="88" spans="1:72">
      <c r="A88" s="201">
        <f t="shared" si="35"/>
        <v>75</v>
      </c>
      <c r="B88" s="641"/>
      <c r="C88" s="631" t="s">
        <v>8659</v>
      </c>
      <c r="D88" s="642"/>
      <c r="E88" s="643"/>
      <c r="F88" s="643"/>
      <c r="G88" s="474">
        <f t="shared" si="14"/>
        <v>0</v>
      </c>
      <c r="H88" s="293" t="str">
        <f t="shared" si="15"/>
        <v/>
      </c>
      <c r="I88" s="652"/>
      <c r="J88" s="653"/>
      <c r="K88" s="643"/>
      <c r="L88" s="654"/>
      <c r="M88" s="653"/>
      <c r="N88" s="643"/>
      <c r="O88" s="643"/>
      <c r="P88" s="643"/>
      <c r="Q88" s="652"/>
      <c r="R88" s="655"/>
      <c r="S88" s="649"/>
      <c r="T88" s="292" t="e">
        <f>INDEX(ei_geo!$B:$B,MATCH(S88,ei_geo!$A:$A,0))</f>
        <v>#N/A</v>
      </c>
      <c r="U88" s="666"/>
      <c r="V88" s="666"/>
      <c r="W88" s="667"/>
      <c r="X88" s="653"/>
      <c r="Y88" s="643"/>
      <c r="Z88" s="643"/>
      <c r="AA88" s="643"/>
      <c r="AB88" s="652"/>
      <c r="AC88" s="671"/>
      <c r="AD88" s="649"/>
      <c r="AE88" s="292"/>
      <c r="AF88" s="666"/>
      <c r="AG88" s="666"/>
      <c r="AH88" s="667"/>
      <c r="AI88" s="678"/>
      <c r="AJ88" s="666"/>
      <c r="AK88" s="666"/>
      <c r="AL88" s="666"/>
      <c r="AM88" s="667"/>
      <c r="AN88" s="671"/>
      <c r="AO88" s="649"/>
      <c r="AP88" s="292"/>
      <c r="AQ88" s="666"/>
      <c r="AR88" s="666"/>
      <c r="AS88" s="667"/>
      <c r="AT88" s="678"/>
      <c r="AU88" s="666"/>
      <c r="AV88" s="666"/>
      <c r="AW88" s="666"/>
      <c r="AX88" s="680"/>
      <c r="AY88" s="671"/>
      <c r="AZ88" s="649"/>
      <c r="BA88" s="292"/>
      <c r="BB88" s="666"/>
      <c r="BC88" s="666"/>
      <c r="BD88" s="689"/>
      <c r="BE88" s="678"/>
      <c r="BF88" s="666"/>
      <c r="BG88" s="666"/>
      <c r="BH88" s="666"/>
      <c r="BI88" s="667"/>
      <c r="BJ88" s="678"/>
      <c r="BK88" s="690"/>
      <c r="BL88" s="312"/>
      <c r="BM88" s="475">
        <f t="shared" si="29"/>
        <v>0</v>
      </c>
      <c r="BN88" s="475">
        <f t="shared" si="30"/>
        <v>0</v>
      </c>
      <c r="BO88" s="475">
        <f t="shared" si="31"/>
        <v>0</v>
      </c>
      <c r="BP88" s="475">
        <f t="shared" si="32"/>
        <v>0</v>
      </c>
      <c r="BQ88" s="312"/>
      <c r="BR88" s="476">
        <f t="shared" si="33"/>
        <v>0</v>
      </c>
      <c r="BS88" s="465">
        <f t="shared" si="34"/>
        <v>0</v>
      </c>
      <c r="BT88" s="466" t="str">
        <f t="shared" si="23"/>
        <v>n.a.</v>
      </c>
    </row>
    <row r="89" spans="1:72">
      <c r="A89" s="201">
        <f t="shared" si="35"/>
        <v>76</v>
      </c>
      <c r="B89" s="641"/>
      <c r="C89" s="631" t="s">
        <v>8660</v>
      </c>
      <c r="D89" s="642"/>
      <c r="E89" s="643"/>
      <c r="F89" s="643"/>
      <c r="G89" s="474">
        <f t="shared" si="14"/>
        <v>0</v>
      </c>
      <c r="H89" s="293" t="str">
        <f t="shared" si="15"/>
        <v/>
      </c>
      <c r="I89" s="652"/>
      <c r="J89" s="653"/>
      <c r="K89" s="643"/>
      <c r="L89" s="654"/>
      <c r="M89" s="653"/>
      <c r="N89" s="643"/>
      <c r="O89" s="643"/>
      <c r="P89" s="643"/>
      <c r="Q89" s="652"/>
      <c r="R89" s="655"/>
      <c r="S89" s="649"/>
      <c r="T89" s="292" t="e">
        <f>INDEX(ei_geo!$B:$B,MATCH(S89,ei_geo!$A:$A,0))</f>
        <v>#N/A</v>
      </c>
      <c r="U89" s="666"/>
      <c r="V89" s="666"/>
      <c r="W89" s="667"/>
      <c r="X89" s="653"/>
      <c r="Y89" s="643"/>
      <c r="Z89" s="643"/>
      <c r="AA89" s="643"/>
      <c r="AB89" s="652"/>
      <c r="AC89" s="671"/>
      <c r="AD89" s="649"/>
      <c r="AE89" s="292"/>
      <c r="AF89" s="666"/>
      <c r="AG89" s="666"/>
      <c r="AH89" s="667"/>
      <c r="AI89" s="678"/>
      <c r="AJ89" s="666"/>
      <c r="AK89" s="666"/>
      <c r="AL89" s="666"/>
      <c r="AM89" s="667"/>
      <c r="AN89" s="671"/>
      <c r="AO89" s="649"/>
      <c r="AP89" s="292"/>
      <c r="AQ89" s="666"/>
      <c r="AR89" s="666"/>
      <c r="AS89" s="667"/>
      <c r="AT89" s="678"/>
      <c r="AU89" s="666"/>
      <c r="AV89" s="666"/>
      <c r="AW89" s="666"/>
      <c r="AX89" s="680"/>
      <c r="AY89" s="671"/>
      <c r="AZ89" s="649"/>
      <c r="BA89" s="292"/>
      <c r="BB89" s="666"/>
      <c r="BC89" s="666"/>
      <c r="BD89" s="689"/>
      <c r="BE89" s="678"/>
      <c r="BF89" s="666"/>
      <c r="BG89" s="666"/>
      <c r="BH89" s="666"/>
      <c r="BI89" s="667"/>
      <c r="BJ89" s="678"/>
      <c r="BK89" s="690"/>
      <c r="BL89" s="312"/>
      <c r="BM89" s="475">
        <f t="shared" si="29"/>
        <v>0</v>
      </c>
      <c r="BN89" s="475">
        <f t="shared" si="30"/>
        <v>0</v>
      </c>
      <c r="BO89" s="475">
        <f t="shared" si="31"/>
        <v>0</v>
      </c>
      <c r="BP89" s="475">
        <f t="shared" si="32"/>
        <v>0</v>
      </c>
      <c r="BQ89" s="312"/>
      <c r="BR89" s="476">
        <f t="shared" si="33"/>
        <v>0</v>
      </c>
      <c r="BS89" s="465">
        <f t="shared" si="34"/>
        <v>0</v>
      </c>
      <c r="BT89" s="466" t="str">
        <f t="shared" si="23"/>
        <v>n.a.</v>
      </c>
    </row>
    <row r="90" spans="1:72">
      <c r="A90" s="201">
        <f t="shared" si="35"/>
        <v>77</v>
      </c>
      <c r="B90" s="641"/>
      <c r="C90" s="631" t="s">
        <v>8661</v>
      </c>
      <c r="D90" s="642"/>
      <c r="E90" s="643"/>
      <c r="F90" s="643"/>
      <c r="G90" s="474">
        <f t="shared" si="14"/>
        <v>0</v>
      </c>
      <c r="H90" s="293" t="str">
        <f t="shared" si="15"/>
        <v/>
      </c>
      <c r="I90" s="652"/>
      <c r="J90" s="653"/>
      <c r="K90" s="643"/>
      <c r="L90" s="654"/>
      <c r="M90" s="653"/>
      <c r="N90" s="643"/>
      <c r="O90" s="643"/>
      <c r="P90" s="643"/>
      <c r="Q90" s="652"/>
      <c r="R90" s="655"/>
      <c r="S90" s="649"/>
      <c r="T90" s="292" t="e">
        <f>INDEX(ei_geo!$B:$B,MATCH(S90,ei_geo!$A:$A,0))</f>
        <v>#N/A</v>
      </c>
      <c r="U90" s="666"/>
      <c r="V90" s="666"/>
      <c r="W90" s="667"/>
      <c r="X90" s="653"/>
      <c r="Y90" s="643"/>
      <c r="Z90" s="643"/>
      <c r="AA90" s="643"/>
      <c r="AB90" s="652"/>
      <c r="AC90" s="671"/>
      <c r="AD90" s="649"/>
      <c r="AE90" s="292"/>
      <c r="AF90" s="666"/>
      <c r="AG90" s="666"/>
      <c r="AH90" s="667"/>
      <c r="AI90" s="678"/>
      <c r="AJ90" s="666"/>
      <c r="AK90" s="666"/>
      <c r="AL90" s="666"/>
      <c r="AM90" s="667"/>
      <c r="AN90" s="671"/>
      <c r="AO90" s="649"/>
      <c r="AP90" s="292"/>
      <c r="AQ90" s="666"/>
      <c r="AR90" s="666"/>
      <c r="AS90" s="667"/>
      <c r="AT90" s="678"/>
      <c r="AU90" s="666"/>
      <c r="AV90" s="666"/>
      <c r="AW90" s="666"/>
      <c r="AX90" s="680"/>
      <c r="AY90" s="671"/>
      <c r="AZ90" s="649"/>
      <c r="BA90" s="292"/>
      <c r="BB90" s="666"/>
      <c r="BC90" s="666"/>
      <c r="BD90" s="689"/>
      <c r="BE90" s="678"/>
      <c r="BF90" s="666"/>
      <c r="BG90" s="666"/>
      <c r="BH90" s="666"/>
      <c r="BI90" s="667"/>
      <c r="BJ90" s="678"/>
      <c r="BK90" s="690"/>
      <c r="BL90" s="312"/>
      <c r="BM90" s="475">
        <f t="shared" si="29"/>
        <v>0</v>
      </c>
      <c r="BN90" s="475">
        <f t="shared" si="30"/>
        <v>0</v>
      </c>
      <c r="BO90" s="475">
        <f t="shared" si="31"/>
        <v>0</v>
      </c>
      <c r="BP90" s="475">
        <f t="shared" si="32"/>
        <v>0</v>
      </c>
      <c r="BQ90" s="312"/>
      <c r="BR90" s="476">
        <f t="shared" si="33"/>
        <v>0</v>
      </c>
      <c r="BS90" s="465">
        <f t="shared" si="34"/>
        <v>0</v>
      </c>
      <c r="BT90" s="466" t="str">
        <f t="shared" si="23"/>
        <v>n.a.</v>
      </c>
    </row>
    <row r="91" spans="1:72">
      <c r="A91" s="201">
        <f t="shared" si="35"/>
        <v>78</v>
      </c>
      <c r="B91" s="641"/>
      <c r="C91" s="631" t="s">
        <v>8662</v>
      </c>
      <c r="D91" s="642"/>
      <c r="E91" s="643"/>
      <c r="F91" s="643"/>
      <c r="G91" s="474">
        <f t="shared" si="14"/>
        <v>0</v>
      </c>
      <c r="H91" s="293" t="str">
        <f t="shared" si="15"/>
        <v/>
      </c>
      <c r="I91" s="652"/>
      <c r="J91" s="653"/>
      <c r="K91" s="643"/>
      <c r="L91" s="654"/>
      <c r="M91" s="653"/>
      <c r="N91" s="643"/>
      <c r="O91" s="643"/>
      <c r="P91" s="643"/>
      <c r="Q91" s="652"/>
      <c r="R91" s="655"/>
      <c r="S91" s="649"/>
      <c r="T91" s="292" t="e">
        <f>INDEX(ei_geo!$B:$B,MATCH(S91,ei_geo!$A:$A,0))</f>
        <v>#N/A</v>
      </c>
      <c r="U91" s="666"/>
      <c r="V91" s="666"/>
      <c r="W91" s="667"/>
      <c r="X91" s="653"/>
      <c r="Y91" s="643"/>
      <c r="Z91" s="643"/>
      <c r="AA91" s="643"/>
      <c r="AB91" s="652"/>
      <c r="AC91" s="671"/>
      <c r="AD91" s="649"/>
      <c r="AE91" s="292"/>
      <c r="AF91" s="666"/>
      <c r="AG91" s="666"/>
      <c r="AH91" s="667"/>
      <c r="AI91" s="678"/>
      <c r="AJ91" s="666"/>
      <c r="AK91" s="666"/>
      <c r="AL91" s="666"/>
      <c r="AM91" s="667"/>
      <c r="AN91" s="671"/>
      <c r="AO91" s="649"/>
      <c r="AP91" s="292"/>
      <c r="AQ91" s="666"/>
      <c r="AR91" s="666"/>
      <c r="AS91" s="667"/>
      <c r="AT91" s="678"/>
      <c r="AU91" s="666"/>
      <c r="AV91" s="666"/>
      <c r="AW91" s="666"/>
      <c r="AX91" s="680"/>
      <c r="AY91" s="671"/>
      <c r="AZ91" s="649"/>
      <c r="BA91" s="292"/>
      <c r="BB91" s="666"/>
      <c r="BC91" s="666"/>
      <c r="BD91" s="689"/>
      <c r="BE91" s="678"/>
      <c r="BF91" s="666"/>
      <c r="BG91" s="666"/>
      <c r="BH91" s="666"/>
      <c r="BI91" s="667"/>
      <c r="BJ91" s="678"/>
      <c r="BK91" s="690"/>
      <c r="BL91" s="312"/>
      <c r="BM91" s="475">
        <f t="shared" si="29"/>
        <v>0</v>
      </c>
      <c r="BN91" s="475">
        <f t="shared" si="30"/>
        <v>0</v>
      </c>
      <c r="BO91" s="475">
        <f t="shared" si="31"/>
        <v>0</v>
      </c>
      <c r="BP91" s="475">
        <f t="shared" si="32"/>
        <v>0</v>
      </c>
      <c r="BQ91" s="312"/>
      <c r="BR91" s="476">
        <f t="shared" si="33"/>
        <v>0</v>
      </c>
      <c r="BS91" s="465">
        <f t="shared" si="34"/>
        <v>0</v>
      </c>
      <c r="BT91" s="466" t="str">
        <f t="shared" si="23"/>
        <v>n.a.</v>
      </c>
    </row>
    <row r="92" spans="1:72">
      <c r="A92" s="201">
        <f t="shared" si="35"/>
        <v>79</v>
      </c>
      <c r="B92" s="641"/>
      <c r="C92" s="631" t="s">
        <v>8663</v>
      </c>
      <c r="D92" s="642"/>
      <c r="E92" s="643"/>
      <c r="F92" s="643"/>
      <c r="G92" s="474">
        <f t="shared" si="14"/>
        <v>0</v>
      </c>
      <c r="H92" s="293" t="str">
        <f t="shared" si="15"/>
        <v/>
      </c>
      <c r="I92" s="652"/>
      <c r="J92" s="653"/>
      <c r="K92" s="643"/>
      <c r="L92" s="654"/>
      <c r="M92" s="653"/>
      <c r="N92" s="643"/>
      <c r="O92" s="643"/>
      <c r="P92" s="643"/>
      <c r="Q92" s="652"/>
      <c r="R92" s="655"/>
      <c r="S92" s="649"/>
      <c r="T92" s="292" t="e">
        <f>INDEX(ei_geo!$B:$B,MATCH(S92,ei_geo!$A:$A,0))</f>
        <v>#N/A</v>
      </c>
      <c r="U92" s="666"/>
      <c r="V92" s="666"/>
      <c r="W92" s="667"/>
      <c r="X92" s="653"/>
      <c r="Y92" s="643"/>
      <c r="Z92" s="643"/>
      <c r="AA92" s="643"/>
      <c r="AB92" s="652"/>
      <c r="AC92" s="671"/>
      <c r="AD92" s="649"/>
      <c r="AE92" s="292"/>
      <c r="AF92" s="666"/>
      <c r="AG92" s="666"/>
      <c r="AH92" s="667"/>
      <c r="AI92" s="678"/>
      <c r="AJ92" s="666"/>
      <c r="AK92" s="666"/>
      <c r="AL92" s="666"/>
      <c r="AM92" s="667"/>
      <c r="AN92" s="671"/>
      <c r="AO92" s="649"/>
      <c r="AP92" s="292"/>
      <c r="AQ92" s="666"/>
      <c r="AR92" s="666"/>
      <c r="AS92" s="667"/>
      <c r="AT92" s="678"/>
      <c r="AU92" s="666"/>
      <c r="AV92" s="666"/>
      <c r="AW92" s="666"/>
      <c r="AX92" s="680"/>
      <c r="AY92" s="671"/>
      <c r="AZ92" s="649"/>
      <c r="BA92" s="292"/>
      <c r="BB92" s="666"/>
      <c r="BC92" s="666"/>
      <c r="BD92" s="689"/>
      <c r="BE92" s="678"/>
      <c r="BF92" s="666"/>
      <c r="BG92" s="666"/>
      <c r="BH92" s="666"/>
      <c r="BI92" s="667"/>
      <c r="BJ92" s="678"/>
      <c r="BK92" s="690"/>
      <c r="BL92" s="312"/>
      <c r="BM92" s="475">
        <f t="shared" si="29"/>
        <v>0</v>
      </c>
      <c r="BN92" s="475">
        <f t="shared" si="30"/>
        <v>0</v>
      </c>
      <c r="BO92" s="475">
        <f t="shared" si="31"/>
        <v>0</v>
      </c>
      <c r="BP92" s="475">
        <f t="shared" si="32"/>
        <v>0</v>
      </c>
      <c r="BQ92" s="312"/>
      <c r="BR92" s="476">
        <f t="shared" si="33"/>
        <v>0</v>
      </c>
      <c r="BS92" s="465">
        <f t="shared" si="34"/>
        <v>0</v>
      </c>
      <c r="BT92" s="466" t="str">
        <f t="shared" si="23"/>
        <v>n.a.</v>
      </c>
    </row>
    <row r="93" spans="1:72">
      <c r="A93" s="201">
        <f t="shared" si="35"/>
        <v>80</v>
      </c>
      <c r="B93" s="641"/>
      <c r="C93" s="631" t="s">
        <v>8664</v>
      </c>
      <c r="D93" s="642"/>
      <c r="E93" s="643"/>
      <c r="F93" s="643"/>
      <c r="G93" s="474">
        <f t="shared" si="14"/>
        <v>0</v>
      </c>
      <c r="H93" s="293" t="str">
        <f t="shared" si="15"/>
        <v/>
      </c>
      <c r="I93" s="652"/>
      <c r="J93" s="653"/>
      <c r="K93" s="643"/>
      <c r="L93" s="654"/>
      <c r="M93" s="653"/>
      <c r="N93" s="643"/>
      <c r="O93" s="643"/>
      <c r="P93" s="643"/>
      <c r="Q93" s="652"/>
      <c r="R93" s="655"/>
      <c r="S93" s="649"/>
      <c r="T93" s="292" t="e">
        <f>INDEX(ei_geo!$B:$B,MATCH(S93,ei_geo!$A:$A,0))</f>
        <v>#N/A</v>
      </c>
      <c r="U93" s="666"/>
      <c r="V93" s="666"/>
      <c r="W93" s="667"/>
      <c r="X93" s="653"/>
      <c r="Y93" s="643"/>
      <c r="Z93" s="643"/>
      <c r="AA93" s="643"/>
      <c r="AB93" s="652"/>
      <c r="AC93" s="671"/>
      <c r="AD93" s="649"/>
      <c r="AE93" s="292"/>
      <c r="AF93" s="666"/>
      <c r="AG93" s="666"/>
      <c r="AH93" s="667"/>
      <c r="AI93" s="678"/>
      <c r="AJ93" s="666"/>
      <c r="AK93" s="666"/>
      <c r="AL93" s="666"/>
      <c r="AM93" s="667"/>
      <c r="AN93" s="671"/>
      <c r="AO93" s="649"/>
      <c r="AP93" s="292"/>
      <c r="AQ93" s="666"/>
      <c r="AR93" s="666"/>
      <c r="AS93" s="667"/>
      <c r="AT93" s="678"/>
      <c r="AU93" s="666"/>
      <c r="AV93" s="666"/>
      <c r="AW93" s="666"/>
      <c r="AX93" s="680"/>
      <c r="AY93" s="671"/>
      <c r="AZ93" s="649"/>
      <c r="BA93" s="292"/>
      <c r="BB93" s="666"/>
      <c r="BC93" s="666"/>
      <c r="BD93" s="689"/>
      <c r="BE93" s="678"/>
      <c r="BF93" s="666"/>
      <c r="BG93" s="666"/>
      <c r="BH93" s="666"/>
      <c r="BI93" s="667"/>
      <c r="BJ93" s="678"/>
      <c r="BK93" s="690"/>
      <c r="BL93" s="312"/>
      <c r="BM93" s="475">
        <f t="shared" si="29"/>
        <v>0</v>
      </c>
      <c r="BN93" s="475">
        <f t="shared" si="30"/>
        <v>0</v>
      </c>
      <c r="BO93" s="475">
        <f t="shared" si="31"/>
        <v>0</v>
      </c>
      <c r="BP93" s="475">
        <f t="shared" si="32"/>
        <v>0</v>
      </c>
      <c r="BQ93" s="312"/>
      <c r="BR93" s="476">
        <f t="shared" si="33"/>
        <v>0</v>
      </c>
      <c r="BS93" s="465">
        <f t="shared" si="34"/>
        <v>0</v>
      </c>
      <c r="BT93" s="466" t="str">
        <f t="shared" si="23"/>
        <v>n.a.</v>
      </c>
    </row>
    <row r="94" spans="1:72">
      <c r="A94" s="201">
        <f t="shared" si="35"/>
        <v>81</v>
      </c>
      <c r="B94" s="641"/>
      <c r="C94" s="631" t="s">
        <v>8665</v>
      </c>
      <c r="D94" s="642"/>
      <c r="E94" s="643"/>
      <c r="F94" s="643"/>
      <c r="G94" s="474">
        <f t="shared" si="14"/>
        <v>0</v>
      </c>
      <c r="H94" s="293" t="str">
        <f t="shared" si="15"/>
        <v/>
      </c>
      <c r="I94" s="652"/>
      <c r="J94" s="653"/>
      <c r="K94" s="643"/>
      <c r="L94" s="654"/>
      <c r="M94" s="653"/>
      <c r="N94" s="643"/>
      <c r="O94" s="643"/>
      <c r="P94" s="643"/>
      <c r="Q94" s="652"/>
      <c r="R94" s="655"/>
      <c r="S94" s="649"/>
      <c r="T94" s="292" t="e">
        <f>INDEX(ei_geo!$B:$B,MATCH(S94,ei_geo!$A:$A,0))</f>
        <v>#N/A</v>
      </c>
      <c r="U94" s="666"/>
      <c r="V94" s="666"/>
      <c r="W94" s="667"/>
      <c r="X94" s="653"/>
      <c r="Y94" s="643"/>
      <c r="Z94" s="643"/>
      <c r="AA94" s="643"/>
      <c r="AB94" s="652"/>
      <c r="AC94" s="671"/>
      <c r="AD94" s="649"/>
      <c r="AE94" s="292"/>
      <c r="AF94" s="666"/>
      <c r="AG94" s="666"/>
      <c r="AH94" s="667"/>
      <c r="AI94" s="678"/>
      <c r="AJ94" s="666"/>
      <c r="AK94" s="666"/>
      <c r="AL94" s="666"/>
      <c r="AM94" s="667"/>
      <c r="AN94" s="671"/>
      <c r="AO94" s="649"/>
      <c r="AP94" s="292"/>
      <c r="AQ94" s="666"/>
      <c r="AR94" s="666"/>
      <c r="AS94" s="667"/>
      <c r="AT94" s="678"/>
      <c r="AU94" s="666"/>
      <c r="AV94" s="666"/>
      <c r="AW94" s="666"/>
      <c r="AX94" s="680"/>
      <c r="AY94" s="671"/>
      <c r="AZ94" s="649"/>
      <c r="BA94" s="292"/>
      <c r="BB94" s="666"/>
      <c r="BC94" s="666"/>
      <c r="BD94" s="689"/>
      <c r="BE94" s="678"/>
      <c r="BF94" s="666"/>
      <c r="BG94" s="666"/>
      <c r="BH94" s="666"/>
      <c r="BI94" s="667"/>
      <c r="BJ94" s="678"/>
      <c r="BK94" s="690"/>
      <c r="BL94" s="312"/>
      <c r="BM94" s="475">
        <f t="shared" si="29"/>
        <v>0</v>
      </c>
      <c r="BN94" s="475">
        <f t="shared" si="30"/>
        <v>0</v>
      </c>
      <c r="BO94" s="475">
        <f t="shared" si="31"/>
        <v>0</v>
      </c>
      <c r="BP94" s="475">
        <f t="shared" si="32"/>
        <v>0</v>
      </c>
      <c r="BQ94" s="312"/>
      <c r="BR94" s="476">
        <f t="shared" si="33"/>
        <v>0</v>
      </c>
      <c r="BS94" s="465">
        <f t="shared" si="34"/>
        <v>0</v>
      </c>
      <c r="BT94" s="466" t="str">
        <f t="shared" si="23"/>
        <v>n.a.</v>
      </c>
    </row>
    <row r="95" spans="1:72">
      <c r="A95" s="201">
        <f t="shared" si="35"/>
        <v>82</v>
      </c>
      <c r="B95" s="641"/>
      <c r="C95" s="631" t="s">
        <v>8666</v>
      </c>
      <c r="D95" s="642"/>
      <c r="E95" s="643"/>
      <c r="F95" s="643"/>
      <c r="G95" s="474">
        <f t="shared" si="14"/>
        <v>0</v>
      </c>
      <c r="H95" s="293" t="str">
        <f t="shared" si="15"/>
        <v/>
      </c>
      <c r="I95" s="652"/>
      <c r="J95" s="653"/>
      <c r="K95" s="643"/>
      <c r="L95" s="654"/>
      <c r="M95" s="653"/>
      <c r="N95" s="643"/>
      <c r="O95" s="643"/>
      <c r="P95" s="643"/>
      <c r="Q95" s="652"/>
      <c r="R95" s="655"/>
      <c r="S95" s="649"/>
      <c r="T95" s="292" t="e">
        <f>INDEX(ei_geo!$B:$B,MATCH(S95,ei_geo!$A:$A,0))</f>
        <v>#N/A</v>
      </c>
      <c r="U95" s="666"/>
      <c r="V95" s="666"/>
      <c r="W95" s="667"/>
      <c r="X95" s="653"/>
      <c r="Y95" s="643"/>
      <c r="Z95" s="643"/>
      <c r="AA95" s="643"/>
      <c r="AB95" s="652"/>
      <c r="AC95" s="671"/>
      <c r="AD95" s="649"/>
      <c r="AE95" s="292"/>
      <c r="AF95" s="666"/>
      <c r="AG95" s="666"/>
      <c r="AH95" s="667"/>
      <c r="AI95" s="678"/>
      <c r="AJ95" s="666"/>
      <c r="AK95" s="666"/>
      <c r="AL95" s="666"/>
      <c r="AM95" s="667"/>
      <c r="AN95" s="671"/>
      <c r="AO95" s="649"/>
      <c r="AP95" s="292"/>
      <c r="AQ95" s="666"/>
      <c r="AR95" s="666"/>
      <c r="AS95" s="667"/>
      <c r="AT95" s="678"/>
      <c r="AU95" s="666"/>
      <c r="AV95" s="666"/>
      <c r="AW95" s="666"/>
      <c r="AX95" s="680"/>
      <c r="AY95" s="671"/>
      <c r="AZ95" s="649"/>
      <c r="BA95" s="292"/>
      <c r="BB95" s="666"/>
      <c r="BC95" s="666"/>
      <c r="BD95" s="689"/>
      <c r="BE95" s="678"/>
      <c r="BF95" s="666"/>
      <c r="BG95" s="666"/>
      <c r="BH95" s="666"/>
      <c r="BI95" s="667"/>
      <c r="BJ95" s="678"/>
      <c r="BK95" s="690"/>
      <c r="BL95" s="312"/>
      <c r="BM95" s="475">
        <f t="shared" si="29"/>
        <v>0</v>
      </c>
      <c r="BN95" s="475">
        <f t="shared" si="30"/>
        <v>0</v>
      </c>
      <c r="BO95" s="475">
        <f t="shared" si="31"/>
        <v>0</v>
      </c>
      <c r="BP95" s="475">
        <f t="shared" si="32"/>
        <v>0</v>
      </c>
      <c r="BQ95" s="312"/>
      <c r="BR95" s="476">
        <f t="shared" si="33"/>
        <v>0</v>
      </c>
      <c r="BS95" s="465">
        <f t="shared" si="34"/>
        <v>0</v>
      </c>
      <c r="BT95" s="466" t="str">
        <f t="shared" si="23"/>
        <v>n.a.</v>
      </c>
    </row>
    <row r="96" spans="1:72">
      <c r="A96" s="201">
        <f t="shared" si="35"/>
        <v>83</v>
      </c>
      <c r="B96" s="641"/>
      <c r="C96" s="631" t="s">
        <v>8667</v>
      </c>
      <c r="D96" s="642"/>
      <c r="E96" s="643"/>
      <c r="F96" s="643"/>
      <c r="G96" s="474">
        <f t="shared" si="14"/>
        <v>0</v>
      </c>
      <c r="H96" s="293" t="str">
        <f t="shared" si="15"/>
        <v/>
      </c>
      <c r="I96" s="652"/>
      <c r="J96" s="653"/>
      <c r="K96" s="643"/>
      <c r="L96" s="654"/>
      <c r="M96" s="653"/>
      <c r="N96" s="643"/>
      <c r="O96" s="643"/>
      <c r="P96" s="643"/>
      <c r="Q96" s="652"/>
      <c r="R96" s="655"/>
      <c r="S96" s="649"/>
      <c r="T96" s="292" t="e">
        <f>INDEX(ei_geo!$B:$B,MATCH(S96,ei_geo!$A:$A,0))</f>
        <v>#N/A</v>
      </c>
      <c r="U96" s="666"/>
      <c r="V96" s="666"/>
      <c r="W96" s="667"/>
      <c r="X96" s="653"/>
      <c r="Y96" s="643"/>
      <c r="Z96" s="643"/>
      <c r="AA96" s="643"/>
      <c r="AB96" s="652"/>
      <c r="AC96" s="671"/>
      <c r="AD96" s="649"/>
      <c r="AE96" s="292"/>
      <c r="AF96" s="666"/>
      <c r="AG96" s="666"/>
      <c r="AH96" s="667"/>
      <c r="AI96" s="678"/>
      <c r="AJ96" s="666"/>
      <c r="AK96" s="666"/>
      <c r="AL96" s="666"/>
      <c r="AM96" s="667"/>
      <c r="AN96" s="671"/>
      <c r="AO96" s="649"/>
      <c r="AP96" s="292"/>
      <c r="AQ96" s="666"/>
      <c r="AR96" s="666"/>
      <c r="AS96" s="667"/>
      <c r="AT96" s="678"/>
      <c r="AU96" s="666"/>
      <c r="AV96" s="666"/>
      <c r="AW96" s="666"/>
      <c r="AX96" s="680"/>
      <c r="AY96" s="671"/>
      <c r="AZ96" s="649"/>
      <c r="BA96" s="292"/>
      <c r="BB96" s="666"/>
      <c r="BC96" s="666"/>
      <c r="BD96" s="689"/>
      <c r="BE96" s="678"/>
      <c r="BF96" s="666"/>
      <c r="BG96" s="666"/>
      <c r="BH96" s="666"/>
      <c r="BI96" s="667"/>
      <c r="BJ96" s="678"/>
      <c r="BK96" s="690"/>
      <c r="BL96" s="312"/>
      <c r="BM96" s="475">
        <f t="shared" si="29"/>
        <v>0</v>
      </c>
      <c r="BN96" s="475">
        <f t="shared" si="30"/>
        <v>0</v>
      </c>
      <c r="BO96" s="475">
        <f t="shared" si="31"/>
        <v>0</v>
      </c>
      <c r="BP96" s="475">
        <f t="shared" si="32"/>
        <v>0</v>
      </c>
      <c r="BQ96" s="312"/>
      <c r="BR96" s="476">
        <f t="shared" si="33"/>
        <v>0</v>
      </c>
      <c r="BS96" s="465">
        <f t="shared" si="34"/>
        <v>0</v>
      </c>
      <c r="BT96" s="466" t="str">
        <f t="shared" si="23"/>
        <v>n.a.</v>
      </c>
    </row>
    <row r="97" spans="1:72">
      <c r="A97" s="201">
        <f t="shared" si="35"/>
        <v>84</v>
      </c>
      <c r="B97" s="641"/>
      <c r="C97" s="631" t="s">
        <v>8668</v>
      </c>
      <c r="D97" s="642"/>
      <c r="E97" s="643"/>
      <c r="F97" s="643"/>
      <c r="G97" s="474">
        <f t="shared" si="14"/>
        <v>0</v>
      </c>
      <c r="H97" s="293" t="str">
        <f t="shared" si="15"/>
        <v/>
      </c>
      <c r="I97" s="652"/>
      <c r="J97" s="653"/>
      <c r="K97" s="643"/>
      <c r="L97" s="654"/>
      <c r="M97" s="653"/>
      <c r="N97" s="643"/>
      <c r="O97" s="643"/>
      <c r="P97" s="643"/>
      <c r="Q97" s="652"/>
      <c r="R97" s="655"/>
      <c r="S97" s="649"/>
      <c r="T97" s="292" t="e">
        <f>INDEX(ei_geo!$B:$B,MATCH(S97,ei_geo!$A:$A,0))</f>
        <v>#N/A</v>
      </c>
      <c r="U97" s="666"/>
      <c r="V97" s="666"/>
      <c r="W97" s="667"/>
      <c r="X97" s="653"/>
      <c r="Y97" s="643"/>
      <c r="Z97" s="643"/>
      <c r="AA97" s="643"/>
      <c r="AB97" s="652"/>
      <c r="AC97" s="671"/>
      <c r="AD97" s="649"/>
      <c r="AE97" s="292"/>
      <c r="AF97" s="666"/>
      <c r="AG97" s="666"/>
      <c r="AH97" s="667"/>
      <c r="AI97" s="678"/>
      <c r="AJ97" s="666"/>
      <c r="AK97" s="666"/>
      <c r="AL97" s="666"/>
      <c r="AM97" s="667"/>
      <c r="AN97" s="671"/>
      <c r="AO97" s="649"/>
      <c r="AP97" s="292"/>
      <c r="AQ97" s="666"/>
      <c r="AR97" s="666"/>
      <c r="AS97" s="667"/>
      <c r="AT97" s="678"/>
      <c r="AU97" s="666"/>
      <c r="AV97" s="666"/>
      <c r="AW97" s="666"/>
      <c r="AX97" s="680"/>
      <c r="AY97" s="671"/>
      <c r="AZ97" s="649"/>
      <c r="BA97" s="292"/>
      <c r="BB97" s="666"/>
      <c r="BC97" s="666"/>
      <c r="BD97" s="689"/>
      <c r="BE97" s="678"/>
      <c r="BF97" s="666"/>
      <c r="BG97" s="666"/>
      <c r="BH97" s="666"/>
      <c r="BI97" s="667"/>
      <c r="BJ97" s="678"/>
      <c r="BK97" s="690"/>
      <c r="BL97" s="312"/>
      <c r="BM97" s="475">
        <f t="shared" si="29"/>
        <v>0</v>
      </c>
      <c r="BN97" s="475">
        <f t="shared" si="30"/>
        <v>0</v>
      </c>
      <c r="BO97" s="475">
        <f t="shared" si="31"/>
        <v>0</v>
      </c>
      <c r="BP97" s="475">
        <f t="shared" si="32"/>
        <v>0</v>
      </c>
      <c r="BQ97" s="312"/>
      <c r="BR97" s="476">
        <f t="shared" si="33"/>
        <v>0</v>
      </c>
      <c r="BS97" s="465">
        <f t="shared" si="34"/>
        <v>0</v>
      </c>
      <c r="BT97" s="466" t="str">
        <f t="shared" si="23"/>
        <v>n.a.</v>
      </c>
    </row>
    <row r="98" spans="1:72">
      <c r="A98" s="201">
        <f t="shared" si="35"/>
        <v>85</v>
      </c>
      <c r="B98" s="641"/>
      <c r="C98" s="631" t="s">
        <v>8669</v>
      </c>
      <c r="D98" s="642"/>
      <c r="E98" s="643"/>
      <c r="F98" s="643"/>
      <c r="G98" s="474">
        <f t="shared" ref="G98:G161" si="36">E98*F98</f>
        <v>0</v>
      </c>
      <c r="H98" s="293" t="str">
        <f t="shared" ref="H98:H161" si="37">IFERROR(G98/$G$214,"")</f>
        <v/>
      </c>
      <c r="I98" s="652"/>
      <c r="J98" s="653"/>
      <c r="K98" s="643"/>
      <c r="L98" s="654"/>
      <c r="M98" s="653"/>
      <c r="N98" s="643"/>
      <c r="O98" s="643"/>
      <c r="P98" s="643"/>
      <c r="Q98" s="652"/>
      <c r="R98" s="655"/>
      <c r="S98" s="649"/>
      <c r="T98" s="292" t="e">
        <f>INDEX(ei_geo!$B:$B,MATCH(S98,ei_geo!$A:$A,0))</f>
        <v>#N/A</v>
      </c>
      <c r="U98" s="666"/>
      <c r="V98" s="666"/>
      <c r="W98" s="667"/>
      <c r="X98" s="653"/>
      <c r="Y98" s="643"/>
      <c r="Z98" s="643"/>
      <c r="AA98" s="643"/>
      <c r="AB98" s="652"/>
      <c r="AC98" s="671"/>
      <c r="AD98" s="649"/>
      <c r="AE98" s="292"/>
      <c r="AF98" s="666"/>
      <c r="AG98" s="666"/>
      <c r="AH98" s="667"/>
      <c r="AI98" s="678"/>
      <c r="AJ98" s="666"/>
      <c r="AK98" s="666"/>
      <c r="AL98" s="666"/>
      <c r="AM98" s="667"/>
      <c r="AN98" s="671"/>
      <c r="AO98" s="649"/>
      <c r="AP98" s="292"/>
      <c r="AQ98" s="666"/>
      <c r="AR98" s="666"/>
      <c r="AS98" s="667"/>
      <c r="AT98" s="678"/>
      <c r="AU98" s="666"/>
      <c r="AV98" s="666"/>
      <c r="AW98" s="666"/>
      <c r="AX98" s="680"/>
      <c r="AY98" s="671"/>
      <c r="AZ98" s="649"/>
      <c r="BA98" s="292"/>
      <c r="BB98" s="666"/>
      <c r="BC98" s="666"/>
      <c r="BD98" s="689"/>
      <c r="BE98" s="678"/>
      <c r="BF98" s="666"/>
      <c r="BG98" s="666"/>
      <c r="BH98" s="666"/>
      <c r="BI98" s="667"/>
      <c r="BJ98" s="678"/>
      <c r="BK98" s="690"/>
      <c r="BL98" s="312"/>
      <c r="BM98" s="475">
        <f t="shared" si="29"/>
        <v>0</v>
      </c>
      <c r="BN98" s="475">
        <f t="shared" si="30"/>
        <v>0</v>
      </c>
      <c r="BO98" s="475">
        <f t="shared" si="31"/>
        <v>0</v>
      </c>
      <c r="BP98" s="475">
        <f t="shared" si="32"/>
        <v>0</v>
      </c>
      <c r="BQ98" s="312"/>
      <c r="BR98" s="476">
        <f t="shared" si="33"/>
        <v>0</v>
      </c>
      <c r="BS98" s="465">
        <f t="shared" si="34"/>
        <v>0</v>
      </c>
      <c r="BT98" s="466" t="str">
        <f t="shared" si="23"/>
        <v>n.a.</v>
      </c>
    </row>
    <row r="99" spans="1:72">
      <c r="A99" s="201">
        <f t="shared" si="35"/>
        <v>86</v>
      </c>
      <c r="B99" s="641"/>
      <c r="C99" s="631" t="s">
        <v>8670</v>
      </c>
      <c r="D99" s="642"/>
      <c r="E99" s="643"/>
      <c r="F99" s="643"/>
      <c r="G99" s="474">
        <f t="shared" si="36"/>
        <v>0</v>
      </c>
      <c r="H99" s="293" t="str">
        <f t="shared" si="37"/>
        <v/>
      </c>
      <c r="I99" s="652"/>
      <c r="J99" s="653"/>
      <c r="K99" s="643"/>
      <c r="L99" s="654"/>
      <c r="M99" s="653"/>
      <c r="N99" s="643"/>
      <c r="O99" s="643"/>
      <c r="P99" s="643"/>
      <c r="Q99" s="652"/>
      <c r="R99" s="655"/>
      <c r="S99" s="649"/>
      <c r="T99" s="292" t="e">
        <f>INDEX(ei_geo!$B:$B,MATCH(S99,ei_geo!$A:$A,0))</f>
        <v>#N/A</v>
      </c>
      <c r="U99" s="666"/>
      <c r="V99" s="666"/>
      <c r="W99" s="667"/>
      <c r="X99" s="653"/>
      <c r="Y99" s="643"/>
      <c r="Z99" s="643"/>
      <c r="AA99" s="643"/>
      <c r="AB99" s="652"/>
      <c r="AC99" s="671"/>
      <c r="AD99" s="649"/>
      <c r="AE99" s="292"/>
      <c r="AF99" s="666"/>
      <c r="AG99" s="666"/>
      <c r="AH99" s="667"/>
      <c r="AI99" s="678"/>
      <c r="AJ99" s="666"/>
      <c r="AK99" s="666"/>
      <c r="AL99" s="666"/>
      <c r="AM99" s="667"/>
      <c r="AN99" s="671"/>
      <c r="AO99" s="649"/>
      <c r="AP99" s="292"/>
      <c r="AQ99" s="666"/>
      <c r="AR99" s="666"/>
      <c r="AS99" s="667"/>
      <c r="AT99" s="678"/>
      <c r="AU99" s="666"/>
      <c r="AV99" s="666"/>
      <c r="AW99" s="666"/>
      <c r="AX99" s="680"/>
      <c r="AY99" s="671"/>
      <c r="AZ99" s="649"/>
      <c r="BA99" s="292"/>
      <c r="BB99" s="666"/>
      <c r="BC99" s="666"/>
      <c r="BD99" s="689"/>
      <c r="BE99" s="678"/>
      <c r="BF99" s="666"/>
      <c r="BG99" s="666"/>
      <c r="BH99" s="666"/>
      <c r="BI99" s="667"/>
      <c r="BJ99" s="678"/>
      <c r="BK99" s="690"/>
      <c r="BL99" s="312"/>
      <c r="BM99" s="475">
        <f t="shared" si="29"/>
        <v>0</v>
      </c>
      <c r="BN99" s="475">
        <f t="shared" si="30"/>
        <v>0</v>
      </c>
      <c r="BO99" s="475">
        <f t="shared" si="31"/>
        <v>0</v>
      </c>
      <c r="BP99" s="475">
        <f t="shared" si="32"/>
        <v>0</v>
      </c>
      <c r="BQ99" s="312"/>
      <c r="BR99" s="476">
        <f t="shared" si="33"/>
        <v>0</v>
      </c>
      <c r="BS99" s="465">
        <f t="shared" si="34"/>
        <v>0</v>
      </c>
      <c r="BT99" s="466" t="str">
        <f t="shared" si="23"/>
        <v>n.a.</v>
      </c>
    </row>
    <row r="100" spans="1:72">
      <c r="A100" s="201">
        <f t="shared" si="35"/>
        <v>87</v>
      </c>
      <c r="B100" s="641"/>
      <c r="C100" s="631" t="s">
        <v>8671</v>
      </c>
      <c r="D100" s="642"/>
      <c r="E100" s="643"/>
      <c r="F100" s="643"/>
      <c r="G100" s="474">
        <f t="shared" si="36"/>
        <v>0</v>
      </c>
      <c r="H100" s="293" t="str">
        <f t="shared" si="37"/>
        <v/>
      </c>
      <c r="I100" s="652"/>
      <c r="J100" s="653"/>
      <c r="K100" s="643"/>
      <c r="L100" s="654"/>
      <c r="M100" s="653"/>
      <c r="N100" s="643"/>
      <c r="O100" s="643"/>
      <c r="P100" s="643"/>
      <c r="Q100" s="652"/>
      <c r="R100" s="655"/>
      <c r="S100" s="649"/>
      <c r="T100" s="292" t="e">
        <f>INDEX(ei_geo!$B:$B,MATCH(S100,ei_geo!$A:$A,0))</f>
        <v>#N/A</v>
      </c>
      <c r="U100" s="666"/>
      <c r="V100" s="666"/>
      <c r="W100" s="667"/>
      <c r="X100" s="653"/>
      <c r="Y100" s="643"/>
      <c r="Z100" s="643"/>
      <c r="AA100" s="643"/>
      <c r="AB100" s="652"/>
      <c r="AC100" s="671"/>
      <c r="AD100" s="649"/>
      <c r="AE100" s="292"/>
      <c r="AF100" s="666"/>
      <c r="AG100" s="666"/>
      <c r="AH100" s="667"/>
      <c r="AI100" s="678"/>
      <c r="AJ100" s="666"/>
      <c r="AK100" s="666"/>
      <c r="AL100" s="666"/>
      <c r="AM100" s="667"/>
      <c r="AN100" s="671"/>
      <c r="AO100" s="649"/>
      <c r="AP100" s="292"/>
      <c r="AQ100" s="666"/>
      <c r="AR100" s="666"/>
      <c r="AS100" s="667"/>
      <c r="AT100" s="678"/>
      <c r="AU100" s="666"/>
      <c r="AV100" s="666"/>
      <c r="AW100" s="666"/>
      <c r="AX100" s="680"/>
      <c r="AY100" s="671"/>
      <c r="AZ100" s="649"/>
      <c r="BA100" s="292"/>
      <c r="BB100" s="666"/>
      <c r="BC100" s="666"/>
      <c r="BD100" s="689"/>
      <c r="BE100" s="678"/>
      <c r="BF100" s="666"/>
      <c r="BG100" s="666"/>
      <c r="BH100" s="666"/>
      <c r="BI100" s="667"/>
      <c r="BJ100" s="678"/>
      <c r="BK100" s="690"/>
      <c r="BL100" s="312"/>
      <c r="BM100" s="475">
        <f t="shared" si="29"/>
        <v>0</v>
      </c>
      <c r="BN100" s="475">
        <f t="shared" si="30"/>
        <v>0</v>
      </c>
      <c r="BO100" s="475">
        <f t="shared" si="31"/>
        <v>0</v>
      </c>
      <c r="BP100" s="475">
        <f t="shared" si="32"/>
        <v>0</v>
      </c>
      <c r="BQ100" s="312"/>
      <c r="BR100" s="476">
        <f t="shared" si="33"/>
        <v>0</v>
      </c>
      <c r="BS100" s="465">
        <f t="shared" si="34"/>
        <v>0</v>
      </c>
      <c r="BT100" s="466" t="str">
        <f t="shared" si="23"/>
        <v>n.a.</v>
      </c>
    </row>
    <row r="101" spans="1:72">
      <c r="A101" s="201">
        <f t="shared" si="35"/>
        <v>88</v>
      </c>
      <c r="B101" s="641"/>
      <c r="C101" s="631" t="s">
        <v>8672</v>
      </c>
      <c r="D101" s="642"/>
      <c r="E101" s="643"/>
      <c r="F101" s="643"/>
      <c r="G101" s="474">
        <f t="shared" si="36"/>
        <v>0</v>
      </c>
      <c r="H101" s="293" t="str">
        <f t="shared" si="37"/>
        <v/>
      </c>
      <c r="I101" s="652"/>
      <c r="J101" s="653"/>
      <c r="K101" s="643"/>
      <c r="L101" s="654"/>
      <c r="M101" s="653"/>
      <c r="N101" s="643"/>
      <c r="O101" s="643"/>
      <c r="P101" s="643"/>
      <c r="Q101" s="652"/>
      <c r="R101" s="655"/>
      <c r="S101" s="649"/>
      <c r="T101" s="292" t="e">
        <f>INDEX(ei_geo!$B:$B,MATCH(S101,ei_geo!$A:$A,0))</f>
        <v>#N/A</v>
      </c>
      <c r="U101" s="666"/>
      <c r="V101" s="666"/>
      <c r="W101" s="667"/>
      <c r="X101" s="653"/>
      <c r="Y101" s="643"/>
      <c r="Z101" s="643"/>
      <c r="AA101" s="643"/>
      <c r="AB101" s="652"/>
      <c r="AC101" s="671"/>
      <c r="AD101" s="649"/>
      <c r="AE101" s="292"/>
      <c r="AF101" s="666"/>
      <c r="AG101" s="666"/>
      <c r="AH101" s="667"/>
      <c r="AI101" s="678"/>
      <c r="AJ101" s="666"/>
      <c r="AK101" s="666"/>
      <c r="AL101" s="666"/>
      <c r="AM101" s="667"/>
      <c r="AN101" s="671"/>
      <c r="AO101" s="649"/>
      <c r="AP101" s="292"/>
      <c r="AQ101" s="666"/>
      <c r="AR101" s="666"/>
      <c r="AS101" s="667"/>
      <c r="AT101" s="678"/>
      <c r="AU101" s="666"/>
      <c r="AV101" s="666"/>
      <c r="AW101" s="666"/>
      <c r="AX101" s="680"/>
      <c r="AY101" s="671"/>
      <c r="AZ101" s="649"/>
      <c r="BA101" s="292"/>
      <c r="BB101" s="666"/>
      <c r="BC101" s="666"/>
      <c r="BD101" s="689"/>
      <c r="BE101" s="678"/>
      <c r="BF101" s="666"/>
      <c r="BG101" s="666"/>
      <c r="BH101" s="666"/>
      <c r="BI101" s="667"/>
      <c r="BJ101" s="678"/>
      <c r="BK101" s="690"/>
      <c r="BL101" s="312"/>
      <c r="BM101" s="475">
        <f t="shared" si="29"/>
        <v>0</v>
      </c>
      <c r="BN101" s="475">
        <f t="shared" si="30"/>
        <v>0</v>
      </c>
      <c r="BO101" s="475">
        <f t="shared" si="31"/>
        <v>0</v>
      </c>
      <c r="BP101" s="475">
        <f t="shared" si="32"/>
        <v>0</v>
      </c>
      <c r="BQ101" s="312"/>
      <c r="BR101" s="476">
        <f t="shared" si="33"/>
        <v>0</v>
      </c>
      <c r="BS101" s="465">
        <f t="shared" si="34"/>
        <v>0</v>
      </c>
      <c r="BT101" s="466" t="str">
        <f t="shared" si="23"/>
        <v>n.a.</v>
      </c>
    </row>
    <row r="102" spans="1:72">
      <c r="A102" s="201">
        <f t="shared" si="35"/>
        <v>89</v>
      </c>
      <c r="B102" s="641"/>
      <c r="C102" s="631" t="s">
        <v>8673</v>
      </c>
      <c r="D102" s="642"/>
      <c r="E102" s="643"/>
      <c r="F102" s="643"/>
      <c r="G102" s="474">
        <f t="shared" si="36"/>
        <v>0</v>
      </c>
      <c r="H102" s="293" t="str">
        <f t="shared" si="37"/>
        <v/>
      </c>
      <c r="I102" s="652"/>
      <c r="J102" s="653"/>
      <c r="K102" s="643"/>
      <c r="L102" s="654"/>
      <c r="M102" s="653"/>
      <c r="N102" s="643"/>
      <c r="O102" s="643"/>
      <c r="P102" s="643"/>
      <c r="Q102" s="652"/>
      <c r="R102" s="655"/>
      <c r="S102" s="649"/>
      <c r="T102" s="292" t="e">
        <f>INDEX(ei_geo!$B:$B,MATCH(S102,ei_geo!$A:$A,0))</f>
        <v>#N/A</v>
      </c>
      <c r="U102" s="666"/>
      <c r="V102" s="666"/>
      <c r="W102" s="667"/>
      <c r="X102" s="653"/>
      <c r="Y102" s="643"/>
      <c r="Z102" s="643"/>
      <c r="AA102" s="643"/>
      <c r="AB102" s="652"/>
      <c r="AC102" s="671"/>
      <c r="AD102" s="649"/>
      <c r="AE102" s="292"/>
      <c r="AF102" s="666"/>
      <c r="AG102" s="666"/>
      <c r="AH102" s="667"/>
      <c r="AI102" s="678"/>
      <c r="AJ102" s="666"/>
      <c r="AK102" s="666"/>
      <c r="AL102" s="666"/>
      <c r="AM102" s="667"/>
      <c r="AN102" s="671"/>
      <c r="AO102" s="649"/>
      <c r="AP102" s="292"/>
      <c r="AQ102" s="666"/>
      <c r="AR102" s="666"/>
      <c r="AS102" s="667"/>
      <c r="AT102" s="678"/>
      <c r="AU102" s="666"/>
      <c r="AV102" s="666"/>
      <c r="AW102" s="666"/>
      <c r="AX102" s="680"/>
      <c r="AY102" s="671"/>
      <c r="AZ102" s="649"/>
      <c r="BA102" s="292"/>
      <c r="BB102" s="666"/>
      <c r="BC102" s="666"/>
      <c r="BD102" s="689"/>
      <c r="BE102" s="678"/>
      <c r="BF102" s="666"/>
      <c r="BG102" s="666"/>
      <c r="BH102" s="666"/>
      <c r="BI102" s="667"/>
      <c r="BJ102" s="678"/>
      <c r="BK102" s="690"/>
      <c r="BL102" s="312"/>
      <c r="BM102" s="475">
        <f t="shared" si="29"/>
        <v>0</v>
      </c>
      <c r="BN102" s="475">
        <f t="shared" si="30"/>
        <v>0</v>
      </c>
      <c r="BO102" s="475">
        <f t="shared" si="31"/>
        <v>0</v>
      </c>
      <c r="BP102" s="475">
        <f t="shared" si="32"/>
        <v>0</v>
      </c>
      <c r="BQ102" s="312"/>
      <c r="BR102" s="476">
        <f t="shared" si="33"/>
        <v>0</v>
      </c>
      <c r="BS102" s="465">
        <f t="shared" si="34"/>
        <v>0</v>
      </c>
      <c r="BT102" s="466" t="str">
        <f t="shared" si="23"/>
        <v>n.a.</v>
      </c>
    </row>
    <row r="103" spans="1:72">
      <c r="A103" s="201">
        <f t="shared" si="35"/>
        <v>90</v>
      </c>
      <c r="B103" s="641"/>
      <c r="C103" s="631" t="s">
        <v>8674</v>
      </c>
      <c r="D103" s="642"/>
      <c r="E103" s="643"/>
      <c r="F103" s="643"/>
      <c r="G103" s="474">
        <f t="shared" si="36"/>
        <v>0</v>
      </c>
      <c r="H103" s="293" t="str">
        <f t="shared" si="37"/>
        <v/>
      </c>
      <c r="I103" s="652"/>
      <c r="J103" s="653"/>
      <c r="K103" s="643"/>
      <c r="L103" s="654"/>
      <c r="M103" s="653"/>
      <c r="N103" s="643"/>
      <c r="O103" s="643"/>
      <c r="P103" s="643"/>
      <c r="Q103" s="652"/>
      <c r="R103" s="655"/>
      <c r="S103" s="649"/>
      <c r="T103" s="292" t="e">
        <f>INDEX(ei_geo!$B:$B,MATCH(S103,ei_geo!$A:$A,0))</f>
        <v>#N/A</v>
      </c>
      <c r="U103" s="666"/>
      <c r="V103" s="666"/>
      <c r="W103" s="667"/>
      <c r="X103" s="653"/>
      <c r="Y103" s="643"/>
      <c r="Z103" s="643"/>
      <c r="AA103" s="643"/>
      <c r="AB103" s="652"/>
      <c r="AC103" s="671"/>
      <c r="AD103" s="649"/>
      <c r="AE103" s="292"/>
      <c r="AF103" s="666"/>
      <c r="AG103" s="666"/>
      <c r="AH103" s="667"/>
      <c r="AI103" s="678"/>
      <c r="AJ103" s="666"/>
      <c r="AK103" s="666"/>
      <c r="AL103" s="666"/>
      <c r="AM103" s="667"/>
      <c r="AN103" s="671"/>
      <c r="AO103" s="649"/>
      <c r="AP103" s="292"/>
      <c r="AQ103" s="666"/>
      <c r="AR103" s="666"/>
      <c r="AS103" s="667"/>
      <c r="AT103" s="678"/>
      <c r="AU103" s="666"/>
      <c r="AV103" s="666"/>
      <c r="AW103" s="666"/>
      <c r="AX103" s="680"/>
      <c r="AY103" s="671"/>
      <c r="AZ103" s="649"/>
      <c r="BA103" s="292"/>
      <c r="BB103" s="666"/>
      <c r="BC103" s="666"/>
      <c r="BD103" s="689"/>
      <c r="BE103" s="678"/>
      <c r="BF103" s="666"/>
      <c r="BG103" s="666"/>
      <c r="BH103" s="666"/>
      <c r="BI103" s="667"/>
      <c r="BJ103" s="678"/>
      <c r="BK103" s="690"/>
      <c r="BL103" s="312"/>
      <c r="BM103" s="475">
        <f t="shared" si="29"/>
        <v>0</v>
      </c>
      <c r="BN103" s="475">
        <f t="shared" si="30"/>
        <v>0</v>
      </c>
      <c r="BO103" s="475">
        <f t="shared" si="31"/>
        <v>0</v>
      </c>
      <c r="BP103" s="475">
        <f t="shared" si="32"/>
        <v>0</v>
      </c>
      <c r="BQ103" s="312"/>
      <c r="BR103" s="476">
        <f t="shared" si="33"/>
        <v>0</v>
      </c>
      <c r="BS103" s="465">
        <f t="shared" si="34"/>
        <v>0</v>
      </c>
      <c r="BT103" s="466" t="str">
        <f t="shared" si="23"/>
        <v>n.a.</v>
      </c>
    </row>
    <row r="104" spans="1:72">
      <c r="A104" s="201">
        <f t="shared" si="35"/>
        <v>91</v>
      </c>
      <c r="B104" s="641"/>
      <c r="C104" s="631" t="s">
        <v>8675</v>
      </c>
      <c r="D104" s="642"/>
      <c r="E104" s="643"/>
      <c r="F104" s="643"/>
      <c r="G104" s="474">
        <f t="shared" si="36"/>
        <v>0</v>
      </c>
      <c r="H104" s="293" t="str">
        <f t="shared" si="37"/>
        <v/>
      </c>
      <c r="I104" s="652"/>
      <c r="J104" s="653"/>
      <c r="K104" s="643"/>
      <c r="L104" s="654"/>
      <c r="M104" s="653"/>
      <c r="N104" s="643"/>
      <c r="O104" s="643"/>
      <c r="P104" s="643"/>
      <c r="Q104" s="652"/>
      <c r="R104" s="655"/>
      <c r="S104" s="649"/>
      <c r="T104" s="292" t="e">
        <f>INDEX(ei_geo!$B:$B,MATCH(S104,ei_geo!$A:$A,0))</f>
        <v>#N/A</v>
      </c>
      <c r="U104" s="666"/>
      <c r="V104" s="666"/>
      <c r="W104" s="667"/>
      <c r="X104" s="653"/>
      <c r="Y104" s="643"/>
      <c r="Z104" s="643"/>
      <c r="AA104" s="643"/>
      <c r="AB104" s="652"/>
      <c r="AC104" s="671"/>
      <c r="AD104" s="649"/>
      <c r="AE104" s="292"/>
      <c r="AF104" s="666"/>
      <c r="AG104" s="666"/>
      <c r="AH104" s="667"/>
      <c r="AI104" s="678"/>
      <c r="AJ104" s="666"/>
      <c r="AK104" s="666"/>
      <c r="AL104" s="666"/>
      <c r="AM104" s="667"/>
      <c r="AN104" s="671"/>
      <c r="AO104" s="649"/>
      <c r="AP104" s="292"/>
      <c r="AQ104" s="666"/>
      <c r="AR104" s="666"/>
      <c r="AS104" s="667"/>
      <c r="AT104" s="678"/>
      <c r="AU104" s="666"/>
      <c r="AV104" s="666"/>
      <c r="AW104" s="666"/>
      <c r="AX104" s="680"/>
      <c r="AY104" s="671"/>
      <c r="AZ104" s="649"/>
      <c r="BA104" s="292"/>
      <c r="BB104" s="666"/>
      <c r="BC104" s="666"/>
      <c r="BD104" s="689"/>
      <c r="BE104" s="678"/>
      <c r="BF104" s="666"/>
      <c r="BG104" s="666"/>
      <c r="BH104" s="666"/>
      <c r="BI104" s="667"/>
      <c r="BJ104" s="678"/>
      <c r="BK104" s="690"/>
      <c r="BL104" s="312"/>
      <c r="BM104" s="475">
        <f t="shared" si="29"/>
        <v>0</v>
      </c>
      <c r="BN104" s="475">
        <f t="shared" si="30"/>
        <v>0</v>
      </c>
      <c r="BO104" s="475">
        <f t="shared" si="31"/>
        <v>0</v>
      </c>
      <c r="BP104" s="475">
        <f t="shared" si="32"/>
        <v>0</v>
      </c>
      <c r="BQ104" s="312"/>
      <c r="BR104" s="476">
        <f t="shared" si="33"/>
        <v>0</v>
      </c>
      <c r="BS104" s="465">
        <f t="shared" si="34"/>
        <v>0</v>
      </c>
      <c r="BT104" s="466" t="str">
        <f t="shared" si="23"/>
        <v>n.a.</v>
      </c>
    </row>
    <row r="105" spans="1:72">
      <c r="A105" s="201">
        <f t="shared" si="35"/>
        <v>92</v>
      </c>
      <c r="B105" s="641"/>
      <c r="C105" s="631" t="s">
        <v>8676</v>
      </c>
      <c r="D105" s="642"/>
      <c r="E105" s="643"/>
      <c r="F105" s="643"/>
      <c r="G105" s="474">
        <f t="shared" si="36"/>
        <v>0</v>
      </c>
      <c r="H105" s="293" t="str">
        <f t="shared" si="37"/>
        <v/>
      </c>
      <c r="I105" s="652"/>
      <c r="J105" s="653"/>
      <c r="K105" s="643"/>
      <c r="L105" s="654"/>
      <c r="M105" s="653"/>
      <c r="N105" s="643"/>
      <c r="O105" s="643"/>
      <c r="P105" s="643"/>
      <c r="Q105" s="652"/>
      <c r="R105" s="655"/>
      <c r="S105" s="649"/>
      <c r="T105" s="292" t="e">
        <f>INDEX(ei_geo!$B:$B,MATCH(S105,ei_geo!$A:$A,0))</f>
        <v>#N/A</v>
      </c>
      <c r="U105" s="666"/>
      <c r="V105" s="666"/>
      <c r="W105" s="667"/>
      <c r="X105" s="653"/>
      <c r="Y105" s="643"/>
      <c r="Z105" s="643"/>
      <c r="AA105" s="643"/>
      <c r="AB105" s="652"/>
      <c r="AC105" s="671"/>
      <c r="AD105" s="649"/>
      <c r="AE105" s="292"/>
      <c r="AF105" s="666"/>
      <c r="AG105" s="666"/>
      <c r="AH105" s="667"/>
      <c r="AI105" s="678"/>
      <c r="AJ105" s="666"/>
      <c r="AK105" s="666"/>
      <c r="AL105" s="666"/>
      <c r="AM105" s="667"/>
      <c r="AN105" s="671"/>
      <c r="AO105" s="649"/>
      <c r="AP105" s="292"/>
      <c r="AQ105" s="666"/>
      <c r="AR105" s="666"/>
      <c r="AS105" s="667"/>
      <c r="AT105" s="678"/>
      <c r="AU105" s="666"/>
      <c r="AV105" s="666"/>
      <c r="AW105" s="666"/>
      <c r="AX105" s="680"/>
      <c r="AY105" s="671"/>
      <c r="AZ105" s="649"/>
      <c r="BA105" s="292"/>
      <c r="BB105" s="666"/>
      <c r="BC105" s="666"/>
      <c r="BD105" s="689"/>
      <c r="BE105" s="678"/>
      <c r="BF105" s="666"/>
      <c r="BG105" s="666"/>
      <c r="BH105" s="666"/>
      <c r="BI105" s="667"/>
      <c r="BJ105" s="678"/>
      <c r="BK105" s="690"/>
      <c r="BL105" s="312"/>
      <c r="BM105" s="475">
        <f t="shared" si="29"/>
        <v>0</v>
      </c>
      <c r="BN105" s="475">
        <f t="shared" si="30"/>
        <v>0</v>
      </c>
      <c r="BO105" s="475">
        <f t="shared" si="31"/>
        <v>0</v>
      </c>
      <c r="BP105" s="475">
        <f t="shared" si="32"/>
        <v>0</v>
      </c>
      <c r="BQ105" s="312"/>
      <c r="BR105" s="476">
        <f t="shared" si="33"/>
        <v>0</v>
      </c>
      <c r="BS105" s="465">
        <f t="shared" si="34"/>
        <v>0</v>
      </c>
      <c r="BT105" s="466" t="str">
        <f t="shared" si="23"/>
        <v>n.a.</v>
      </c>
    </row>
    <row r="106" spans="1:72">
      <c r="A106" s="201">
        <f t="shared" si="35"/>
        <v>93</v>
      </c>
      <c r="B106" s="641"/>
      <c r="C106" s="631" t="s">
        <v>8677</v>
      </c>
      <c r="D106" s="642"/>
      <c r="E106" s="643"/>
      <c r="F106" s="643"/>
      <c r="G106" s="474">
        <f t="shared" si="36"/>
        <v>0</v>
      </c>
      <c r="H106" s="293" t="str">
        <f t="shared" si="37"/>
        <v/>
      </c>
      <c r="I106" s="652"/>
      <c r="J106" s="653"/>
      <c r="K106" s="643"/>
      <c r="L106" s="654"/>
      <c r="M106" s="653"/>
      <c r="N106" s="643"/>
      <c r="O106" s="643"/>
      <c r="P106" s="643"/>
      <c r="Q106" s="652"/>
      <c r="R106" s="655"/>
      <c r="S106" s="649"/>
      <c r="T106" s="292" t="e">
        <f>INDEX(ei_geo!$B:$B,MATCH(S106,ei_geo!$A:$A,0))</f>
        <v>#N/A</v>
      </c>
      <c r="U106" s="666"/>
      <c r="V106" s="666"/>
      <c r="W106" s="667"/>
      <c r="X106" s="653"/>
      <c r="Y106" s="643"/>
      <c r="Z106" s="643"/>
      <c r="AA106" s="643"/>
      <c r="AB106" s="652"/>
      <c r="AC106" s="671"/>
      <c r="AD106" s="649"/>
      <c r="AE106" s="292"/>
      <c r="AF106" s="666"/>
      <c r="AG106" s="666"/>
      <c r="AH106" s="667"/>
      <c r="AI106" s="678"/>
      <c r="AJ106" s="666"/>
      <c r="AK106" s="666"/>
      <c r="AL106" s="666"/>
      <c r="AM106" s="667"/>
      <c r="AN106" s="671"/>
      <c r="AO106" s="649"/>
      <c r="AP106" s="292"/>
      <c r="AQ106" s="666"/>
      <c r="AR106" s="666"/>
      <c r="AS106" s="667"/>
      <c r="AT106" s="678"/>
      <c r="AU106" s="666"/>
      <c r="AV106" s="666"/>
      <c r="AW106" s="666"/>
      <c r="AX106" s="680"/>
      <c r="AY106" s="671"/>
      <c r="AZ106" s="649"/>
      <c r="BA106" s="292"/>
      <c r="BB106" s="666"/>
      <c r="BC106" s="666"/>
      <c r="BD106" s="689"/>
      <c r="BE106" s="678"/>
      <c r="BF106" s="666"/>
      <c r="BG106" s="666"/>
      <c r="BH106" s="666"/>
      <c r="BI106" s="667"/>
      <c r="BJ106" s="678"/>
      <c r="BK106" s="690"/>
      <c r="BL106" s="312"/>
      <c r="BM106" s="475">
        <f t="shared" si="29"/>
        <v>0</v>
      </c>
      <c r="BN106" s="475">
        <f t="shared" si="30"/>
        <v>0</v>
      </c>
      <c r="BO106" s="475">
        <f t="shared" si="31"/>
        <v>0</v>
      </c>
      <c r="BP106" s="475">
        <f t="shared" si="32"/>
        <v>0</v>
      </c>
      <c r="BQ106" s="312"/>
      <c r="BR106" s="476">
        <f t="shared" si="33"/>
        <v>0</v>
      </c>
      <c r="BS106" s="465">
        <f t="shared" si="34"/>
        <v>0</v>
      </c>
      <c r="BT106" s="466" t="str">
        <f t="shared" si="23"/>
        <v>n.a.</v>
      </c>
    </row>
    <row r="107" spans="1:72">
      <c r="A107" s="201">
        <f t="shared" si="35"/>
        <v>94</v>
      </c>
      <c r="B107" s="641"/>
      <c r="C107" s="631" t="s">
        <v>8678</v>
      </c>
      <c r="D107" s="642"/>
      <c r="E107" s="643"/>
      <c r="F107" s="643"/>
      <c r="G107" s="474">
        <f t="shared" si="36"/>
        <v>0</v>
      </c>
      <c r="H107" s="293" t="str">
        <f t="shared" si="37"/>
        <v/>
      </c>
      <c r="I107" s="652"/>
      <c r="J107" s="653"/>
      <c r="K107" s="643"/>
      <c r="L107" s="654"/>
      <c r="M107" s="653"/>
      <c r="N107" s="643"/>
      <c r="O107" s="643"/>
      <c r="P107" s="643"/>
      <c r="Q107" s="652"/>
      <c r="R107" s="655"/>
      <c r="S107" s="649"/>
      <c r="T107" s="292" t="e">
        <f>INDEX(ei_geo!$B:$B,MATCH(S107,ei_geo!$A:$A,0))</f>
        <v>#N/A</v>
      </c>
      <c r="U107" s="666"/>
      <c r="V107" s="666"/>
      <c r="W107" s="667"/>
      <c r="X107" s="653"/>
      <c r="Y107" s="643"/>
      <c r="Z107" s="643"/>
      <c r="AA107" s="643"/>
      <c r="AB107" s="652"/>
      <c r="AC107" s="671"/>
      <c r="AD107" s="649"/>
      <c r="AE107" s="292"/>
      <c r="AF107" s="666"/>
      <c r="AG107" s="666"/>
      <c r="AH107" s="667"/>
      <c r="AI107" s="678"/>
      <c r="AJ107" s="666"/>
      <c r="AK107" s="666"/>
      <c r="AL107" s="666"/>
      <c r="AM107" s="667"/>
      <c r="AN107" s="671"/>
      <c r="AO107" s="649"/>
      <c r="AP107" s="292"/>
      <c r="AQ107" s="666"/>
      <c r="AR107" s="666"/>
      <c r="AS107" s="667"/>
      <c r="AT107" s="678"/>
      <c r="AU107" s="666"/>
      <c r="AV107" s="666"/>
      <c r="AW107" s="666"/>
      <c r="AX107" s="680"/>
      <c r="AY107" s="671"/>
      <c r="AZ107" s="649"/>
      <c r="BA107" s="292"/>
      <c r="BB107" s="666"/>
      <c r="BC107" s="666"/>
      <c r="BD107" s="689"/>
      <c r="BE107" s="678"/>
      <c r="BF107" s="666"/>
      <c r="BG107" s="666"/>
      <c r="BH107" s="666"/>
      <c r="BI107" s="667"/>
      <c r="BJ107" s="678"/>
      <c r="BK107" s="690"/>
      <c r="BL107" s="312"/>
      <c r="BM107" s="475">
        <f t="shared" si="29"/>
        <v>0</v>
      </c>
      <c r="BN107" s="475">
        <f t="shared" si="30"/>
        <v>0</v>
      </c>
      <c r="BO107" s="475">
        <f t="shared" si="31"/>
        <v>0</v>
      </c>
      <c r="BP107" s="475">
        <f t="shared" si="32"/>
        <v>0</v>
      </c>
      <c r="BQ107" s="312"/>
      <c r="BR107" s="476">
        <f t="shared" si="33"/>
        <v>0</v>
      </c>
      <c r="BS107" s="465">
        <f t="shared" si="34"/>
        <v>0</v>
      </c>
      <c r="BT107" s="466" t="str">
        <f t="shared" si="23"/>
        <v>n.a.</v>
      </c>
    </row>
    <row r="108" spans="1:72">
      <c r="A108" s="201">
        <f t="shared" si="35"/>
        <v>95</v>
      </c>
      <c r="B108" s="641"/>
      <c r="C108" s="631" t="s">
        <v>8679</v>
      </c>
      <c r="D108" s="642"/>
      <c r="E108" s="643"/>
      <c r="F108" s="643"/>
      <c r="G108" s="474">
        <f t="shared" si="36"/>
        <v>0</v>
      </c>
      <c r="H108" s="293" t="str">
        <f t="shared" si="37"/>
        <v/>
      </c>
      <c r="I108" s="652"/>
      <c r="J108" s="653"/>
      <c r="K108" s="643"/>
      <c r="L108" s="654"/>
      <c r="M108" s="653"/>
      <c r="N108" s="643"/>
      <c r="O108" s="643"/>
      <c r="P108" s="643"/>
      <c r="Q108" s="652"/>
      <c r="R108" s="655"/>
      <c r="S108" s="649"/>
      <c r="T108" s="292" t="e">
        <f>INDEX(ei_geo!$B:$B,MATCH(S108,ei_geo!$A:$A,0))</f>
        <v>#N/A</v>
      </c>
      <c r="U108" s="666"/>
      <c r="V108" s="666"/>
      <c r="W108" s="667"/>
      <c r="X108" s="653"/>
      <c r="Y108" s="643"/>
      <c r="Z108" s="643"/>
      <c r="AA108" s="643"/>
      <c r="AB108" s="652"/>
      <c r="AC108" s="671"/>
      <c r="AD108" s="649"/>
      <c r="AE108" s="292"/>
      <c r="AF108" s="666"/>
      <c r="AG108" s="666"/>
      <c r="AH108" s="667"/>
      <c r="AI108" s="678"/>
      <c r="AJ108" s="666"/>
      <c r="AK108" s="666"/>
      <c r="AL108" s="666"/>
      <c r="AM108" s="667"/>
      <c r="AN108" s="671"/>
      <c r="AO108" s="649"/>
      <c r="AP108" s="292"/>
      <c r="AQ108" s="666"/>
      <c r="AR108" s="666"/>
      <c r="AS108" s="667"/>
      <c r="AT108" s="678"/>
      <c r="AU108" s="666"/>
      <c r="AV108" s="666"/>
      <c r="AW108" s="666"/>
      <c r="AX108" s="680"/>
      <c r="AY108" s="671"/>
      <c r="AZ108" s="649"/>
      <c r="BA108" s="292"/>
      <c r="BB108" s="666"/>
      <c r="BC108" s="666"/>
      <c r="BD108" s="689"/>
      <c r="BE108" s="678"/>
      <c r="BF108" s="666"/>
      <c r="BG108" s="666"/>
      <c r="BH108" s="666"/>
      <c r="BI108" s="667"/>
      <c r="BJ108" s="678"/>
      <c r="BK108" s="690"/>
      <c r="BL108" s="312"/>
      <c r="BM108" s="475">
        <f t="shared" si="29"/>
        <v>0</v>
      </c>
      <c r="BN108" s="475">
        <f t="shared" si="30"/>
        <v>0</v>
      </c>
      <c r="BO108" s="475">
        <f t="shared" si="31"/>
        <v>0</v>
      </c>
      <c r="BP108" s="475">
        <f t="shared" si="32"/>
        <v>0</v>
      </c>
      <c r="BQ108" s="312"/>
      <c r="BR108" s="476">
        <f t="shared" si="33"/>
        <v>0</v>
      </c>
      <c r="BS108" s="465">
        <f t="shared" si="34"/>
        <v>0</v>
      </c>
      <c r="BT108" s="466" t="str">
        <f t="shared" si="23"/>
        <v>n.a.</v>
      </c>
    </row>
    <row r="109" spans="1:72">
      <c r="A109" s="201">
        <f t="shared" si="35"/>
        <v>96</v>
      </c>
      <c r="B109" s="641"/>
      <c r="C109" s="631" t="s">
        <v>8680</v>
      </c>
      <c r="D109" s="642"/>
      <c r="E109" s="643"/>
      <c r="F109" s="643"/>
      <c r="G109" s="474">
        <f t="shared" si="36"/>
        <v>0</v>
      </c>
      <c r="H109" s="293" t="str">
        <f t="shared" si="37"/>
        <v/>
      </c>
      <c r="I109" s="652"/>
      <c r="J109" s="653"/>
      <c r="K109" s="643"/>
      <c r="L109" s="654"/>
      <c r="M109" s="653"/>
      <c r="N109" s="643"/>
      <c r="O109" s="643"/>
      <c r="P109" s="643"/>
      <c r="Q109" s="652"/>
      <c r="R109" s="655"/>
      <c r="S109" s="649"/>
      <c r="T109" s="292" t="e">
        <f>INDEX(ei_geo!$B:$B,MATCH(S109,ei_geo!$A:$A,0))</f>
        <v>#N/A</v>
      </c>
      <c r="U109" s="666"/>
      <c r="V109" s="666"/>
      <c r="W109" s="667"/>
      <c r="X109" s="653"/>
      <c r="Y109" s="643"/>
      <c r="Z109" s="643"/>
      <c r="AA109" s="643"/>
      <c r="AB109" s="652"/>
      <c r="AC109" s="671"/>
      <c r="AD109" s="649"/>
      <c r="AE109" s="292"/>
      <c r="AF109" s="666"/>
      <c r="AG109" s="666"/>
      <c r="AH109" s="667"/>
      <c r="AI109" s="678"/>
      <c r="AJ109" s="666"/>
      <c r="AK109" s="666"/>
      <c r="AL109" s="666"/>
      <c r="AM109" s="667"/>
      <c r="AN109" s="671"/>
      <c r="AO109" s="649"/>
      <c r="AP109" s="292"/>
      <c r="AQ109" s="666"/>
      <c r="AR109" s="666"/>
      <c r="AS109" s="667"/>
      <c r="AT109" s="678"/>
      <c r="AU109" s="666"/>
      <c r="AV109" s="666"/>
      <c r="AW109" s="666"/>
      <c r="AX109" s="680"/>
      <c r="AY109" s="671"/>
      <c r="AZ109" s="649"/>
      <c r="BA109" s="292"/>
      <c r="BB109" s="666"/>
      <c r="BC109" s="666"/>
      <c r="BD109" s="689"/>
      <c r="BE109" s="678"/>
      <c r="BF109" s="666"/>
      <c r="BG109" s="666"/>
      <c r="BH109" s="666"/>
      <c r="BI109" s="667"/>
      <c r="BJ109" s="678"/>
      <c r="BK109" s="690"/>
      <c r="BL109" s="312"/>
      <c r="BM109" s="475">
        <f t="shared" si="29"/>
        <v>0</v>
      </c>
      <c r="BN109" s="475">
        <f t="shared" si="30"/>
        <v>0</v>
      </c>
      <c r="BO109" s="475">
        <f t="shared" si="31"/>
        <v>0</v>
      </c>
      <c r="BP109" s="475">
        <f t="shared" si="32"/>
        <v>0</v>
      </c>
      <c r="BQ109" s="312"/>
      <c r="BR109" s="476">
        <f t="shared" si="33"/>
        <v>0</v>
      </c>
      <c r="BS109" s="465">
        <f t="shared" si="34"/>
        <v>0</v>
      </c>
      <c r="BT109" s="466" t="str">
        <f t="shared" si="23"/>
        <v>n.a.</v>
      </c>
    </row>
    <row r="110" spans="1:72">
      <c r="A110" s="201">
        <f t="shared" si="35"/>
        <v>97</v>
      </c>
      <c r="B110" s="641"/>
      <c r="C110" s="631" t="s">
        <v>8681</v>
      </c>
      <c r="D110" s="642"/>
      <c r="E110" s="643"/>
      <c r="F110" s="643"/>
      <c r="G110" s="474">
        <f t="shared" si="36"/>
        <v>0</v>
      </c>
      <c r="H110" s="293" t="str">
        <f t="shared" si="37"/>
        <v/>
      </c>
      <c r="I110" s="652"/>
      <c r="J110" s="653"/>
      <c r="K110" s="643"/>
      <c r="L110" s="654"/>
      <c r="M110" s="653"/>
      <c r="N110" s="643"/>
      <c r="O110" s="643"/>
      <c r="P110" s="643"/>
      <c r="Q110" s="652"/>
      <c r="R110" s="655"/>
      <c r="S110" s="649"/>
      <c r="T110" s="292" t="e">
        <f>INDEX(ei_geo!$B:$B,MATCH(S110,ei_geo!$A:$A,0))</f>
        <v>#N/A</v>
      </c>
      <c r="U110" s="666"/>
      <c r="V110" s="666"/>
      <c r="W110" s="667"/>
      <c r="X110" s="653"/>
      <c r="Y110" s="643"/>
      <c r="Z110" s="643"/>
      <c r="AA110" s="643"/>
      <c r="AB110" s="652"/>
      <c r="AC110" s="671"/>
      <c r="AD110" s="649"/>
      <c r="AE110" s="292"/>
      <c r="AF110" s="666"/>
      <c r="AG110" s="666"/>
      <c r="AH110" s="667"/>
      <c r="AI110" s="678"/>
      <c r="AJ110" s="666"/>
      <c r="AK110" s="666"/>
      <c r="AL110" s="666"/>
      <c r="AM110" s="667"/>
      <c r="AN110" s="671"/>
      <c r="AO110" s="649"/>
      <c r="AP110" s="292"/>
      <c r="AQ110" s="666"/>
      <c r="AR110" s="666"/>
      <c r="AS110" s="667"/>
      <c r="AT110" s="678"/>
      <c r="AU110" s="666"/>
      <c r="AV110" s="666"/>
      <c r="AW110" s="666"/>
      <c r="AX110" s="680"/>
      <c r="AY110" s="671"/>
      <c r="AZ110" s="649"/>
      <c r="BA110" s="292"/>
      <c r="BB110" s="666"/>
      <c r="BC110" s="666"/>
      <c r="BD110" s="689"/>
      <c r="BE110" s="678"/>
      <c r="BF110" s="666"/>
      <c r="BG110" s="666"/>
      <c r="BH110" s="666"/>
      <c r="BI110" s="667"/>
      <c r="BJ110" s="678"/>
      <c r="BK110" s="690"/>
      <c r="BL110" s="312"/>
      <c r="BM110" s="475">
        <f t="shared" si="29"/>
        <v>0</v>
      </c>
      <c r="BN110" s="475">
        <f t="shared" si="30"/>
        <v>0</v>
      </c>
      <c r="BO110" s="475">
        <f t="shared" si="31"/>
        <v>0</v>
      </c>
      <c r="BP110" s="475">
        <f t="shared" si="32"/>
        <v>0</v>
      </c>
      <c r="BQ110" s="312"/>
      <c r="BR110" s="476">
        <f t="shared" si="33"/>
        <v>0</v>
      </c>
      <c r="BS110" s="465">
        <f t="shared" si="34"/>
        <v>0</v>
      </c>
      <c r="BT110" s="466" t="str">
        <f t="shared" si="23"/>
        <v>n.a.</v>
      </c>
    </row>
    <row r="111" spans="1:72">
      <c r="A111" s="201">
        <f t="shared" si="35"/>
        <v>98</v>
      </c>
      <c r="B111" s="641"/>
      <c r="C111" s="631" t="s">
        <v>8682</v>
      </c>
      <c r="D111" s="642"/>
      <c r="E111" s="643"/>
      <c r="F111" s="643"/>
      <c r="G111" s="474">
        <f t="shared" si="36"/>
        <v>0</v>
      </c>
      <c r="H111" s="293" t="str">
        <f t="shared" si="37"/>
        <v/>
      </c>
      <c r="I111" s="652"/>
      <c r="J111" s="653"/>
      <c r="K111" s="643"/>
      <c r="L111" s="654"/>
      <c r="M111" s="653"/>
      <c r="N111" s="643"/>
      <c r="O111" s="643"/>
      <c r="P111" s="643"/>
      <c r="Q111" s="652"/>
      <c r="R111" s="655"/>
      <c r="S111" s="649"/>
      <c r="T111" s="292" t="e">
        <f>INDEX(ei_geo!$B:$B,MATCH(S111,ei_geo!$A:$A,0))</f>
        <v>#N/A</v>
      </c>
      <c r="U111" s="666"/>
      <c r="V111" s="666"/>
      <c r="W111" s="667"/>
      <c r="X111" s="653"/>
      <c r="Y111" s="643"/>
      <c r="Z111" s="643"/>
      <c r="AA111" s="643"/>
      <c r="AB111" s="652"/>
      <c r="AC111" s="671"/>
      <c r="AD111" s="649"/>
      <c r="AE111" s="292"/>
      <c r="AF111" s="666"/>
      <c r="AG111" s="666"/>
      <c r="AH111" s="667"/>
      <c r="AI111" s="678"/>
      <c r="AJ111" s="666"/>
      <c r="AK111" s="666"/>
      <c r="AL111" s="666"/>
      <c r="AM111" s="667"/>
      <c r="AN111" s="671"/>
      <c r="AO111" s="649"/>
      <c r="AP111" s="292"/>
      <c r="AQ111" s="666"/>
      <c r="AR111" s="666"/>
      <c r="AS111" s="667"/>
      <c r="AT111" s="678"/>
      <c r="AU111" s="666"/>
      <c r="AV111" s="666"/>
      <c r="AW111" s="666"/>
      <c r="AX111" s="680"/>
      <c r="AY111" s="671"/>
      <c r="AZ111" s="649"/>
      <c r="BA111" s="292"/>
      <c r="BB111" s="666"/>
      <c r="BC111" s="666"/>
      <c r="BD111" s="689"/>
      <c r="BE111" s="678"/>
      <c r="BF111" s="666"/>
      <c r="BG111" s="666"/>
      <c r="BH111" s="666"/>
      <c r="BI111" s="667"/>
      <c r="BJ111" s="678"/>
      <c r="BK111" s="690"/>
      <c r="BL111" s="312"/>
      <c r="BM111" s="475">
        <f t="shared" si="29"/>
        <v>0</v>
      </c>
      <c r="BN111" s="475">
        <f t="shared" si="30"/>
        <v>0</v>
      </c>
      <c r="BO111" s="475">
        <f t="shared" si="31"/>
        <v>0</v>
      </c>
      <c r="BP111" s="475">
        <f t="shared" si="32"/>
        <v>0</v>
      </c>
      <c r="BQ111" s="312"/>
      <c r="BR111" s="476">
        <f t="shared" si="33"/>
        <v>0</v>
      </c>
      <c r="BS111" s="465">
        <f t="shared" si="34"/>
        <v>0</v>
      </c>
      <c r="BT111" s="466" t="str">
        <f t="shared" si="23"/>
        <v>n.a.</v>
      </c>
    </row>
    <row r="112" spans="1:72">
      <c r="A112" s="201">
        <f t="shared" si="35"/>
        <v>99</v>
      </c>
      <c r="B112" s="641"/>
      <c r="C112" s="631" t="s">
        <v>8683</v>
      </c>
      <c r="D112" s="642"/>
      <c r="E112" s="643"/>
      <c r="F112" s="643"/>
      <c r="G112" s="474">
        <f t="shared" si="36"/>
        <v>0</v>
      </c>
      <c r="H112" s="293" t="str">
        <f t="shared" si="37"/>
        <v/>
      </c>
      <c r="I112" s="652"/>
      <c r="J112" s="653"/>
      <c r="K112" s="643"/>
      <c r="L112" s="654"/>
      <c r="M112" s="653"/>
      <c r="N112" s="643"/>
      <c r="O112" s="643"/>
      <c r="P112" s="643"/>
      <c r="Q112" s="652"/>
      <c r="R112" s="655"/>
      <c r="S112" s="649"/>
      <c r="T112" s="292" t="e">
        <f>INDEX(ei_geo!$B:$B,MATCH(S112,ei_geo!$A:$A,0))</f>
        <v>#N/A</v>
      </c>
      <c r="U112" s="666"/>
      <c r="V112" s="666"/>
      <c r="W112" s="667"/>
      <c r="X112" s="653"/>
      <c r="Y112" s="643"/>
      <c r="Z112" s="643"/>
      <c r="AA112" s="643"/>
      <c r="AB112" s="652"/>
      <c r="AC112" s="671"/>
      <c r="AD112" s="649"/>
      <c r="AE112" s="292"/>
      <c r="AF112" s="666"/>
      <c r="AG112" s="666"/>
      <c r="AH112" s="667"/>
      <c r="AI112" s="678"/>
      <c r="AJ112" s="666"/>
      <c r="AK112" s="666"/>
      <c r="AL112" s="666"/>
      <c r="AM112" s="667"/>
      <c r="AN112" s="671"/>
      <c r="AO112" s="649"/>
      <c r="AP112" s="292"/>
      <c r="AQ112" s="666"/>
      <c r="AR112" s="666"/>
      <c r="AS112" s="667"/>
      <c r="AT112" s="678"/>
      <c r="AU112" s="666"/>
      <c r="AV112" s="666"/>
      <c r="AW112" s="666"/>
      <c r="AX112" s="680"/>
      <c r="AY112" s="671"/>
      <c r="AZ112" s="649"/>
      <c r="BA112" s="292"/>
      <c r="BB112" s="666"/>
      <c r="BC112" s="666"/>
      <c r="BD112" s="689"/>
      <c r="BE112" s="678"/>
      <c r="BF112" s="666"/>
      <c r="BG112" s="666"/>
      <c r="BH112" s="666"/>
      <c r="BI112" s="667"/>
      <c r="BJ112" s="678"/>
      <c r="BK112" s="690"/>
      <c r="BL112" s="312"/>
      <c r="BM112" s="475">
        <f t="shared" si="29"/>
        <v>0</v>
      </c>
      <c r="BN112" s="475">
        <f t="shared" si="30"/>
        <v>0</v>
      </c>
      <c r="BO112" s="475">
        <f t="shared" si="31"/>
        <v>0</v>
      </c>
      <c r="BP112" s="475">
        <f t="shared" si="32"/>
        <v>0</v>
      </c>
      <c r="BQ112" s="312"/>
      <c r="BR112" s="476">
        <f t="shared" si="33"/>
        <v>0</v>
      </c>
      <c r="BS112" s="465">
        <f t="shared" si="34"/>
        <v>0</v>
      </c>
      <c r="BT112" s="466" t="str">
        <f t="shared" si="23"/>
        <v>n.a.</v>
      </c>
    </row>
    <row r="113" spans="1:72">
      <c r="A113" s="201">
        <f t="shared" si="35"/>
        <v>100</v>
      </c>
      <c r="B113" s="641"/>
      <c r="C113" s="631" t="s">
        <v>8684</v>
      </c>
      <c r="D113" s="642"/>
      <c r="E113" s="643"/>
      <c r="F113" s="643"/>
      <c r="G113" s="474">
        <f t="shared" si="36"/>
        <v>0</v>
      </c>
      <c r="H113" s="293" t="str">
        <f t="shared" si="37"/>
        <v/>
      </c>
      <c r="I113" s="652"/>
      <c r="J113" s="653"/>
      <c r="K113" s="643"/>
      <c r="L113" s="654"/>
      <c r="M113" s="653"/>
      <c r="N113" s="643"/>
      <c r="O113" s="643"/>
      <c r="P113" s="643"/>
      <c r="Q113" s="652"/>
      <c r="R113" s="655"/>
      <c r="S113" s="649"/>
      <c r="T113" s="292" t="e">
        <f>INDEX(ei_geo!$B:$B,MATCH(S113,ei_geo!$A:$A,0))</f>
        <v>#N/A</v>
      </c>
      <c r="U113" s="666"/>
      <c r="V113" s="666"/>
      <c r="W113" s="667"/>
      <c r="X113" s="653"/>
      <c r="Y113" s="643"/>
      <c r="Z113" s="643"/>
      <c r="AA113" s="643"/>
      <c r="AB113" s="652"/>
      <c r="AC113" s="671"/>
      <c r="AD113" s="649"/>
      <c r="AE113" s="292"/>
      <c r="AF113" s="666"/>
      <c r="AG113" s="666"/>
      <c r="AH113" s="667"/>
      <c r="AI113" s="678"/>
      <c r="AJ113" s="666"/>
      <c r="AK113" s="666"/>
      <c r="AL113" s="666"/>
      <c r="AM113" s="667"/>
      <c r="AN113" s="671"/>
      <c r="AO113" s="649"/>
      <c r="AP113" s="292"/>
      <c r="AQ113" s="666"/>
      <c r="AR113" s="666"/>
      <c r="AS113" s="667"/>
      <c r="AT113" s="678"/>
      <c r="AU113" s="666"/>
      <c r="AV113" s="666"/>
      <c r="AW113" s="666"/>
      <c r="AX113" s="680"/>
      <c r="AY113" s="671"/>
      <c r="AZ113" s="649"/>
      <c r="BA113" s="292"/>
      <c r="BB113" s="666"/>
      <c r="BC113" s="666"/>
      <c r="BD113" s="689"/>
      <c r="BE113" s="678"/>
      <c r="BF113" s="666"/>
      <c r="BG113" s="666"/>
      <c r="BH113" s="666"/>
      <c r="BI113" s="667"/>
      <c r="BJ113" s="678"/>
      <c r="BK113" s="690"/>
      <c r="BL113" s="312"/>
      <c r="BM113" s="475">
        <f t="shared" si="29"/>
        <v>0</v>
      </c>
      <c r="BN113" s="475">
        <f t="shared" si="30"/>
        <v>0</v>
      </c>
      <c r="BO113" s="475">
        <f t="shared" si="31"/>
        <v>0</v>
      </c>
      <c r="BP113" s="475">
        <f t="shared" si="32"/>
        <v>0</v>
      </c>
      <c r="BQ113" s="312"/>
      <c r="BR113" s="476">
        <f t="shared" si="33"/>
        <v>0</v>
      </c>
      <c r="BS113" s="465">
        <f t="shared" si="34"/>
        <v>0</v>
      </c>
      <c r="BT113" s="466" t="str">
        <f t="shared" si="23"/>
        <v>n.a.</v>
      </c>
    </row>
    <row r="114" spans="1:72">
      <c r="A114" s="201">
        <f t="shared" si="35"/>
        <v>101</v>
      </c>
      <c r="B114" s="641"/>
      <c r="C114" s="631" t="s">
        <v>8685</v>
      </c>
      <c r="D114" s="642"/>
      <c r="E114" s="643"/>
      <c r="F114" s="643"/>
      <c r="G114" s="474">
        <f t="shared" si="36"/>
        <v>0</v>
      </c>
      <c r="H114" s="293" t="str">
        <f t="shared" si="37"/>
        <v/>
      </c>
      <c r="I114" s="652"/>
      <c r="J114" s="653"/>
      <c r="K114" s="643"/>
      <c r="L114" s="654"/>
      <c r="M114" s="653"/>
      <c r="N114" s="643"/>
      <c r="O114" s="643"/>
      <c r="P114" s="643"/>
      <c r="Q114" s="652"/>
      <c r="R114" s="655"/>
      <c r="S114" s="649"/>
      <c r="T114" s="292" t="e">
        <f>INDEX(ei_geo!$B:$B,MATCH(S114,ei_geo!$A:$A,0))</f>
        <v>#N/A</v>
      </c>
      <c r="U114" s="666"/>
      <c r="V114" s="666"/>
      <c r="W114" s="667"/>
      <c r="X114" s="653"/>
      <c r="Y114" s="643"/>
      <c r="Z114" s="643"/>
      <c r="AA114" s="643"/>
      <c r="AB114" s="652"/>
      <c r="AC114" s="671"/>
      <c r="AD114" s="649"/>
      <c r="AE114" s="292"/>
      <c r="AF114" s="666"/>
      <c r="AG114" s="666"/>
      <c r="AH114" s="667"/>
      <c r="AI114" s="678"/>
      <c r="AJ114" s="666"/>
      <c r="AK114" s="666"/>
      <c r="AL114" s="666"/>
      <c r="AM114" s="667"/>
      <c r="AN114" s="671"/>
      <c r="AO114" s="649"/>
      <c r="AP114" s="292"/>
      <c r="AQ114" s="666"/>
      <c r="AR114" s="666"/>
      <c r="AS114" s="667"/>
      <c r="AT114" s="678"/>
      <c r="AU114" s="666"/>
      <c r="AV114" s="666"/>
      <c r="AW114" s="666"/>
      <c r="AX114" s="680"/>
      <c r="AY114" s="671"/>
      <c r="AZ114" s="649"/>
      <c r="BA114" s="292"/>
      <c r="BB114" s="666"/>
      <c r="BC114" s="666"/>
      <c r="BD114" s="689"/>
      <c r="BE114" s="678"/>
      <c r="BF114" s="666"/>
      <c r="BG114" s="666"/>
      <c r="BH114" s="666"/>
      <c r="BI114" s="667"/>
      <c r="BJ114" s="678"/>
      <c r="BK114" s="690"/>
      <c r="BL114" s="312"/>
      <c r="BM114" s="475">
        <f t="shared" si="29"/>
        <v>0</v>
      </c>
      <c r="BN114" s="475">
        <f t="shared" si="30"/>
        <v>0</v>
      </c>
      <c r="BO114" s="475">
        <f t="shared" si="31"/>
        <v>0</v>
      </c>
      <c r="BP114" s="475">
        <f t="shared" si="32"/>
        <v>0</v>
      </c>
      <c r="BQ114" s="312"/>
      <c r="BR114" s="476">
        <f t="shared" si="33"/>
        <v>0</v>
      </c>
      <c r="BS114" s="465">
        <f t="shared" si="34"/>
        <v>0</v>
      </c>
      <c r="BT114" s="466" t="str">
        <f t="shared" si="23"/>
        <v>n.a.</v>
      </c>
    </row>
    <row r="115" spans="1:72">
      <c r="A115" s="201">
        <f t="shared" si="35"/>
        <v>102</v>
      </c>
      <c r="B115" s="641"/>
      <c r="C115" s="631" t="s">
        <v>8686</v>
      </c>
      <c r="D115" s="642"/>
      <c r="E115" s="643"/>
      <c r="F115" s="643"/>
      <c r="G115" s="474">
        <f t="shared" si="36"/>
        <v>0</v>
      </c>
      <c r="H115" s="293" t="str">
        <f t="shared" si="37"/>
        <v/>
      </c>
      <c r="I115" s="652"/>
      <c r="J115" s="653"/>
      <c r="K115" s="643"/>
      <c r="L115" s="654"/>
      <c r="M115" s="653"/>
      <c r="N115" s="643"/>
      <c r="O115" s="643"/>
      <c r="P115" s="643"/>
      <c r="Q115" s="652"/>
      <c r="R115" s="655"/>
      <c r="S115" s="649"/>
      <c r="T115" s="292" t="e">
        <f>INDEX(ei_geo!$B:$B,MATCH(S115,ei_geo!$A:$A,0))</f>
        <v>#N/A</v>
      </c>
      <c r="U115" s="666"/>
      <c r="V115" s="666"/>
      <c r="W115" s="667"/>
      <c r="X115" s="653"/>
      <c r="Y115" s="643"/>
      <c r="Z115" s="643"/>
      <c r="AA115" s="643"/>
      <c r="AB115" s="652"/>
      <c r="AC115" s="671"/>
      <c r="AD115" s="649"/>
      <c r="AE115" s="292"/>
      <c r="AF115" s="666"/>
      <c r="AG115" s="666"/>
      <c r="AH115" s="667"/>
      <c r="AI115" s="678"/>
      <c r="AJ115" s="666"/>
      <c r="AK115" s="666"/>
      <c r="AL115" s="666"/>
      <c r="AM115" s="667"/>
      <c r="AN115" s="671"/>
      <c r="AO115" s="649"/>
      <c r="AP115" s="292"/>
      <c r="AQ115" s="666"/>
      <c r="AR115" s="666"/>
      <c r="AS115" s="667"/>
      <c r="AT115" s="678"/>
      <c r="AU115" s="666"/>
      <c r="AV115" s="666"/>
      <c r="AW115" s="666"/>
      <c r="AX115" s="680"/>
      <c r="AY115" s="671"/>
      <c r="AZ115" s="649"/>
      <c r="BA115" s="292"/>
      <c r="BB115" s="666"/>
      <c r="BC115" s="666"/>
      <c r="BD115" s="689"/>
      <c r="BE115" s="678"/>
      <c r="BF115" s="666"/>
      <c r="BG115" s="666"/>
      <c r="BH115" s="666"/>
      <c r="BI115" s="667"/>
      <c r="BJ115" s="678"/>
      <c r="BK115" s="690"/>
      <c r="BL115" s="312"/>
      <c r="BM115" s="475">
        <f t="shared" si="29"/>
        <v>0</v>
      </c>
      <c r="BN115" s="475">
        <f t="shared" si="30"/>
        <v>0</v>
      </c>
      <c r="BO115" s="475">
        <f t="shared" si="31"/>
        <v>0</v>
      </c>
      <c r="BP115" s="475">
        <f t="shared" si="32"/>
        <v>0</v>
      </c>
      <c r="BQ115" s="312"/>
      <c r="BR115" s="476">
        <f t="shared" si="33"/>
        <v>0</v>
      </c>
      <c r="BS115" s="465">
        <f t="shared" si="34"/>
        <v>0</v>
      </c>
      <c r="BT115" s="466" t="str">
        <f t="shared" si="23"/>
        <v>n.a.</v>
      </c>
    </row>
    <row r="116" spans="1:72">
      <c r="A116" s="201">
        <f t="shared" si="35"/>
        <v>103</v>
      </c>
      <c r="B116" s="641"/>
      <c r="C116" s="631" t="s">
        <v>8687</v>
      </c>
      <c r="D116" s="642"/>
      <c r="E116" s="643"/>
      <c r="F116" s="643"/>
      <c r="G116" s="474">
        <f t="shared" si="36"/>
        <v>0</v>
      </c>
      <c r="H116" s="293" t="str">
        <f t="shared" si="37"/>
        <v/>
      </c>
      <c r="I116" s="652"/>
      <c r="J116" s="653"/>
      <c r="K116" s="643"/>
      <c r="L116" s="654"/>
      <c r="M116" s="653"/>
      <c r="N116" s="643"/>
      <c r="O116" s="643"/>
      <c r="P116" s="643"/>
      <c r="Q116" s="652"/>
      <c r="R116" s="655"/>
      <c r="S116" s="649"/>
      <c r="T116" s="292" t="e">
        <f>INDEX(ei_geo!$B:$B,MATCH(S116,ei_geo!$A:$A,0))</f>
        <v>#N/A</v>
      </c>
      <c r="U116" s="666"/>
      <c r="V116" s="666"/>
      <c r="W116" s="667"/>
      <c r="X116" s="653"/>
      <c r="Y116" s="643"/>
      <c r="Z116" s="643"/>
      <c r="AA116" s="643"/>
      <c r="AB116" s="652"/>
      <c r="AC116" s="671"/>
      <c r="AD116" s="649"/>
      <c r="AE116" s="292"/>
      <c r="AF116" s="666"/>
      <c r="AG116" s="666"/>
      <c r="AH116" s="667"/>
      <c r="AI116" s="678"/>
      <c r="AJ116" s="666"/>
      <c r="AK116" s="666"/>
      <c r="AL116" s="666"/>
      <c r="AM116" s="667"/>
      <c r="AN116" s="671"/>
      <c r="AO116" s="649"/>
      <c r="AP116" s="292"/>
      <c r="AQ116" s="666"/>
      <c r="AR116" s="666"/>
      <c r="AS116" s="667"/>
      <c r="AT116" s="678"/>
      <c r="AU116" s="666"/>
      <c r="AV116" s="666"/>
      <c r="AW116" s="666"/>
      <c r="AX116" s="680"/>
      <c r="AY116" s="671"/>
      <c r="AZ116" s="649"/>
      <c r="BA116" s="292"/>
      <c r="BB116" s="666"/>
      <c r="BC116" s="666"/>
      <c r="BD116" s="689"/>
      <c r="BE116" s="678"/>
      <c r="BF116" s="666"/>
      <c r="BG116" s="666"/>
      <c r="BH116" s="666"/>
      <c r="BI116" s="667"/>
      <c r="BJ116" s="678"/>
      <c r="BK116" s="690"/>
      <c r="BL116" s="312"/>
      <c r="BM116" s="475">
        <f t="shared" si="29"/>
        <v>0</v>
      </c>
      <c r="BN116" s="475">
        <f t="shared" si="30"/>
        <v>0</v>
      </c>
      <c r="BO116" s="475">
        <f t="shared" si="31"/>
        <v>0</v>
      </c>
      <c r="BP116" s="475">
        <f t="shared" si="32"/>
        <v>0</v>
      </c>
      <c r="BQ116" s="312"/>
      <c r="BR116" s="476">
        <f t="shared" si="33"/>
        <v>0</v>
      </c>
      <c r="BS116" s="465">
        <f t="shared" si="34"/>
        <v>0</v>
      </c>
      <c r="BT116" s="466" t="str">
        <f t="shared" ref="BT116:BT179" si="38">IF((AND(BS116="check", $BR116&gt;0)),"Pass",IF($BS116=0,"n.a.","CHECK FOR TRANSPORT ENTRY ERROR"))</f>
        <v>n.a.</v>
      </c>
    </row>
    <row r="117" spans="1:72">
      <c r="A117" s="201">
        <f t="shared" si="35"/>
        <v>104</v>
      </c>
      <c r="B117" s="641"/>
      <c r="C117" s="631" t="s">
        <v>8688</v>
      </c>
      <c r="D117" s="642"/>
      <c r="E117" s="643"/>
      <c r="F117" s="643"/>
      <c r="G117" s="474">
        <f t="shared" si="36"/>
        <v>0</v>
      </c>
      <c r="H117" s="293" t="str">
        <f t="shared" si="37"/>
        <v/>
      </c>
      <c r="I117" s="652"/>
      <c r="J117" s="653"/>
      <c r="K117" s="643"/>
      <c r="L117" s="654"/>
      <c r="M117" s="653"/>
      <c r="N117" s="643"/>
      <c r="O117" s="643"/>
      <c r="P117" s="643"/>
      <c r="Q117" s="652"/>
      <c r="R117" s="655"/>
      <c r="S117" s="649"/>
      <c r="T117" s="292" t="e">
        <f>INDEX(ei_geo!$B:$B,MATCH(S117,ei_geo!$A:$A,0))</f>
        <v>#N/A</v>
      </c>
      <c r="U117" s="666"/>
      <c r="V117" s="666"/>
      <c r="W117" s="667"/>
      <c r="X117" s="653"/>
      <c r="Y117" s="643"/>
      <c r="Z117" s="643"/>
      <c r="AA117" s="643"/>
      <c r="AB117" s="652"/>
      <c r="AC117" s="671"/>
      <c r="AD117" s="649"/>
      <c r="AE117" s="292"/>
      <c r="AF117" s="666"/>
      <c r="AG117" s="666"/>
      <c r="AH117" s="667"/>
      <c r="AI117" s="678"/>
      <c r="AJ117" s="666"/>
      <c r="AK117" s="666"/>
      <c r="AL117" s="666"/>
      <c r="AM117" s="667"/>
      <c r="AN117" s="671"/>
      <c r="AO117" s="649"/>
      <c r="AP117" s="292"/>
      <c r="AQ117" s="666"/>
      <c r="AR117" s="666"/>
      <c r="AS117" s="667"/>
      <c r="AT117" s="678"/>
      <c r="AU117" s="666"/>
      <c r="AV117" s="666"/>
      <c r="AW117" s="666"/>
      <c r="AX117" s="680"/>
      <c r="AY117" s="671"/>
      <c r="AZ117" s="649"/>
      <c r="BA117" s="292"/>
      <c r="BB117" s="666"/>
      <c r="BC117" s="666"/>
      <c r="BD117" s="689"/>
      <c r="BE117" s="678"/>
      <c r="BF117" s="666"/>
      <c r="BG117" s="666"/>
      <c r="BH117" s="666"/>
      <c r="BI117" s="667"/>
      <c r="BJ117" s="678"/>
      <c r="BK117" s="690"/>
      <c r="BL117" s="312"/>
      <c r="BM117" s="475">
        <f t="shared" si="29"/>
        <v>0</v>
      </c>
      <c r="BN117" s="475">
        <f t="shared" si="30"/>
        <v>0</v>
      </c>
      <c r="BO117" s="475">
        <f t="shared" si="31"/>
        <v>0</v>
      </c>
      <c r="BP117" s="475">
        <f t="shared" si="32"/>
        <v>0</v>
      </c>
      <c r="BQ117" s="312"/>
      <c r="BR117" s="476">
        <f t="shared" si="33"/>
        <v>0</v>
      </c>
      <c r="BS117" s="465">
        <f t="shared" si="34"/>
        <v>0</v>
      </c>
      <c r="BT117" s="466" t="str">
        <f t="shared" si="38"/>
        <v>n.a.</v>
      </c>
    </row>
    <row r="118" spans="1:72">
      <c r="A118" s="201">
        <f t="shared" si="35"/>
        <v>105</v>
      </c>
      <c r="B118" s="641"/>
      <c r="C118" s="631" t="s">
        <v>8689</v>
      </c>
      <c r="D118" s="642"/>
      <c r="E118" s="643"/>
      <c r="F118" s="643"/>
      <c r="G118" s="474">
        <f t="shared" si="36"/>
        <v>0</v>
      </c>
      <c r="H118" s="293" t="str">
        <f t="shared" si="37"/>
        <v/>
      </c>
      <c r="I118" s="652"/>
      <c r="J118" s="653"/>
      <c r="K118" s="643"/>
      <c r="L118" s="654"/>
      <c r="M118" s="653"/>
      <c r="N118" s="643"/>
      <c r="O118" s="643"/>
      <c r="P118" s="643"/>
      <c r="Q118" s="652"/>
      <c r="R118" s="655"/>
      <c r="S118" s="649"/>
      <c r="T118" s="292" t="e">
        <f>INDEX(ei_geo!$B:$B,MATCH(S118,ei_geo!$A:$A,0))</f>
        <v>#N/A</v>
      </c>
      <c r="U118" s="666"/>
      <c r="V118" s="666"/>
      <c r="W118" s="667"/>
      <c r="X118" s="653"/>
      <c r="Y118" s="643"/>
      <c r="Z118" s="643"/>
      <c r="AA118" s="643"/>
      <c r="AB118" s="652"/>
      <c r="AC118" s="671"/>
      <c r="AD118" s="649"/>
      <c r="AE118" s="292"/>
      <c r="AF118" s="666"/>
      <c r="AG118" s="666"/>
      <c r="AH118" s="667"/>
      <c r="AI118" s="678"/>
      <c r="AJ118" s="666"/>
      <c r="AK118" s="666"/>
      <c r="AL118" s="666"/>
      <c r="AM118" s="667"/>
      <c r="AN118" s="671"/>
      <c r="AO118" s="649"/>
      <c r="AP118" s="292"/>
      <c r="AQ118" s="666"/>
      <c r="AR118" s="666"/>
      <c r="AS118" s="667"/>
      <c r="AT118" s="678"/>
      <c r="AU118" s="666"/>
      <c r="AV118" s="666"/>
      <c r="AW118" s="666"/>
      <c r="AX118" s="680"/>
      <c r="AY118" s="671"/>
      <c r="AZ118" s="649"/>
      <c r="BA118" s="292"/>
      <c r="BB118" s="666"/>
      <c r="BC118" s="666"/>
      <c r="BD118" s="689"/>
      <c r="BE118" s="678"/>
      <c r="BF118" s="666"/>
      <c r="BG118" s="666"/>
      <c r="BH118" s="666"/>
      <c r="BI118" s="667"/>
      <c r="BJ118" s="678"/>
      <c r="BK118" s="690"/>
      <c r="BL118" s="312"/>
      <c r="BM118" s="475">
        <f t="shared" si="29"/>
        <v>0</v>
      </c>
      <c r="BN118" s="475">
        <f t="shared" si="30"/>
        <v>0</v>
      </c>
      <c r="BO118" s="475">
        <f t="shared" si="31"/>
        <v>0</v>
      </c>
      <c r="BP118" s="475">
        <f t="shared" si="32"/>
        <v>0</v>
      </c>
      <c r="BQ118" s="312"/>
      <c r="BR118" s="476">
        <f t="shared" si="33"/>
        <v>0</v>
      </c>
      <c r="BS118" s="465">
        <f t="shared" si="34"/>
        <v>0</v>
      </c>
      <c r="BT118" s="466" t="str">
        <f t="shared" si="38"/>
        <v>n.a.</v>
      </c>
    </row>
    <row r="119" spans="1:72">
      <c r="A119" s="201">
        <f t="shared" si="35"/>
        <v>106</v>
      </c>
      <c r="B119" s="641"/>
      <c r="C119" s="631" t="s">
        <v>8690</v>
      </c>
      <c r="D119" s="642"/>
      <c r="E119" s="643"/>
      <c r="F119" s="643"/>
      <c r="G119" s="474">
        <f t="shared" si="36"/>
        <v>0</v>
      </c>
      <c r="H119" s="293" t="str">
        <f t="shared" si="37"/>
        <v/>
      </c>
      <c r="I119" s="652"/>
      <c r="J119" s="653"/>
      <c r="K119" s="643"/>
      <c r="L119" s="654"/>
      <c r="M119" s="653"/>
      <c r="N119" s="643"/>
      <c r="O119" s="643"/>
      <c r="P119" s="643"/>
      <c r="Q119" s="652"/>
      <c r="R119" s="655"/>
      <c r="S119" s="649"/>
      <c r="T119" s="292" t="e">
        <f>INDEX(ei_geo!$B:$B,MATCH(S119,ei_geo!$A:$A,0))</f>
        <v>#N/A</v>
      </c>
      <c r="U119" s="666"/>
      <c r="V119" s="666"/>
      <c r="W119" s="667"/>
      <c r="X119" s="653"/>
      <c r="Y119" s="643"/>
      <c r="Z119" s="643"/>
      <c r="AA119" s="643"/>
      <c r="AB119" s="652"/>
      <c r="AC119" s="671"/>
      <c r="AD119" s="649"/>
      <c r="AE119" s="292"/>
      <c r="AF119" s="666"/>
      <c r="AG119" s="666"/>
      <c r="AH119" s="667"/>
      <c r="AI119" s="678"/>
      <c r="AJ119" s="666"/>
      <c r="AK119" s="666"/>
      <c r="AL119" s="666"/>
      <c r="AM119" s="667"/>
      <c r="AN119" s="671"/>
      <c r="AO119" s="649"/>
      <c r="AP119" s="292"/>
      <c r="AQ119" s="666"/>
      <c r="AR119" s="666"/>
      <c r="AS119" s="667"/>
      <c r="AT119" s="678"/>
      <c r="AU119" s="666"/>
      <c r="AV119" s="666"/>
      <c r="AW119" s="666"/>
      <c r="AX119" s="680"/>
      <c r="AY119" s="671"/>
      <c r="AZ119" s="649"/>
      <c r="BA119" s="292"/>
      <c r="BB119" s="666"/>
      <c r="BC119" s="666"/>
      <c r="BD119" s="689"/>
      <c r="BE119" s="678"/>
      <c r="BF119" s="666"/>
      <c r="BG119" s="666"/>
      <c r="BH119" s="666"/>
      <c r="BI119" s="667"/>
      <c r="BJ119" s="678"/>
      <c r="BK119" s="690"/>
      <c r="BL119" s="312"/>
      <c r="BM119" s="475">
        <f t="shared" si="29"/>
        <v>0</v>
      </c>
      <c r="BN119" s="475">
        <f t="shared" si="30"/>
        <v>0</v>
      </c>
      <c r="BO119" s="475">
        <f t="shared" si="31"/>
        <v>0</v>
      </c>
      <c r="BP119" s="475">
        <f t="shared" si="32"/>
        <v>0</v>
      </c>
      <c r="BQ119" s="312"/>
      <c r="BR119" s="476">
        <f t="shared" si="33"/>
        <v>0</v>
      </c>
      <c r="BS119" s="465">
        <f t="shared" si="34"/>
        <v>0</v>
      </c>
      <c r="BT119" s="466" t="str">
        <f t="shared" si="38"/>
        <v>n.a.</v>
      </c>
    </row>
    <row r="120" spans="1:72">
      <c r="A120" s="201">
        <f t="shared" si="35"/>
        <v>107</v>
      </c>
      <c r="B120" s="641"/>
      <c r="C120" s="631" t="s">
        <v>8691</v>
      </c>
      <c r="D120" s="642"/>
      <c r="E120" s="643"/>
      <c r="F120" s="643"/>
      <c r="G120" s="474">
        <f t="shared" si="36"/>
        <v>0</v>
      </c>
      <c r="H120" s="293" t="str">
        <f t="shared" si="37"/>
        <v/>
      </c>
      <c r="I120" s="652"/>
      <c r="J120" s="653"/>
      <c r="K120" s="643"/>
      <c r="L120" s="654"/>
      <c r="M120" s="653"/>
      <c r="N120" s="643"/>
      <c r="O120" s="643"/>
      <c r="P120" s="643"/>
      <c r="Q120" s="652"/>
      <c r="R120" s="655"/>
      <c r="S120" s="649"/>
      <c r="T120" s="292" t="e">
        <f>INDEX(ei_geo!$B:$B,MATCH(S120,ei_geo!$A:$A,0))</f>
        <v>#N/A</v>
      </c>
      <c r="U120" s="666"/>
      <c r="V120" s="666"/>
      <c r="W120" s="667"/>
      <c r="X120" s="653"/>
      <c r="Y120" s="643"/>
      <c r="Z120" s="643"/>
      <c r="AA120" s="643"/>
      <c r="AB120" s="652"/>
      <c r="AC120" s="671"/>
      <c r="AD120" s="649"/>
      <c r="AE120" s="292"/>
      <c r="AF120" s="666"/>
      <c r="AG120" s="666"/>
      <c r="AH120" s="667"/>
      <c r="AI120" s="678"/>
      <c r="AJ120" s="666"/>
      <c r="AK120" s="666"/>
      <c r="AL120" s="666"/>
      <c r="AM120" s="667"/>
      <c r="AN120" s="671"/>
      <c r="AO120" s="649"/>
      <c r="AP120" s="292"/>
      <c r="AQ120" s="666"/>
      <c r="AR120" s="666"/>
      <c r="AS120" s="667"/>
      <c r="AT120" s="678"/>
      <c r="AU120" s="666"/>
      <c r="AV120" s="666"/>
      <c r="AW120" s="666"/>
      <c r="AX120" s="680"/>
      <c r="AY120" s="671"/>
      <c r="AZ120" s="649"/>
      <c r="BA120" s="292"/>
      <c r="BB120" s="666"/>
      <c r="BC120" s="666"/>
      <c r="BD120" s="689"/>
      <c r="BE120" s="678"/>
      <c r="BF120" s="666"/>
      <c r="BG120" s="666"/>
      <c r="BH120" s="666"/>
      <c r="BI120" s="667"/>
      <c r="BJ120" s="678"/>
      <c r="BK120" s="690"/>
      <c r="BL120" s="312"/>
      <c r="BM120" s="475">
        <f t="shared" si="29"/>
        <v>0</v>
      </c>
      <c r="BN120" s="475">
        <f t="shared" si="30"/>
        <v>0</v>
      </c>
      <c r="BO120" s="475">
        <f t="shared" si="31"/>
        <v>0</v>
      </c>
      <c r="BP120" s="475">
        <f t="shared" si="32"/>
        <v>0</v>
      </c>
      <c r="BQ120" s="312"/>
      <c r="BR120" s="476">
        <f t="shared" si="33"/>
        <v>0</v>
      </c>
      <c r="BS120" s="465">
        <f t="shared" si="34"/>
        <v>0</v>
      </c>
      <c r="BT120" s="466" t="str">
        <f t="shared" si="38"/>
        <v>n.a.</v>
      </c>
    </row>
    <row r="121" spans="1:72">
      <c r="A121" s="201">
        <f t="shared" si="35"/>
        <v>108</v>
      </c>
      <c r="B121" s="641"/>
      <c r="C121" s="631" t="s">
        <v>8692</v>
      </c>
      <c r="D121" s="642"/>
      <c r="E121" s="643"/>
      <c r="F121" s="643"/>
      <c r="G121" s="474">
        <f t="shared" si="36"/>
        <v>0</v>
      </c>
      <c r="H121" s="293" t="str">
        <f t="shared" si="37"/>
        <v/>
      </c>
      <c r="I121" s="652"/>
      <c r="J121" s="653"/>
      <c r="K121" s="643"/>
      <c r="L121" s="654"/>
      <c r="M121" s="653"/>
      <c r="N121" s="643"/>
      <c r="O121" s="643"/>
      <c r="P121" s="643"/>
      <c r="Q121" s="652"/>
      <c r="R121" s="655"/>
      <c r="S121" s="649"/>
      <c r="T121" s="292" t="e">
        <f>INDEX(ei_geo!$B:$B,MATCH(S121,ei_geo!$A:$A,0))</f>
        <v>#N/A</v>
      </c>
      <c r="U121" s="666"/>
      <c r="V121" s="666"/>
      <c r="W121" s="667"/>
      <c r="X121" s="653"/>
      <c r="Y121" s="643"/>
      <c r="Z121" s="643"/>
      <c r="AA121" s="643"/>
      <c r="AB121" s="652"/>
      <c r="AC121" s="671"/>
      <c r="AD121" s="649"/>
      <c r="AE121" s="292"/>
      <c r="AF121" s="666"/>
      <c r="AG121" s="666"/>
      <c r="AH121" s="667"/>
      <c r="AI121" s="678"/>
      <c r="AJ121" s="666"/>
      <c r="AK121" s="666"/>
      <c r="AL121" s="666"/>
      <c r="AM121" s="667"/>
      <c r="AN121" s="671"/>
      <c r="AO121" s="649"/>
      <c r="AP121" s="292"/>
      <c r="AQ121" s="666"/>
      <c r="AR121" s="666"/>
      <c r="AS121" s="667"/>
      <c r="AT121" s="678"/>
      <c r="AU121" s="666"/>
      <c r="AV121" s="666"/>
      <c r="AW121" s="666"/>
      <c r="AX121" s="680"/>
      <c r="AY121" s="671"/>
      <c r="AZ121" s="649"/>
      <c r="BA121" s="292"/>
      <c r="BB121" s="666"/>
      <c r="BC121" s="666"/>
      <c r="BD121" s="689"/>
      <c r="BE121" s="678"/>
      <c r="BF121" s="666"/>
      <c r="BG121" s="666"/>
      <c r="BH121" s="666"/>
      <c r="BI121" s="667"/>
      <c r="BJ121" s="678"/>
      <c r="BK121" s="690"/>
      <c r="BL121" s="312"/>
      <c r="BM121" s="475">
        <f t="shared" si="29"/>
        <v>0</v>
      </c>
      <c r="BN121" s="475">
        <f t="shared" si="30"/>
        <v>0</v>
      </c>
      <c r="BO121" s="475">
        <f t="shared" si="31"/>
        <v>0</v>
      </c>
      <c r="BP121" s="475">
        <f t="shared" si="32"/>
        <v>0</v>
      </c>
      <c r="BQ121" s="312"/>
      <c r="BR121" s="476">
        <f t="shared" si="33"/>
        <v>0</v>
      </c>
      <c r="BS121" s="465">
        <f t="shared" si="34"/>
        <v>0</v>
      </c>
      <c r="BT121" s="466" t="str">
        <f t="shared" si="38"/>
        <v>n.a.</v>
      </c>
    </row>
    <row r="122" spans="1:72">
      <c r="A122" s="201">
        <f t="shared" si="35"/>
        <v>109</v>
      </c>
      <c r="B122" s="641"/>
      <c r="C122" s="631" t="s">
        <v>8693</v>
      </c>
      <c r="D122" s="642"/>
      <c r="E122" s="643"/>
      <c r="F122" s="643"/>
      <c r="G122" s="474">
        <f t="shared" si="36"/>
        <v>0</v>
      </c>
      <c r="H122" s="293" t="str">
        <f t="shared" si="37"/>
        <v/>
      </c>
      <c r="I122" s="652"/>
      <c r="J122" s="653"/>
      <c r="K122" s="643"/>
      <c r="L122" s="654"/>
      <c r="M122" s="653"/>
      <c r="N122" s="643"/>
      <c r="O122" s="643"/>
      <c r="P122" s="643"/>
      <c r="Q122" s="652"/>
      <c r="R122" s="655"/>
      <c r="S122" s="649"/>
      <c r="T122" s="292" t="e">
        <f>INDEX(ei_geo!$B:$B,MATCH(S122,ei_geo!$A:$A,0))</f>
        <v>#N/A</v>
      </c>
      <c r="U122" s="666"/>
      <c r="V122" s="666"/>
      <c r="W122" s="667"/>
      <c r="X122" s="653"/>
      <c r="Y122" s="643"/>
      <c r="Z122" s="643"/>
      <c r="AA122" s="643"/>
      <c r="AB122" s="652"/>
      <c r="AC122" s="671"/>
      <c r="AD122" s="649"/>
      <c r="AE122" s="292"/>
      <c r="AF122" s="666"/>
      <c r="AG122" s="666"/>
      <c r="AH122" s="667"/>
      <c r="AI122" s="678"/>
      <c r="AJ122" s="666"/>
      <c r="AK122" s="666"/>
      <c r="AL122" s="666"/>
      <c r="AM122" s="667"/>
      <c r="AN122" s="671"/>
      <c r="AO122" s="649"/>
      <c r="AP122" s="292"/>
      <c r="AQ122" s="666"/>
      <c r="AR122" s="666"/>
      <c r="AS122" s="667"/>
      <c r="AT122" s="678"/>
      <c r="AU122" s="666"/>
      <c r="AV122" s="666"/>
      <c r="AW122" s="666"/>
      <c r="AX122" s="680"/>
      <c r="AY122" s="671"/>
      <c r="AZ122" s="649"/>
      <c r="BA122" s="292"/>
      <c r="BB122" s="666"/>
      <c r="BC122" s="666"/>
      <c r="BD122" s="689"/>
      <c r="BE122" s="678"/>
      <c r="BF122" s="666"/>
      <c r="BG122" s="666"/>
      <c r="BH122" s="666"/>
      <c r="BI122" s="667"/>
      <c r="BJ122" s="678"/>
      <c r="BK122" s="690"/>
      <c r="BL122" s="312"/>
      <c r="BM122" s="475">
        <f t="shared" si="29"/>
        <v>0</v>
      </c>
      <c r="BN122" s="475">
        <f t="shared" si="30"/>
        <v>0</v>
      </c>
      <c r="BO122" s="475">
        <f t="shared" si="31"/>
        <v>0</v>
      </c>
      <c r="BP122" s="475">
        <f t="shared" si="32"/>
        <v>0</v>
      </c>
      <c r="BQ122" s="312"/>
      <c r="BR122" s="476">
        <f t="shared" si="33"/>
        <v>0</v>
      </c>
      <c r="BS122" s="465">
        <f t="shared" si="34"/>
        <v>0</v>
      </c>
      <c r="BT122" s="466" t="str">
        <f t="shared" si="38"/>
        <v>n.a.</v>
      </c>
    </row>
    <row r="123" spans="1:72">
      <c r="A123" s="201">
        <f t="shared" si="35"/>
        <v>110</v>
      </c>
      <c r="B123" s="641"/>
      <c r="C123" s="631" t="s">
        <v>8694</v>
      </c>
      <c r="D123" s="642"/>
      <c r="E123" s="643"/>
      <c r="F123" s="643"/>
      <c r="G123" s="474">
        <f t="shared" si="36"/>
        <v>0</v>
      </c>
      <c r="H123" s="293" t="str">
        <f t="shared" si="37"/>
        <v/>
      </c>
      <c r="I123" s="652"/>
      <c r="J123" s="653"/>
      <c r="K123" s="643"/>
      <c r="L123" s="654"/>
      <c r="M123" s="653"/>
      <c r="N123" s="643"/>
      <c r="O123" s="643"/>
      <c r="P123" s="643"/>
      <c r="Q123" s="652"/>
      <c r="R123" s="655"/>
      <c r="S123" s="649"/>
      <c r="T123" s="292" t="e">
        <f>INDEX(ei_geo!$B:$B,MATCH(S123,ei_geo!$A:$A,0))</f>
        <v>#N/A</v>
      </c>
      <c r="U123" s="666"/>
      <c r="V123" s="666"/>
      <c r="W123" s="667"/>
      <c r="X123" s="653"/>
      <c r="Y123" s="643"/>
      <c r="Z123" s="643"/>
      <c r="AA123" s="643"/>
      <c r="AB123" s="652"/>
      <c r="AC123" s="671"/>
      <c r="AD123" s="649"/>
      <c r="AE123" s="292"/>
      <c r="AF123" s="666"/>
      <c r="AG123" s="666"/>
      <c r="AH123" s="667"/>
      <c r="AI123" s="678"/>
      <c r="AJ123" s="666"/>
      <c r="AK123" s="666"/>
      <c r="AL123" s="666"/>
      <c r="AM123" s="667"/>
      <c r="AN123" s="671"/>
      <c r="AO123" s="649"/>
      <c r="AP123" s="292"/>
      <c r="AQ123" s="666"/>
      <c r="AR123" s="666"/>
      <c r="AS123" s="667"/>
      <c r="AT123" s="678"/>
      <c r="AU123" s="666"/>
      <c r="AV123" s="666"/>
      <c r="AW123" s="666"/>
      <c r="AX123" s="680"/>
      <c r="AY123" s="671"/>
      <c r="AZ123" s="649"/>
      <c r="BA123" s="292"/>
      <c r="BB123" s="666"/>
      <c r="BC123" s="666"/>
      <c r="BD123" s="689"/>
      <c r="BE123" s="678"/>
      <c r="BF123" s="666"/>
      <c r="BG123" s="666"/>
      <c r="BH123" s="666"/>
      <c r="BI123" s="667"/>
      <c r="BJ123" s="678"/>
      <c r="BK123" s="690"/>
      <c r="BL123" s="312"/>
      <c r="BM123" s="475">
        <f t="shared" si="29"/>
        <v>0</v>
      </c>
      <c r="BN123" s="475">
        <f t="shared" si="30"/>
        <v>0</v>
      </c>
      <c r="BO123" s="475">
        <f t="shared" si="31"/>
        <v>0</v>
      </c>
      <c r="BP123" s="475">
        <f t="shared" si="32"/>
        <v>0</v>
      </c>
      <c r="BQ123" s="312"/>
      <c r="BR123" s="476">
        <f t="shared" si="33"/>
        <v>0</v>
      </c>
      <c r="BS123" s="465">
        <f t="shared" si="34"/>
        <v>0</v>
      </c>
      <c r="BT123" s="466" t="str">
        <f t="shared" si="38"/>
        <v>n.a.</v>
      </c>
    </row>
    <row r="124" spans="1:72">
      <c r="A124" s="201">
        <f t="shared" si="35"/>
        <v>111</v>
      </c>
      <c r="B124" s="641"/>
      <c r="C124" s="631" t="s">
        <v>8695</v>
      </c>
      <c r="D124" s="642"/>
      <c r="E124" s="643"/>
      <c r="F124" s="643"/>
      <c r="G124" s="474">
        <f t="shared" si="36"/>
        <v>0</v>
      </c>
      <c r="H124" s="293" t="str">
        <f t="shared" si="37"/>
        <v/>
      </c>
      <c r="I124" s="652"/>
      <c r="J124" s="653"/>
      <c r="K124" s="643"/>
      <c r="L124" s="654"/>
      <c r="M124" s="653"/>
      <c r="N124" s="643"/>
      <c r="O124" s="643"/>
      <c r="P124" s="643"/>
      <c r="Q124" s="652"/>
      <c r="R124" s="655"/>
      <c r="S124" s="649"/>
      <c r="T124" s="292" t="e">
        <f>INDEX(ei_geo!$B:$B,MATCH(S124,ei_geo!$A:$A,0))</f>
        <v>#N/A</v>
      </c>
      <c r="U124" s="666"/>
      <c r="V124" s="666"/>
      <c r="W124" s="667"/>
      <c r="X124" s="653"/>
      <c r="Y124" s="643"/>
      <c r="Z124" s="643"/>
      <c r="AA124" s="643"/>
      <c r="AB124" s="652"/>
      <c r="AC124" s="671"/>
      <c r="AD124" s="649"/>
      <c r="AE124" s="292"/>
      <c r="AF124" s="666"/>
      <c r="AG124" s="666"/>
      <c r="AH124" s="667"/>
      <c r="AI124" s="678"/>
      <c r="AJ124" s="666"/>
      <c r="AK124" s="666"/>
      <c r="AL124" s="666"/>
      <c r="AM124" s="667"/>
      <c r="AN124" s="671"/>
      <c r="AO124" s="649"/>
      <c r="AP124" s="292"/>
      <c r="AQ124" s="666"/>
      <c r="AR124" s="666"/>
      <c r="AS124" s="667"/>
      <c r="AT124" s="678"/>
      <c r="AU124" s="666"/>
      <c r="AV124" s="666"/>
      <c r="AW124" s="666"/>
      <c r="AX124" s="680"/>
      <c r="AY124" s="671"/>
      <c r="AZ124" s="649"/>
      <c r="BA124" s="292"/>
      <c r="BB124" s="666"/>
      <c r="BC124" s="666"/>
      <c r="BD124" s="689"/>
      <c r="BE124" s="678"/>
      <c r="BF124" s="666"/>
      <c r="BG124" s="666"/>
      <c r="BH124" s="666"/>
      <c r="BI124" s="667"/>
      <c r="BJ124" s="678"/>
      <c r="BK124" s="690"/>
      <c r="BL124" s="312"/>
      <c r="BM124" s="475">
        <f t="shared" si="29"/>
        <v>0</v>
      </c>
      <c r="BN124" s="475">
        <f t="shared" si="30"/>
        <v>0</v>
      </c>
      <c r="BO124" s="475">
        <f t="shared" si="31"/>
        <v>0</v>
      </c>
      <c r="BP124" s="475">
        <f t="shared" si="32"/>
        <v>0</v>
      </c>
      <c r="BQ124" s="312"/>
      <c r="BR124" s="476">
        <f t="shared" si="33"/>
        <v>0</v>
      </c>
      <c r="BS124" s="465">
        <f t="shared" si="34"/>
        <v>0</v>
      </c>
      <c r="BT124" s="466" t="str">
        <f t="shared" si="38"/>
        <v>n.a.</v>
      </c>
    </row>
    <row r="125" spans="1:72">
      <c r="A125" s="201">
        <f t="shared" si="35"/>
        <v>112</v>
      </c>
      <c r="B125" s="641"/>
      <c r="C125" s="631" t="s">
        <v>8696</v>
      </c>
      <c r="D125" s="642"/>
      <c r="E125" s="643"/>
      <c r="F125" s="643"/>
      <c r="G125" s="474">
        <f t="shared" si="36"/>
        <v>0</v>
      </c>
      <c r="H125" s="293" t="str">
        <f t="shared" si="37"/>
        <v/>
      </c>
      <c r="I125" s="652"/>
      <c r="J125" s="653"/>
      <c r="K125" s="643"/>
      <c r="L125" s="654"/>
      <c r="M125" s="653"/>
      <c r="N125" s="643"/>
      <c r="O125" s="643"/>
      <c r="P125" s="643"/>
      <c r="Q125" s="652"/>
      <c r="R125" s="655"/>
      <c r="S125" s="649"/>
      <c r="T125" s="292" t="e">
        <f>INDEX(ei_geo!$B:$B,MATCH(S125,ei_geo!$A:$A,0))</f>
        <v>#N/A</v>
      </c>
      <c r="U125" s="666"/>
      <c r="V125" s="666"/>
      <c r="W125" s="667"/>
      <c r="X125" s="653"/>
      <c r="Y125" s="643"/>
      <c r="Z125" s="643"/>
      <c r="AA125" s="643"/>
      <c r="AB125" s="652"/>
      <c r="AC125" s="671"/>
      <c r="AD125" s="649"/>
      <c r="AE125" s="292"/>
      <c r="AF125" s="666"/>
      <c r="AG125" s="666"/>
      <c r="AH125" s="667"/>
      <c r="AI125" s="678"/>
      <c r="AJ125" s="666"/>
      <c r="AK125" s="666"/>
      <c r="AL125" s="666"/>
      <c r="AM125" s="667"/>
      <c r="AN125" s="671"/>
      <c r="AO125" s="649"/>
      <c r="AP125" s="292"/>
      <c r="AQ125" s="666"/>
      <c r="AR125" s="666"/>
      <c r="AS125" s="667"/>
      <c r="AT125" s="678"/>
      <c r="AU125" s="666"/>
      <c r="AV125" s="666"/>
      <c r="AW125" s="666"/>
      <c r="AX125" s="680"/>
      <c r="AY125" s="671"/>
      <c r="AZ125" s="649"/>
      <c r="BA125" s="292"/>
      <c r="BB125" s="666"/>
      <c r="BC125" s="666"/>
      <c r="BD125" s="689"/>
      <c r="BE125" s="678"/>
      <c r="BF125" s="666"/>
      <c r="BG125" s="666"/>
      <c r="BH125" s="666"/>
      <c r="BI125" s="667"/>
      <c r="BJ125" s="678"/>
      <c r="BK125" s="690"/>
      <c r="BL125" s="312"/>
      <c r="BM125" s="475">
        <f t="shared" si="29"/>
        <v>0</v>
      </c>
      <c r="BN125" s="475">
        <f t="shared" si="30"/>
        <v>0</v>
      </c>
      <c r="BO125" s="475">
        <f t="shared" si="31"/>
        <v>0</v>
      </c>
      <c r="BP125" s="475">
        <f t="shared" si="32"/>
        <v>0</v>
      </c>
      <c r="BQ125" s="312"/>
      <c r="BR125" s="476">
        <f t="shared" si="33"/>
        <v>0</v>
      </c>
      <c r="BS125" s="465">
        <f t="shared" si="34"/>
        <v>0</v>
      </c>
      <c r="BT125" s="466" t="str">
        <f t="shared" si="38"/>
        <v>n.a.</v>
      </c>
    </row>
    <row r="126" spans="1:72">
      <c r="A126" s="201">
        <f t="shared" si="35"/>
        <v>113</v>
      </c>
      <c r="B126" s="641"/>
      <c r="C126" s="631" t="s">
        <v>8697</v>
      </c>
      <c r="D126" s="642"/>
      <c r="E126" s="643"/>
      <c r="F126" s="643"/>
      <c r="G126" s="474">
        <f t="shared" si="36"/>
        <v>0</v>
      </c>
      <c r="H126" s="293" t="str">
        <f t="shared" si="37"/>
        <v/>
      </c>
      <c r="I126" s="652"/>
      <c r="J126" s="653"/>
      <c r="K126" s="643"/>
      <c r="L126" s="654"/>
      <c r="M126" s="653"/>
      <c r="N126" s="643"/>
      <c r="O126" s="643"/>
      <c r="P126" s="643"/>
      <c r="Q126" s="652"/>
      <c r="R126" s="655"/>
      <c r="S126" s="649"/>
      <c r="T126" s="292" t="e">
        <f>INDEX(ei_geo!$B:$B,MATCH(S126,ei_geo!$A:$A,0))</f>
        <v>#N/A</v>
      </c>
      <c r="U126" s="666"/>
      <c r="V126" s="666"/>
      <c r="W126" s="667"/>
      <c r="X126" s="653"/>
      <c r="Y126" s="643"/>
      <c r="Z126" s="643"/>
      <c r="AA126" s="643"/>
      <c r="AB126" s="652"/>
      <c r="AC126" s="671"/>
      <c r="AD126" s="649"/>
      <c r="AE126" s="292"/>
      <c r="AF126" s="666"/>
      <c r="AG126" s="666"/>
      <c r="AH126" s="667"/>
      <c r="AI126" s="678"/>
      <c r="AJ126" s="666"/>
      <c r="AK126" s="666"/>
      <c r="AL126" s="666"/>
      <c r="AM126" s="667"/>
      <c r="AN126" s="671"/>
      <c r="AO126" s="649"/>
      <c r="AP126" s="292"/>
      <c r="AQ126" s="666"/>
      <c r="AR126" s="666"/>
      <c r="AS126" s="667"/>
      <c r="AT126" s="678"/>
      <c r="AU126" s="666"/>
      <c r="AV126" s="666"/>
      <c r="AW126" s="666"/>
      <c r="AX126" s="680"/>
      <c r="AY126" s="671"/>
      <c r="AZ126" s="649"/>
      <c r="BA126" s="292"/>
      <c r="BB126" s="666"/>
      <c r="BC126" s="666"/>
      <c r="BD126" s="689"/>
      <c r="BE126" s="678"/>
      <c r="BF126" s="666"/>
      <c r="BG126" s="666"/>
      <c r="BH126" s="666"/>
      <c r="BI126" s="667"/>
      <c r="BJ126" s="678"/>
      <c r="BK126" s="690"/>
      <c r="BL126" s="312"/>
      <c r="BM126" s="475">
        <f t="shared" si="29"/>
        <v>0</v>
      </c>
      <c r="BN126" s="475">
        <f t="shared" si="30"/>
        <v>0</v>
      </c>
      <c r="BO126" s="475">
        <f t="shared" si="31"/>
        <v>0</v>
      </c>
      <c r="BP126" s="475">
        <f t="shared" si="32"/>
        <v>0</v>
      </c>
      <c r="BQ126" s="312"/>
      <c r="BR126" s="476">
        <f t="shared" si="33"/>
        <v>0</v>
      </c>
      <c r="BS126" s="465">
        <f t="shared" si="34"/>
        <v>0</v>
      </c>
      <c r="BT126" s="466" t="str">
        <f t="shared" si="38"/>
        <v>n.a.</v>
      </c>
    </row>
    <row r="127" spans="1:72">
      <c r="A127" s="201">
        <f t="shared" si="35"/>
        <v>114</v>
      </c>
      <c r="B127" s="641"/>
      <c r="C127" s="631" t="s">
        <v>8698</v>
      </c>
      <c r="D127" s="642"/>
      <c r="E127" s="643"/>
      <c r="F127" s="643"/>
      <c r="G127" s="474">
        <f t="shared" si="36"/>
        <v>0</v>
      </c>
      <c r="H127" s="293" t="str">
        <f t="shared" si="37"/>
        <v/>
      </c>
      <c r="I127" s="652"/>
      <c r="J127" s="653"/>
      <c r="K127" s="643"/>
      <c r="L127" s="654"/>
      <c r="M127" s="653"/>
      <c r="N127" s="643"/>
      <c r="O127" s="643"/>
      <c r="P127" s="643"/>
      <c r="Q127" s="652"/>
      <c r="R127" s="655"/>
      <c r="S127" s="649"/>
      <c r="T127" s="292" t="e">
        <f>INDEX(ei_geo!$B:$B,MATCH(S127,ei_geo!$A:$A,0))</f>
        <v>#N/A</v>
      </c>
      <c r="U127" s="666"/>
      <c r="V127" s="666"/>
      <c r="W127" s="667"/>
      <c r="X127" s="653"/>
      <c r="Y127" s="643"/>
      <c r="Z127" s="643"/>
      <c r="AA127" s="643"/>
      <c r="AB127" s="652"/>
      <c r="AC127" s="671"/>
      <c r="AD127" s="649"/>
      <c r="AE127" s="292"/>
      <c r="AF127" s="666"/>
      <c r="AG127" s="666"/>
      <c r="AH127" s="667"/>
      <c r="AI127" s="678"/>
      <c r="AJ127" s="666"/>
      <c r="AK127" s="666"/>
      <c r="AL127" s="666"/>
      <c r="AM127" s="667"/>
      <c r="AN127" s="671"/>
      <c r="AO127" s="649"/>
      <c r="AP127" s="292"/>
      <c r="AQ127" s="666"/>
      <c r="AR127" s="666"/>
      <c r="AS127" s="667"/>
      <c r="AT127" s="678"/>
      <c r="AU127" s="666"/>
      <c r="AV127" s="666"/>
      <c r="AW127" s="666"/>
      <c r="AX127" s="680"/>
      <c r="AY127" s="671"/>
      <c r="AZ127" s="649"/>
      <c r="BA127" s="292"/>
      <c r="BB127" s="666"/>
      <c r="BC127" s="666"/>
      <c r="BD127" s="689"/>
      <c r="BE127" s="678"/>
      <c r="BF127" s="666"/>
      <c r="BG127" s="666"/>
      <c r="BH127" s="666"/>
      <c r="BI127" s="667"/>
      <c r="BJ127" s="678"/>
      <c r="BK127" s="690"/>
      <c r="BL127" s="312"/>
      <c r="BM127" s="475">
        <f t="shared" si="29"/>
        <v>0</v>
      </c>
      <c r="BN127" s="475">
        <f t="shared" si="30"/>
        <v>0</v>
      </c>
      <c r="BO127" s="475">
        <f t="shared" si="31"/>
        <v>0</v>
      </c>
      <c r="BP127" s="475">
        <f t="shared" si="32"/>
        <v>0</v>
      </c>
      <c r="BQ127" s="312"/>
      <c r="BR127" s="476">
        <f t="shared" si="33"/>
        <v>0</v>
      </c>
      <c r="BS127" s="465">
        <f t="shared" si="34"/>
        <v>0</v>
      </c>
      <c r="BT127" s="466" t="str">
        <f t="shared" si="38"/>
        <v>n.a.</v>
      </c>
    </row>
    <row r="128" spans="1:72">
      <c r="A128" s="201">
        <f t="shared" si="35"/>
        <v>115</v>
      </c>
      <c r="B128" s="641"/>
      <c r="C128" s="631" t="s">
        <v>8699</v>
      </c>
      <c r="D128" s="642"/>
      <c r="E128" s="643"/>
      <c r="F128" s="643"/>
      <c r="G128" s="474">
        <f t="shared" si="36"/>
        <v>0</v>
      </c>
      <c r="H128" s="293" t="str">
        <f t="shared" si="37"/>
        <v/>
      </c>
      <c r="I128" s="652"/>
      <c r="J128" s="653"/>
      <c r="K128" s="643"/>
      <c r="L128" s="654"/>
      <c r="M128" s="653"/>
      <c r="N128" s="643"/>
      <c r="O128" s="643"/>
      <c r="P128" s="643"/>
      <c r="Q128" s="652"/>
      <c r="R128" s="655"/>
      <c r="S128" s="649"/>
      <c r="T128" s="292" t="e">
        <f>INDEX(ei_geo!$B:$B,MATCH(S128,ei_geo!$A:$A,0))</f>
        <v>#N/A</v>
      </c>
      <c r="U128" s="666"/>
      <c r="V128" s="666"/>
      <c r="W128" s="667"/>
      <c r="X128" s="653"/>
      <c r="Y128" s="643"/>
      <c r="Z128" s="643"/>
      <c r="AA128" s="643"/>
      <c r="AB128" s="652"/>
      <c r="AC128" s="671"/>
      <c r="AD128" s="649"/>
      <c r="AE128" s="292"/>
      <c r="AF128" s="666"/>
      <c r="AG128" s="666"/>
      <c r="AH128" s="667"/>
      <c r="AI128" s="678"/>
      <c r="AJ128" s="666"/>
      <c r="AK128" s="666"/>
      <c r="AL128" s="666"/>
      <c r="AM128" s="667"/>
      <c r="AN128" s="671"/>
      <c r="AO128" s="649"/>
      <c r="AP128" s="292"/>
      <c r="AQ128" s="666"/>
      <c r="AR128" s="666"/>
      <c r="AS128" s="667"/>
      <c r="AT128" s="678"/>
      <c r="AU128" s="666"/>
      <c r="AV128" s="666"/>
      <c r="AW128" s="666"/>
      <c r="AX128" s="680"/>
      <c r="AY128" s="671"/>
      <c r="AZ128" s="649"/>
      <c r="BA128" s="292"/>
      <c r="BB128" s="666"/>
      <c r="BC128" s="666"/>
      <c r="BD128" s="689"/>
      <c r="BE128" s="678"/>
      <c r="BF128" s="666"/>
      <c r="BG128" s="666"/>
      <c r="BH128" s="666"/>
      <c r="BI128" s="667"/>
      <c r="BJ128" s="678"/>
      <c r="BK128" s="690"/>
      <c r="BL128" s="312"/>
      <c r="BM128" s="475">
        <f t="shared" si="29"/>
        <v>0</v>
      </c>
      <c r="BN128" s="475">
        <f t="shared" si="30"/>
        <v>0</v>
      </c>
      <c r="BO128" s="475">
        <f t="shared" si="31"/>
        <v>0</v>
      </c>
      <c r="BP128" s="475">
        <f t="shared" si="32"/>
        <v>0</v>
      </c>
      <c r="BQ128" s="312"/>
      <c r="BR128" s="476">
        <f t="shared" si="33"/>
        <v>0</v>
      </c>
      <c r="BS128" s="465">
        <f t="shared" si="34"/>
        <v>0</v>
      </c>
      <c r="BT128" s="466" t="str">
        <f t="shared" si="38"/>
        <v>n.a.</v>
      </c>
    </row>
    <row r="129" spans="1:72">
      <c r="A129" s="201">
        <f t="shared" si="35"/>
        <v>116</v>
      </c>
      <c r="B129" s="641"/>
      <c r="C129" s="631" t="s">
        <v>8700</v>
      </c>
      <c r="D129" s="642"/>
      <c r="E129" s="643"/>
      <c r="F129" s="643"/>
      <c r="G129" s="474">
        <f t="shared" si="36"/>
        <v>0</v>
      </c>
      <c r="H129" s="293" t="str">
        <f t="shared" si="37"/>
        <v/>
      </c>
      <c r="I129" s="652"/>
      <c r="J129" s="653"/>
      <c r="K129" s="643"/>
      <c r="L129" s="654"/>
      <c r="M129" s="653"/>
      <c r="N129" s="643"/>
      <c r="O129" s="643"/>
      <c r="P129" s="643"/>
      <c r="Q129" s="652"/>
      <c r="R129" s="655"/>
      <c r="S129" s="649"/>
      <c r="T129" s="292" t="e">
        <f>INDEX(ei_geo!$B:$B,MATCH(S129,ei_geo!$A:$A,0))</f>
        <v>#N/A</v>
      </c>
      <c r="U129" s="666"/>
      <c r="V129" s="666"/>
      <c r="W129" s="667"/>
      <c r="X129" s="653"/>
      <c r="Y129" s="643"/>
      <c r="Z129" s="643"/>
      <c r="AA129" s="643"/>
      <c r="AB129" s="652"/>
      <c r="AC129" s="671"/>
      <c r="AD129" s="649"/>
      <c r="AE129" s="292"/>
      <c r="AF129" s="666"/>
      <c r="AG129" s="666"/>
      <c r="AH129" s="667"/>
      <c r="AI129" s="678"/>
      <c r="AJ129" s="666"/>
      <c r="AK129" s="666"/>
      <c r="AL129" s="666"/>
      <c r="AM129" s="667"/>
      <c r="AN129" s="671"/>
      <c r="AO129" s="649"/>
      <c r="AP129" s="292"/>
      <c r="AQ129" s="666"/>
      <c r="AR129" s="666"/>
      <c r="AS129" s="667"/>
      <c r="AT129" s="678"/>
      <c r="AU129" s="666"/>
      <c r="AV129" s="666"/>
      <c r="AW129" s="666"/>
      <c r="AX129" s="680"/>
      <c r="AY129" s="671"/>
      <c r="AZ129" s="649"/>
      <c r="BA129" s="292"/>
      <c r="BB129" s="666"/>
      <c r="BC129" s="666"/>
      <c r="BD129" s="689"/>
      <c r="BE129" s="678"/>
      <c r="BF129" s="666"/>
      <c r="BG129" s="666"/>
      <c r="BH129" s="666"/>
      <c r="BI129" s="667"/>
      <c r="BJ129" s="678"/>
      <c r="BK129" s="690"/>
      <c r="BL129" s="312"/>
      <c r="BM129" s="475">
        <f t="shared" si="29"/>
        <v>0</v>
      </c>
      <c r="BN129" s="475">
        <f t="shared" si="30"/>
        <v>0</v>
      </c>
      <c r="BO129" s="475">
        <f t="shared" si="31"/>
        <v>0</v>
      </c>
      <c r="BP129" s="475">
        <f t="shared" si="32"/>
        <v>0</v>
      </c>
      <c r="BQ129" s="312"/>
      <c r="BR129" s="476">
        <f t="shared" si="33"/>
        <v>0</v>
      </c>
      <c r="BS129" s="465">
        <f t="shared" si="34"/>
        <v>0</v>
      </c>
      <c r="BT129" s="466" t="str">
        <f t="shared" si="38"/>
        <v>n.a.</v>
      </c>
    </row>
    <row r="130" spans="1:72">
      <c r="A130" s="201">
        <f t="shared" si="35"/>
        <v>117</v>
      </c>
      <c r="B130" s="641"/>
      <c r="C130" s="631" t="s">
        <v>8701</v>
      </c>
      <c r="D130" s="642"/>
      <c r="E130" s="643"/>
      <c r="F130" s="643"/>
      <c r="G130" s="474">
        <f t="shared" si="36"/>
        <v>0</v>
      </c>
      <c r="H130" s="293" t="str">
        <f t="shared" si="37"/>
        <v/>
      </c>
      <c r="I130" s="652"/>
      <c r="J130" s="653"/>
      <c r="K130" s="643"/>
      <c r="L130" s="654"/>
      <c r="M130" s="653"/>
      <c r="N130" s="643"/>
      <c r="O130" s="643"/>
      <c r="P130" s="643"/>
      <c r="Q130" s="652"/>
      <c r="R130" s="655"/>
      <c r="S130" s="649"/>
      <c r="T130" s="292" t="e">
        <f>INDEX(ei_geo!$B:$B,MATCH(S130,ei_geo!$A:$A,0))</f>
        <v>#N/A</v>
      </c>
      <c r="U130" s="666"/>
      <c r="V130" s="666"/>
      <c r="W130" s="667"/>
      <c r="X130" s="653"/>
      <c r="Y130" s="643"/>
      <c r="Z130" s="643"/>
      <c r="AA130" s="643"/>
      <c r="AB130" s="652"/>
      <c r="AC130" s="671"/>
      <c r="AD130" s="649"/>
      <c r="AE130" s="292"/>
      <c r="AF130" s="666"/>
      <c r="AG130" s="666"/>
      <c r="AH130" s="667"/>
      <c r="AI130" s="678"/>
      <c r="AJ130" s="666"/>
      <c r="AK130" s="666"/>
      <c r="AL130" s="666"/>
      <c r="AM130" s="667"/>
      <c r="AN130" s="671"/>
      <c r="AO130" s="649"/>
      <c r="AP130" s="292"/>
      <c r="AQ130" s="666"/>
      <c r="AR130" s="666"/>
      <c r="AS130" s="667"/>
      <c r="AT130" s="678"/>
      <c r="AU130" s="666"/>
      <c r="AV130" s="666"/>
      <c r="AW130" s="666"/>
      <c r="AX130" s="680"/>
      <c r="AY130" s="671"/>
      <c r="AZ130" s="649"/>
      <c r="BA130" s="292"/>
      <c r="BB130" s="666"/>
      <c r="BC130" s="666"/>
      <c r="BD130" s="689"/>
      <c r="BE130" s="678"/>
      <c r="BF130" s="666"/>
      <c r="BG130" s="666"/>
      <c r="BH130" s="666"/>
      <c r="BI130" s="667"/>
      <c r="BJ130" s="678"/>
      <c r="BK130" s="690"/>
      <c r="BL130" s="312"/>
      <c r="BM130" s="475">
        <f t="shared" si="29"/>
        <v>0</v>
      </c>
      <c r="BN130" s="475">
        <f t="shared" si="30"/>
        <v>0</v>
      </c>
      <c r="BO130" s="475">
        <f t="shared" si="31"/>
        <v>0</v>
      </c>
      <c r="BP130" s="475">
        <f t="shared" si="32"/>
        <v>0</v>
      </c>
      <c r="BQ130" s="312"/>
      <c r="BR130" s="476">
        <f t="shared" si="33"/>
        <v>0</v>
      </c>
      <c r="BS130" s="465">
        <f t="shared" si="34"/>
        <v>0</v>
      </c>
      <c r="BT130" s="466" t="str">
        <f t="shared" si="38"/>
        <v>n.a.</v>
      </c>
    </row>
    <row r="131" spans="1:72">
      <c r="A131" s="201">
        <f t="shared" si="35"/>
        <v>118</v>
      </c>
      <c r="B131" s="641"/>
      <c r="C131" s="631" t="s">
        <v>8702</v>
      </c>
      <c r="D131" s="642"/>
      <c r="E131" s="643"/>
      <c r="F131" s="643"/>
      <c r="G131" s="474">
        <f t="shared" si="36"/>
        <v>0</v>
      </c>
      <c r="H131" s="293" t="str">
        <f t="shared" si="37"/>
        <v/>
      </c>
      <c r="I131" s="652"/>
      <c r="J131" s="653"/>
      <c r="K131" s="643"/>
      <c r="L131" s="654"/>
      <c r="M131" s="653"/>
      <c r="N131" s="643"/>
      <c r="O131" s="643"/>
      <c r="P131" s="643"/>
      <c r="Q131" s="652"/>
      <c r="R131" s="655"/>
      <c r="S131" s="649"/>
      <c r="T131" s="292" t="e">
        <f>INDEX(ei_geo!$B:$B,MATCH(S131,ei_geo!$A:$A,0))</f>
        <v>#N/A</v>
      </c>
      <c r="U131" s="666"/>
      <c r="V131" s="666"/>
      <c r="W131" s="667"/>
      <c r="X131" s="653"/>
      <c r="Y131" s="643"/>
      <c r="Z131" s="643"/>
      <c r="AA131" s="643"/>
      <c r="AB131" s="652"/>
      <c r="AC131" s="671"/>
      <c r="AD131" s="649"/>
      <c r="AE131" s="292"/>
      <c r="AF131" s="666"/>
      <c r="AG131" s="666"/>
      <c r="AH131" s="667"/>
      <c r="AI131" s="678"/>
      <c r="AJ131" s="666"/>
      <c r="AK131" s="666"/>
      <c r="AL131" s="666"/>
      <c r="AM131" s="667"/>
      <c r="AN131" s="671"/>
      <c r="AO131" s="649"/>
      <c r="AP131" s="292"/>
      <c r="AQ131" s="666"/>
      <c r="AR131" s="666"/>
      <c r="AS131" s="667"/>
      <c r="AT131" s="678"/>
      <c r="AU131" s="666"/>
      <c r="AV131" s="666"/>
      <c r="AW131" s="666"/>
      <c r="AX131" s="680"/>
      <c r="AY131" s="671"/>
      <c r="AZ131" s="649"/>
      <c r="BA131" s="292"/>
      <c r="BB131" s="666"/>
      <c r="BC131" s="666"/>
      <c r="BD131" s="689"/>
      <c r="BE131" s="678"/>
      <c r="BF131" s="666"/>
      <c r="BG131" s="666"/>
      <c r="BH131" s="666"/>
      <c r="BI131" s="667"/>
      <c r="BJ131" s="678"/>
      <c r="BK131" s="690"/>
      <c r="BL131" s="312"/>
      <c r="BM131" s="475">
        <f t="shared" si="29"/>
        <v>0</v>
      </c>
      <c r="BN131" s="475">
        <f t="shared" si="30"/>
        <v>0</v>
      </c>
      <c r="BO131" s="475">
        <f t="shared" si="31"/>
        <v>0</v>
      </c>
      <c r="BP131" s="475">
        <f t="shared" si="32"/>
        <v>0</v>
      </c>
      <c r="BQ131" s="312"/>
      <c r="BR131" s="476">
        <f t="shared" si="33"/>
        <v>0</v>
      </c>
      <c r="BS131" s="465">
        <f t="shared" si="34"/>
        <v>0</v>
      </c>
      <c r="BT131" s="466" t="str">
        <f t="shared" si="38"/>
        <v>n.a.</v>
      </c>
    </row>
    <row r="132" spans="1:72">
      <c r="A132" s="201">
        <f t="shared" si="35"/>
        <v>119</v>
      </c>
      <c r="B132" s="641"/>
      <c r="C132" s="631" t="s">
        <v>8703</v>
      </c>
      <c r="D132" s="642"/>
      <c r="E132" s="643"/>
      <c r="F132" s="643"/>
      <c r="G132" s="474">
        <f t="shared" si="36"/>
        <v>0</v>
      </c>
      <c r="H132" s="293" t="str">
        <f t="shared" si="37"/>
        <v/>
      </c>
      <c r="I132" s="652"/>
      <c r="J132" s="653"/>
      <c r="K132" s="643"/>
      <c r="L132" s="654"/>
      <c r="M132" s="653"/>
      <c r="N132" s="643"/>
      <c r="O132" s="643"/>
      <c r="P132" s="643"/>
      <c r="Q132" s="652"/>
      <c r="R132" s="655"/>
      <c r="S132" s="649"/>
      <c r="T132" s="292" t="e">
        <f>INDEX(ei_geo!$B:$B,MATCH(S132,ei_geo!$A:$A,0))</f>
        <v>#N/A</v>
      </c>
      <c r="U132" s="666"/>
      <c r="V132" s="666"/>
      <c r="W132" s="667"/>
      <c r="X132" s="653"/>
      <c r="Y132" s="643"/>
      <c r="Z132" s="643"/>
      <c r="AA132" s="643"/>
      <c r="AB132" s="652"/>
      <c r="AC132" s="671"/>
      <c r="AD132" s="649"/>
      <c r="AE132" s="292"/>
      <c r="AF132" s="666"/>
      <c r="AG132" s="666"/>
      <c r="AH132" s="667"/>
      <c r="AI132" s="678"/>
      <c r="AJ132" s="666"/>
      <c r="AK132" s="666"/>
      <c r="AL132" s="666"/>
      <c r="AM132" s="667"/>
      <c r="AN132" s="671"/>
      <c r="AO132" s="649"/>
      <c r="AP132" s="292"/>
      <c r="AQ132" s="666"/>
      <c r="AR132" s="666"/>
      <c r="AS132" s="667"/>
      <c r="AT132" s="678"/>
      <c r="AU132" s="666"/>
      <c r="AV132" s="666"/>
      <c r="AW132" s="666"/>
      <c r="AX132" s="680"/>
      <c r="AY132" s="671"/>
      <c r="AZ132" s="649"/>
      <c r="BA132" s="292"/>
      <c r="BB132" s="666"/>
      <c r="BC132" s="666"/>
      <c r="BD132" s="689"/>
      <c r="BE132" s="678"/>
      <c r="BF132" s="666"/>
      <c r="BG132" s="666"/>
      <c r="BH132" s="666"/>
      <c r="BI132" s="667"/>
      <c r="BJ132" s="678"/>
      <c r="BK132" s="690"/>
      <c r="BL132" s="312"/>
      <c r="BM132" s="475">
        <f t="shared" si="29"/>
        <v>0</v>
      </c>
      <c r="BN132" s="475">
        <f t="shared" si="30"/>
        <v>0</v>
      </c>
      <c r="BO132" s="475">
        <f t="shared" si="31"/>
        <v>0</v>
      </c>
      <c r="BP132" s="475">
        <f t="shared" si="32"/>
        <v>0</v>
      </c>
      <c r="BQ132" s="312"/>
      <c r="BR132" s="476">
        <f t="shared" si="33"/>
        <v>0</v>
      </c>
      <c r="BS132" s="465">
        <f t="shared" si="34"/>
        <v>0</v>
      </c>
      <c r="BT132" s="466" t="str">
        <f t="shared" si="38"/>
        <v>n.a.</v>
      </c>
    </row>
    <row r="133" spans="1:72">
      <c r="A133" s="201">
        <f t="shared" si="35"/>
        <v>120</v>
      </c>
      <c r="B133" s="641"/>
      <c r="C133" s="631" t="s">
        <v>8704</v>
      </c>
      <c r="D133" s="642"/>
      <c r="E133" s="643"/>
      <c r="F133" s="643"/>
      <c r="G133" s="474">
        <f t="shared" si="36"/>
        <v>0</v>
      </c>
      <c r="H133" s="293" t="str">
        <f t="shared" si="37"/>
        <v/>
      </c>
      <c r="I133" s="652"/>
      <c r="J133" s="653"/>
      <c r="K133" s="643"/>
      <c r="L133" s="654"/>
      <c r="M133" s="653"/>
      <c r="N133" s="643"/>
      <c r="O133" s="643"/>
      <c r="P133" s="643"/>
      <c r="Q133" s="652"/>
      <c r="R133" s="655"/>
      <c r="S133" s="649"/>
      <c r="T133" s="292" t="e">
        <f>INDEX(ei_geo!$B:$B,MATCH(S133,ei_geo!$A:$A,0))</f>
        <v>#N/A</v>
      </c>
      <c r="U133" s="666"/>
      <c r="V133" s="666"/>
      <c r="W133" s="667"/>
      <c r="X133" s="653"/>
      <c r="Y133" s="643"/>
      <c r="Z133" s="643"/>
      <c r="AA133" s="643"/>
      <c r="AB133" s="652"/>
      <c r="AC133" s="671"/>
      <c r="AD133" s="649"/>
      <c r="AE133" s="292"/>
      <c r="AF133" s="666"/>
      <c r="AG133" s="666"/>
      <c r="AH133" s="667"/>
      <c r="AI133" s="678"/>
      <c r="AJ133" s="666"/>
      <c r="AK133" s="666"/>
      <c r="AL133" s="666"/>
      <c r="AM133" s="667"/>
      <c r="AN133" s="671"/>
      <c r="AO133" s="649"/>
      <c r="AP133" s="292"/>
      <c r="AQ133" s="666"/>
      <c r="AR133" s="666"/>
      <c r="AS133" s="667"/>
      <c r="AT133" s="678"/>
      <c r="AU133" s="666"/>
      <c r="AV133" s="666"/>
      <c r="AW133" s="666"/>
      <c r="AX133" s="680"/>
      <c r="AY133" s="671"/>
      <c r="AZ133" s="649"/>
      <c r="BA133" s="292"/>
      <c r="BB133" s="666"/>
      <c r="BC133" s="666"/>
      <c r="BD133" s="689"/>
      <c r="BE133" s="678"/>
      <c r="BF133" s="666"/>
      <c r="BG133" s="666"/>
      <c r="BH133" s="666"/>
      <c r="BI133" s="667"/>
      <c r="BJ133" s="678"/>
      <c r="BK133" s="690"/>
      <c r="BL133" s="312"/>
      <c r="BM133" s="475">
        <f t="shared" si="29"/>
        <v>0</v>
      </c>
      <c r="BN133" s="475">
        <f t="shared" si="30"/>
        <v>0</v>
      </c>
      <c r="BO133" s="475">
        <f t="shared" si="31"/>
        <v>0</v>
      </c>
      <c r="BP133" s="475">
        <f t="shared" si="32"/>
        <v>0</v>
      </c>
      <c r="BQ133" s="312"/>
      <c r="BR133" s="476">
        <f t="shared" si="33"/>
        <v>0</v>
      </c>
      <c r="BS133" s="465">
        <f t="shared" si="34"/>
        <v>0</v>
      </c>
      <c r="BT133" s="466" t="str">
        <f t="shared" si="38"/>
        <v>n.a.</v>
      </c>
    </row>
    <row r="134" spans="1:72">
      <c r="A134" s="201">
        <f t="shared" si="35"/>
        <v>121</v>
      </c>
      <c r="B134" s="641"/>
      <c r="C134" s="631" t="s">
        <v>8705</v>
      </c>
      <c r="D134" s="642"/>
      <c r="E134" s="643"/>
      <c r="F134" s="643"/>
      <c r="G134" s="474">
        <f t="shared" si="36"/>
        <v>0</v>
      </c>
      <c r="H134" s="293" t="str">
        <f t="shared" si="37"/>
        <v/>
      </c>
      <c r="I134" s="652"/>
      <c r="J134" s="653"/>
      <c r="K134" s="643"/>
      <c r="L134" s="654"/>
      <c r="M134" s="653"/>
      <c r="N134" s="643"/>
      <c r="O134" s="643"/>
      <c r="P134" s="643"/>
      <c r="Q134" s="652"/>
      <c r="R134" s="655"/>
      <c r="S134" s="649"/>
      <c r="T134" s="292" t="e">
        <f>INDEX(ei_geo!$B:$B,MATCH(S134,ei_geo!$A:$A,0))</f>
        <v>#N/A</v>
      </c>
      <c r="U134" s="666"/>
      <c r="V134" s="666"/>
      <c r="W134" s="667"/>
      <c r="X134" s="653"/>
      <c r="Y134" s="643"/>
      <c r="Z134" s="643"/>
      <c r="AA134" s="643"/>
      <c r="AB134" s="652"/>
      <c r="AC134" s="671"/>
      <c r="AD134" s="649"/>
      <c r="AE134" s="292"/>
      <c r="AF134" s="666"/>
      <c r="AG134" s="666"/>
      <c r="AH134" s="667"/>
      <c r="AI134" s="678"/>
      <c r="AJ134" s="666"/>
      <c r="AK134" s="666"/>
      <c r="AL134" s="666"/>
      <c r="AM134" s="667"/>
      <c r="AN134" s="671"/>
      <c r="AO134" s="649"/>
      <c r="AP134" s="292"/>
      <c r="AQ134" s="666"/>
      <c r="AR134" s="666"/>
      <c r="AS134" s="667"/>
      <c r="AT134" s="678"/>
      <c r="AU134" s="666"/>
      <c r="AV134" s="666"/>
      <c r="AW134" s="666"/>
      <c r="AX134" s="680"/>
      <c r="AY134" s="671"/>
      <c r="AZ134" s="649"/>
      <c r="BA134" s="292"/>
      <c r="BB134" s="666"/>
      <c r="BC134" s="666"/>
      <c r="BD134" s="689"/>
      <c r="BE134" s="678"/>
      <c r="BF134" s="666"/>
      <c r="BG134" s="666"/>
      <c r="BH134" s="666"/>
      <c r="BI134" s="667"/>
      <c r="BJ134" s="678"/>
      <c r="BK134" s="690"/>
      <c r="BL134" s="312"/>
      <c r="BM134" s="475">
        <f t="shared" si="29"/>
        <v>0</v>
      </c>
      <c r="BN134" s="475">
        <f t="shared" si="30"/>
        <v>0</v>
      </c>
      <c r="BO134" s="475">
        <f t="shared" si="31"/>
        <v>0</v>
      </c>
      <c r="BP134" s="475">
        <f t="shared" si="32"/>
        <v>0</v>
      </c>
      <c r="BQ134" s="312"/>
      <c r="BR134" s="476">
        <f t="shared" si="33"/>
        <v>0</v>
      </c>
      <c r="BS134" s="465">
        <f t="shared" si="34"/>
        <v>0</v>
      </c>
      <c r="BT134" s="466" t="str">
        <f t="shared" si="38"/>
        <v>n.a.</v>
      </c>
    </row>
    <row r="135" spans="1:72">
      <c r="A135" s="201">
        <f t="shared" si="35"/>
        <v>122</v>
      </c>
      <c r="B135" s="641"/>
      <c r="C135" s="631" t="s">
        <v>8706</v>
      </c>
      <c r="D135" s="642"/>
      <c r="E135" s="643"/>
      <c r="F135" s="643"/>
      <c r="G135" s="474">
        <f t="shared" si="36"/>
        <v>0</v>
      </c>
      <c r="H135" s="293" t="str">
        <f t="shared" si="37"/>
        <v/>
      </c>
      <c r="I135" s="652"/>
      <c r="J135" s="653"/>
      <c r="K135" s="643"/>
      <c r="L135" s="654"/>
      <c r="M135" s="653"/>
      <c r="N135" s="643"/>
      <c r="O135" s="643"/>
      <c r="P135" s="643"/>
      <c r="Q135" s="652"/>
      <c r="R135" s="655"/>
      <c r="S135" s="649"/>
      <c r="T135" s="292" t="e">
        <f>INDEX(ei_geo!$B:$B,MATCH(S135,ei_geo!$A:$A,0))</f>
        <v>#N/A</v>
      </c>
      <c r="U135" s="666"/>
      <c r="V135" s="666"/>
      <c r="W135" s="667"/>
      <c r="X135" s="653"/>
      <c r="Y135" s="643"/>
      <c r="Z135" s="643"/>
      <c r="AA135" s="643"/>
      <c r="AB135" s="652"/>
      <c r="AC135" s="671"/>
      <c r="AD135" s="649"/>
      <c r="AE135" s="292"/>
      <c r="AF135" s="666"/>
      <c r="AG135" s="666"/>
      <c r="AH135" s="667"/>
      <c r="AI135" s="678"/>
      <c r="AJ135" s="666"/>
      <c r="AK135" s="666"/>
      <c r="AL135" s="666"/>
      <c r="AM135" s="667"/>
      <c r="AN135" s="671"/>
      <c r="AO135" s="649"/>
      <c r="AP135" s="292"/>
      <c r="AQ135" s="666"/>
      <c r="AR135" s="666"/>
      <c r="AS135" s="667"/>
      <c r="AT135" s="678"/>
      <c r="AU135" s="666"/>
      <c r="AV135" s="666"/>
      <c r="AW135" s="666"/>
      <c r="AX135" s="680"/>
      <c r="AY135" s="671"/>
      <c r="AZ135" s="649"/>
      <c r="BA135" s="292"/>
      <c r="BB135" s="666"/>
      <c r="BC135" s="666"/>
      <c r="BD135" s="689"/>
      <c r="BE135" s="678"/>
      <c r="BF135" s="666"/>
      <c r="BG135" s="666"/>
      <c r="BH135" s="666"/>
      <c r="BI135" s="667"/>
      <c r="BJ135" s="678"/>
      <c r="BK135" s="690"/>
      <c r="BL135" s="312"/>
      <c r="BM135" s="475">
        <f t="shared" si="29"/>
        <v>0</v>
      </c>
      <c r="BN135" s="475">
        <f t="shared" si="30"/>
        <v>0</v>
      </c>
      <c r="BO135" s="475">
        <f t="shared" si="31"/>
        <v>0</v>
      </c>
      <c r="BP135" s="475">
        <f t="shared" si="32"/>
        <v>0</v>
      </c>
      <c r="BQ135" s="312"/>
      <c r="BR135" s="476">
        <f t="shared" si="33"/>
        <v>0</v>
      </c>
      <c r="BS135" s="465">
        <f t="shared" si="34"/>
        <v>0</v>
      </c>
      <c r="BT135" s="466" t="str">
        <f t="shared" si="38"/>
        <v>n.a.</v>
      </c>
    </row>
    <row r="136" spans="1:72">
      <c r="A136" s="201">
        <f t="shared" si="35"/>
        <v>123</v>
      </c>
      <c r="B136" s="641"/>
      <c r="C136" s="631" t="s">
        <v>8707</v>
      </c>
      <c r="D136" s="642"/>
      <c r="E136" s="643"/>
      <c r="F136" s="643"/>
      <c r="G136" s="474">
        <f t="shared" si="36"/>
        <v>0</v>
      </c>
      <c r="H136" s="293" t="str">
        <f t="shared" si="37"/>
        <v/>
      </c>
      <c r="I136" s="652"/>
      <c r="J136" s="653"/>
      <c r="K136" s="643"/>
      <c r="L136" s="654"/>
      <c r="M136" s="653"/>
      <c r="N136" s="643"/>
      <c r="O136" s="643"/>
      <c r="P136" s="643"/>
      <c r="Q136" s="652"/>
      <c r="R136" s="655"/>
      <c r="S136" s="649"/>
      <c r="T136" s="292" t="e">
        <f>INDEX(ei_geo!$B:$B,MATCH(S136,ei_geo!$A:$A,0))</f>
        <v>#N/A</v>
      </c>
      <c r="U136" s="666"/>
      <c r="V136" s="666"/>
      <c r="W136" s="667"/>
      <c r="X136" s="653"/>
      <c r="Y136" s="643"/>
      <c r="Z136" s="643"/>
      <c r="AA136" s="643"/>
      <c r="AB136" s="652"/>
      <c r="AC136" s="671"/>
      <c r="AD136" s="649"/>
      <c r="AE136" s="292"/>
      <c r="AF136" s="666"/>
      <c r="AG136" s="666"/>
      <c r="AH136" s="667"/>
      <c r="AI136" s="678"/>
      <c r="AJ136" s="666"/>
      <c r="AK136" s="666"/>
      <c r="AL136" s="666"/>
      <c r="AM136" s="667"/>
      <c r="AN136" s="671"/>
      <c r="AO136" s="649"/>
      <c r="AP136" s="292"/>
      <c r="AQ136" s="666"/>
      <c r="AR136" s="666"/>
      <c r="AS136" s="667"/>
      <c r="AT136" s="678"/>
      <c r="AU136" s="666"/>
      <c r="AV136" s="666"/>
      <c r="AW136" s="666"/>
      <c r="AX136" s="680"/>
      <c r="AY136" s="671"/>
      <c r="AZ136" s="649"/>
      <c r="BA136" s="292"/>
      <c r="BB136" s="666"/>
      <c r="BC136" s="666"/>
      <c r="BD136" s="689"/>
      <c r="BE136" s="678"/>
      <c r="BF136" s="666"/>
      <c r="BG136" s="666"/>
      <c r="BH136" s="666"/>
      <c r="BI136" s="667"/>
      <c r="BJ136" s="678"/>
      <c r="BK136" s="690"/>
      <c r="BL136" s="312"/>
      <c r="BM136" s="475">
        <f t="shared" si="29"/>
        <v>0</v>
      </c>
      <c r="BN136" s="475">
        <f t="shared" si="30"/>
        <v>0</v>
      </c>
      <c r="BO136" s="475">
        <f t="shared" si="31"/>
        <v>0</v>
      </c>
      <c r="BP136" s="475">
        <f t="shared" si="32"/>
        <v>0</v>
      </c>
      <c r="BQ136" s="312"/>
      <c r="BR136" s="476">
        <f t="shared" si="33"/>
        <v>0</v>
      </c>
      <c r="BS136" s="465">
        <f t="shared" si="34"/>
        <v>0</v>
      </c>
      <c r="BT136" s="466" t="str">
        <f t="shared" si="38"/>
        <v>n.a.</v>
      </c>
    </row>
    <row r="137" spans="1:72">
      <c r="A137" s="201">
        <f t="shared" si="35"/>
        <v>124</v>
      </c>
      <c r="B137" s="641"/>
      <c r="C137" s="631" t="s">
        <v>8708</v>
      </c>
      <c r="D137" s="642"/>
      <c r="E137" s="643"/>
      <c r="F137" s="643"/>
      <c r="G137" s="474">
        <f t="shared" si="36"/>
        <v>0</v>
      </c>
      <c r="H137" s="293" t="str">
        <f t="shared" si="37"/>
        <v/>
      </c>
      <c r="I137" s="652"/>
      <c r="J137" s="653"/>
      <c r="K137" s="643"/>
      <c r="L137" s="654"/>
      <c r="M137" s="653"/>
      <c r="N137" s="643"/>
      <c r="O137" s="643"/>
      <c r="P137" s="643"/>
      <c r="Q137" s="652"/>
      <c r="R137" s="655"/>
      <c r="S137" s="649"/>
      <c r="T137" s="292" t="e">
        <f>INDEX(ei_geo!$B:$B,MATCH(S137,ei_geo!$A:$A,0))</f>
        <v>#N/A</v>
      </c>
      <c r="U137" s="666"/>
      <c r="V137" s="666"/>
      <c r="W137" s="667"/>
      <c r="X137" s="653"/>
      <c r="Y137" s="643"/>
      <c r="Z137" s="643"/>
      <c r="AA137" s="643"/>
      <c r="AB137" s="652"/>
      <c r="AC137" s="671"/>
      <c r="AD137" s="649"/>
      <c r="AE137" s="292"/>
      <c r="AF137" s="666"/>
      <c r="AG137" s="666"/>
      <c r="AH137" s="667"/>
      <c r="AI137" s="678"/>
      <c r="AJ137" s="666"/>
      <c r="AK137" s="666"/>
      <c r="AL137" s="666"/>
      <c r="AM137" s="667"/>
      <c r="AN137" s="671"/>
      <c r="AO137" s="649"/>
      <c r="AP137" s="292"/>
      <c r="AQ137" s="666"/>
      <c r="AR137" s="666"/>
      <c r="AS137" s="667"/>
      <c r="AT137" s="678"/>
      <c r="AU137" s="666"/>
      <c r="AV137" s="666"/>
      <c r="AW137" s="666"/>
      <c r="AX137" s="680"/>
      <c r="AY137" s="671"/>
      <c r="AZ137" s="649"/>
      <c r="BA137" s="292"/>
      <c r="BB137" s="666"/>
      <c r="BC137" s="666"/>
      <c r="BD137" s="689"/>
      <c r="BE137" s="678"/>
      <c r="BF137" s="666"/>
      <c r="BG137" s="666"/>
      <c r="BH137" s="666"/>
      <c r="BI137" s="667"/>
      <c r="BJ137" s="678"/>
      <c r="BK137" s="690"/>
      <c r="BL137" s="312"/>
      <c r="BM137" s="475">
        <f t="shared" si="29"/>
        <v>0</v>
      </c>
      <c r="BN137" s="475">
        <f t="shared" si="30"/>
        <v>0</v>
      </c>
      <c r="BO137" s="475">
        <f t="shared" si="31"/>
        <v>0</v>
      </c>
      <c r="BP137" s="475">
        <f t="shared" si="32"/>
        <v>0</v>
      </c>
      <c r="BQ137" s="312"/>
      <c r="BR137" s="476">
        <f t="shared" si="33"/>
        <v>0</v>
      </c>
      <c r="BS137" s="465">
        <f t="shared" si="34"/>
        <v>0</v>
      </c>
      <c r="BT137" s="466" t="str">
        <f t="shared" si="38"/>
        <v>n.a.</v>
      </c>
    </row>
    <row r="138" spans="1:72">
      <c r="A138" s="201">
        <f t="shared" si="35"/>
        <v>125</v>
      </c>
      <c r="B138" s="641"/>
      <c r="C138" s="631" t="s">
        <v>8709</v>
      </c>
      <c r="D138" s="642"/>
      <c r="E138" s="643"/>
      <c r="F138" s="643"/>
      <c r="G138" s="474">
        <f t="shared" si="36"/>
        <v>0</v>
      </c>
      <c r="H138" s="293" t="str">
        <f t="shared" si="37"/>
        <v/>
      </c>
      <c r="I138" s="652"/>
      <c r="J138" s="653"/>
      <c r="K138" s="643"/>
      <c r="L138" s="654"/>
      <c r="M138" s="653"/>
      <c r="N138" s="643"/>
      <c r="O138" s="643"/>
      <c r="P138" s="643"/>
      <c r="Q138" s="652"/>
      <c r="R138" s="655"/>
      <c r="S138" s="649"/>
      <c r="T138" s="292" t="e">
        <f>INDEX(ei_geo!$B:$B,MATCH(S138,ei_geo!$A:$A,0))</f>
        <v>#N/A</v>
      </c>
      <c r="U138" s="666"/>
      <c r="V138" s="666"/>
      <c r="W138" s="667"/>
      <c r="X138" s="653"/>
      <c r="Y138" s="643"/>
      <c r="Z138" s="643"/>
      <c r="AA138" s="643"/>
      <c r="AB138" s="652"/>
      <c r="AC138" s="671"/>
      <c r="AD138" s="649"/>
      <c r="AE138" s="292"/>
      <c r="AF138" s="666"/>
      <c r="AG138" s="666"/>
      <c r="AH138" s="667"/>
      <c r="AI138" s="678"/>
      <c r="AJ138" s="666"/>
      <c r="AK138" s="666"/>
      <c r="AL138" s="666"/>
      <c r="AM138" s="667"/>
      <c r="AN138" s="671"/>
      <c r="AO138" s="649"/>
      <c r="AP138" s="292"/>
      <c r="AQ138" s="666"/>
      <c r="AR138" s="666"/>
      <c r="AS138" s="667"/>
      <c r="AT138" s="678"/>
      <c r="AU138" s="666"/>
      <c r="AV138" s="666"/>
      <c r="AW138" s="666"/>
      <c r="AX138" s="680"/>
      <c r="AY138" s="671"/>
      <c r="AZ138" s="649"/>
      <c r="BA138" s="292"/>
      <c r="BB138" s="666"/>
      <c r="BC138" s="666"/>
      <c r="BD138" s="689"/>
      <c r="BE138" s="678"/>
      <c r="BF138" s="666"/>
      <c r="BG138" s="666"/>
      <c r="BH138" s="666"/>
      <c r="BI138" s="667"/>
      <c r="BJ138" s="678"/>
      <c r="BK138" s="690"/>
      <c r="BL138" s="312"/>
      <c r="BM138" s="475">
        <f t="shared" si="29"/>
        <v>0</v>
      </c>
      <c r="BN138" s="475">
        <f t="shared" si="30"/>
        <v>0</v>
      </c>
      <c r="BO138" s="475">
        <f t="shared" si="31"/>
        <v>0</v>
      </c>
      <c r="BP138" s="475">
        <f t="shared" si="32"/>
        <v>0</v>
      </c>
      <c r="BQ138" s="312"/>
      <c r="BR138" s="476">
        <f t="shared" si="33"/>
        <v>0</v>
      </c>
      <c r="BS138" s="465">
        <f t="shared" si="34"/>
        <v>0</v>
      </c>
      <c r="BT138" s="466" t="str">
        <f t="shared" si="38"/>
        <v>n.a.</v>
      </c>
    </row>
    <row r="139" spans="1:72">
      <c r="A139" s="201">
        <f t="shared" si="35"/>
        <v>126</v>
      </c>
      <c r="B139" s="641"/>
      <c r="C139" s="631" t="s">
        <v>8710</v>
      </c>
      <c r="D139" s="642"/>
      <c r="E139" s="643"/>
      <c r="F139" s="643"/>
      <c r="G139" s="474">
        <f t="shared" si="36"/>
        <v>0</v>
      </c>
      <c r="H139" s="293" t="str">
        <f t="shared" si="37"/>
        <v/>
      </c>
      <c r="I139" s="652"/>
      <c r="J139" s="653"/>
      <c r="K139" s="643"/>
      <c r="L139" s="654"/>
      <c r="M139" s="653"/>
      <c r="N139" s="643"/>
      <c r="O139" s="643"/>
      <c r="P139" s="643"/>
      <c r="Q139" s="652"/>
      <c r="R139" s="655"/>
      <c r="S139" s="649"/>
      <c r="T139" s="292" t="e">
        <f>INDEX(ei_geo!$B:$B,MATCH(S139,ei_geo!$A:$A,0))</f>
        <v>#N/A</v>
      </c>
      <c r="U139" s="666"/>
      <c r="V139" s="666"/>
      <c r="W139" s="667"/>
      <c r="X139" s="653"/>
      <c r="Y139" s="643"/>
      <c r="Z139" s="643"/>
      <c r="AA139" s="643"/>
      <c r="AB139" s="652"/>
      <c r="AC139" s="671"/>
      <c r="AD139" s="649"/>
      <c r="AE139" s="292"/>
      <c r="AF139" s="666"/>
      <c r="AG139" s="666"/>
      <c r="AH139" s="667"/>
      <c r="AI139" s="678"/>
      <c r="AJ139" s="666"/>
      <c r="AK139" s="666"/>
      <c r="AL139" s="666"/>
      <c r="AM139" s="667"/>
      <c r="AN139" s="671"/>
      <c r="AO139" s="649"/>
      <c r="AP139" s="292"/>
      <c r="AQ139" s="666"/>
      <c r="AR139" s="666"/>
      <c r="AS139" s="667"/>
      <c r="AT139" s="678"/>
      <c r="AU139" s="666"/>
      <c r="AV139" s="666"/>
      <c r="AW139" s="666"/>
      <c r="AX139" s="680"/>
      <c r="AY139" s="671"/>
      <c r="AZ139" s="649"/>
      <c r="BA139" s="292"/>
      <c r="BB139" s="666"/>
      <c r="BC139" s="666"/>
      <c r="BD139" s="689"/>
      <c r="BE139" s="678"/>
      <c r="BF139" s="666"/>
      <c r="BG139" s="666"/>
      <c r="BH139" s="666"/>
      <c r="BI139" s="667"/>
      <c r="BJ139" s="678"/>
      <c r="BK139" s="690"/>
      <c r="BL139" s="312"/>
      <c r="BM139" s="475">
        <f t="shared" si="29"/>
        <v>0</v>
      </c>
      <c r="BN139" s="475">
        <f t="shared" si="30"/>
        <v>0</v>
      </c>
      <c r="BO139" s="475">
        <f t="shared" si="31"/>
        <v>0</v>
      </c>
      <c r="BP139" s="475">
        <f t="shared" si="32"/>
        <v>0</v>
      </c>
      <c r="BQ139" s="312"/>
      <c r="BR139" s="476">
        <f t="shared" si="33"/>
        <v>0</v>
      </c>
      <c r="BS139" s="465">
        <f t="shared" si="34"/>
        <v>0</v>
      </c>
      <c r="BT139" s="466" t="str">
        <f t="shared" si="38"/>
        <v>n.a.</v>
      </c>
    </row>
    <row r="140" spans="1:72">
      <c r="A140" s="201">
        <f t="shared" si="35"/>
        <v>127</v>
      </c>
      <c r="B140" s="641"/>
      <c r="C140" s="631" t="s">
        <v>8711</v>
      </c>
      <c r="D140" s="642"/>
      <c r="E140" s="643"/>
      <c r="F140" s="643"/>
      <c r="G140" s="474">
        <f t="shared" si="36"/>
        <v>0</v>
      </c>
      <c r="H140" s="293" t="str">
        <f t="shared" si="37"/>
        <v/>
      </c>
      <c r="I140" s="652"/>
      <c r="J140" s="653"/>
      <c r="K140" s="643"/>
      <c r="L140" s="654"/>
      <c r="M140" s="653"/>
      <c r="N140" s="643"/>
      <c r="O140" s="643"/>
      <c r="P140" s="643"/>
      <c r="Q140" s="652"/>
      <c r="R140" s="655"/>
      <c r="S140" s="649"/>
      <c r="T140" s="292" t="e">
        <f>INDEX(ei_geo!$B:$B,MATCH(S140,ei_geo!$A:$A,0))</f>
        <v>#N/A</v>
      </c>
      <c r="U140" s="666"/>
      <c r="V140" s="666"/>
      <c r="W140" s="667"/>
      <c r="X140" s="653"/>
      <c r="Y140" s="643"/>
      <c r="Z140" s="643"/>
      <c r="AA140" s="643"/>
      <c r="AB140" s="652"/>
      <c r="AC140" s="671"/>
      <c r="AD140" s="649"/>
      <c r="AE140" s="292"/>
      <c r="AF140" s="666"/>
      <c r="AG140" s="666"/>
      <c r="AH140" s="667"/>
      <c r="AI140" s="678"/>
      <c r="AJ140" s="666"/>
      <c r="AK140" s="666"/>
      <c r="AL140" s="666"/>
      <c r="AM140" s="667"/>
      <c r="AN140" s="671"/>
      <c r="AO140" s="649"/>
      <c r="AP140" s="292"/>
      <c r="AQ140" s="666"/>
      <c r="AR140" s="666"/>
      <c r="AS140" s="667"/>
      <c r="AT140" s="678"/>
      <c r="AU140" s="666"/>
      <c r="AV140" s="666"/>
      <c r="AW140" s="666"/>
      <c r="AX140" s="680"/>
      <c r="AY140" s="671"/>
      <c r="AZ140" s="649"/>
      <c r="BA140" s="292"/>
      <c r="BB140" s="666"/>
      <c r="BC140" s="666"/>
      <c r="BD140" s="689"/>
      <c r="BE140" s="678"/>
      <c r="BF140" s="666"/>
      <c r="BG140" s="666"/>
      <c r="BH140" s="666"/>
      <c r="BI140" s="667"/>
      <c r="BJ140" s="678"/>
      <c r="BK140" s="690"/>
      <c r="BL140" s="312"/>
      <c r="BM140" s="475">
        <f t="shared" si="29"/>
        <v>0</v>
      </c>
      <c r="BN140" s="475">
        <f t="shared" si="30"/>
        <v>0</v>
      </c>
      <c r="BO140" s="475">
        <f t="shared" si="31"/>
        <v>0</v>
      </c>
      <c r="BP140" s="475">
        <f t="shared" si="32"/>
        <v>0</v>
      </c>
      <c r="BQ140" s="312"/>
      <c r="BR140" s="476">
        <f t="shared" si="33"/>
        <v>0</v>
      </c>
      <c r="BS140" s="465">
        <f t="shared" si="34"/>
        <v>0</v>
      </c>
      <c r="BT140" s="466" t="str">
        <f t="shared" si="38"/>
        <v>n.a.</v>
      </c>
    </row>
    <row r="141" spans="1:72">
      <c r="A141" s="201">
        <f t="shared" si="35"/>
        <v>128</v>
      </c>
      <c r="B141" s="641"/>
      <c r="C141" s="631" t="s">
        <v>8712</v>
      </c>
      <c r="D141" s="642"/>
      <c r="E141" s="643"/>
      <c r="F141" s="643"/>
      <c r="G141" s="474">
        <f t="shared" si="36"/>
        <v>0</v>
      </c>
      <c r="H141" s="293" t="str">
        <f t="shared" si="37"/>
        <v/>
      </c>
      <c r="I141" s="652"/>
      <c r="J141" s="653"/>
      <c r="K141" s="643"/>
      <c r="L141" s="654"/>
      <c r="M141" s="653"/>
      <c r="N141" s="643"/>
      <c r="O141" s="643"/>
      <c r="P141" s="643"/>
      <c r="Q141" s="652"/>
      <c r="R141" s="655"/>
      <c r="S141" s="649"/>
      <c r="T141" s="292" t="e">
        <f>INDEX(ei_geo!$B:$B,MATCH(S141,ei_geo!$A:$A,0))</f>
        <v>#N/A</v>
      </c>
      <c r="U141" s="666"/>
      <c r="V141" s="666"/>
      <c r="W141" s="667"/>
      <c r="X141" s="653"/>
      <c r="Y141" s="643"/>
      <c r="Z141" s="643"/>
      <c r="AA141" s="643"/>
      <c r="AB141" s="652"/>
      <c r="AC141" s="671"/>
      <c r="AD141" s="649"/>
      <c r="AE141" s="292"/>
      <c r="AF141" s="666"/>
      <c r="AG141" s="666"/>
      <c r="AH141" s="667"/>
      <c r="AI141" s="678"/>
      <c r="AJ141" s="666"/>
      <c r="AK141" s="666"/>
      <c r="AL141" s="666"/>
      <c r="AM141" s="667"/>
      <c r="AN141" s="671"/>
      <c r="AO141" s="649"/>
      <c r="AP141" s="292"/>
      <c r="AQ141" s="666"/>
      <c r="AR141" s="666"/>
      <c r="AS141" s="667"/>
      <c r="AT141" s="678"/>
      <c r="AU141" s="666"/>
      <c r="AV141" s="666"/>
      <c r="AW141" s="666"/>
      <c r="AX141" s="680"/>
      <c r="AY141" s="671"/>
      <c r="AZ141" s="649"/>
      <c r="BA141" s="292"/>
      <c r="BB141" s="666"/>
      <c r="BC141" s="666"/>
      <c r="BD141" s="689"/>
      <c r="BE141" s="678"/>
      <c r="BF141" s="666"/>
      <c r="BG141" s="666"/>
      <c r="BH141" s="666"/>
      <c r="BI141" s="667"/>
      <c r="BJ141" s="678"/>
      <c r="BK141" s="690"/>
      <c r="BL141" s="312"/>
      <c r="BM141" s="475">
        <f t="shared" si="29"/>
        <v>0</v>
      </c>
      <c r="BN141" s="475">
        <f t="shared" si="30"/>
        <v>0</v>
      </c>
      <c r="BO141" s="475">
        <f t="shared" si="31"/>
        <v>0</v>
      </c>
      <c r="BP141" s="475">
        <f t="shared" si="32"/>
        <v>0</v>
      </c>
      <c r="BQ141" s="312"/>
      <c r="BR141" s="476">
        <f t="shared" si="33"/>
        <v>0</v>
      </c>
      <c r="BS141" s="465">
        <f t="shared" si="34"/>
        <v>0</v>
      </c>
      <c r="BT141" s="466" t="str">
        <f t="shared" si="38"/>
        <v>n.a.</v>
      </c>
    </row>
    <row r="142" spans="1:72">
      <c r="A142" s="201">
        <f t="shared" si="35"/>
        <v>129</v>
      </c>
      <c r="B142" s="641"/>
      <c r="C142" s="631" t="s">
        <v>8713</v>
      </c>
      <c r="D142" s="642"/>
      <c r="E142" s="643"/>
      <c r="F142" s="643"/>
      <c r="G142" s="474">
        <f t="shared" si="36"/>
        <v>0</v>
      </c>
      <c r="H142" s="293" t="str">
        <f t="shared" si="37"/>
        <v/>
      </c>
      <c r="I142" s="652"/>
      <c r="J142" s="653"/>
      <c r="K142" s="643"/>
      <c r="L142" s="654"/>
      <c r="M142" s="653"/>
      <c r="N142" s="643"/>
      <c r="O142" s="643"/>
      <c r="P142" s="643"/>
      <c r="Q142" s="652"/>
      <c r="R142" s="655"/>
      <c r="S142" s="649"/>
      <c r="T142" s="292" t="e">
        <f>INDEX(ei_geo!$B:$B,MATCH(S142,ei_geo!$A:$A,0))</f>
        <v>#N/A</v>
      </c>
      <c r="U142" s="666"/>
      <c r="V142" s="666"/>
      <c r="W142" s="667"/>
      <c r="X142" s="653"/>
      <c r="Y142" s="643"/>
      <c r="Z142" s="643"/>
      <c r="AA142" s="643"/>
      <c r="AB142" s="652"/>
      <c r="AC142" s="671"/>
      <c r="AD142" s="649"/>
      <c r="AE142" s="292"/>
      <c r="AF142" s="666"/>
      <c r="AG142" s="666"/>
      <c r="AH142" s="667"/>
      <c r="AI142" s="678"/>
      <c r="AJ142" s="666"/>
      <c r="AK142" s="666"/>
      <c r="AL142" s="666"/>
      <c r="AM142" s="667"/>
      <c r="AN142" s="671"/>
      <c r="AO142" s="649"/>
      <c r="AP142" s="292"/>
      <c r="AQ142" s="666"/>
      <c r="AR142" s="666"/>
      <c r="AS142" s="667"/>
      <c r="AT142" s="678"/>
      <c r="AU142" s="666"/>
      <c r="AV142" s="666"/>
      <c r="AW142" s="666"/>
      <c r="AX142" s="680"/>
      <c r="AY142" s="671"/>
      <c r="AZ142" s="649"/>
      <c r="BA142" s="292"/>
      <c r="BB142" s="666"/>
      <c r="BC142" s="666"/>
      <c r="BD142" s="689"/>
      <c r="BE142" s="678"/>
      <c r="BF142" s="666"/>
      <c r="BG142" s="666"/>
      <c r="BH142" s="666"/>
      <c r="BI142" s="667"/>
      <c r="BJ142" s="678"/>
      <c r="BK142" s="690"/>
      <c r="BL142" s="312"/>
      <c r="BM142" s="475">
        <f t="shared" si="29"/>
        <v>0</v>
      </c>
      <c r="BN142" s="475">
        <f t="shared" si="30"/>
        <v>0</v>
      </c>
      <c r="BO142" s="475">
        <f t="shared" si="31"/>
        <v>0</v>
      </c>
      <c r="BP142" s="475">
        <f t="shared" si="32"/>
        <v>0</v>
      </c>
      <c r="BQ142" s="312"/>
      <c r="BR142" s="476">
        <f t="shared" si="33"/>
        <v>0</v>
      </c>
      <c r="BS142" s="465">
        <f t="shared" si="34"/>
        <v>0</v>
      </c>
      <c r="BT142" s="466" t="str">
        <f t="shared" si="38"/>
        <v>n.a.</v>
      </c>
    </row>
    <row r="143" spans="1:72">
      <c r="A143" s="201">
        <f t="shared" si="35"/>
        <v>130</v>
      </c>
      <c r="B143" s="641"/>
      <c r="C143" s="631" t="s">
        <v>8714</v>
      </c>
      <c r="D143" s="642"/>
      <c r="E143" s="643"/>
      <c r="F143" s="643"/>
      <c r="G143" s="474">
        <f t="shared" si="36"/>
        <v>0</v>
      </c>
      <c r="H143" s="293" t="str">
        <f t="shared" si="37"/>
        <v/>
      </c>
      <c r="I143" s="652"/>
      <c r="J143" s="653"/>
      <c r="K143" s="643"/>
      <c r="L143" s="654"/>
      <c r="M143" s="653"/>
      <c r="N143" s="643"/>
      <c r="O143" s="643"/>
      <c r="P143" s="643"/>
      <c r="Q143" s="652"/>
      <c r="R143" s="655"/>
      <c r="S143" s="649"/>
      <c r="T143" s="292" t="e">
        <f>INDEX(ei_geo!$B:$B,MATCH(S143,ei_geo!$A:$A,0))</f>
        <v>#N/A</v>
      </c>
      <c r="U143" s="666"/>
      <c r="V143" s="666"/>
      <c r="W143" s="667"/>
      <c r="X143" s="653"/>
      <c r="Y143" s="643"/>
      <c r="Z143" s="643"/>
      <c r="AA143" s="643"/>
      <c r="AB143" s="652"/>
      <c r="AC143" s="671"/>
      <c r="AD143" s="649"/>
      <c r="AE143" s="292"/>
      <c r="AF143" s="666"/>
      <c r="AG143" s="666"/>
      <c r="AH143" s="667"/>
      <c r="AI143" s="678"/>
      <c r="AJ143" s="666"/>
      <c r="AK143" s="666"/>
      <c r="AL143" s="666"/>
      <c r="AM143" s="667"/>
      <c r="AN143" s="671"/>
      <c r="AO143" s="649"/>
      <c r="AP143" s="292"/>
      <c r="AQ143" s="666"/>
      <c r="AR143" s="666"/>
      <c r="AS143" s="667"/>
      <c r="AT143" s="678"/>
      <c r="AU143" s="666"/>
      <c r="AV143" s="666"/>
      <c r="AW143" s="666"/>
      <c r="AX143" s="680"/>
      <c r="AY143" s="671"/>
      <c r="AZ143" s="649"/>
      <c r="BA143" s="292"/>
      <c r="BB143" s="666"/>
      <c r="BC143" s="666"/>
      <c r="BD143" s="689"/>
      <c r="BE143" s="678"/>
      <c r="BF143" s="666"/>
      <c r="BG143" s="666"/>
      <c r="BH143" s="666"/>
      <c r="BI143" s="667"/>
      <c r="BJ143" s="678"/>
      <c r="BK143" s="690"/>
      <c r="BL143" s="312"/>
      <c r="BM143" s="475">
        <f t="shared" ref="BM143:BM162" si="39">($G143/1000)*AB143</f>
        <v>0</v>
      </c>
      <c r="BN143" s="475">
        <f t="shared" ref="BN143:BN162" si="40">($G143/1000)*AM143</f>
        <v>0</v>
      </c>
      <c r="BO143" s="475">
        <f t="shared" ref="BO143:BO162" si="41">($G143/1000)*AX143</f>
        <v>0</v>
      </c>
      <c r="BP143" s="475">
        <f t="shared" ref="BP143:BP162" si="42">($G143/1000)*BI143</f>
        <v>0</v>
      </c>
      <c r="BQ143" s="312"/>
      <c r="BR143" s="476">
        <f t="shared" ref="BR143:BR206" si="43">IF(E143&gt;0,(AB143+AM143+AX143+BI143),0)</f>
        <v>0</v>
      </c>
      <c r="BS143" s="465">
        <f t="shared" ref="BS143:BS206" si="44">IF($G143&gt;0,"check",IF($G143=0,0))</f>
        <v>0</v>
      </c>
      <c r="BT143" s="466" t="str">
        <f t="shared" si="38"/>
        <v>n.a.</v>
      </c>
    </row>
    <row r="144" spans="1:72">
      <c r="A144" s="201">
        <f t="shared" si="35"/>
        <v>131</v>
      </c>
      <c r="B144" s="641"/>
      <c r="C144" s="631" t="s">
        <v>8715</v>
      </c>
      <c r="D144" s="642"/>
      <c r="E144" s="643"/>
      <c r="F144" s="643"/>
      <c r="G144" s="474">
        <f t="shared" si="36"/>
        <v>0</v>
      </c>
      <c r="H144" s="293" t="str">
        <f t="shared" si="37"/>
        <v/>
      </c>
      <c r="I144" s="652"/>
      <c r="J144" s="653"/>
      <c r="K144" s="643"/>
      <c r="L144" s="654"/>
      <c r="M144" s="653"/>
      <c r="N144" s="643"/>
      <c r="O144" s="643"/>
      <c r="P144" s="643"/>
      <c r="Q144" s="652"/>
      <c r="R144" s="655"/>
      <c r="S144" s="649"/>
      <c r="T144" s="292" t="e">
        <f>INDEX(ei_geo!$B:$B,MATCH(S144,ei_geo!$A:$A,0))</f>
        <v>#N/A</v>
      </c>
      <c r="U144" s="666"/>
      <c r="V144" s="666"/>
      <c r="W144" s="667"/>
      <c r="X144" s="653"/>
      <c r="Y144" s="643"/>
      <c r="Z144" s="643"/>
      <c r="AA144" s="643"/>
      <c r="AB144" s="652"/>
      <c r="AC144" s="671"/>
      <c r="AD144" s="649"/>
      <c r="AE144" s="292"/>
      <c r="AF144" s="666"/>
      <c r="AG144" s="666"/>
      <c r="AH144" s="667"/>
      <c r="AI144" s="678"/>
      <c r="AJ144" s="666"/>
      <c r="AK144" s="666"/>
      <c r="AL144" s="666"/>
      <c r="AM144" s="667"/>
      <c r="AN144" s="671"/>
      <c r="AO144" s="649"/>
      <c r="AP144" s="292"/>
      <c r="AQ144" s="666"/>
      <c r="AR144" s="666"/>
      <c r="AS144" s="667"/>
      <c r="AT144" s="678"/>
      <c r="AU144" s="666"/>
      <c r="AV144" s="666"/>
      <c r="AW144" s="666"/>
      <c r="AX144" s="680"/>
      <c r="AY144" s="671"/>
      <c r="AZ144" s="649"/>
      <c r="BA144" s="292"/>
      <c r="BB144" s="666"/>
      <c r="BC144" s="666"/>
      <c r="BD144" s="689"/>
      <c r="BE144" s="678"/>
      <c r="BF144" s="666"/>
      <c r="BG144" s="666"/>
      <c r="BH144" s="666"/>
      <c r="BI144" s="667"/>
      <c r="BJ144" s="678"/>
      <c r="BK144" s="690"/>
      <c r="BL144" s="312"/>
      <c r="BM144" s="475">
        <f t="shared" si="39"/>
        <v>0</v>
      </c>
      <c r="BN144" s="475">
        <f t="shared" si="40"/>
        <v>0</v>
      </c>
      <c r="BO144" s="475">
        <f t="shared" si="41"/>
        <v>0</v>
      </c>
      <c r="BP144" s="475">
        <f t="shared" si="42"/>
        <v>0</v>
      </c>
      <c r="BQ144" s="312"/>
      <c r="BR144" s="476">
        <f t="shared" si="43"/>
        <v>0</v>
      </c>
      <c r="BS144" s="465">
        <f t="shared" si="44"/>
        <v>0</v>
      </c>
      <c r="BT144" s="466" t="str">
        <f t="shared" si="38"/>
        <v>n.a.</v>
      </c>
    </row>
    <row r="145" spans="1:72">
      <c r="A145" s="201">
        <f t="shared" si="35"/>
        <v>132</v>
      </c>
      <c r="B145" s="641"/>
      <c r="C145" s="631" t="s">
        <v>8716</v>
      </c>
      <c r="D145" s="642"/>
      <c r="E145" s="643"/>
      <c r="F145" s="643"/>
      <c r="G145" s="474">
        <f t="shared" si="36"/>
        <v>0</v>
      </c>
      <c r="H145" s="293" t="str">
        <f t="shared" si="37"/>
        <v/>
      </c>
      <c r="I145" s="652"/>
      <c r="J145" s="653"/>
      <c r="K145" s="643"/>
      <c r="L145" s="654"/>
      <c r="M145" s="653"/>
      <c r="N145" s="643"/>
      <c r="O145" s="643"/>
      <c r="P145" s="643"/>
      <c r="Q145" s="652"/>
      <c r="R145" s="655"/>
      <c r="S145" s="649"/>
      <c r="T145" s="292" t="e">
        <f>INDEX(ei_geo!$B:$B,MATCH(S145,ei_geo!$A:$A,0))</f>
        <v>#N/A</v>
      </c>
      <c r="U145" s="666"/>
      <c r="V145" s="666"/>
      <c r="W145" s="667"/>
      <c r="X145" s="653"/>
      <c r="Y145" s="643"/>
      <c r="Z145" s="643"/>
      <c r="AA145" s="643"/>
      <c r="AB145" s="652"/>
      <c r="AC145" s="671"/>
      <c r="AD145" s="649"/>
      <c r="AE145" s="292"/>
      <c r="AF145" s="666"/>
      <c r="AG145" s="666"/>
      <c r="AH145" s="667"/>
      <c r="AI145" s="678"/>
      <c r="AJ145" s="666"/>
      <c r="AK145" s="666"/>
      <c r="AL145" s="666"/>
      <c r="AM145" s="667"/>
      <c r="AN145" s="671"/>
      <c r="AO145" s="649"/>
      <c r="AP145" s="292"/>
      <c r="AQ145" s="666"/>
      <c r="AR145" s="666"/>
      <c r="AS145" s="667"/>
      <c r="AT145" s="678"/>
      <c r="AU145" s="666"/>
      <c r="AV145" s="666"/>
      <c r="AW145" s="666"/>
      <c r="AX145" s="680"/>
      <c r="AY145" s="671"/>
      <c r="AZ145" s="649"/>
      <c r="BA145" s="292"/>
      <c r="BB145" s="666"/>
      <c r="BC145" s="666"/>
      <c r="BD145" s="689"/>
      <c r="BE145" s="678"/>
      <c r="BF145" s="666"/>
      <c r="BG145" s="666"/>
      <c r="BH145" s="666"/>
      <c r="BI145" s="667"/>
      <c r="BJ145" s="678"/>
      <c r="BK145" s="690"/>
      <c r="BL145" s="312"/>
      <c r="BM145" s="475">
        <f t="shared" si="39"/>
        <v>0</v>
      </c>
      <c r="BN145" s="475">
        <f t="shared" si="40"/>
        <v>0</v>
      </c>
      <c r="BO145" s="475">
        <f t="shared" si="41"/>
        <v>0</v>
      </c>
      <c r="BP145" s="475">
        <f t="shared" si="42"/>
        <v>0</v>
      </c>
      <c r="BQ145" s="312"/>
      <c r="BR145" s="476">
        <f t="shared" si="43"/>
        <v>0</v>
      </c>
      <c r="BS145" s="465">
        <f t="shared" si="44"/>
        <v>0</v>
      </c>
      <c r="BT145" s="466" t="str">
        <f t="shared" si="38"/>
        <v>n.a.</v>
      </c>
    </row>
    <row r="146" spans="1:72">
      <c r="A146" s="201">
        <f t="shared" si="35"/>
        <v>133</v>
      </c>
      <c r="B146" s="641"/>
      <c r="C146" s="631" t="s">
        <v>8717</v>
      </c>
      <c r="D146" s="642"/>
      <c r="E146" s="643"/>
      <c r="F146" s="643"/>
      <c r="G146" s="474">
        <f t="shared" si="36"/>
        <v>0</v>
      </c>
      <c r="H146" s="293" t="str">
        <f t="shared" si="37"/>
        <v/>
      </c>
      <c r="I146" s="652"/>
      <c r="J146" s="653"/>
      <c r="K146" s="643"/>
      <c r="L146" s="654"/>
      <c r="M146" s="653"/>
      <c r="N146" s="643"/>
      <c r="O146" s="643"/>
      <c r="P146" s="643"/>
      <c r="Q146" s="652"/>
      <c r="R146" s="655"/>
      <c r="S146" s="649"/>
      <c r="T146" s="292" t="e">
        <f>INDEX(ei_geo!$B:$B,MATCH(S146,ei_geo!$A:$A,0))</f>
        <v>#N/A</v>
      </c>
      <c r="U146" s="666"/>
      <c r="V146" s="666"/>
      <c r="W146" s="667"/>
      <c r="X146" s="653"/>
      <c r="Y146" s="643"/>
      <c r="Z146" s="643"/>
      <c r="AA146" s="643"/>
      <c r="AB146" s="652"/>
      <c r="AC146" s="671"/>
      <c r="AD146" s="649"/>
      <c r="AE146" s="292"/>
      <c r="AF146" s="666"/>
      <c r="AG146" s="666"/>
      <c r="AH146" s="667"/>
      <c r="AI146" s="678"/>
      <c r="AJ146" s="666"/>
      <c r="AK146" s="666"/>
      <c r="AL146" s="666"/>
      <c r="AM146" s="667"/>
      <c r="AN146" s="671"/>
      <c r="AO146" s="649"/>
      <c r="AP146" s="292"/>
      <c r="AQ146" s="666"/>
      <c r="AR146" s="666"/>
      <c r="AS146" s="667"/>
      <c r="AT146" s="678"/>
      <c r="AU146" s="666"/>
      <c r="AV146" s="666"/>
      <c r="AW146" s="666"/>
      <c r="AX146" s="680"/>
      <c r="AY146" s="671"/>
      <c r="AZ146" s="649"/>
      <c r="BA146" s="292"/>
      <c r="BB146" s="666"/>
      <c r="BC146" s="666"/>
      <c r="BD146" s="689"/>
      <c r="BE146" s="678"/>
      <c r="BF146" s="666"/>
      <c r="BG146" s="666"/>
      <c r="BH146" s="666"/>
      <c r="BI146" s="667"/>
      <c r="BJ146" s="678"/>
      <c r="BK146" s="690"/>
      <c r="BL146" s="312"/>
      <c r="BM146" s="475">
        <f t="shared" si="39"/>
        <v>0</v>
      </c>
      <c r="BN146" s="475">
        <f t="shared" si="40"/>
        <v>0</v>
      </c>
      <c r="BO146" s="475">
        <f t="shared" si="41"/>
        <v>0</v>
      </c>
      <c r="BP146" s="475">
        <f t="shared" si="42"/>
        <v>0</v>
      </c>
      <c r="BQ146" s="312"/>
      <c r="BR146" s="476">
        <f t="shared" si="43"/>
        <v>0</v>
      </c>
      <c r="BS146" s="465">
        <f t="shared" si="44"/>
        <v>0</v>
      </c>
      <c r="BT146" s="466" t="str">
        <f t="shared" si="38"/>
        <v>n.a.</v>
      </c>
    </row>
    <row r="147" spans="1:72">
      <c r="A147" s="201">
        <f t="shared" si="35"/>
        <v>134</v>
      </c>
      <c r="B147" s="641"/>
      <c r="C147" s="631" t="s">
        <v>8718</v>
      </c>
      <c r="D147" s="642"/>
      <c r="E147" s="643"/>
      <c r="F147" s="643"/>
      <c r="G147" s="474">
        <f t="shared" si="36"/>
        <v>0</v>
      </c>
      <c r="H147" s="293" t="str">
        <f t="shared" si="37"/>
        <v/>
      </c>
      <c r="I147" s="652"/>
      <c r="J147" s="653"/>
      <c r="K147" s="643"/>
      <c r="L147" s="654"/>
      <c r="M147" s="653"/>
      <c r="N147" s="643"/>
      <c r="O147" s="643"/>
      <c r="P147" s="643"/>
      <c r="Q147" s="652"/>
      <c r="R147" s="655"/>
      <c r="S147" s="649"/>
      <c r="T147" s="292" t="e">
        <f>INDEX(ei_geo!$B:$B,MATCH(S147,ei_geo!$A:$A,0))</f>
        <v>#N/A</v>
      </c>
      <c r="U147" s="666"/>
      <c r="V147" s="666"/>
      <c r="W147" s="667"/>
      <c r="X147" s="653"/>
      <c r="Y147" s="643"/>
      <c r="Z147" s="643"/>
      <c r="AA147" s="643"/>
      <c r="AB147" s="652"/>
      <c r="AC147" s="671"/>
      <c r="AD147" s="649"/>
      <c r="AE147" s="292"/>
      <c r="AF147" s="666"/>
      <c r="AG147" s="666"/>
      <c r="AH147" s="667"/>
      <c r="AI147" s="678"/>
      <c r="AJ147" s="666"/>
      <c r="AK147" s="666"/>
      <c r="AL147" s="666"/>
      <c r="AM147" s="667"/>
      <c r="AN147" s="671"/>
      <c r="AO147" s="649"/>
      <c r="AP147" s="292"/>
      <c r="AQ147" s="666"/>
      <c r="AR147" s="666"/>
      <c r="AS147" s="667"/>
      <c r="AT147" s="678"/>
      <c r="AU147" s="666"/>
      <c r="AV147" s="666"/>
      <c r="AW147" s="666"/>
      <c r="AX147" s="680"/>
      <c r="AY147" s="671"/>
      <c r="AZ147" s="649"/>
      <c r="BA147" s="292"/>
      <c r="BB147" s="666"/>
      <c r="BC147" s="666"/>
      <c r="BD147" s="689"/>
      <c r="BE147" s="678"/>
      <c r="BF147" s="666"/>
      <c r="BG147" s="666"/>
      <c r="BH147" s="666"/>
      <c r="BI147" s="667"/>
      <c r="BJ147" s="678"/>
      <c r="BK147" s="690"/>
      <c r="BL147" s="312"/>
      <c r="BM147" s="475">
        <f t="shared" si="39"/>
        <v>0</v>
      </c>
      <c r="BN147" s="475">
        <f t="shared" si="40"/>
        <v>0</v>
      </c>
      <c r="BO147" s="475">
        <f t="shared" si="41"/>
        <v>0</v>
      </c>
      <c r="BP147" s="475">
        <f t="shared" si="42"/>
        <v>0</v>
      </c>
      <c r="BQ147" s="312"/>
      <c r="BR147" s="476">
        <f t="shared" si="43"/>
        <v>0</v>
      </c>
      <c r="BS147" s="465">
        <f t="shared" si="44"/>
        <v>0</v>
      </c>
      <c r="BT147" s="466" t="str">
        <f t="shared" si="38"/>
        <v>n.a.</v>
      </c>
    </row>
    <row r="148" spans="1:72">
      <c r="A148" s="201">
        <f t="shared" si="35"/>
        <v>135</v>
      </c>
      <c r="B148" s="641"/>
      <c r="C148" s="631" t="s">
        <v>8719</v>
      </c>
      <c r="D148" s="642"/>
      <c r="E148" s="643"/>
      <c r="F148" s="643"/>
      <c r="G148" s="474">
        <f t="shared" si="36"/>
        <v>0</v>
      </c>
      <c r="H148" s="293" t="str">
        <f t="shared" si="37"/>
        <v/>
      </c>
      <c r="I148" s="652"/>
      <c r="J148" s="653"/>
      <c r="K148" s="643"/>
      <c r="L148" s="654"/>
      <c r="M148" s="653"/>
      <c r="N148" s="643"/>
      <c r="O148" s="643"/>
      <c r="P148" s="643"/>
      <c r="Q148" s="652"/>
      <c r="R148" s="655"/>
      <c r="S148" s="649"/>
      <c r="T148" s="292" t="e">
        <f>INDEX(ei_geo!$B:$B,MATCH(S148,ei_geo!$A:$A,0))</f>
        <v>#N/A</v>
      </c>
      <c r="U148" s="666"/>
      <c r="V148" s="666"/>
      <c r="W148" s="667"/>
      <c r="X148" s="653"/>
      <c r="Y148" s="643"/>
      <c r="Z148" s="643"/>
      <c r="AA148" s="643"/>
      <c r="AB148" s="652"/>
      <c r="AC148" s="671"/>
      <c r="AD148" s="649"/>
      <c r="AE148" s="292"/>
      <c r="AF148" s="666"/>
      <c r="AG148" s="666"/>
      <c r="AH148" s="667"/>
      <c r="AI148" s="678"/>
      <c r="AJ148" s="666"/>
      <c r="AK148" s="666"/>
      <c r="AL148" s="666"/>
      <c r="AM148" s="667"/>
      <c r="AN148" s="671"/>
      <c r="AO148" s="649"/>
      <c r="AP148" s="292"/>
      <c r="AQ148" s="666"/>
      <c r="AR148" s="666"/>
      <c r="AS148" s="667"/>
      <c r="AT148" s="678"/>
      <c r="AU148" s="666"/>
      <c r="AV148" s="666"/>
      <c r="AW148" s="666"/>
      <c r="AX148" s="680"/>
      <c r="AY148" s="671"/>
      <c r="AZ148" s="649"/>
      <c r="BA148" s="292"/>
      <c r="BB148" s="666"/>
      <c r="BC148" s="666"/>
      <c r="BD148" s="689"/>
      <c r="BE148" s="678"/>
      <c r="BF148" s="666"/>
      <c r="BG148" s="666"/>
      <c r="BH148" s="666"/>
      <c r="BI148" s="667"/>
      <c r="BJ148" s="678"/>
      <c r="BK148" s="690"/>
      <c r="BL148" s="312"/>
      <c r="BM148" s="475">
        <f t="shared" si="39"/>
        <v>0</v>
      </c>
      <c r="BN148" s="475">
        <f t="shared" si="40"/>
        <v>0</v>
      </c>
      <c r="BO148" s="475">
        <f t="shared" si="41"/>
        <v>0</v>
      </c>
      <c r="BP148" s="475">
        <f t="shared" si="42"/>
        <v>0</v>
      </c>
      <c r="BQ148" s="312"/>
      <c r="BR148" s="476">
        <f t="shared" si="43"/>
        <v>0</v>
      </c>
      <c r="BS148" s="465">
        <f t="shared" si="44"/>
        <v>0</v>
      </c>
      <c r="BT148" s="466" t="str">
        <f t="shared" si="38"/>
        <v>n.a.</v>
      </c>
    </row>
    <row r="149" spans="1:72">
      <c r="A149" s="201">
        <f t="shared" si="35"/>
        <v>136</v>
      </c>
      <c r="B149" s="641"/>
      <c r="C149" s="631" t="s">
        <v>8720</v>
      </c>
      <c r="D149" s="642"/>
      <c r="E149" s="643"/>
      <c r="F149" s="643"/>
      <c r="G149" s="474">
        <f t="shared" si="36"/>
        <v>0</v>
      </c>
      <c r="H149" s="293" t="str">
        <f t="shared" si="37"/>
        <v/>
      </c>
      <c r="I149" s="652"/>
      <c r="J149" s="653"/>
      <c r="K149" s="643"/>
      <c r="L149" s="654"/>
      <c r="M149" s="653"/>
      <c r="N149" s="643"/>
      <c r="O149" s="643"/>
      <c r="P149" s="643"/>
      <c r="Q149" s="652"/>
      <c r="R149" s="655"/>
      <c r="S149" s="649"/>
      <c r="T149" s="292" t="e">
        <f>INDEX(ei_geo!$B:$B,MATCH(S149,ei_geo!$A:$A,0))</f>
        <v>#N/A</v>
      </c>
      <c r="U149" s="666"/>
      <c r="V149" s="666"/>
      <c r="W149" s="667"/>
      <c r="X149" s="653"/>
      <c r="Y149" s="643"/>
      <c r="Z149" s="643"/>
      <c r="AA149" s="643"/>
      <c r="AB149" s="652"/>
      <c r="AC149" s="671"/>
      <c r="AD149" s="649"/>
      <c r="AE149" s="292"/>
      <c r="AF149" s="666"/>
      <c r="AG149" s="666"/>
      <c r="AH149" s="667"/>
      <c r="AI149" s="678"/>
      <c r="AJ149" s="666"/>
      <c r="AK149" s="666"/>
      <c r="AL149" s="666"/>
      <c r="AM149" s="667"/>
      <c r="AN149" s="671"/>
      <c r="AO149" s="649"/>
      <c r="AP149" s="292"/>
      <c r="AQ149" s="666"/>
      <c r="AR149" s="666"/>
      <c r="AS149" s="667"/>
      <c r="AT149" s="678"/>
      <c r="AU149" s="666"/>
      <c r="AV149" s="666"/>
      <c r="AW149" s="666"/>
      <c r="AX149" s="680"/>
      <c r="AY149" s="671"/>
      <c r="AZ149" s="649"/>
      <c r="BA149" s="292"/>
      <c r="BB149" s="666"/>
      <c r="BC149" s="666"/>
      <c r="BD149" s="689"/>
      <c r="BE149" s="678"/>
      <c r="BF149" s="666"/>
      <c r="BG149" s="666"/>
      <c r="BH149" s="666"/>
      <c r="BI149" s="667"/>
      <c r="BJ149" s="678"/>
      <c r="BK149" s="690"/>
      <c r="BL149" s="312"/>
      <c r="BM149" s="475">
        <f t="shared" si="39"/>
        <v>0</v>
      </c>
      <c r="BN149" s="475">
        <f t="shared" si="40"/>
        <v>0</v>
      </c>
      <c r="BO149" s="475">
        <f t="shared" si="41"/>
        <v>0</v>
      </c>
      <c r="BP149" s="475">
        <f t="shared" si="42"/>
        <v>0</v>
      </c>
      <c r="BQ149" s="312"/>
      <c r="BR149" s="476">
        <f t="shared" si="43"/>
        <v>0</v>
      </c>
      <c r="BS149" s="465">
        <f t="shared" si="44"/>
        <v>0</v>
      </c>
      <c r="BT149" s="466" t="str">
        <f t="shared" si="38"/>
        <v>n.a.</v>
      </c>
    </row>
    <row r="150" spans="1:72">
      <c r="A150" s="201">
        <f t="shared" si="35"/>
        <v>137</v>
      </c>
      <c r="B150" s="641"/>
      <c r="C150" s="631" t="s">
        <v>8721</v>
      </c>
      <c r="D150" s="642"/>
      <c r="E150" s="643"/>
      <c r="F150" s="643"/>
      <c r="G150" s="474">
        <f t="shared" si="36"/>
        <v>0</v>
      </c>
      <c r="H150" s="293" t="str">
        <f t="shared" si="37"/>
        <v/>
      </c>
      <c r="I150" s="652"/>
      <c r="J150" s="653"/>
      <c r="K150" s="643"/>
      <c r="L150" s="654"/>
      <c r="M150" s="653"/>
      <c r="N150" s="643"/>
      <c r="O150" s="643"/>
      <c r="P150" s="643"/>
      <c r="Q150" s="652"/>
      <c r="R150" s="655"/>
      <c r="S150" s="649"/>
      <c r="T150" s="292" t="e">
        <f>INDEX(ei_geo!$B:$B,MATCH(S150,ei_geo!$A:$A,0))</f>
        <v>#N/A</v>
      </c>
      <c r="U150" s="666"/>
      <c r="V150" s="666"/>
      <c r="W150" s="667"/>
      <c r="X150" s="653"/>
      <c r="Y150" s="643"/>
      <c r="Z150" s="643"/>
      <c r="AA150" s="643"/>
      <c r="AB150" s="652"/>
      <c r="AC150" s="671"/>
      <c r="AD150" s="649"/>
      <c r="AE150" s="292"/>
      <c r="AF150" s="666"/>
      <c r="AG150" s="666"/>
      <c r="AH150" s="667"/>
      <c r="AI150" s="678"/>
      <c r="AJ150" s="666"/>
      <c r="AK150" s="666"/>
      <c r="AL150" s="666"/>
      <c r="AM150" s="667"/>
      <c r="AN150" s="671"/>
      <c r="AO150" s="649"/>
      <c r="AP150" s="292"/>
      <c r="AQ150" s="666"/>
      <c r="AR150" s="666"/>
      <c r="AS150" s="667"/>
      <c r="AT150" s="678"/>
      <c r="AU150" s="666"/>
      <c r="AV150" s="666"/>
      <c r="AW150" s="666"/>
      <c r="AX150" s="680"/>
      <c r="AY150" s="671"/>
      <c r="AZ150" s="649"/>
      <c r="BA150" s="292"/>
      <c r="BB150" s="666"/>
      <c r="BC150" s="666"/>
      <c r="BD150" s="689"/>
      <c r="BE150" s="678"/>
      <c r="BF150" s="666"/>
      <c r="BG150" s="666"/>
      <c r="BH150" s="666"/>
      <c r="BI150" s="667"/>
      <c r="BJ150" s="678"/>
      <c r="BK150" s="690"/>
      <c r="BL150" s="312"/>
      <c r="BM150" s="475">
        <f t="shared" si="39"/>
        <v>0</v>
      </c>
      <c r="BN150" s="475">
        <f t="shared" si="40"/>
        <v>0</v>
      </c>
      <c r="BO150" s="475">
        <f t="shared" si="41"/>
        <v>0</v>
      </c>
      <c r="BP150" s="475">
        <f t="shared" si="42"/>
        <v>0</v>
      </c>
      <c r="BQ150" s="312"/>
      <c r="BR150" s="476">
        <f t="shared" si="43"/>
        <v>0</v>
      </c>
      <c r="BS150" s="465">
        <f t="shared" si="44"/>
        <v>0</v>
      </c>
      <c r="BT150" s="466" t="str">
        <f t="shared" si="38"/>
        <v>n.a.</v>
      </c>
    </row>
    <row r="151" spans="1:72">
      <c r="A151" s="201">
        <f t="shared" si="35"/>
        <v>138</v>
      </c>
      <c r="B151" s="641"/>
      <c r="C151" s="631" t="s">
        <v>8722</v>
      </c>
      <c r="D151" s="642"/>
      <c r="E151" s="643"/>
      <c r="F151" s="643"/>
      <c r="G151" s="474">
        <f t="shared" si="36"/>
        <v>0</v>
      </c>
      <c r="H151" s="293" t="str">
        <f t="shared" si="37"/>
        <v/>
      </c>
      <c r="I151" s="652"/>
      <c r="J151" s="653"/>
      <c r="K151" s="643"/>
      <c r="L151" s="654"/>
      <c r="M151" s="653"/>
      <c r="N151" s="643"/>
      <c r="O151" s="643"/>
      <c r="P151" s="643"/>
      <c r="Q151" s="652"/>
      <c r="R151" s="655"/>
      <c r="S151" s="649"/>
      <c r="T151" s="292" t="e">
        <f>INDEX(ei_geo!$B:$B,MATCH(S151,ei_geo!$A:$A,0))</f>
        <v>#N/A</v>
      </c>
      <c r="U151" s="666"/>
      <c r="V151" s="666"/>
      <c r="W151" s="667"/>
      <c r="X151" s="653"/>
      <c r="Y151" s="643"/>
      <c r="Z151" s="643"/>
      <c r="AA151" s="643"/>
      <c r="AB151" s="652"/>
      <c r="AC151" s="671"/>
      <c r="AD151" s="649"/>
      <c r="AE151" s="292"/>
      <c r="AF151" s="666"/>
      <c r="AG151" s="666"/>
      <c r="AH151" s="667"/>
      <c r="AI151" s="678"/>
      <c r="AJ151" s="666"/>
      <c r="AK151" s="666"/>
      <c r="AL151" s="666"/>
      <c r="AM151" s="667"/>
      <c r="AN151" s="671"/>
      <c r="AO151" s="649"/>
      <c r="AP151" s="292"/>
      <c r="AQ151" s="666"/>
      <c r="AR151" s="666"/>
      <c r="AS151" s="667"/>
      <c r="AT151" s="678"/>
      <c r="AU151" s="666"/>
      <c r="AV151" s="666"/>
      <c r="AW151" s="666"/>
      <c r="AX151" s="680"/>
      <c r="AY151" s="671"/>
      <c r="AZ151" s="649"/>
      <c r="BA151" s="292"/>
      <c r="BB151" s="666"/>
      <c r="BC151" s="666"/>
      <c r="BD151" s="689"/>
      <c r="BE151" s="678"/>
      <c r="BF151" s="666"/>
      <c r="BG151" s="666"/>
      <c r="BH151" s="666"/>
      <c r="BI151" s="667"/>
      <c r="BJ151" s="678"/>
      <c r="BK151" s="690"/>
      <c r="BL151" s="312"/>
      <c r="BM151" s="475">
        <f t="shared" si="39"/>
        <v>0</v>
      </c>
      <c r="BN151" s="475">
        <f t="shared" si="40"/>
        <v>0</v>
      </c>
      <c r="BO151" s="475">
        <f t="shared" si="41"/>
        <v>0</v>
      </c>
      <c r="BP151" s="475">
        <f t="shared" si="42"/>
        <v>0</v>
      </c>
      <c r="BQ151" s="312"/>
      <c r="BR151" s="476">
        <f t="shared" si="43"/>
        <v>0</v>
      </c>
      <c r="BS151" s="465">
        <f t="shared" si="44"/>
        <v>0</v>
      </c>
      <c r="BT151" s="466" t="str">
        <f t="shared" si="38"/>
        <v>n.a.</v>
      </c>
    </row>
    <row r="152" spans="1:72">
      <c r="A152" s="201">
        <f t="shared" si="35"/>
        <v>139</v>
      </c>
      <c r="B152" s="641"/>
      <c r="C152" s="631" t="s">
        <v>8723</v>
      </c>
      <c r="D152" s="642"/>
      <c r="E152" s="643"/>
      <c r="F152" s="643"/>
      <c r="G152" s="474">
        <f t="shared" si="36"/>
        <v>0</v>
      </c>
      <c r="H152" s="293" t="str">
        <f t="shared" si="37"/>
        <v/>
      </c>
      <c r="I152" s="652"/>
      <c r="J152" s="653"/>
      <c r="K152" s="643"/>
      <c r="L152" s="654"/>
      <c r="M152" s="653"/>
      <c r="N152" s="643"/>
      <c r="O152" s="643"/>
      <c r="P152" s="643"/>
      <c r="Q152" s="652"/>
      <c r="R152" s="655"/>
      <c r="S152" s="649"/>
      <c r="T152" s="292" t="e">
        <f>INDEX(ei_geo!$B:$B,MATCH(S152,ei_geo!$A:$A,0))</f>
        <v>#N/A</v>
      </c>
      <c r="U152" s="666"/>
      <c r="V152" s="666"/>
      <c r="W152" s="667"/>
      <c r="X152" s="653"/>
      <c r="Y152" s="643"/>
      <c r="Z152" s="643"/>
      <c r="AA152" s="643"/>
      <c r="AB152" s="652"/>
      <c r="AC152" s="671"/>
      <c r="AD152" s="649"/>
      <c r="AE152" s="292"/>
      <c r="AF152" s="666"/>
      <c r="AG152" s="666"/>
      <c r="AH152" s="667"/>
      <c r="AI152" s="678"/>
      <c r="AJ152" s="666"/>
      <c r="AK152" s="666"/>
      <c r="AL152" s="666"/>
      <c r="AM152" s="667"/>
      <c r="AN152" s="671"/>
      <c r="AO152" s="649"/>
      <c r="AP152" s="292"/>
      <c r="AQ152" s="666"/>
      <c r="AR152" s="666"/>
      <c r="AS152" s="667"/>
      <c r="AT152" s="678"/>
      <c r="AU152" s="666"/>
      <c r="AV152" s="666"/>
      <c r="AW152" s="666"/>
      <c r="AX152" s="680"/>
      <c r="AY152" s="671"/>
      <c r="AZ152" s="649"/>
      <c r="BA152" s="292"/>
      <c r="BB152" s="666"/>
      <c r="BC152" s="666"/>
      <c r="BD152" s="689"/>
      <c r="BE152" s="678"/>
      <c r="BF152" s="666"/>
      <c r="BG152" s="666"/>
      <c r="BH152" s="666"/>
      <c r="BI152" s="667"/>
      <c r="BJ152" s="678"/>
      <c r="BK152" s="690"/>
      <c r="BL152" s="312"/>
      <c r="BM152" s="475">
        <f t="shared" si="39"/>
        <v>0</v>
      </c>
      <c r="BN152" s="475">
        <f t="shared" si="40"/>
        <v>0</v>
      </c>
      <c r="BO152" s="475">
        <f t="shared" si="41"/>
        <v>0</v>
      </c>
      <c r="BP152" s="475">
        <f t="shared" si="42"/>
        <v>0</v>
      </c>
      <c r="BQ152" s="312"/>
      <c r="BR152" s="476">
        <f t="shared" si="43"/>
        <v>0</v>
      </c>
      <c r="BS152" s="465">
        <f t="shared" si="44"/>
        <v>0</v>
      </c>
      <c r="BT152" s="466" t="str">
        <f t="shared" si="38"/>
        <v>n.a.</v>
      </c>
    </row>
    <row r="153" spans="1:72">
      <c r="A153" s="201">
        <f t="shared" si="35"/>
        <v>140</v>
      </c>
      <c r="B153" s="641"/>
      <c r="C153" s="631" t="s">
        <v>8724</v>
      </c>
      <c r="D153" s="642"/>
      <c r="E153" s="643"/>
      <c r="F153" s="643"/>
      <c r="G153" s="474">
        <f t="shared" si="36"/>
        <v>0</v>
      </c>
      <c r="H153" s="293" t="str">
        <f t="shared" si="37"/>
        <v/>
      </c>
      <c r="I153" s="652"/>
      <c r="J153" s="653"/>
      <c r="K153" s="643"/>
      <c r="L153" s="654"/>
      <c r="M153" s="653"/>
      <c r="N153" s="643"/>
      <c r="O153" s="643"/>
      <c r="P153" s="643"/>
      <c r="Q153" s="652"/>
      <c r="R153" s="655"/>
      <c r="S153" s="649"/>
      <c r="T153" s="292" t="e">
        <f>INDEX(ei_geo!$B:$B,MATCH(S153,ei_geo!$A:$A,0))</f>
        <v>#N/A</v>
      </c>
      <c r="U153" s="666"/>
      <c r="V153" s="666"/>
      <c r="W153" s="667"/>
      <c r="X153" s="653"/>
      <c r="Y153" s="643"/>
      <c r="Z153" s="643"/>
      <c r="AA153" s="643"/>
      <c r="AB153" s="652"/>
      <c r="AC153" s="671"/>
      <c r="AD153" s="649"/>
      <c r="AE153" s="292"/>
      <c r="AF153" s="666"/>
      <c r="AG153" s="666"/>
      <c r="AH153" s="667"/>
      <c r="AI153" s="678"/>
      <c r="AJ153" s="666"/>
      <c r="AK153" s="666"/>
      <c r="AL153" s="666"/>
      <c r="AM153" s="667"/>
      <c r="AN153" s="671"/>
      <c r="AO153" s="649"/>
      <c r="AP153" s="292"/>
      <c r="AQ153" s="666"/>
      <c r="AR153" s="666"/>
      <c r="AS153" s="667"/>
      <c r="AT153" s="678"/>
      <c r="AU153" s="666"/>
      <c r="AV153" s="666"/>
      <c r="AW153" s="666"/>
      <c r="AX153" s="680"/>
      <c r="AY153" s="671"/>
      <c r="AZ153" s="649"/>
      <c r="BA153" s="292"/>
      <c r="BB153" s="666"/>
      <c r="BC153" s="666"/>
      <c r="BD153" s="689"/>
      <c r="BE153" s="678"/>
      <c r="BF153" s="666"/>
      <c r="BG153" s="666"/>
      <c r="BH153" s="666"/>
      <c r="BI153" s="667"/>
      <c r="BJ153" s="678"/>
      <c r="BK153" s="690"/>
      <c r="BL153" s="312"/>
      <c r="BM153" s="475">
        <f t="shared" si="39"/>
        <v>0</v>
      </c>
      <c r="BN153" s="475">
        <f t="shared" si="40"/>
        <v>0</v>
      </c>
      <c r="BO153" s="475">
        <f t="shared" si="41"/>
        <v>0</v>
      </c>
      <c r="BP153" s="475">
        <f t="shared" si="42"/>
        <v>0</v>
      </c>
      <c r="BQ153" s="312"/>
      <c r="BR153" s="476">
        <f t="shared" si="43"/>
        <v>0</v>
      </c>
      <c r="BS153" s="465">
        <f t="shared" si="44"/>
        <v>0</v>
      </c>
      <c r="BT153" s="466" t="str">
        <f t="shared" si="38"/>
        <v>n.a.</v>
      </c>
    </row>
    <row r="154" spans="1:72">
      <c r="A154" s="201">
        <f t="shared" si="35"/>
        <v>141</v>
      </c>
      <c r="B154" s="641"/>
      <c r="C154" s="631" t="s">
        <v>8725</v>
      </c>
      <c r="D154" s="642"/>
      <c r="E154" s="643"/>
      <c r="F154" s="643"/>
      <c r="G154" s="474">
        <f t="shared" si="36"/>
        <v>0</v>
      </c>
      <c r="H154" s="293" t="str">
        <f t="shared" si="37"/>
        <v/>
      </c>
      <c r="I154" s="652"/>
      <c r="J154" s="653"/>
      <c r="K154" s="643"/>
      <c r="L154" s="654"/>
      <c r="M154" s="653"/>
      <c r="N154" s="643"/>
      <c r="O154" s="643"/>
      <c r="P154" s="643"/>
      <c r="Q154" s="652"/>
      <c r="R154" s="655"/>
      <c r="S154" s="649"/>
      <c r="T154" s="292" t="e">
        <f>INDEX(ei_geo!$B:$B,MATCH(S154,ei_geo!$A:$A,0))</f>
        <v>#N/A</v>
      </c>
      <c r="U154" s="666"/>
      <c r="V154" s="666"/>
      <c r="W154" s="667"/>
      <c r="X154" s="653"/>
      <c r="Y154" s="643"/>
      <c r="Z154" s="643"/>
      <c r="AA154" s="643"/>
      <c r="AB154" s="652"/>
      <c r="AC154" s="671"/>
      <c r="AD154" s="649"/>
      <c r="AE154" s="292"/>
      <c r="AF154" s="666"/>
      <c r="AG154" s="666"/>
      <c r="AH154" s="667"/>
      <c r="AI154" s="678"/>
      <c r="AJ154" s="666"/>
      <c r="AK154" s="666"/>
      <c r="AL154" s="666"/>
      <c r="AM154" s="667"/>
      <c r="AN154" s="671"/>
      <c r="AO154" s="649"/>
      <c r="AP154" s="292"/>
      <c r="AQ154" s="666"/>
      <c r="AR154" s="666"/>
      <c r="AS154" s="667"/>
      <c r="AT154" s="678"/>
      <c r="AU154" s="666"/>
      <c r="AV154" s="666"/>
      <c r="AW154" s="666"/>
      <c r="AX154" s="680"/>
      <c r="AY154" s="671"/>
      <c r="AZ154" s="649"/>
      <c r="BA154" s="292"/>
      <c r="BB154" s="666"/>
      <c r="BC154" s="666"/>
      <c r="BD154" s="689"/>
      <c r="BE154" s="678"/>
      <c r="BF154" s="666"/>
      <c r="BG154" s="666"/>
      <c r="BH154" s="666"/>
      <c r="BI154" s="667"/>
      <c r="BJ154" s="678"/>
      <c r="BK154" s="690"/>
      <c r="BL154" s="312"/>
      <c r="BM154" s="475">
        <f t="shared" si="39"/>
        <v>0</v>
      </c>
      <c r="BN154" s="475">
        <f t="shared" si="40"/>
        <v>0</v>
      </c>
      <c r="BO154" s="475">
        <f t="shared" si="41"/>
        <v>0</v>
      </c>
      <c r="BP154" s="475">
        <f t="shared" si="42"/>
        <v>0</v>
      </c>
      <c r="BQ154" s="312"/>
      <c r="BR154" s="476">
        <f t="shared" si="43"/>
        <v>0</v>
      </c>
      <c r="BS154" s="465">
        <f t="shared" si="44"/>
        <v>0</v>
      </c>
      <c r="BT154" s="466" t="str">
        <f t="shared" si="38"/>
        <v>n.a.</v>
      </c>
    </row>
    <row r="155" spans="1:72">
      <c r="A155" s="201">
        <f t="shared" si="35"/>
        <v>142</v>
      </c>
      <c r="B155" s="641"/>
      <c r="C155" s="631" t="s">
        <v>8726</v>
      </c>
      <c r="D155" s="642"/>
      <c r="E155" s="643"/>
      <c r="F155" s="643"/>
      <c r="G155" s="474">
        <f t="shared" si="36"/>
        <v>0</v>
      </c>
      <c r="H155" s="293" t="str">
        <f t="shared" si="37"/>
        <v/>
      </c>
      <c r="I155" s="652"/>
      <c r="J155" s="653"/>
      <c r="K155" s="643"/>
      <c r="L155" s="654"/>
      <c r="M155" s="653"/>
      <c r="N155" s="643"/>
      <c r="O155" s="643"/>
      <c r="P155" s="643"/>
      <c r="Q155" s="652"/>
      <c r="R155" s="655"/>
      <c r="S155" s="649"/>
      <c r="T155" s="292" t="e">
        <f>INDEX(ei_geo!$B:$B,MATCH(S155,ei_geo!$A:$A,0))</f>
        <v>#N/A</v>
      </c>
      <c r="U155" s="666"/>
      <c r="V155" s="666"/>
      <c r="W155" s="667"/>
      <c r="X155" s="653"/>
      <c r="Y155" s="643"/>
      <c r="Z155" s="643"/>
      <c r="AA155" s="643"/>
      <c r="AB155" s="652"/>
      <c r="AC155" s="671"/>
      <c r="AD155" s="649"/>
      <c r="AE155" s="292"/>
      <c r="AF155" s="666"/>
      <c r="AG155" s="666"/>
      <c r="AH155" s="667"/>
      <c r="AI155" s="678"/>
      <c r="AJ155" s="666"/>
      <c r="AK155" s="666"/>
      <c r="AL155" s="666"/>
      <c r="AM155" s="667"/>
      <c r="AN155" s="671"/>
      <c r="AO155" s="649"/>
      <c r="AP155" s="292"/>
      <c r="AQ155" s="666"/>
      <c r="AR155" s="666"/>
      <c r="AS155" s="667"/>
      <c r="AT155" s="678"/>
      <c r="AU155" s="666"/>
      <c r="AV155" s="666"/>
      <c r="AW155" s="666"/>
      <c r="AX155" s="680"/>
      <c r="AY155" s="671"/>
      <c r="AZ155" s="649"/>
      <c r="BA155" s="292"/>
      <c r="BB155" s="666"/>
      <c r="BC155" s="666"/>
      <c r="BD155" s="689"/>
      <c r="BE155" s="678"/>
      <c r="BF155" s="666"/>
      <c r="BG155" s="666"/>
      <c r="BH155" s="666"/>
      <c r="BI155" s="667"/>
      <c r="BJ155" s="678"/>
      <c r="BK155" s="690"/>
      <c r="BL155" s="312"/>
      <c r="BM155" s="475">
        <f t="shared" si="39"/>
        <v>0</v>
      </c>
      <c r="BN155" s="475">
        <f t="shared" si="40"/>
        <v>0</v>
      </c>
      <c r="BO155" s="475">
        <f t="shared" si="41"/>
        <v>0</v>
      </c>
      <c r="BP155" s="475">
        <f t="shared" si="42"/>
        <v>0</v>
      </c>
      <c r="BQ155" s="312"/>
      <c r="BR155" s="476">
        <f t="shared" si="43"/>
        <v>0</v>
      </c>
      <c r="BS155" s="465">
        <f t="shared" si="44"/>
        <v>0</v>
      </c>
      <c r="BT155" s="466" t="str">
        <f t="shared" si="38"/>
        <v>n.a.</v>
      </c>
    </row>
    <row r="156" spans="1:72">
      <c r="A156" s="201">
        <f t="shared" si="35"/>
        <v>143</v>
      </c>
      <c r="B156" s="641"/>
      <c r="C156" s="631" t="s">
        <v>8727</v>
      </c>
      <c r="D156" s="642"/>
      <c r="E156" s="643"/>
      <c r="F156" s="643"/>
      <c r="G156" s="474">
        <f t="shared" si="36"/>
        <v>0</v>
      </c>
      <c r="H156" s="293" t="str">
        <f t="shared" si="37"/>
        <v/>
      </c>
      <c r="I156" s="652"/>
      <c r="J156" s="653"/>
      <c r="K156" s="643"/>
      <c r="L156" s="654"/>
      <c r="M156" s="653"/>
      <c r="N156" s="643"/>
      <c r="O156" s="643"/>
      <c r="P156" s="643"/>
      <c r="Q156" s="652"/>
      <c r="R156" s="655"/>
      <c r="S156" s="649"/>
      <c r="T156" s="292" t="e">
        <f>INDEX(ei_geo!$B:$B,MATCH(S156,ei_geo!$A:$A,0))</f>
        <v>#N/A</v>
      </c>
      <c r="U156" s="666"/>
      <c r="V156" s="666"/>
      <c r="W156" s="667"/>
      <c r="X156" s="653"/>
      <c r="Y156" s="643"/>
      <c r="Z156" s="643"/>
      <c r="AA156" s="643"/>
      <c r="AB156" s="652"/>
      <c r="AC156" s="671"/>
      <c r="AD156" s="649"/>
      <c r="AE156" s="292"/>
      <c r="AF156" s="666"/>
      <c r="AG156" s="666"/>
      <c r="AH156" s="667"/>
      <c r="AI156" s="678"/>
      <c r="AJ156" s="666"/>
      <c r="AK156" s="666"/>
      <c r="AL156" s="666"/>
      <c r="AM156" s="667"/>
      <c r="AN156" s="671"/>
      <c r="AO156" s="649"/>
      <c r="AP156" s="292"/>
      <c r="AQ156" s="666"/>
      <c r="AR156" s="666"/>
      <c r="AS156" s="667"/>
      <c r="AT156" s="678"/>
      <c r="AU156" s="666"/>
      <c r="AV156" s="666"/>
      <c r="AW156" s="666"/>
      <c r="AX156" s="680"/>
      <c r="AY156" s="671"/>
      <c r="AZ156" s="649"/>
      <c r="BA156" s="292"/>
      <c r="BB156" s="666"/>
      <c r="BC156" s="666"/>
      <c r="BD156" s="689"/>
      <c r="BE156" s="678"/>
      <c r="BF156" s="666"/>
      <c r="BG156" s="666"/>
      <c r="BH156" s="666"/>
      <c r="BI156" s="667"/>
      <c r="BJ156" s="678"/>
      <c r="BK156" s="690"/>
      <c r="BL156" s="312"/>
      <c r="BM156" s="475">
        <f t="shared" si="39"/>
        <v>0</v>
      </c>
      <c r="BN156" s="475">
        <f t="shared" si="40"/>
        <v>0</v>
      </c>
      <c r="BO156" s="475">
        <f t="shared" si="41"/>
        <v>0</v>
      </c>
      <c r="BP156" s="475">
        <f t="shared" si="42"/>
        <v>0</v>
      </c>
      <c r="BQ156" s="312"/>
      <c r="BR156" s="476">
        <f t="shared" si="43"/>
        <v>0</v>
      </c>
      <c r="BS156" s="465">
        <f t="shared" si="44"/>
        <v>0</v>
      </c>
      <c r="BT156" s="466" t="str">
        <f t="shared" si="38"/>
        <v>n.a.</v>
      </c>
    </row>
    <row r="157" spans="1:72">
      <c r="A157" s="201">
        <f t="shared" si="35"/>
        <v>144</v>
      </c>
      <c r="B157" s="641"/>
      <c r="C157" s="631" t="s">
        <v>8728</v>
      </c>
      <c r="D157" s="642"/>
      <c r="E157" s="643"/>
      <c r="F157" s="643"/>
      <c r="G157" s="474">
        <f t="shared" si="36"/>
        <v>0</v>
      </c>
      <c r="H157" s="293" t="str">
        <f t="shared" si="37"/>
        <v/>
      </c>
      <c r="I157" s="652"/>
      <c r="J157" s="653"/>
      <c r="K157" s="643"/>
      <c r="L157" s="654"/>
      <c r="M157" s="653"/>
      <c r="N157" s="643"/>
      <c r="O157" s="643"/>
      <c r="P157" s="643"/>
      <c r="Q157" s="652"/>
      <c r="R157" s="655"/>
      <c r="S157" s="649"/>
      <c r="T157" s="292" t="e">
        <f>INDEX(ei_geo!$B:$B,MATCH(S157,ei_geo!$A:$A,0))</f>
        <v>#N/A</v>
      </c>
      <c r="U157" s="666"/>
      <c r="V157" s="666"/>
      <c r="W157" s="667"/>
      <c r="X157" s="653"/>
      <c r="Y157" s="643"/>
      <c r="Z157" s="643"/>
      <c r="AA157" s="643"/>
      <c r="AB157" s="652"/>
      <c r="AC157" s="671"/>
      <c r="AD157" s="649"/>
      <c r="AE157" s="292"/>
      <c r="AF157" s="666"/>
      <c r="AG157" s="666"/>
      <c r="AH157" s="667"/>
      <c r="AI157" s="678"/>
      <c r="AJ157" s="666"/>
      <c r="AK157" s="666"/>
      <c r="AL157" s="666"/>
      <c r="AM157" s="667"/>
      <c r="AN157" s="671"/>
      <c r="AO157" s="649"/>
      <c r="AP157" s="292"/>
      <c r="AQ157" s="666"/>
      <c r="AR157" s="666"/>
      <c r="AS157" s="667"/>
      <c r="AT157" s="678"/>
      <c r="AU157" s="666"/>
      <c r="AV157" s="666"/>
      <c r="AW157" s="666"/>
      <c r="AX157" s="680"/>
      <c r="AY157" s="671"/>
      <c r="AZ157" s="649"/>
      <c r="BA157" s="292"/>
      <c r="BB157" s="666"/>
      <c r="BC157" s="666"/>
      <c r="BD157" s="689"/>
      <c r="BE157" s="678"/>
      <c r="BF157" s="666"/>
      <c r="BG157" s="666"/>
      <c r="BH157" s="666"/>
      <c r="BI157" s="667"/>
      <c r="BJ157" s="678"/>
      <c r="BK157" s="690"/>
      <c r="BL157" s="312"/>
      <c r="BM157" s="475">
        <f t="shared" si="39"/>
        <v>0</v>
      </c>
      <c r="BN157" s="475">
        <f t="shared" si="40"/>
        <v>0</v>
      </c>
      <c r="BO157" s="475">
        <f t="shared" si="41"/>
        <v>0</v>
      </c>
      <c r="BP157" s="475">
        <f t="shared" si="42"/>
        <v>0</v>
      </c>
      <c r="BQ157" s="312"/>
      <c r="BR157" s="476">
        <f t="shared" si="43"/>
        <v>0</v>
      </c>
      <c r="BS157" s="465">
        <f t="shared" si="44"/>
        <v>0</v>
      </c>
      <c r="BT157" s="466" t="str">
        <f t="shared" si="38"/>
        <v>n.a.</v>
      </c>
    </row>
    <row r="158" spans="1:72">
      <c r="A158" s="201">
        <f t="shared" ref="A158:A213" si="45">A157+1</f>
        <v>145</v>
      </c>
      <c r="B158" s="641"/>
      <c r="C158" s="631" t="s">
        <v>8729</v>
      </c>
      <c r="D158" s="642"/>
      <c r="E158" s="643"/>
      <c r="F158" s="643"/>
      <c r="G158" s="474">
        <f t="shared" si="36"/>
        <v>0</v>
      </c>
      <c r="H158" s="293" t="str">
        <f t="shared" si="37"/>
        <v/>
      </c>
      <c r="I158" s="652"/>
      <c r="J158" s="653"/>
      <c r="K158" s="643"/>
      <c r="L158" s="654"/>
      <c r="M158" s="653"/>
      <c r="N158" s="643"/>
      <c r="O158" s="643"/>
      <c r="P158" s="643"/>
      <c r="Q158" s="652"/>
      <c r="R158" s="655"/>
      <c r="S158" s="649"/>
      <c r="T158" s="292" t="e">
        <f>INDEX(ei_geo!$B:$B,MATCH(S158,ei_geo!$A:$A,0))</f>
        <v>#N/A</v>
      </c>
      <c r="U158" s="666"/>
      <c r="V158" s="666"/>
      <c r="W158" s="667"/>
      <c r="X158" s="653"/>
      <c r="Y158" s="643"/>
      <c r="Z158" s="643"/>
      <c r="AA158" s="643"/>
      <c r="AB158" s="652"/>
      <c r="AC158" s="671"/>
      <c r="AD158" s="649"/>
      <c r="AE158" s="292"/>
      <c r="AF158" s="666"/>
      <c r="AG158" s="666"/>
      <c r="AH158" s="667"/>
      <c r="AI158" s="678"/>
      <c r="AJ158" s="666"/>
      <c r="AK158" s="666"/>
      <c r="AL158" s="666"/>
      <c r="AM158" s="667"/>
      <c r="AN158" s="671"/>
      <c r="AO158" s="649"/>
      <c r="AP158" s="292"/>
      <c r="AQ158" s="666"/>
      <c r="AR158" s="666"/>
      <c r="AS158" s="667"/>
      <c r="AT158" s="678"/>
      <c r="AU158" s="666"/>
      <c r="AV158" s="666"/>
      <c r="AW158" s="666"/>
      <c r="AX158" s="680"/>
      <c r="AY158" s="671"/>
      <c r="AZ158" s="649"/>
      <c r="BA158" s="292"/>
      <c r="BB158" s="666"/>
      <c r="BC158" s="666"/>
      <c r="BD158" s="689"/>
      <c r="BE158" s="678"/>
      <c r="BF158" s="666"/>
      <c r="BG158" s="666"/>
      <c r="BH158" s="666"/>
      <c r="BI158" s="667"/>
      <c r="BJ158" s="678"/>
      <c r="BK158" s="690"/>
      <c r="BL158" s="312"/>
      <c r="BM158" s="475">
        <f t="shared" si="39"/>
        <v>0</v>
      </c>
      <c r="BN158" s="475">
        <f t="shared" si="40"/>
        <v>0</v>
      </c>
      <c r="BO158" s="475">
        <f t="shared" si="41"/>
        <v>0</v>
      </c>
      <c r="BP158" s="475">
        <f t="shared" si="42"/>
        <v>0</v>
      </c>
      <c r="BQ158" s="312"/>
      <c r="BR158" s="476">
        <f t="shared" si="43"/>
        <v>0</v>
      </c>
      <c r="BS158" s="465">
        <f t="shared" si="44"/>
        <v>0</v>
      </c>
      <c r="BT158" s="466" t="str">
        <f t="shared" si="38"/>
        <v>n.a.</v>
      </c>
    </row>
    <row r="159" spans="1:72">
      <c r="A159" s="201">
        <f t="shared" si="45"/>
        <v>146</v>
      </c>
      <c r="B159" s="641"/>
      <c r="C159" s="631" t="s">
        <v>8730</v>
      </c>
      <c r="D159" s="642"/>
      <c r="E159" s="643"/>
      <c r="F159" s="643"/>
      <c r="G159" s="474">
        <f t="shared" si="36"/>
        <v>0</v>
      </c>
      <c r="H159" s="293" t="str">
        <f t="shared" si="37"/>
        <v/>
      </c>
      <c r="I159" s="652"/>
      <c r="J159" s="653"/>
      <c r="K159" s="643"/>
      <c r="L159" s="654"/>
      <c r="M159" s="653"/>
      <c r="N159" s="643"/>
      <c r="O159" s="643"/>
      <c r="P159" s="643"/>
      <c r="Q159" s="652"/>
      <c r="R159" s="655"/>
      <c r="S159" s="649"/>
      <c r="T159" s="292" t="e">
        <f>INDEX(ei_geo!$B:$B,MATCH(S159,ei_geo!$A:$A,0))</f>
        <v>#N/A</v>
      </c>
      <c r="U159" s="666"/>
      <c r="V159" s="666"/>
      <c r="W159" s="667"/>
      <c r="X159" s="653"/>
      <c r="Y159" s="643"/>
      <c r="Z159" s="643"/>
      <c r="AA159" s="643"/>
      <c r="AB159" s="652"/>
      <c r="AC159" s="671"/>
      <c r="AD159" s="649"/>
      <c r="AE159" s="292"/>
      <c r="AF159" s="666"/>
      <c r="AG159" s="666"/>
      <c r="AH159" s="667"/>
      <c r="AI159" s="678"/>
      <c r="AJ159" s="666"/>
      <c r="AK159" s="666"/>
      <c r="AL159" s="666"/>
      <c r="AM159" s="667"/>
      <c r="AN159" s="671"/>
      <c r="AO159" s="649"/>
      <c r="AP159" s="292"/>
      <c r="AQ159" s="666"/>
      <c r="AR159" s="666"/>
      <c r="AS159" s="667"/>
      <c r="AT159" s="678"/>
      <c r="AU159" s="666"/>
      <c r="AV159" s="666"/>
      <c r="AW159" s="666"/>
      <c r="AX159" s="680"/>
      <c r="AY159" s="671"/>
      <c r="AZ159" s="649"/>
      <c r="BA159" s="292"/>
      <c r="BB159" s="666"/>
      <c r="BC159" s="666"/>
      <c r="BD159" s="689"/>
      <c r="BE159" s="678"/>
      <c r="BF159" s="666"/>
      <c r="BG159" s="666"/>
      <c r="BH159" s="666"/>
      <c r="BI159" s="667"/>
      <c r="BJ159" s="678"/>
      <c r="BK159" s="690"/>
      <c r="BL159" s="312"/>
      <c r="BM159" s="475">
        <f t="shared" si="39"/>
        <v>0</v>
      </c>
      <c r="BN159" s="475">
        <f t="shared" si="40"/>
        <v>0</v>
      </c>
      <c r="BO159" s="475">
        <f t="shared" si="41"/>
        <v>0</v>
      </c>
      <c r="BP159" s="475">
        <f t="shared" si="42"/>
        <v>0</v>
      </c>
      <c r="BQ159" s="312"/>
      <c r="BR159" s="476">
        <f t="shared" si="43"/>
        <v>0</v>
      </c>
      <c r="BS159" s="465">
        <f t="shared" si="44"/>
        <v>0</v>
      </c>
      <c r="BT159" s="466" t="str">
        <f t="shared" si="38"/>
        <v>n.a.</v>
      </c>
    </row>
    <row r="160" spans="1:72">
      <c r="A160" s="201">
        <f t="shared" si="45"/>
        <v>147</v>
      </c>
      <c r="B160" s="641"/>
      <c r="C160" s="631" t="s">
        <v>8731</v>
      </c>
      <c r="D160" s="642"/>
      <c r="E160" s="643"/>
      <c r="F160" s="643"/>
      <c r="G160" s="474">
        <f t="shared" si="36"/>
        <v>0</v>
      </c>
      <c r="H160" s="293" t="str">
        <f t="shared" si="37"/>
        <v/>
      </c>
      <c r="I160" s="652"/>
      <c r="J160" s="653"/>
      <c r="K160" s="643"/>
      <c r="L160" s="654"/>
      <c r="M160" s="653"/>
      <c r="N160" s="643"/>
      <c r="O160" s="643"/>
      <c r="P160" s="643"/>
      <c r="Q160" s="652"/>
      <c r="R160" s="655"/>
      <c r="S160" s="649"/>
      <c r="T160" s="292" t="e">
        <f>INDEX(ei_geo!$B:$B,MATCH(S160,ei_geo!$A:$A,0))</f>
        <v>#N/A</v>
      </c>
      <c r="U160" s="666"/>
      <c r="V160" s="666"/>
      <c r="W160" s="667"/>
      <c r="X160" s="653"/>
      <c r="Y160" s="643"/>
      <c r="Z160" s="643"/>
      <c r="AA160" s="643"/>
      <c r="AB160" s="652"/>
      <c r="AC160" s="671"/>
      <c r="AD160" s="649"/>
      <c r="AE160" s="292"/>
      <c r="AF160" s="666"/>
      <c r="AG160" s="666"/>
      <c r="AH160" s="667"/>
      <c r="AI160" s="678"/>
      <c r="AJ160" s="666"/>
      <c r="AK160" s="666"/>
      <c r="AL160" s="666"/>
      <c r="AM160" s="667"/>
      <c r="AN160" s="671"/>
      <c r="AO160" s="649"/>
      <c r="AP160" s="292"/>
      <c r="AQ160" s="666"/>
      <c r="AR160" s="666"/>
      <c r="AS160" s="667"/>
      <c r="AT160" s="678"/>
      <c r="AU160" s="666"/>
      <c r="AV160" s="666"/>
      <c r="AW160" s="666"/>
      <c r="AX160" s="680"/>
      <c r="AY160" s="671"/>
      <c r="AZ160" s="649"/>
      <c r="BA160" s="292"/>
      <c r="BB160" s="666"/>
      <c r="BC160" s="666"/>
      <c r="BD160" s="689"/>
      <c r="BE160" s="678"/>
      <c r="BF160" s="666"/>
      <c r="BG160" s="666"/>
      <c r="BH160" s="666"/>
      <c r="BI160" s="667"/>
      <c r="BJ160" s="678"/>
      <c r="BK160" s="690"/>
      <c r="BL160" s="312"/>
      <c r="BM160" s="475">
        <f t="shared" si="39"/>
        <v>0</v>
      </c>
      <c r="BN160" s="475">
        <f t="shared" si="40"/>
        <v>0</v>
      </c>
      <c r="BO160" s="475">
        <f t="shared" si="41"/>
        <v>0</v>
      </c>
      <c r="BP160" s="475">
        <f t="shared" si="42"/>
        <v>0</v>
      </c>
      <c r="BQ160" s="312"/>
      <c r="BR160" s="476">
        <f t="shared" si="43"/>
        <v>0</v>
      </c>
      <c r="BS160" s="465">
        <f t="shared" si="44"/>
        <v>0</v>
      </c>
      <c r="BT160" s="466" t="str">
        <f t="shared" si="38"/>
        <v>n.a.</v>
      </c>
    </row>
    <row r="161" spans="1:72">
      <c r="A161" s="201">
        <f t="shared" si="45"/>
        <v>148</v>
      </c>
      <c r="B161" s="641"/>
      <c r="C161" s="631" t="s">
        <v>8732</v>
      </c>
      <c r="D161" s="642"/>
      <c r="E161" s="643"/>
      <c r="F161" s="643"/>
      <c r="G161" s="474">
        <f t="shared" si="36"/>
        <v>0</v>
      </c>
      <c r="H161" s="293" t="str">
        <f t="shared" si="37"/>
        <v/>
      </c>
      <c r="I161" s="652"/>
      <c r="J161" s="653"/>
      <c r="K161" s="643"/>
      <c r="L161" s="654"/>
      <c r="M161" s="653"/>
      <c r="N161" s="643"/>
      <c r="O161" s="643"/>
      <c r="P161" s="643"/>
      <c r="Q161" s="652"/>
      <c r="R161" s="655"/>
      <c r="S161" s="649"/>
      <c r="T161" s="292" t="e">
        <f>INDEX(ei_geo!$B:$B,MATCH(S161,ei_geo!$A:$A,0))</f>
        <v>#N/A</v>
      </c>
      <c r="U161" s="666"/>
      <c r="V161" s="666"/>
      <c r="W161" s="667"/>
      <c r="X161" s="653"/>
      <c r="Y161" s="643"/>
      <c r="Z161" s="643"/>
      <c r="AA161" s="643"/>
      <c r="AB161" s="652"/>
      <c r="AC161" s="671"/>
      <c r="AD161" s="649"/>
      <c r="AE161" s="292"/>
      <c r="AF161" s="666"/>
      <c r="AG161" s="666"/>
      <c r="AH161" s="667"/>
      <c r="AI161" s="678"/>
      <c r="AJ161" s="666"/>
      <c r="AK161" s="666"/>
      <c r="AL161" s="666"/>
      <c r="AM161" s="667"/>
      <c r="AN161" s="671"/>
      <c r="AO161" s="649"/>
      <c r="AP161" s="292"/>
      <c r="AQ161" s="666"/>
      <c r="AR161" s="666"/>
      <c r="AS161" s="667"/>
      <c r="AT161" s="678"/>
      <c r="AU161" s="666"/>
      <c r="AV161" s="666"/>
      <c r="AW161" s="666"/>
      <c r="AX161" s="680"/>
      <c r="AY161" s="671"/>
      <c r="AZ161" s="649"/>
      <c r="BA161" s="292"/>
      <c r="BB161" s="666"/>
      <c r="BC161" s="666"/>
      <c r="BD161" s="689"/>
      <c r="BE161" s="678"/>
      <c r="BF161" s="666"/>
      <c r="BG161" s="666"/>
      <c r="BH161" s="666"/>
      <c r="BI161" s="667"/>
      <c r="BJ161" s="678"/>
      <c r="BK161" s="690"/>
      <c r="BL161" s="312"/>
      <c r="BM161" s="475">
        <f t="shared" si="39"/>
        <v>0</v>
      </c>
      <c r="BN161" s="475">
        <f t="shared" si="40"/>
        <v>0</v>
      </c>
      <c r="BO161" s="475">
        <f t="shared" si="41"/>
        <v>0</v>
      </c>
      <c r="BP161" s="475">
        <f t="shared" si="42"/>
        <v>0</v>
      </c>
      <c r="BQ161" s="312"/>
      <c r="BR161" s="476">
        <f t="shared" si="43"/>
        <v>0</v>
      </c>
      <c r="BS161" s="465">
        <f t="shared" si="44"/>
        <v>0</v>
      </c>
      <c r="BT161" s="466" t="str">
        <f t="shared" si="38"/>
        <v>n.a.</v>
      </c>
    </row>
    <row r="162" spans="1:72">
      <c r="A162" s="201">
        <f t="shared" si="45"/>
        <v>149</v>
      </c>
      <c r="B162" s="641"/>
      <c r="C162" s="631" t="s">
        <v>8733</v>
      </c>
      <c r="D162" s="642"/>
      <c r="E162" s="643"/>
      <c r="F162" s="643"/>
      <c r="G162" s="474">
        <f t="shared" ref="G162:G213" si="46">E162*F162</f>
        <v>0</v>
      </c>
      <c r="H162" s="293" t="str">
        <f t="shared" ref="H162:H213" si="47">IFERROR(G162/$G$214,"")</f>
        <v/>
      </c>
      <c r="I162" s="652"/>
      <c r="J162" s="653"/>
      <c r="K162" s="643"/>
      <c r="L162" s="654"/>
      <c r="M162" s="653"/>
      <c r="N162" s="643"/>
      <c r="O162" s="643"/>
      <c r="P162" s="643"/>
      <c r="Q162" s="652"/>
      <c r="R162" s="655"/>
      <c r="S162" s="649"/>
      <c r="T162" s="292" t="e">
        <f>INDEX(ei_geo!$B:$B,MATCH(S162,ei_geo!$A:$A,0))</f>
        <v>#N/A</v>
      </c>
      <c r="U162" s="666"/>
      <c r="V162" s="666"/>
      <c r="W162" s="667"/>
      <c r="X162" s="653"/>
      <c r="Y162" s="643"/>
      <c r="Z162" s="643"/>
      <c r="AA162" s="643"/>
      <c r="AB162" s="652"/>
      <c r="AC162" s="671"/>
      <c r="AD162" s="649"/>
      <c r="AE162" s="292"/>
      <c r="AF162" s="666"/>
      <c r="AG162" s="666"/>
      <c r="AH162" s="667"/>
      <c r="AI162" s="678"/>
      <c r="AJ162" s="666"/>
      <c r="AK162" s="666"/>
      <c r="AL162" s="666"/>
      <c r="AM162" s="667"/>
      <c r="AN162" s="671"/>
      <c r="AO162" s="649"/>
      <c r="AP162" s="292"/>
      <c r="AQ162" s="666"/>
      <c r="AR162" s="666"/>
      <c r="AS162" s="667"/>
      <c r="AT162" s="678"/>
      <c r="AU162" s="666"/>
      <c r="AV162" s="666"/>
      <c r="AW162" s="666"/>
      <c r="AX162" s="680"/>
      <c r="AY162" s="671"/>
      <c r="AZ162" s="649"/>
      <c r="BA162" s="292"/>
      <c r="BB162" s="666"/>
      <c r="BC162" s="666"/>
      <c r="BD162" s="689"/>
      <c r="BE162" s="678"/>
      <c r="BF162" s="666"/>
      <c r="BG162" s="666"/>
      <c r="BH162" s="666"/>
      <c r="BI162" s="667"/>
      <c r="BJ162" s="678"/>
      <c r="BK162" s="690"/>
      <c r="BL162" s="312"/>
      <c r="BM162" s="475">
        <f t="shared" si="39"/>
        <v>0</v>
      </c>
      <c r="BN162" s="475">
        <f t="shared" si="40"/>
        <v>0</v>
      </c>
      <c r="BO162" s="475">
        <f t="shared" si="41"/>
        <v>0</v>
      </c>
      <c r="BP162" s="475">
        <f t="shared" si="42"/>
        <v>0</v>
      </c>
      <c r="BQ162" s="312"/>
      <c r="BR162" s="476">
        <f t="shared" si="43"/>
        <v>0</v>
      </c>
      <c r="BS162" s="465">
        <f t="shared" si="44"/>
        <v>0</v>
      </c>
      <c r="BT162" s="466" t="str">
        <f t="shared" si="38"/>
        <v>n.a.</v>
      </c>
    </row>
    <row r="163" spans="1:72" s="312" customFormat="1">
      <c r="A163" s="201">
        <f t="shared" si="45"/>
        <v>150</v>
      </c>
      <c r="B163" s="641"/>
      <c r="C163" s="631" t="s">
        <v>8734</v>
      </c>
      <c r="D163" s="644"/>
      <c r="E163" s="645"/>
      <c r="F163" s="645"/>
      <c r="G163" s="474">
        <f t="shared" si="46"/>
        <v>0</v>
      </c>
      <c r="H163" s="293" t="str">
        <f t="shared" si="47"/>
        <v/>
      </c>
      <c r="I163" s="656"/>
      <c r="J163" s="657"/>
      <c r="K163" s="645"/>
      <c r="L163" s="658"/>
      <c r="M163" s="657"/>
      <c r="N163" s="645"/>
      <c r="O163" s="645"/>
      <c r="P163" s="645"/>
      <c r="Q163" s="656"/>
      <c r="R163" s="659"/>
      <c r="S163" s="649"/>
      <c r="T163" s="292" t="e">
        <f>INDEX(ei_geo!$B:$B,MATCH(S163,ei_geo!$A:$A,0))</f>
        <v>#N/A</v>
      </c>
      <c r="U163" s="675"/>
      <c r="V163" s="675"/>
      <c r="W163" s="676"/>
      <c r="X163" s="657"/>
      <c r="Y163" s="645"/>
      <c r="Z163" s="645"/>
      <c r="AA163" s="645"/>
      <c r="AB163" s="656"/>
      <c r="AC163" s="677"/>
      <c r="AD163" s="649"/>
      <c r="AE163" s="292"/>
      <c r="AF163" s="675"/>
      <c r="AG163" s="675"/>
      <c r="AH163" s="676"/>
      <c r="AI163" s="681"/>
      <c r="AJ163" s="675"/>
      <c r="AK163" s="675"/>
      <c r="AL163" s="675"/>
      <c r="AM163" s="676"/>
      <c r="AN163" s="677"/>
      <c r="AO163" s="649"/>
      <c r="AP163" s="292"/>
      <c r="AQ163" s="675"/>
      <c r="AR163" s="675"/>
      <c r="AS163" s="676"/>
      <c r="AT163" s="681"/>
      <c r="AU163" s="675"/>
      <c r="AV163" s="675"/>
      <c r="AW163" s="675"/>
      <c r="AX163" s="685"/>
      <c r="AY163" s="677"/>
      <c r="AZ163" s="649"/>
      <c r="BA163" s="292"/>
      <c r="BB163" s="675"/>
      <c r="BC163" s="675"/>
      <c r="BD163" s="691"/>
      <c r="BE163" s="681"/>
      <c r="BF163" s="675"/>
      <c r="BG163" s="675"/>
      <c r="BH163" s="675"/>
      <c r="BI163" s="676"/>
      <c r="BJ163" s="681"/>
      <c r="BK163" s="692"/>
      <c r="BM163" s="475">
        <f t="shared" ref="BM163:BM213" si="48">($G163/1000)*AB163</f>
        <v>0</v>
      </c>
      <c r="BN163" s="475">
        <f t="shared" ref="BN163:BN213" si="49">($G163/1000)*AM163</f>
        <v>0</v>
      </c>
      <c r="BO163" s="475">
        <f t="shared" ref="BO163:BO213" si="50">($G163/1000)*AX163</f>
        <v>0</v>
      </c>
      <c r="BP163" s="475">
        <f t="shared" ref="BP163:BP213" si="51">($G163/1000)*BI163</f>
        <v>0</v>
      </c>
      <c r="BR163" s="476">
        <f t="shared" si="43"/>
        <v>0</v>
      </c>
      <c r="BS163" s="465">
        <f t="shared" si="44"/>
        <v>0</v>
      </c>
      <c r="BT163" s="466" t="str">
        <f t="shared" si="38"/>
        <v>n.a.</v>
      </c>
    </row>
    <row r="164" spans="1:72" s="312" customFormat="1">
      <c r="A164" s="201">
        <f t="shared" si="45"/>
        <v>151</v>
      </c>
      <c r="B164" s="641"/>
      <c r="C164" s="631" t="s">
        <v>8735</v>
      </c>
      <c r="D164" s="644"/>
      <c r="E164" s="645"/>
      <c r="F164" s="645"/>
      <c r="G164" s="474">
        <f t="shared" si="46"/>
        <v>0</v>
      </c>
      <c r="H164" s="293" t="str">
        <f t="shared" si="47"/>
        <v/>
      </c>
      <c r="I164" s="656"/>
      <c r="J164" s="657"/>
      <c r="K164" s="645"/>
      <c r="L164" s="658"/>
      <c r="M164" s="657"/>
      <c r="N164" s="645"/>
      <c r="O164" s="645"/>
      <c r="P164" s="645"/>
      <c r="Q164" s="656"/>
      <c r="R164" s="659"/>
      <c r="S164" s="649"/>
      <c r="T164" s="292" t="e">
        <f>INDEX(ei_geo!$B:$B,MATCH(S164,ei_geo!$A:$A,0))</f>
        <v>#N/A</v>
      </c>
      <c r="U164" s="675"/>
      <c r="V164" s="675"/>
      <c r="W164" s="676"/>
      <c r="X164" s="657"/>
      <c r="Y164" s="645"/>
      <c r="Z164" s="645"/>
      <c r="AA164" s="645"/>
      <c r="AB164" s="656"/>
      <c r="AC164" s="677"/>
      <c r="AD164" s="649"/>
      <c r="AE164" s="292"/>
      <c r="AF164" s="675"/>
      <c r="AG164" s="675"/>
      <c r="AH164" s="676"/>
      <c r="AI164" s="681"/>
      <c r="AJ164" s="675"/>
      <c r="AK164" s="675"/>
      <c r="AL164" s="675"/>
      <c r="AM164" s="676"/>
      <c r="AN164" s="677"/>
      <c r="AO164" s="649"/>
      <c r="AP164" s="292"/>
      <c r="AQ164" s="675"/>
      <c r="AR164" s="675"/>
      <c r="AS164" s="676"/>
      <c r="AT164" s="681"/>
      <c r="AU164" s="675"/>
      <c r="AV164" s="675"/>
      <c r="AW164" s="675"/>
      <c r="AX164" s="685"/>
      <c r="AY164" s="677"/>
      <c r="AZ164" s="649"/>
      <c r="BA164" s="292"/>
      <c r="BB164" s="675"/>
      <c r="BC164" s="675"/>
      <c r="BD164" s="691"/>
      <c r="BE164" s="681"/>
      <c r="BF164" s="675"/>
      <c r="BG164" s="675"/>
      <c r="BH164" s="675"/>
      <c r="BI164" s="676"/>
      <c r="BJ164" s="681"/>
      <c r="BK164" s="692"/>
      <c r="BM164" s="475">
        <f t="shared" si="48"/>
        <v>0</v>
      </c>
      <c r="BN164" s="475">
        <f t="shared" si="49"/>
        <v>0</v>
      </c>
      <c r="BO164" s="475">
        <f t="shared" si="50"/>
        <v>0</v>
      </c>
      <c r="BP164" s="475">
        <f t="shared" si="51"/>
        <v>0</v>
      </c>
      <c r="BR164" s="476">
        <f t="shared" si="43"/>
        <v>0</v>
      </c>
      <c r="BS164" s="465">
        <f t="shared" si="44"/>
        <v>0</v>
      </c>
      <c r="BT164" s="466" t="str">
        <f t="shared" si="38"/>
        <v>n.a.</v>
      </c>
    </row>
    <row r="165" spans="1:72" s="312" customFormat="1">
      <c r="A165" s="201">
        <f t="shared" si="45"/>
        <v>152</v>
      </c>
      <c r="B165" s="641"/>
      <c r="C165" s="631" t="s">
        <v>8736</v>
      </c>
      <c r="D165" s="644"/>
      <c r="E165" s="645"/>
      <c r="F165" s="645"/>
      <c r="G165" s="474">
        <f t="shared" si="46"/>
        <v>0</v>
      </c>
      <c r="H165" s="293" t="str">
        <f t="shared" si="47"/>
        <v/>
      </c>
      <c r="I165" s="656"/>
      <c r="J165" s="657"/>
      <c r="K165" s="645"/>
      <c r="L165" s="658"/>
      <c r="M165" s="657"/>
      <c r="N165" s="645"/>
      <c r="O165" s="645"/>
      <c r="P165" s="645"/>
      <c r="Q165" s="656"/>
      <c r="R165" s="659"/>
      <c r="S165" s="649"/>
      <c r="T165" s="292" t="e">
        <f>INDEX(ei_geo!$B:$B,MATCH(S165,ei_geo!$A:$A,0))</f>
        <v>#N/A</v>
      </c>
      <c r="U165" s="675"/>
      <c r="V165" s="675"/>
      <c r="W165" s="676"/>
      <c r="X165" s="657"/>
      <c r="Y165" s="645"/>
      <c r="Z165" s="645"/>
      <c r="AA165" s="645"/>
      <c r="AB165" s="656"/>
      <c r="AC165" s="677"/>
      <c r="AD165" s="649"/>
      <c r="AE165" s="292"/>
      <c r="AF165" s="675"/>
      <c r="AG165" s="675"/>
      <c r="AH165" s="676"/>
      <c r="AI165" s="681"/>
      <c r="AJ165" s="675"/>
      <c r="AK165" s="675"/>
      <c r="AL165" s="675"/>
      <c r="AM165" s="676"/>
      <c r="AN165" s="677"/>
      <c r="AO165" s="649"/>
      <c r="AP165" s="292"/>
      <c r="AQ165" s="675"/>
      <c r="AR165" s="675"/>
      <c r="AS165" s="676"/>
      <c r="AT165" s="681"/>
      <c r="AU165" s="675"/>
      <c r="AV165" s="675"/>
      <c r="AW165" s="675"/>
      <c r="AX165" s="685"/>
      <c r="AY165" s="677"/>
      <c r="AZ165" s="649"/>
      <c r="BA165" s="292"/>
      <c r="BB165" s="675"/>
      <c r="BC165" s="675"/>
      <c r="BD165" s="691"/>
      <c r="BE165" s="681"/>
      <c r="BF165" s="675"/>
      <c r="BG165" s="675"/>
      <c r="BH165" s="675"/>
      <c r="BI165" s="676"/>
      <c r="BJ165" s="681"/>
      <c r="BK165" s="692"/>
      <c r="BM165" s="475">
        <f t="shared" si="48"/>
        <v>0</v>
      </c>
      <c r="BN165" s="475">
        <f t="shared" si="49"/>
        <v>0</v>
      </c>
      <c r="BO165" s="475">
        <f t="shared" si="50"/>
        <v>0</v>
      </c>
      <c r="BP165" s="475">
        <f t="shared" si="51"/>
        <v>0</v>
      </c>
      <c r="BR165" s="476">
        <f t="shared" si="43"/>
        <v>0</v>
      </c>
      <c r="BS165" s="465">
        <f t="shared" si="44"/>
        <v>0</v>
      </c>
      <c r="BT165" s="466" t="str">
        <f t="shared" si="38"/>
        <v>n.a.</v>
      </c>
    </row>
    <row r="166" spans="1:72" s="312" customFormat="1">
      <c r="A166" s="201">
        <f t="shared" si="45"/>
        <v>153</v>
      </c>
      <c r="B166" s="641"/>
      <c r="C166" s="631" t="s">
        <v>8737</v>
      </c>
      <c r="D166" s="644"/>
      <c r="E166" s="645"/>
      <c r="F166" s="645"/>
      <c r="G166" s="474">
        <f t="shared" si="46"/>
        <v>0</v>
      </c>
      <c r="H166" s="293" t="str">
        <f t="shared" si="47"/>
        <v/>
      </c>
      <c r="I166" s="656"/>
      <c r="J166" s="657"/>
      <c r="K166" s="645"/>
      <c r="L166" s="658"/>
      <c r="M166" s="657"/>
      <c r="N166" s="645"/>
      <c r="O166" s="645"/>
      <c r="P166" s="645"/>
      <c r="Q166" s="656"/>
      <c r="R166" s="659"/>
      <c r="S166" s="649"/>
      <c r="T166" s="292" t="e">
        <f>INDEX(ei_geo!$B:$B,MATCH(S166,ei_geo!$A:$A,0))</f>
        <v>#N/A</v>
      </c>
      <c r="U166" s="675"/>
      <c r="V166" s="675"/>
      <c r="W166" s="676"/>
      <c r="X166" s="657"/>
      <c r="Y166" s="645"/>
      <c r="Z166" s="645"/>
      <c r="AA166" s="645"/>
      <c r="AB166" s="656"/>
      <c r="AC166" s="677"/>
      <c r="AD166" s="649"/>
      <c r="AE166" s="292"/>
      <c r="AF166" s="675"/>
      <c r="AG166" s="675"/>
      <c r="AH166" s="676"/>
      <c r="AI166" s="681"/>
      <c r="AJ166" s="675"/>
      <c r="AK166" s="675"/>
      <c r="AL166" s="675"/>
      <c r="AM166" s="676"/>
      <c r="AN166" s="677"/>
      <c r="AO166" s="649"/>
      <c r="AP166" s="292"/>
      <c r="AQ166" s="675"/>
      <c r="AR166" s="675"/>
      <c r="AS166" s="676"/>
      <c r="AT166" s="681"/>
      <c r="AU166" s="675"/>
      <c r="AV166" s="675"/>
      <c r="AW166" s="675"/>
      <c r="AX166" s="685"/>
      <c r="AY166" s="677"/>
      <c r="AZ166" s="649"/>
      <c r="BA166" s="292"/>
      <c r="BB166" s="675"/>
      <c r="BC166" s="675"/>
      <c r="BD166" s="691"/>
      <c r="BE166" s="681"/>
      <c r="BF166" s="675"/>
      <c r="BG166" s="675"/>
      <c r="BH166" s="675"/>
      <c r="BI166" s="676"/>
      <c r="BJ166" s="681"/>
      <c r="BK166" s="692"/>
      <c r="BM166" s="475">
        <f t="shared" si="48"/>
        <v>0</v>
      </c>
      <c r="BN166" s="475">
        <f t="shared" si="49"/>
        <v>0</v>
      </c>
      <c r="BO166" s="475">
        <f t="shared" si="50"/>
        <v>0</v>
      </c>
      <c r="BP166" s="475">
        <f t="shared" si="51"/>
        <v>0</v>
      </c>
      <c r="BR166" s="476">
        <f t="shared" si="43"/>
        <v>0</v>
      </c>
      <c r="BS166" s="465">
        <f t="shared" si="44"/>
        <v>0</v>
      </c>
      <c r="BT166" s="466" t="str">
        <f t="shared" si="38"/>
        <v>n.a.</v>
      </c>
    </row>
    <row r="167" spans="1:72" s="312" customFormat="1">
      <c r="A167" s="201">
        <f t="shared" si="45"/>
        <v>154</v>
      </c>
      <c r="B167" s="641"/>
      <c r="C167" s="631" t="s">
        <v>8738</v>
      </c>
      <c r="D167" s="644"/>
      <c r="E167" s="645"/>
      <c r="F167" s="645"/>
      <c r="G167" s="474">
        <f t="shared" si="46"/>
        <v>0</v>
      </c>
      <c r="H167" s="293" t="str">
        <f t="shared" si="47"/>
        <v/>
      </c>
      <c r="I167" s="656"/>
      <c r="J167" s="657"/>
      <c r="K167" s="645"/>
      <c r="L167" s="658"/>
      <c r="M167" s="657"/>
      <c r="N167" s="645"/>
      <c r="O167" s="645"/>
      <c r="P167" s="645"/>
      <c r="Q167" s="656"/>
      <c r="R167" s="659"/>
      <c r="S167" s="649"/>
      <c r="T167" s="292" t="e">
        <f>INDEX(ei_geo!$B:$B,MATCH(S167,ei_geo!$A:$A,0))</f>
        <v>#N/A</v>
      </c>
      <c r="U167" s="675"/>
      <c r="V167" s="675"/>
      <c r="W167" s="676"/>
      <c r="X167" s="657"/>
      <c r="Y167" s="645"/>
      <c r="Z167" s="645"/>
      <c r="AA167" s="645"/>
      <c r="AB167" s="656"/>
      <c r="AC167" s="677"/>
      <c r="AD167" s="649"/>
      <c r="AE167" s="292"/>
      <c r="AF167" s="675"/>
      <c r="AG167" s="675"/>
      <c r="AH167" s="676"/>
      <c r="AI167" s="681"/>
      <c r="AJ167" s="675"/>
      <c r="AK167" s="675"/>
      <c r="AL167" s="675"/>
      <c r="AM167" s="676"/>
      <c r="AN167" s="677"/>
      <c r="AO167" s="649"/>
      <c r="AP167" s="292"/>
      <c r="AQ167" s="675"/>
      <c r="AR167" s="675"/>
      <c r="AS167" s="676"/>
      <c r="AT167" s="681"/>
      <c r="AU167" s="675"/>
      <c r="AV167" s="675"/>
      <c r="AW167" s="675"/>
      <c r="AX167" s="685"/>
      <c r="AY167" s="677"/>
      <c r="AZ167" s="649"/>
      <c r="BA167" s="292"/>
      <c r="BB167" s="675"/>
      <c r="BC167" s="675"/>
      <c r="BD167" s="691"/>
      <c r="BE167" s="681"/>
      <c r="BF167" s="675"/>
      <c r="BG167" s="675"/>
      <c r="BH167" s="675"/>
      <c r="BI167" s="676"/>
      <c r="BJ167" s="681"/>
      <c r="BK167" s="692"/>
      <c r="BM167" s="475">
        <f t="shared" si="48"/>
        <v>0</v>
      </c>
      <c r="BN167" s="475">
        <f t="shared" si="49"/>
        <v>0</v>
      </c>
      <c r="BO167" s="475">
        <f t="shared" si="50"/>
        <v>0</v>
      </c>
      <c r="BP167" s="475">
        <f t="shared" si="51"/>
        <v>0</v>
      </c>
      <c r="BR167" s="476">
        <f t="shared" si="43"/>
        <v>0</v>
      </c>
      <c r="BS167" s="465">
        <f t="shared" si="44"/>
        <v>0</v>
      </c>
      <c r="BT167" s="466" t="str">
        <f t="shared" si="38"/>
        <v>n.a.</v>
      </c>
    </row>
    <row r="168" spans="1:72" s="312" customFormat="1">
      <c r="A168" s="201">
        <f t="shared" si="45"/>
        <v>155</v>
      </c>
      <c r="B168" s="641"/>
      <c r="C168" s="631" t="s">
        <v>8739</v>
      </c>
      <c r="D168" s="644"/>
      <c r="E168" s="645"/>
      <c r="F168" s="645"/>
      <c r="G168" s="474">
        <f t="shared" si="46"/>
        <v>0</v>
      </c>
      <c r="H168" s="293" t="str">
        <f t="shared" si="47"/>
        <v/>
      </c>
      <c r="I168" s="656"/>
      <c r="J168" s="657"/>
      <c r="K168" s="645"/>
      <c r="L168" s="658"/>
      <c r="M168" s="657"/>
      <c r="N168" s="645"/>
      <c r="O168" s="645"/>
      <c r="P168" s="645"/>
      <c r="Q168" s="656"/>
      <c r="R168" s="659"/>
      <c r="S168" s="649"/>
      <c r="T168" s="292" t="e">
        <f>INDEX(ei_geo!$B:$B,MATCH(S168,ei_geo!$A:$A,0))</f>
        <v>#N/A</v>
      </c>
      <c r="U168" s="675"/>
      <c r="V168" s="675"/>
      <c r="W168" s="676"/>
      <c r="X168" s="657"/>
      <c r="Y168" s="645"/>
      <c r="Z168" s="645"/>
      <c r="AA168" s="645"/>
      <c r="AB168" s="656"/>
      <c r="AC168" s="677"/>
      <c r="AD168" s="649"/>
      <c r="AE168" s="292"/>
      <c r="AF168" s="675"/>
      <c r="AG168" s="675"/>
      <c r="AH168" s="676"/>
      <c r="AI168" s="681"/>
      <c r="AJ168" s="675"/>
      <c r="AK168" s="675"/>
      <c r="AL168" s="675"/>
      <c r="AM168" s="676"/>
      <c r="AN168" s="677"/>
      <c r="AO168" s="649"/>
      <c r="AP168" s="292"/>
      <c r="AQ168" s="675"/>
      <c r="AR168" s="675"/>
      <c r="AS168" s="676"/>
      <c r="AT168" s="681"/>
      <c r="AU168" s="675"/>
      <c r="AV168" s="675"/>
      <c r="AW168" s="675"/>
      <c r="AX168" s="685"/>
      <c r="AY168" s="677"/>
      <c r="AZ168" s="649"/>
      <c r="BA168" s="292"/>
      <c r="BB168" s="675"/>
      <c r="BC168" s="675"/>
      <c r="BD168" s="691"/>
      <c r="BE168" s="681"/>
      <c r="BF168" s="675"/>
      <c r="BG168" s="675"/>
      <c r="BH168" s="675"/>
      <c r="BI168" s="676"/>
      <c r="BJ168" s="681"/>
      <c r="BK168" s="692"/>
      <c r="BM168" s="475">
        <f t="shared" si="48"/>
        <v>0</v>
      </c>
      <c r="BN168" s="475">
        <f t="shared" si="49"/>
        <v>0</v>
      </c>
      <c r="BO168" s="475">
        <f t="shared" si="50"/>
        <v>0</v>
      </c>
      <c r="BP168" s="475">
        <f t="shared" si="51"/>
        <v>0</v>
      </c>
      <c r="BR168" s="476">
        <f t="shared" si="43"/>
        <v>0</v>
      </c>
      <c r="BS168" s="465">
        <f t="shared" si="44"/>
        <v>0</v>
      </c>
      <c r="BT168" s="466" t="str">
        <f t="shared" si="38"/>
        <v>n.a.</v>
      </c>
    </row>
    <row r="169" spans="1:72" s="312" customFormat="1">
      <c r="A169" s="201">
        <f t="shared" si="45"/>
        <v>156</v>
      </c>
      <c r="B169" s="641"/>
      <c r="C169" s="631" t="s">
        <v>8740</v>
      </c>
      <c r="D169" s="644"/>
      <c r="E169" s="645"/>
      <c r="F169" s="645"/>
      <c r="G169" s="474">
        <f t="shared" si="46"/>
        <v>0</v>
      </c>
      <c r="H169" s="293" t="str">
        <f t="shared" si="47"/>
        <v/>
      </c>
      <c r="I169" s="656"/>
      <c r="J169" s="657"/>
      <c r="K169" s="645"/>
      <c r="L169" s="658"/>
      <c r="M169" s="657"/>
      <c r="N169" s="645"/>
      <c r="O169" s="645"/>
      <c r="P169" s="645"/>
      <c r="Q169" s="656"/>
      <c r="R169" s="659"/>
      <c r="S169" s="649"/>
      <c r="T169" s="292" t="e">
        <f>INDEX(ei_geo!$B:$B,MATCH(S169,ei_geo!$A:$A,0))</f>
        <v>#N/A</v>
      </c>
      <c r="U169" s="675"/>
      <c r="V169" s="675"/>
      <c r="W169" s="676"/>
      <c r="X169" s="657"/>
      <c r="Y169" s="645"/>
      <c r="Z169" s="645"/>
      <c r="AA169" s="645"/>
      <c r="AB169" s="656"/>
      <c r="AC169" s="677"/>
      <c r="AD169" s="649"/>
      <c r="AE169" s="292"/>
      <c r="AF169" s="675"/>
      <c r="AG169" s="675"/>
      <c r="AH169" s="676"/>
      <c r="AI169" s="681"/>
      <c r="AJ169" s="675"/>
      <c r="AK169" s="675"/>
      <c r="AL169" s="675"/>
      <c r="AM169" s="676"/>
      <c r="AN169" s="677"/>
      <c r="AO169" s="649"/>
      <c r="AP169" s="292"/>
      <c r="AQ169" s="675"/>
      <c r="AR169" s="675"/>
      <c r="AS169" s="676"/>
      <c r="AT169" s="681"/>
      <c r="AU169" s="675"/>
      <c r="AV169" s="675"/>
      <c r="AW169" s="675"/>
      <c r="AX169" s="685"/>
      <c r="AY169" s="677"/>
      <c r="AZ169" s="649"/>
      <c r="BA169" s="292"/>
      <c r="BB169" s="675"/>
      <c r="BC169" s="675"/>
      <c r="BD169" s="691"/>
      <c r="BE169" s="681"/>
      <c r="BF169" s="675"/>
      <c r="BG169" s="675"/>
      <c r="BH169" s="675"/>
      <c r="BI169" s="676"/>
      <c r="BJ169" s="681"/>
      <c r="BK169" s="692"/>
      <c r="BM169" s="475">
        <f t="shared" si="48"/>
        <v>0</v>
      </c>
      <c r="BN169" s="475">
        <f t="shared" si="49"/>
        <v>0</v>
      </c>
      <c r="BO169" s="475">
        <f t="shared" si="50"/>
        <v>0</v>
      </c>
      <c r="BP169" s="475">
        <f t="shared" si="51"/>
        <v>0</v>
      </c>
      <c r="BR169" s="476">
        <f t="shared" si="43"/>
        <v>0</v>
      </c>
      <c r="BS169" s="465">
        <f t="shared" si="44"/>
        <v>0</v>
      </c>
      <c r="BT169" s="466" t="str">
        <f t="shared" si="38"/>
        <v>n.a.</v>
      </c>
    </row>
    <row r="170" spans="1:72" s="312" customFormat="1">
      <c r="A170" s="201">
        <f t="shared" si="45"/>
        <v>157</v>
      </c>
      <c r="B170" s="641"/>
      <c r="C170" s="631" t="s">
        <v>8741</v>
      </c>
      <c r="D170" s="644"/>
      <c r="E170" s="645"/>
      <c r="F170" s="645"/>
      <c r="G170" s="474">
        <f t="shared" si="46"/>
        <v>0</v>
      </c>
      <c r="H170" s="293" t="str">
        <f t="shared" si="47"/>
        <v/>
      </c>
      <c r="I170" s="656"/>
      <c r="J170" s="657"/>
      <c r="K170" s="645"/>
      <c r="L170" s="658"/>
      <c r="M170" s="657"/>
      <c r="N170" s="645"/>
      <c r="O170" s="645"/>
      <c r="P170" s="645"/>
      <c r="Q170" s="656"/>
      <c r="R170" s="659"/>
      <c r="S170" s="649"/>
      <c r="T170" s="292" t="e">
        <f>INDEX(ei_geo!$B:$B,MATCH(S170,ei_geo!$A:$A,0))</f>
        <v>#N/A</v>
      </c>
      <c r="U170" s="675"/>
      <c r="V170" s="675"/>
      <c r="W170" s="676"/>
      <c r="X170" s="657"/>
      <c r="Y170" s="645"/>
      <c r="Z170" s="645"/>
      <c r="AA170" s="645"/>
      <c r="AB170" s="656"/>
      <c r="AC170" s="677"/>
      <c r="AD170" s="649"/>
      <c r="AE170" s="292"/>
      <c r="AF170" s="675"/>
      <c r="AG170" s="675"/>
      <c r="AH170" s="676"/>
      <c r="AI170" s="681"/>
      <c r="AJ170" s="675"/>
      <c r="AK170" s="675"/>
      <c r="AL170" s="675"/>
      <c r="AM170" s="676"/>
      <c r="AN170" s="677"/>
      <c r="AO170" s="649"/>
      <c r="AP170" s="292"/>
      <c r="AQ170" s="675"/>
      <c r="AR170" s="675"/>
      <c r="AS170" s="676"/>
      <c r="AT170" s="681"/>
      <c r="AU170" s="675"/>
      <c r="AV170" s="675"/>
      <c r="AW170" s="675"/>
      <c r="AX170" s="685"/>
      <c r="AY170" s="677"/>
      <c r="AZ170" s="649"/>
      <c r="BA170" s="292"/>
      <c r="BB170" s="675"/>
      <c r="BC170" s="675"/>
      <c r="BD170" s="691"/>
      <c r="BE170" s="681"/>
      <c r="BF170" s="675"/>
      <c r="BG170" s="675"/>
      <c r="BH170" s="675"/>
      <c r="BI170" s="676"/>
      <c r="BJ170" s="681"/>
      <c r="BK170" s="692"/>
      <c r="BM170" s="475">
        <f t="shared" si="48"/>
        <v>0</v>
      </c>
      <c r="BN170" s="475">
        <f t="shared" si="49"/>
        <v>0</v>
      </c>
      <c r="BO170" s="475">
        <f t="shared" si="50"/>
        <v>0</v>
      </c>
      <c r="BP170" s="475">
        <f t="shared" si="51"/>
        <v>0</v>
      </c>
      <c r="BR170" s="476">
        <f t="shared" si="43"/>
        <v>0</v>
      </c>
      <c r="BS170" s="465">
        <f t="shared" si="44"/>
        <v>0</v>
      </c>
      <c r="BT170" s="466" t="str">
        <f t="shared" si="38"/>
        <v>n.a.</v>
      </c>
    </row>
    <row r="171" spans="1:72" s="312" customFormat="1">
      <c r="A171" s="201">
        <f t="shared" si="45"/>
        <v>158</v>
      </c>
      <c r="B171" s="641"/>
      <c r="C171" s="631" t="s">
        <v>8742</v>
      </c>
      <c r="D171" s="644"/>
      <c r="E171" s="645"/>
      <c r="F171" s="645"/>
      <c r="G171" s="474">
        <f t="shared" si="46"/>
        <v>0</v>
      </c>
      <c r="H171" s="293" t="str">
        <f t="shared" si="47"/>
        <v/>
      </c>
      <c r="I171" s="656"/>
      <c r="J171" s="657"/>
      <c r="K171" s="645"/>
      <c r="L171" s="658"/>
      <c r="M171" s="657"/>
      <c r="N171" s="645"/>
      <c r="O171" s="645"/>
      <c r="P171" s="645"/>
      <c r="Q171" s="656"/>
      <c r="R171" s="659"/>
      <c r="S171" s="649"/>
      <c r="T171" s="292" t="e">
        <f>INDEX(ei_geo!$B:$B,MATCH(S171,ei_geo!$A:$A,0))</f>
        <v>#N/A</v>
      </c>
      <c r="U171" s="675"/>
      <c r="V171" s="675"/>
      <c r="W171" s="676"/>
      <c r="X171" s="657"/>
      <c r="Y171" s="645"/>
      <c r="Z171" s="645"/>
      <c r="AA171" s="645"/>
      <c r="AB171" s="656"/>
      <c r="AC171" s="677"/>
      <c r="AD171" s="649"/>
      <c r="AE171" s="292"/>
      <c r="AF171" s="675"/>
      <c r="AG171" s="675"/>
      <c r="AH171" s="676"/>
      <c r="AI171" s="681"/>
      <c r="AJ171" s="675"/>
      <c r="AK171" s="675"/>
      <c r="AL171" s="675"/>
      <c r="AM171" s="676"/>
      <c r="AN171" s="677"/>
      <c r="AO171" s="649"/>
      <c r="AP171" s="292"/>
      <c r="AQ171" s="675"/>
      <c r="AR171" s="675"/>
      <c r="AS171" s="676"/>
      <c r="AT171" s="681"/>
      <c r="AU171" s="675"/>
      <c r="AV171" s="675"/>
      <c r="AW171" s="675"/>
      <c r="AX171" s="685"/>
      <c r="AY171" s="677"/>
      <c r="AZ171" s="649"/>
      <c r="BA171" s="292"/>
      <c r="BB171" s="675"/>
      <c r="BC171" s="675"/>
      <c r="BD171" s="691"/>
      <c r="BE171" s="681"/>
      <c r="BF171" s="675"/>
      <c r="BG171" s="675"/>
      <c r="BH171" s="675"/>
      <c r="BI171" s="676"/>
      <c r="BJ171" s="681"/>
      <c r="BK171" s="692"/>
      <c r="BM171" s="475">
        <f t="shared" si="48"/>
        <v>0</v>
      </c>
      <c r="BN171" s="475">
        <f t="shared" si="49"/>
        <v>0</v>
      </c>
      <c r="BO171" s="475">
        <f t="shared" si="50"/>
        <v>0</v>
      </c>
      <c r="BP171" s="475">
        <f t="shared" si="51"/>
        <v>0</v>
      </c>
      <c r="BR171" s="476">
        <f t="shared" si="43"/>
        <v>0</v>
      </c>
      <c r="BS171" s="465">
        <f t="shared" si="44"/>
        <v>0</v>
      </c>
      <c r="BT171" s="466" t="str">
        <f t="shared" si="38"/>
        <v>n.a.</v>
      </c>
    </row>
    <row r="172" spans="1:72" s="312" customFormat="1">
      <c r="A172" s="201">
        <f t="shared" si="45"/>
        <v>159</v>
      </c>
      <c r="B172" s="641"/>
      <c r="C172" s="631" t="s">
        <v>8743</v>
      </c>
      <c r="D172" s="644"/>
      <c r="E172" s="645"/>
      <c r="F172" s="645"/>
      <c r="G172" s="474">
        <f t="shared" si="46"/>
        <v>0</v>
      </c>
      <c r="H172" s="293" t="str">
        <f t="shared" si="47"/>
        <v/>
      </c>
      <c r="I172" s="656"/>
      <c r="J172" s="657"/>
      <c r="K172" s="645"/>
      <c r="L172" s="658"/>
      <c r="M172" s="657"/>
      <c r="N172" s="645"/>
      <c r="O172" s="645"/>
      <c r="P172" s="645"/>
      <c r="Q172" s="656"/>
      <c r="R172" s="659"/>
      <c r="S172" s="649"/>
      <c r="T172" s="292" t="e">
        <f>INDEX(ei_geo!$B:$B,MATCH(S172,ei_geo!$A:$A,0))</f>
        <v>#N/A</v>
      </c>
      <c r="U172" s="675"/>
      <c r="V172" s="675"/>
      <c r="W172" s="676"/>
      <c r="X172" s="657"/>
      <c r="Y172" s="645"/>
      <c r="Z172" s="645"/>
      <c r="AA172" s="645"/>
      <c r="AB172" s="656"/>
      <c r="AC172" s="677"/>
      <c r="AD172" s="649"/>
      <c r="AE172" s="292"/>
      <c r="AF172" s="675"/>
      <c r="AG172" s="675"/>
      <c r="AH172" s="676"/>
      <c r="AI172" s="681"/>
      <c r="AJ172" s="675"/>
      <c r="AK172" s="675"/>
      <c r="AL172" s="675"/>
      <c r="AM172" s="676"/>
      <c r="AN172" s="677"/>
      <c r="AO172" s="649"/>
      <c r="AP172" s="292"/>
      <c r="AQ172" s="675"/>
      <c r="AR172" s="675"/>
      <c r="AS172" s="676"/>
      <c r="AT172" s="681"/>
      <c r="AU172" s="675"/>
      <c r="AV172" s="675"/>
      <c r="AW172" s="675"/>
      <c r="AX172" s="685"/>
      <c r="AY172" s="677"/>
      <c r="AZ172" s="649"/>
      <c r="BA172" s="292"/>
      <c r="BB172" s="675"/>
      <c r="BC172" s="675"/>
      <c r="BD172" s="691"/>
      <c r="BE172" s="681"/>
      <c r="BF172" s="675"/>
      <c r="BG172" s="675"/>
      <c r="BH172" s="675"/>
      <c r="BI172" s="676"/>
      <c r="BJ172" s="681"/>
      <c r="BK172" s="692"/>
      <c r="BM172" s="475">
        <f t="shared" si="48"/>
        <v>0</v>
      </c>
      <c r="BN172" s="475">
        <f t="shared" si="49"/>
        <v>0</v>
      </c>
      <c r="BO172" s="475">
        <f t="shared" si="50"/>
        <v>0</v>
      </c>
      <c r="BP172" s="475">
        <f t="shared" si="51"/>
        <v>0</v>
      </c>
      <c r="BR172" s="476">
        <f t="shared" si="43"/>
        <v>0</v>
      </c>
      <c r="BS172" s="465">
        <f t="shared" si="44"/>
        <v>0</v>
      </c>
      <c r="BT172" s="466" t="str">
        <f t="shared" si="38"/>
        <v>n.a.</v>
      </c>
    </row>
    <row r="173" spans="1:72" s="312" customFormat="1">
      <c r="A173" s="201">
        <f t="shared" si="45"/>
        <v>160</v>
      </c>
      <c r="B173" s="641"/>
      <c r="C173" s="631" t="s">
        <v>8744</v>
      </c>
      <c r="D173" s="644"/>
      <c r="E173" s="645"/>
      <c r="F173" s="645"/>
      <c r="G173" s="474">
        <f t="shared" si="46"/>
        <v>0</v>
      </c>
      <c r="H173" s="293" t="str">
        <f t="shared" si="47"/>
        <v/>
      </c>
      <c r="I173" s="656"/>
      <c r="J173" s="657"/>
      <c r="K173" s="645"/>
      <c r="L173" s="658"/>
      <c r="M173" s="657"/>
      <c r="N173" s="645"/>
      <c r="O173" s="645"/>
      <c r="P173" s="645"/>
      <c r="Q173" s="656"/>
      <c r="R173" s="659"/>
      <c r="S173" s="649"/>
      <c r="T173" s="292" t="e">
        <f>INDEX(ei_geo!$B:$B,MATCH(S173,ei_geo!$A:$A,0))</f>
        <v>#N/A</v>
      </c>
      <c r="U173" s="675"/>
      <c r="V173" s="675"/>
      <c r="W173" s="676"/>
      <c r="X173" s="657"/>
      <c r="Y173" s="645"/>
      <c r="Z173" s="645"/>
      <c r="AA173" s="645"/>
      <c r="AB173" s="656"/>
      <c r="AC173" s="677"/>
      <c r="AD173" s="649"/>
      <c r="AE173" s="292"/>
      <c r="AF173" s="675"/>
      <c r="AG173" s="675"/>
      <c r="AH173" s="676"/>
      <c r="AI173" s="681"/>
      <c r="AJ173" s="675"/>
      <c r="AK173" s="675"/>
      <c r="AL173" s="675"/>
      <c r="AM173" s="676"/>
      <c r="AN173" s="677"/>
      <c r="AO173" s="649"/>
      <c r="AP173" s="292"/>
      <c r="AQ173" s="675"/>
      <c r="AR173" s="675"/>
      <c r="AS173" s="676"/>
      <c r="AT173" s="681"/>
      <c r="AU173" s="675"/>
      <c r="AV173" s="675"/>
      <c r="AW173" s="675"/>
      <c r="AX173" s="685"/>
      <c r="AY173" s="677"/>
      <c r="AZ173" s="649"/>
      <c r="BA173" s="292"/>
      <c r="BB173" s="675"/>
      <c r="BC173" s="675"/>
      <c r="BD173" s="691"/>
      <c r="BE173" s="681"/>
      <c r="BF173" s="675"/>
      <c r="BG173" s="675"/>
      <c r="BH173" s="675"/>
      <c r="BI173" s="676"/>
      <c r="BJ173" s="681"/>
      <c r="BK173" s="692"/>
      <c r="BM173" s="475">
        <f t="shared" si="48"/>
        <v>0</v>
      </c>
      <c r="BN173" s="475">
        <f t="shared" si="49"/>
        <v>0</v>
      </c>
      <c r="BO173" s="475">
        <f t="shared" si="50"/>
        <v>0</v>
      </c>
      <c r="BP173" s="475">
        <f t="shared" si="51"/>
        <v>0</v>
      </c>
      <c r="BR173" s="476">
        <f t="shared" si="43"/>
        <v>0</v>
      </c>
      <c r="BS173" s="465">
        <f t="shared" si="44"/>
        <v>0</v>
      </c>
      <c r="BT173" s="466" t="str">
        <f t="shared" si="38"/>
        <v>n.a.</v>
      </c>
    </row>
    <row r="174" spans="1:72" s="312" customFormat="1">
      <c r="A174" s="201">
        <f t="shared" si="45"/>
        <v>161</v>
      </c>
      <c r="B174" s="641"/>
      <c r="C174" s="631" t="s">
        <v>8745</v>
      </c>
      <c r="D174" s="644"/>
      <c r="E174" s="645"/>
      <c r="F174" s="645"/>
      <c r="G174" s="474">
        <f t="shared" si="46"/>
        <v>0</v>
      </c>
      <c r="H174" s="293" t="str">
        <f t="shared" si="47"/>
        <v/>
      </c>
      <c r="I174" s="656"/>
      <c r="J174" s="657"/>
      <c r="K174" s="645"/>
      <c r="L174" s="658"/>
      <c r="M174" s="657"/>
      <c r="N174" s="645"/>
      <c r="O174" s="645"/>
      <c r="P174" s="645"/>
      <c r="Q174" s="656"/>
      <c r="R174" s="659"/>
      <c r="S174" s="649"/>
      <c r="T174" s="292" t="e">
        <f>INDEX(ei_geo!$B:$B,MATCH(S174,ei_geo!$A:$A,0))</f>
        <v>#N/A</v>
      </c>
      <c r="U174" s="675"/>
      <c r="V174" s="675"/>
      <c r="W174" s="676"/>
      <c r="X174" s="657"/>
      <c r="Y174" s="645"/>
      <c r="Z174" s="645"/>
      <c r="AA174" s="645"/>
      <c r="AB174" s="656"/>
      <c r="AC174" s="677"/>
      <c r="AD174" s="649"/>
      <c r="AE174" s="292"/>
      <c r="AF174" s="675"/>
      <c r="AG174" s="675"/>
      <c r="AH174" s="676"/>
      <c r="AI174" s="681"/>
      <c r="AJ174" s="675"/>
      <c r="AK174" s="675"/>
      <c r="AL174" s="675"/>
      <c r="AM174" s="676"/>
      <c r="AN174" s="677"/>
      <c r="AO174" s="649"/>
      <c r="AP174" s="292"/>
      <c r="AQ174" s="675"/>
      <c r="AR174" s="675"/>
      <c r="AS174" s="676"/>
      <c r="AT174" s="681"/>
      <c r="AU174" s="675"/>
      <c r="AV174" s="675"/>
      <c r="AW174" s="675"/>
      <c r="AX174" s="685"/>
      <c r="AY174" s="677"/>
      <c r="AZ174" s="649"/>
      <c r="BA174" s="292"/>
      <c r="BB174" s="675"/>
      <c r="BC174" s="675"/>
      <c r="BD174" s="691"/>
      <c r="BE174" s="681"/>
      <c r="BF174" s="675"/>
      <c r="BG174" s="675"/>
      <c r="BH174" s="675"/>
      <c r="BI174" s="676"/>
      <c r="BJ174" s="681"/>
      <c r="BK174" s="692"/>
      <c r="BM174" s="475">
        <f t="shared" si="48"/>
        <v>0</v>
      </c>
      <c r="BN174" s="475">
        <f t="shared" si="49"/>
        <v>0</v>
      </c>
      <c r="BO174" s="475">
        <f t="shared" si="50"/>
        <v>0</v>
      </c>
      <c r="BP174" s="475">
        <f t="shared" si="51"/>
        <v>0</v>
      </c>
      <c r="BR174" s="476">
        <f t="shared" si="43"/>
        <v>0</v>
      </c>
      <c r="BS174" s="465">
        <f t="shared" si="44"/>
        <v>0</v>
      </c>
      <c r="BT174" s="466" t="str">
        <f t="shared" si="38"/>
        <v>n.a.</v>
      </c>
    </row>
    <row r="175" spans="1:72" s="312" customFormat="1">
      <c r="A175" s="201">
        <f t="shared" si="45"/>
        <v>162</v>
      </c>
      <c r="B175" s="641"/>
      <c r="C175" s="631" t="s">
        <v>8746</v>
      </c>
      <c r="D175" s="644"/>
      <c r="E175" s="645"/>
      <c r="F175" s="645"/>
      <c r="G175" s="474">
        <f t="shared" si="46"/>
        <v>0</v>
      </c>
      <c r="H175" s="293" t="str">
        <f t="shared" si="47"/>
        <v/>
      </c>
      <c r="I175" s="656"/>
      <c r="J175" s="657"/>
      <c r="K175" s="645"/>
      <c r="L175" s="658"/>
      <c r="M175" s="657"/>
      <c r="N175" s="645"/>
      <c r="O175" s="645"/>
      <c r="P175" s="645"/>
      <c r="Q175" s="656"/>
      <c r="R175" s="659"/>
      <c r="S175" s="649"/>
      <c r="T175" s="292" t="e">
        <f>INDEX(ei_geo!$B:$B,MATCH(S175,ei_geo!$A:$A,0))</f>
        <v>#N/A</v>
      </c>
      <c r="U175" s="675"/>
      <c r="V175" s="675"/>
      <c r="W175" s="676"/>
      <c r="X175" s="657"/>
      <c r="Y175" s="645"/>
      <c r="Z175" s="645"/>
      <c r="AA175" s="645"/>
      <c r="AB175" s="656"/>
      <c r="AC175" s="677"/>
      <c r="AD175" s="649"/>
      <c r="AE175" s="292"/>
      <c r="AF175" s="675"/>
      <c r="AG175" s="675"/>
      <c r="AH175" s="676"/>
      <c r="AI175" s="681"/>
      <c r="AJ175" s="675"/>
      <c r="AK175" s="675"/>
      <c r="AL175" s="675"/>
      <c r="AM175" s="676"/>
      <c r="AN175" s="677"/>
      <c r="AO175" s="649"/>
      <c r="AP175" s="292"/>
      <c r="AQ175" s="675"/>
      <c r="AR175" s="675"/>
      <c r="AS175" s="676"/>
      <c r="AT175" s="681"/>
      <c r="AU175" s="675"/>
      <c r="AV175" s="675"/>
      <c r="AW175" s="675"/>
      <c r="AX175" s="685"/>
      <c r="AY175" s="677"/>
      <c r="AZ175" s="649"/>
      <c r="BA175" s="292"/>
      <c r="BB175" s="675"/>
      <c r="BC175" s="675"/>
      <c r="BD175" s="691"/>
      <c r="BE175" s="681"/>
      <c r="BF175" s="675"/>
      <c r="BG175" s="675"/>
      <c r="BH175" s="675"/>
      <c r="BI175" s="676"/>
      <c r="BJ175" s="681"/>
      <c r="BK175" s="692"/>
      <c r="BM175" s="475">
        <f t="shared" si="48"/>
        <v>0</v>
      </c>
      <c r="BN175" s="475">
        <f t="shared" si="49"/>
        <v>0</v>
      </c>
      <c r="BO175" s="475">
        <f t="shared" si="50"/>
        <v>0</v>
      </c>
      <c r="BP175" s="475">
        <f t="shared" si="51"/>
        <v>0</v>
      </c>
      <c r="BR175" s="476">
        <f t="shared" si="43"/>
        <v>0</v>
      </c>
      <c r="BS175" s="465">
        <f t="shared" si="44"/>
        <v>0</v>
      </c>
      <c r="BT175" s="466" t="str">
        <f t="shared" si="38"/>
        <v>n.a.</v>
      </c>
    </row>
    <row r="176" spans="1:72" s="312" customFormat="1">
      <c r="A176" s="201">
        <f t="shared" si="45"/>
        <v>163</v>
      </c>
      <c r="B176" s="641"/>
      <c r="C176" s="631" t="s">
        <v>8747</v>
      </c>
      <c r="D176" s="644"/>
      <c r="E176" s="645"/>
      <c r="F176" s="645"/>
      <c r="G176" s="474">
        <f t="shared" si="46"/>
        <v>0</v>
      </c>
      <c r="H176" s="293" t="str">
        <f t="shared" si="47"/>
        <v/>
      </c>
      <c r="I176" s="656"/>
      <c r="J176" s="657"/>
      <c r="K176" s="645"/>
      <c r="L176" s="658"/>
      <c r="M176" s="657"/>
      <c r="N176" s="645"/>
      <c r="O176" s="645"/>
      <c r="P176" s="645"/>
      <c r="Q176" s="656"/>
      <c r="R176" s="659"/>
      <c r="S176" s="649"/>
      <c r="T176" s="292" t="e">
        <f>INDEX(ei_geo!$B:$B,MATCH(S176,ei_geo!$A:$A,0))</f>
        <v>#N/A</v>
      </c>
      <c r="U176" s="675"/>
      <c r="V176" s="675"/>
      <c r="W176" s="676"/>
      <c r="X176" s="657"/>
      <c r="Y176" s="645"/>
      <c r="Z176" s="645"/>
      <c r="AA176" s="645"/>
      <c r="AB176" s="656"/>
      <c r="AC176" s="677"/>
      <c r="AD176" s="649"/>
      <c r="AE176" s="292"/>
      <c r="AF176" s="675"/>
      <c r="AG176" s="675"/>
      <c r="AH176" s="676"/>
      <c r="AI176" s="681"/>
      <c r="AJ176" s="675"/>
      <c r="AK176" s="675"/>
      <c r="AL176" s="675"/>
      <c r="AM176" s="676"/>
      <c r="AN176" s="677"/>
      <c r="AO176" s="649"/>
      <c r="AP176" s="292"/>
      <c r="AQ176" s="675"/>
      <c r="AR176" s="675"/>
      <c r="AS176" s="676"/>
      <c r="AT176" s="681"/>
      <c r="AU176" s="675"/>
      <c r="AV176" s="675"/>
      <c r="AW176" s="675"/>
      <c r="AX176" s="685"/>
      <c r="AY176" s="677"/>
      <c r="AZ176" s="649"/>
      <c r="BA176" s="292"/>
      <c r="BB176" s="675"/>
      <c r="BC176" s="675"/>
      <c r="BD176" s="691"/>
      <c r="BE176" s="681"/>
      <c r="BF176" s="675"/>
      <c r="BG176" s="675"/>
      <c r="BH176" s="675"/>
      <c r="BI176" s="676"/>
      <c r="BJ176" s="681"/>
      <c r="BK176" s="692"/>
      <c r="BM176" s="475">
        <f t="shared" si="48"/>
        <v>0</v>
      </c>
      <c r="BN176" s="475">
        <f t="shared" si="49"/>
        <v>0</v>
      </c>
      <c r="BO176" s="475">
        <f t="shared" si="50"/>
        <v>0</v>
      </c>
      <c r="BP176" s="475">
        <f t="shared" si="51"/>
        <v>0</v>
      </c>
      <c r="BR176" s="476">
        <f t="shared" si="43"/>
        <v>0</v>
      </c>
      <c r="BS176" s="465">
        <f t="shared" si="44"/>
        <v>0</v>
      </c>
      <c r="BT176" s="466" t="str">
        <f t="shared" si="38"/>
        <v>n.a.</v>
      </c>
    </row>
    <row r="177" spans="1:72" s="312" customFormat="1">
      <c r="A177" s="201">
        <f t="shared" si="45"/>
        <v>164</v>
      </c>
      <c r="B177" s="641"/>
      <c r="C177" s="631" t="s">
        <v>8748</v>
      </c>
      <c r="D177" s="644"/>
      <c r="E177" s="645"/>
      <c r="F177" s="645"/>
      <c r="G177" s="474">
        <f t="shared" si="46"/>
        <v>0</v>
      </c>
      <c r="H177" s="293" t="str">
        <f t="shared" si="47"/>
        <v/>
      </c>
      <c r="I177" s="656"/>
      <c r="J177" s="657"/>
      <c r="K177" s="645"/>
      <c r="L177" s="658"/>
      <c r="M177" s="657"/>
      <c r="N177" s="645"/>
      <c r="O177" s="645"/>
      <c r="P177" s="645"/>
      <c r="Q177" s="656"/>
      <c r="R177" s="659"/>
      <c r="S177" s="649"/>
      <c r="T177" s="292" t="e">
        <f>INDEX(ei_geo!$B:$B,MATCH(S177,ei_geo!$A:$A,0))</f>
        <v>#N/A</v>
      </c>
      <c r="U177" s="675"/>
      <c r="V177" s="675"/>
      <c r="W177" s="676"/>
      <c r="X177" s="657"/>
      <c r="Y177" s="645"/>
      <c r="Z177" s="645"/>
      <c r="AA177" s="645"/>
      <c r="AB177" s="656"/>
      <c r="AC177" s="677"/>
      <c r="AD177" s="649"/>
      <c r="AE177" s="292"/>
      <c r="AF177" s="675"/>
      <c r="AG177" s="675"/>
      <c r="AH177" s="676"/>
      <c r="AI177" s="681"/>
      <c r="AJ177" s="675"/>
      <c r="AK177" s="675"/>
      <c r="AL177" s="675"/>
      <c r="AM177" s="676"/>
      <c r="AN177" s="677"/>
      <c r="AO177" s="649"/>
      <c r="AP177" s="292"/>
      <c r="AQ177" s="675"/>
      <c r="AR177" s="675"/>
      <c r="AS177" s="676"/>
      <c r="AT177" s="681"/>
      <c r="AU177" s="675"/>
      <c r="AV177" s="675"/>
      <c r="AW177" s="675"/>
      <c r="AX177" s="685"/>
      <c r="AY177" s="677"/>
      <c r="AZ177" s="649"/>
      <c r="BA177" s="292"/>
      <c r="BB177" s="675"/>
      <c r="BC177" s="675"/>
      <c r="BD177" s="691"/>
      <c r="BE177" s="681"/>
      <c r="BF177" s="675"/>
      <c r="BG177" s="675"/>
      <c r="BH177" s="675"/>
      <c r="BI177" s="676"/>
      <c r="BJ177" s="681"/>
      <c r="BK177" s="692"/>
      <c r="BM177" s="475">
        <f t="shared" si="48"/>
        <v>0</v>
      </c>
      <c r="BN177" s="475">
        <f t="shared" si="49"/>
        <v>0</v>
      </c>
      <c r="BO177" s="475">
        <f t="shared" si="50"/>
        <v>0</v>
      </c>
      <c r="BP177" s="475">
        <f t="shared" si="51"/>
        <v>0</v>
      </c>
      <c r="BR177" s="476">
        <f t="shared" si="43"/>
        <v>0</v>
      </c>
      <c r="BS177" s="465">
        <f t="shared" si="44"/>
        <v>0</v>
      </c>
      <c r="BT177" s="466" t="str">
        <f t="shared" si="38"/>
        <v>n.a.</v>
      </c>
    </row>
    <row r="178" spans="1:72" s="312" customFormat="1">
      <c r="A178" s="201">
        <f t="shared" si="45"/>
        <v>165</v>
      </c>
      <c r="B178" s="641"/>
      <c r="C178" s="631" t="s">
        <v>8749</v>
      </c>
      <c r="D178" s="644"/>
      <c r="E178" s="645"/>
      <c r="F178" s="645"/>
      <c r="G178" s="474">
        <f t="shared" si="46"/>
        <v>0</v>
      </c>
      <c r="H178" s="293" t="str">
        <f t="shared" si="47"/>
        <v/>
      </c>
      <c r="I178" s="656"/>
      <c r="J178" s="657"/>
      <c r="K178" s="645"/>
      <c r="L178" s="658"/>
      <c r="M178" s="657"/>
      <c r="N178" s="645"/>
      <c r="O178" s="645"/>
      <c r="P178" s="645"/>
      <c r="Q178" s="656"/>
      <c r="R178" s="659"/>
      <c r="S178" s="649"/>
      <c r="T178" s="292" t="e">
        <f>INDEX(ei_geo!$B:$B,MATCH(S178,ei_geo!$A:$A,0))</f>
        <v>#N/A</v>
      </c>
      <c r="U178" s="675"/>
      <c r="V178" s="675"/>
      <c r="W178" s="676"/>
      <c r="X178" s="657"/>
      <c r="Y178" s="645"/>
      <c r="Z178" s="645"/>
      <c r="AA178" s="645"/>
      <c r="AB178" s="656"/>
      <c r="AC178" s="677"/>
      <c r="AD178" s="649"/>
      <c r="AE178" s="292"/>
      <c r="AF178" s="675"/>
      <c r="AG178" s="675"/>
      <c r="AH178" s="676"/>
      <c r="AI178" s="681"/>
      <c r="AJ178" s="675"/>
      <c r="AK178" s="675"/>
      <c r="AL178" s="675"/>
      <c r="AM178" s="676"/>
      <c r="AN178" s="677"/>
      <c r="AO178" s="649"/>
      <c r="AP178" s="292"/>
      <c r="AQ178" s="675"/>
      <c r="AR178" s="675"/>
      <c r="AS178" s="676"/>
      <c r="AT178" s="681"/>
      <c r="AU178" s="675"/>
      <c r="AV178" s="675"/>
      <c r="AW178" s="675"/>
      <c r="AX178" s="685"/>
      <c r="AY178" s="677"/>
      <c r="AZ178" s="649"/>
      <c r="BA178" s="292"/>
      <c r="BB178" s="675"/>
      <c r="BC178" s="675"/>
      <c r="BD178" s="691"/>
      <c r="BE178" s="681"/>
      <c r="BF178" s="675"/>
      <c r="BG178" s="675"/>
      <c r="BH178" s="675"/>
      <c r="BI178" s="676"/>
      <c r="BJ178" s="681"/>
      <c r="BK178" s="692"/>
      <c r="BM178" s="475">
        <f t="shared" si="48"/>
        <v>0</v>
      </c>
      <c r="BN178" s="475">
        <f t="shared" si="49"/>
        <v>0</v>
      </c>
      <c r="BO178" s="475">
        <f t="shared" si="50"/>
        <v>0</v>
      </c>
      <c r="BP178" s="475">
        <f t="shared" si="51"/>
        <v>0</v>
      </c>
      <c r="BR178" s="476">
        <f t="shared" si="43"/>
        <v>0</v>
      </c>
      <c r="BS178" s="465">
        <f t="shared" si="44"/>
        <v>0</v>
      </c>
      <c r="BT178" s="466" t="str">
        <f t="shared" si="38"/>
        <v>n.a.</v>
      </c>
    </row>
    <row r="179" spans="1:72" s="312" customFormat="1">
      <c r="A179" s="201">
        <f t="shared" si="45"/>
        <v>166</v>
      </c>
      <c r="B179" s="641"/>
      <c r="C179" s="631" t="s">
        <v>8750</v>
      </c>
      <c r="D179" s="644"/>
      <c r="E179" s="645"/>
      <c r="F179" s="645"/>
      <c r="G179" s="474">
        <f t="shared" si="46"/>
        <v>0</v>
      </c>
      <c r="H179" s="293" t="str">
        <f t="shared" si="47"/>
        <v/>
      </c>
      <c r="I179" s="656"/>
      <c r="J179" s="657"/>
      <c r="K179" s="645"/>
      <c r="L179" s="658"/>
      <c r="M179" s="657"/>
      <c r="N179" s="645"/>
      <c r="O179" s="645"/>
      <c r="P179" s="645"/>
      <c r="Q179" s="656"/>
      <c r="R179" s="659"/>
      <c r="S179" s="649"/>
      <c r="T179" s="292" t="e">
        <f>INDEX(ei_geo!$B:$B,MATCH(S179,ei_geo!$A:$A,0))</f>
        <v>#N/A</v>
      </c>
      <c r="U179" s="675"/>
      <c r="V179" s="675"/>
      <c r="W179" s="676"/>
      <c r="X179" s="657"/>
      <c r="Y179" s="645"/>
      <c r="Z179" s="645"/>
      <c r="AA179" s="645"/>
      <c r="AB179" s="656"/>
      <c r="AC179" s="677"/>
      <c r="AD179" s="649"/>
      <c r="AE179" s="292"/>
      <c r="AF179" s="675"/>
      <c r="AG179" s="675"/>
      <c r="AH179" s="676"/>
      <c r="AI179" s="681"/>
      <c r="AJ179" s="675"/>
      <c r="AK179" s="675"/>
      <c r="AL179" s="675"/>
      <c r="AM179" s="676"/>
      <c r="AN179" s="677"/>
      <c r="AO179" s="649"/>
      <c r="AP179" s="292"/>
      <c r="AQ179" s="675"/>
      <c r="AR179" s="675"/>
      <c r="AS179" s="676"/>
      <c r="AT179" s="681"/>
      <c r="AU179" s="675"/>
      <c r="AV179" s="675"/>
      <c r="AW179" s="675"/>
      <c r="AX179" s="685"/>
      <c r="AY179" s="677"/>
      <c r="AZ179" s="649"/>
      <c r="BA179" s="292"/>
      <c r="BB179" s="675"/>
      <c r="BC179" s="675"/>
      <c r="BD179" s="691"/>
      <c r="BE179" s="681"/>
      <c r="BF179" s="675"/>
      <c r="BG179" s="675"/>
      <c r="BH179" s="675"/>
      <c r="BI179" s="676"/>
      <c r="BJ179" s="681"/>
      <c r="BK179" s="692"/>
      <c r="BM179" s="475">
        <f t="shared" si="48"/>
        <v>0</v>
      </c>
      <c r="BN179" s="475">
        <f t="shared" si="49"/>
        <v>0</v>
      </c>
      <c r="BO179" s="475">
        <f t="shared" si="50"/>
        <v>0</v>
      </c>
      <c r="BP179" s="475">
        <f t="shared" si="51"/>
        <v>0</v>
      </c>
      <c r="BR179" s="476">
        <f t="shared" si="43"/>
        <v>0</v>
      </c>
      <c r="BS179" s="465">
        <f t="shared" si="44"/>
        <v>0</v>
      </c>
      <c r="BT179" s="466" t="str">
        <f t="shared" si="38"/>
        <v>n.a.</v>
      </c>
    </row>
    <row r="180" spans="1:72" s="312" customFormat="1">
      <c r="A180" s="201">
        <f t="shared" si="45"/>
        <v>167</v>
      </c>
      <c r="B180" s="641"/>
      <c r="C180" s="631" t="s">
        <v>8751</v>
      </c>
      <c r="D180" s="644"/>
      <c r="E180" s="645"/>
      <c r="F180" s="645"/>
      <c r="G180" s="474">
        <f t="shared" si="46"/>
        <v>0</v>
      </c>
      <c r="H180" s="293" t="str">
        <f t="shared" si="47"/>
        <v/>
      </c>
      <c r="I180" s="656"/>
      <c r="J180" s="657"/>
      <c r="K180" s="645"/>
      <c r="L180" s="658"/>
      <c r="M180" s="657"/>
      <c r="N180" s="645"/>
      <c r="O180" s="645"/>
      <c r="P180" s="645"/>
      <c r="Q180" s="656"/>
      <c r="R180" s="659"/>
      <c r="S180" s="649"/>
      <c r="T180" s="292" t="e">
        <f>INDEX(ei_geo!$B:$B,MATCH(S180,ei_geo!$A:$A,0))</f>
        <v>#N/A</v>
      </c>
      <c r="U180" s="675"/>
      <c r="V180" s="675"/>
      <c r="W180" s="676"/>
      <c r="X180" s="657"/>
      <c r="Y180" s="645"/>
      <c r="Z180" s="645"/>
      <c r="AA180" s="645"/>
      <c r="AB180" s="656"/>
      <c r="AC180" s="677"/>
      <c r="AD180" s="649"/>
      <c r="AE180" s="292"/>
      <c r="AF180" s="675"/>
      <c r="AG180" s="675"/>
      <c r="AH180" s="676"/>
      <c r="AI180" s="681"/>
      <c r="AJ180" s="675"/>
      <c r="AK180" s="675"/>
      <c r="AL180" s="675"/>
      <c r="AM180" s="676"/>
      <c r="AN180" s="677"/>
      <c r="AO180" s="649"/>
      <c r="AP180" s="292"/>
      <c r="AQ180" s="675"/>
      <c r="AR180" s="675"/>
      <c r="AS180" s="676"/>
      <c r="AT180" s="681"/>
      <c r="AU180" s="675"/>
      <c r="AV180" s="675"/>
      <c r="AW180" s="675"/>
      <c r="AX180" s="685"/>
      <c r="AY180" s="677"/>
      <c r="AZ180" s="649"/>
      <c r="BA180" s="292"/>
      <c r="BB180" s="675"/>
      <c r="BC180" s="675"/>
      <c r="BD180" s="691"/>
      <c r="BE180" s="681"/>
      <c r="BF180" s="675"/>
      <c r="BG180" s="675"/>
      <c r="BH180" s="675"/>
      <c r="BI180" s="676"/>
      <c r="BJ180" s="681"/>
      <c r="BK180" s="692"/>
      <c r="BM180" s="475">
        <f t="shared" si="48"/>
        <v>0</v>
      </c>
      <c r="BN180" s="475">
        <f t="shared" si="49"/>
        <v>0</v>
      </c>
      <c r="BO180" s="475">
        <f t="shared" si="50"/>
        <v>0</v>
      </c>
      <c r="BP180" s="475">
        <f t="shared" si="51"/>
        <v>0</v>
      </c>
      <c r="BR180" s="476">
        <f t="shared" si="43"/>
        <v>0</v>
      </c>
      <c r="BS180" s="465">
        <f t="shared" si="44"/>
        <v>0</v>
      </c>
      <c r="BT180" s="466" t="str">
        <f t="shared" ref="BT180:BT213" si="52">IF((AND(BS180="check", $BR180&gt;0)),"Pass",IF($BS180=0,"n.a.","CHECK FOR TRANSPORT ENTRY ERROR"))</f>
        <v>n.a.</v>
      </c>
    </row>
    <row r="181" spans="1:72" s="312" customFormat="1">
      <c r="A181" s="201">
        <f t="shared" si="45"/>
        <v>168</v>
      </c>
      <c r="B181" s="641"/>
      <c r="C181" s="631" t="s">
        <v>8752</v>
      </c>
      <c r="D181" s="644"/>
      <c r="E181" s="645"/>
      <c r="F181" s="645"/>
      <c r="G181" s="474">
        <f t="shared" si="46"/>
        <v>0</v>
      </c>
      <c r="H181" s="293" t="str">
        <f t="shared" si="47"/>
        <v/>
      </c>
      <c r="I181" s="656"/>
      <c r="J181" s="657"/>
      <c r="K181" s="645"/>
      <c r="L181" s="658"/>
      <c r="M181" s="657"/>
      <c r="N181" s="645"/>
      <c r="O181" s="645"/>
      <c r="P181" s="645"/>
      <c r="Q181" s="656"/>
      <c r="R181" s="659"/>
      <c r="S181" s="649"/>
      <c r="T181" s="292" t="e">
        <f>INDEX(ei_geo!$B:$B,MATCH(S181,ei_geo!$A:$A,0))</f>
        <v>#N/A</v>
      </c>
      <c r="U181" s="675"/>
      <c r="V181" s="675"/>
      <c r="W181" s="676"/>
      <c r="X181" s="657"/>
      <c r="Y181" s="645"/>
      <c r="Z181" s="645"/>
      <c r="AA181" s="645"/>
      <c r="AB181" s="656"/>
      <c r="AC181" s="677"/>
      <c r="AD181" s="649"/>
      <c r="AE181" s="292"/>
      <c r="AF181" s="675"/>
      <c r="AG181" s="675"/>
      <c r="AH181" s="676"/>
      <c r="AI181" s="681"/>
      <c r="AJ181" s="675"/>
      <c r="AK181" s="675"/>
      <c r="AL181" s="675"/>
      <c r="AM181" s="676"/>
      <c r="AN181" s="677"/>
      <c r="AO181" s="649"/>
      <c r="AP181" s="292"/>
      <c r="AQ181" s="675"/>
      <c r="AR181" s="675"/>
      <c r="AS181" s="676"/>
      <c r="AT181" s="681"/>
      <c r="AU181" s="675"/>
      <c r="AV181" s="675"/>
      <c r="AW181" s="675"/>
      <c r="AX181" s="685"/>
      <c r="AY181" s="677"/>
      <c r="AZ181" s="649"/>
      <c r="BA181" s="292"/>
      <c r="BB181" s="675"/>
      <c r="BC181" s="675"/>
      <c r="BD181" s="691"/>
      <c r="BE181" s="681"/>
      <c r="BF181" s="675"/>
      <c r="BG181" s="675"/>
      <c r="BH181" s="675"/>
      <c r="BI181" s="676"/>
      <c r="BJ181" s="681"/>
      <c r="BK181" s="692"/>
      <c r="BM181" s="475">
        <f t="shared" si="48"/>
        <v>0</v>
      </c>
      <c r="BN181" s="475">
        <f t="shared" si="49"/>
        <v>0</v>
      </c>
      <c r="BO181" s="475">
        <f t="shared" si="50"/>
        <v>0</v>
      </c>
      <c r="BP181" s="475">
        <f t="shared" si="51"/>
        <v>0</v>
      </c>
      <c r="BR181" s="476">
        <f t="shared" si="43"/>
        <v>0</v>
      </c>
      <c r="BS181" s="465">
        <f t="shared" si="44"/>
        <v>0</v>
      </c>
      <c r="BT181" s="466" t="str">
        <f t="shared" si="52"/>
        <v>n.a.</v>
      </c>
    </row>
    <row r="182" spans="1:72" s="312" customFormat="1">
      <c r="A182" s="201">
        <f t="shared" si="45"/>
        <v>169</v>
      </c>
      <c r="B182" s="641"/>
      <c r="C182" s="631" t="s">
        <v>8753</v>
      </c>
      <c r="D182" s="644"/>
      <c r="E182" s="645"/>
      <c r="F182" s="645"/>
      <c r="G182" s="474">
        <f t="shared" si="46"/>
        <v>0</v>
      </c>
      <c r="H182" s="293" t="str">
        <f t="shared" si="47"/>
        <v/>
      </c>
      <c r="I182" s="656"/>
      <c r="J182" s="657"/>
      <c r="K182" s="645"/>
      <c r="L182" s="658"/>
      <c r="M182" s="657"/>
      <c r="N182" s="645"/>
      <c r="O182" s="645"/>
      <c r="P182" s="645"/>
      <c r="Q182" s="656"/>
      <c r="R182" s="659"/>
      <c r="S182" s="649"/>
      <c r="T182" s="292" t="e">
        <f>INDEX(ei_geo!$B:$B,MATCH(S182,ei_geo!$A:$A,0))</f>
        <v>#N/A</v>
      </c>
      <c r="U182" s="675"/>
      <c r="V182" s="675"/>
      <c r="W182" s="676"/>
      <c r="X182" s="657"/>
      <c r="Y182" s="645"/>
      <c r="Z182" s="645"/>
      <c r="AA182" s="645"/>
      <c r="AB182" s="656"/>
      <c r="AC182" s="677"/>
      <c r="AD182" s="649"/>
      <c r="AE182" s="292"/>
      <c r="AF182" s="675"/>
      <c r="AG182" s="675"/>
      <c r="AH182" s="676"/>
      <c r="AI182" s="681"/>
      <c r="AJ182" s="675"/>
      <c r="AK182" s="675"/>
      <c r="AL182" s="675"/>
      <c r="AM182" s="676"/>
      <c r="AN182" s="677"/>
      <c r="AO182" s="649"/>
      <c r="AP182" s="292"/>
      <c r="AQ182" s="675"/>
      <c r="AR182" s="675"/>
      <c r="AS182" s="676"/>
      <c r="AT182" s="681"/>
      <c r="AU182" s="675"/>
      <c r="AV182" s="675"/>
      <c r="AW182" s="675"/>
      <c r="AX182" s="685"/>
      <c r="AY182" s="677"/>
      <c r="AZ182" s="649"/>
      <c r="BA182" s="292"/>
      <c r="BB182" s="675"/>
      <c r="BC182" s="675"/>
      <c r="BD182" s="691"/>
      <c r="BE182" s="681"/>
      <c r="BF182" s="675"/>
      <c r="BG182" s="675"/>
      <c r="BH182" s="675"/>
      <c r="BI182" s="676"/>
      <c r="BJ182" s="681"/>
      <c r="BK182" s="692"/>
      <c r="BM182" s="475">
        <f t="shared" si="48"/>
        <v>0</v>
      </c>
      <c r="BN182" s="475">
        <f t="shared" si="49"/>
        <v>0</v>
      </c>
      <c r="BO182" s="475">
        <f t="shared" si="50"/>
        <v>0</v>
      </c>
      <c r="BP182" s="475">
        <f t="shared" si="51"/>
        <v>0</v>
      </c>
      <c r="BR182" s="476">
        <f t="shared" si="43"/>
        <v>0</v>
      </c>
      <c r="BS182" s="465">
        <f t="shared" si="44"/>
        <v>0</v>
      </c>
      <c r="BT182" s="466" t="str">
        <f t="shared" si="52"/>
        <v>n.a.</v>
      </c>
    </row>
    <row r="183" spans="1:72" s="312" customFormat="1">
      <c r="A183" s="201">
        <f t="shared" si="45"/>
        <v>170</v>
      </c>
      <c r="B183" s="641"/>
      <c r="C183" s="631" t="s">
        <v>8754</v>
      </c>
      <c r="D183" s="644"/>
      <c r="E183" s="645"/>
      <c r="F183" s="645"/>
      <c r="G183" s="474">
        <f t="shared" si="46"/>
        <v>0</v>
      </c>
      <c r="H183" s="293" t="str">
        <f t="shared" si="47"/>
        <v/>
      </c>
      <c r="I183" s="656"/>
      <c r="J183" s="657"/>
      <c r="K183" s="645"/>
      <c r="L183" s="658"/>
      <c r="M183" s="657"/>
      <c r="N183" s="645"/>
      <c r="O183" s="645"/>
      <c r="P183" s="645"/>
      <c r="Q183" s="656"/>
      <c r="R183" s="659"/>
      <c r="S183" s="649"/>
      <c r="T183" s="292" t="e">
        <f>INDEX(ei_geo!$B:$B,MATCH(S183,ei_geo!$A:$A,0))</f>
        <v>#N/A</v>
      </c>
      <c r="U183" s="675"/>
      <c r="V183" s="675"/>
      <c r="W183" s="676"/>
      <c r="X183" s="657"/>
      <c r="Y183" s="645"/>
      <c r="Z183" s="645"/>
      <c r="AA183" s="645"/>
      <c r="AB183" s="656"/>
      <c r="AC183" s="677"/>
      <c r="AD183" s="649"/>
      <c r="AE183" s="292"/>
      <c r="AF183" s="675"/>
      <c r="AG183" s="675"/>
      <c r="AH183" s="676"/>
      <c r="AI183" s="681"/>
      <c r="AJ183" s="675"/>
      <c r="AK183" s="675"/>
      <c r="AL183" s="675"/>
      <c r="AM183" s="676"/>
      <c r="AN183" s="677"/>
      <c r="AO183" s="649"/>
      <c r="AP183" s="292"/>
      <c r="AQ183" s="675"/>
      <c r="AR183" s="675"/>
      <c r="AS183" s="676"/>
      <c r="AT183" s="681"/>
      <c r="AU183" s="675"/>
      <c r="AV183" s="675"/>
      <c r="AW183" s="675"/>
      <c r="AX183" s="685"/>
      <c r="AY183" s="677"/>
      <c r="AZ183" s="649"/>
      <c r="BA183" s="292"/>
      <c r="BB183" s="675"/>
      <c r="BC183" s="675"/>
      <c r="BD183" s="691"/>
      <c r="BE183" s="681"/>
      <c r="BF183" s="675"/>
      <c r="BG183" s="675"/>
      <c r="BH183" s="675"/>
      <c r="BI183" s="676"/>
      <c r="BJ183" s="681"/>
      <c r="BK183" s="692"/>
      <c r="BM183" s="475">
        <f t="shared" si="48"/>
        <v>0</v>
      </c>
      <c r="BN183" s="475">
        <f t="shared" si="49"/>
        <v>0</v>
      </c>
      <c r="BO183" s="475">
        <f t="shared" si="50"/>
        <v>0</v>
      </c>
      <c r="BP183" s="475">
        <f t="shared" si="51"/>
        <v>0</v>
      </c>
      <c r="BR183" s="476">
        <f t="shared" si="43"/>
        <v>0</v>
      </c>
      <c r="BS183" s="465">
        <f t="shared" si="44"/>
        <v>0</v>
      </c>
      <c r="BT183" s="466" t="str">
        <f t="shared" si="52"/>
        <v>n.a.</v>
      </c>
    </row>
    <row r="184" spans="1:72" s="312" customFormat="1">
      <c r="A184" s="201">
        <f t="shared" si="45"/>
        <v>171</v>
      </c>
      <c r="B184" s="641"/>
      <c r="C184" s="631" t="s">
        <v>8755</v>
      </c>
      <c r="D184" s="644"/>
      <c r="E184" s="645"/>
      <c r="F184" s="645"/>
      <c r="G184" s="474">
        <f t="shared" si="46"/>
        <v>0</v>
      </c>
      <c r="H184" s="293" t="str">
        <f t="shared" si="47"/>
        <v/>
      </c>
      <c r="I184" s="656"/>
      <c r="J184" s="657"/>
      <c r="K184" s="645"/>
      <c r="L184" s="658"/>
      <c r="M184" s="657"/>
      <c r="N184" s="645"/>
      <c r="O184" s="645"/>
      <c r="P184" s="645"/>
      <c r="Q184" s="656"/>
      <c r="R184" s="659"/>
      <c r="S184" s="649"/>
      <c r="T184" s="292" t="e">
        <f>INDEX(ei_geo!$B:$B,MATCH(S184,ei_geo!$A:$A,0))</f>
        <v>#N/A</v>
      </c>
      <c r="U184" s="675"/>
      <c r="V184" s="675"/>
      <c r="W184" s="676"/>
      <c r="X184" s="657"/>
      <c r="Y184" s="645"/>
      <c r="Z184" s="645"/>
      <c r="AA184" s="645"/>
      <c r="AB184" s="656"/>
      <c r="AC184" s="677"/>
      <c r="AD184" s="649"/>
      <c r="AE184" s="292"/>
      <c r="AF184" s="675"/>
      <c r="AG184" s="675"/>
      <c r="AH184" s="676"/>
      <c r="AI184" s="681"/>
      <c r="AJ184" s="675"/>
      <c r="AK184" s="675"/>
      <c r="AL184" s="675"/>
      <c r="AM184" s="676"/>
      <c r="AN184" s="677"/>
      <c r="AO184" s="649"/>
      <c r="AP184" s="292"/>
      <c r="AQ184" s="675"/>
      <c r="AR184" s="675"/>
      <c r="AS184" s="676"/>
      <c r="AT184" s="681"/>
      <c r="AU184" s="675"/>
      <c r="AV184" s="675"/>
      <c r="AW184" s="675"/>
      <c r="AX184" s="685"/>
      <c r="AY184" s="677"/>
      <c r="AZ184" s="649"/>
      <c r="BA184" s="292"/>
      <c r="BB184" s="675"/>
      <c r="BC184" s="675"/>
      <c r="BD184" s="691"/>
      <c r="BE184" s="681"/>
      <c r="BF184" s="675"/>
      <c r="BG184" s="675"/>
      <c r="BH184" s="675"/>
      <c r="BI184" s="676"/>
      <c r="BJ184" s="681"/>
      <c r="BK184" s="692"/>
      <c r="BM184" s="475">
        <f t="shared" si="48"/>
        <v>0</v>
      </c>
      <c r="BN184" s="475">
        <f t="shared" si="49"/>
        <v>0</v>
      </c>
      <c r="BO184" s="475">
        <f t="shared" si="50"/>
        <v>0</v>
      </c>
      <c r="BP184" s="475">
        <f t="shared" si="51"/>
        <v>0</v>
      </c>
      <c r="BR184" s="476">
        <f t="shared" si="43"/>
        <v>0</v>
      </c>
      <c r="BS184" s="465">
        <f t="shared" si="44"/>
        <v>0</v>
      </c>
      <c r="BT184" s="466" t="str">
        <f t="shared" si="52"/>
        <v>n.a.</v>
      </c>
    </row>
    <row r="185" spans="1:72" s="312" customFormat="1">
      <c r="A185" s="201">
        <f t="shared" si="45"/>
        <v>172</v>
      </c>
      <c r="B185" s="641"/>
      <c r="C185" s="631" t="s">
        <v>8756</v>
      </c>
      <c r="D185" s="644"/>
      <c r="E185" s="645"/>
      <c r="F185" s="645"/>
      <c r="G185" s="474">
        <f t="shared" si="46"/>
        <v>0</v>
      </c>
      <c r="H185" s="293" t="str">
        <f t="shared" si="47"/>
        <v/>
      </c>
      <c r="I185" s="656"/>
      <c r="J185" s="657"/>
      <c r="K185" s="645"/>
      <c r="L185" s="658"/>
      <c r="M185" s="657"/>
      <c r="N185" s="645"/>
      <c r="O185" s="645"/>
      <c r="P185" s="645"/>
      <c r="Q185" s="656"/>
      <c r="R185" s="659"/>
      <c r="S185" s="649"/>
      <c r="T185" s="292" t="e">
        <f>INDEX(ei_geo!$B:$B,MATCH(S185,ei_geo!$A:$A,0))</f>
        <v>#N/A</v>
      </c>
      <c r="U185" s="675"/>
      <c r="V185" s="675"/>
      <c r="W185" s="676"/>
      <c r="X185" s="657"/>
      <c r="Y185" s="645"/>
      <c r="Z185" s="645"/>
      <c r="AA185" s="645"/>
      <c r="AB185" s="656"/>
      <c r="AC185" s="677"/>
      <c r="AD185" s="649"/>
      <c r="AE185" s="292"/>
      <c r="AF185" s="675"/>
      <c r="AG185" s="675"/>
      <c r="AH185" s="676"/>
      <c r="AI185" s="681"/>
      <c r="AJ185" s="675"/>
      <c r="AK185" s="675"/>
      <c r="AL185" s="675"/>
      <c r="AM185" s="676"/>
      <c r="AN185" s="677"/>
      <c r="AO185" s="649"/>
      <c r="AP185" s="292"/>
      <c r="AQ185" s="675"/>
      <c r="AR185" s="675"/>
      <c r="AS185" s="676"/>
      <c r="AT185" s="681"/>
      <c r="AU185" s="675"/>
      <c r="AV185" s="675"/>
      <c r="AW185" s="675"/>
      <c r="AX185" s="685"/>
      <c r="AY185" s="677"/>
      <c r="AZ185" s="649"/>
      <c r="BA185" s="292"/>
      <c r="BB185" s="675"/>
      <c r="BC185" s="675"/>
      <c r="BD185" s="691"/>
      <c r="BE185" s="681"/>
      <c r="BF185" s="675"/>
      <c r="BG185" s="675"/>
      <c r="BH185" s="675"/>
      <c r="BI185" s="676"/>
      <c r="BJ185" s="681"/>
      <c r="BK185" s="692"/>
      <c r="BM185" s="475">
        <f t="shared" si="48"/>
        <v>0</v>
      </c>
      <c r="BN185" s="475">
        <f t="shared" si="49"/>
        <v>0</v>
      </c>
      <c r="BO185" s="475">
        <f t="shared" si="50"/>
        <v>0</v>
      </c>
      <c r="BP185" s="475">
        <f t="shared" si="51"/>
        <v>0</v>
      </c>
      <c r="BR185" s="476">
        <f t="shared" si="43"/>
        <v>0</v>
      </c>
      <c r="BS185" s="465">
        <f t="shared" si="44"/>
        <v>0</v>
      </c>
      <c r="BT185" s="466" t="str">
        <f t="shared" si="52"/>
        <v>n.a.</v>
      </c>
    </row>
    <row r="186" spans="1:72" s="312" customFormat="1">
      <c r="A186" s="201">
        <f t="shared" si="45"/>
        <v>173</v>
      </c>
      <c r="B186" s="641"/>
      <c r="C186" s="631" t="s">
        <v>8757</v>
      </c>
      <c r="D186" s="644"/>
      <c r="E186" s="645"/>
      <c r="F186" s="645"/>
      <c r="G186" s="474">
        <f t="shared" si="46"/>
        <v>0</v>
      </c>
      <c r="H186" s="293" t="str">
        <f t="shared" si="47"/>
        <v/>
      </c>
      <c r="I186" s="656"/>
      <c r="J186" s="657"/>
      <c r="K186" s="645"/>
      <c r="L186" s="658"/>
      <c r="M186" s="657"/>
      <c r="N186" s="645"/>
      <c r="O186" s="645"/>
      <c r="P186" s="645"/>
      <c r="Q186" s="656"/>
      <c r="R186" s="659"/>
      <c r="S186" s="649"/>
      <c r="T186" s="292" t="e">
        <f>INDEX(ei_geo!$B:$B,MATCH(S186,ei_geo!$A:$A,0))</f>
        <v>#N/A</v>
      </c>
      <c r="U186" s="675"/>
      <c r="V186" s="675"/>
      <c r="W186" s="676"/>
      <c r="X186" s="657"/>
      <c r="Y186" s="645"/>
      <c r="Z186" s="645"/>
      <c r="AA186" s="645"/>
      <c r="AB186" s="656"/>
      <c r="AC186" s="677"/>
      <c r="AD186" s="649"/>
      <c r="AE186" s="292"/>
      <c r="AF186" s="675"/>
      <c r="AG186" s="675"/>
      <c r="AH186" s="676"/>
      <c r="AI186" s="681"/>
      <c r="AJ186" s="675"/>
      <c r="AK186" s="675"/>
      <c r="AL186" s="675"/>
      <c r="AM186" s="676"/>
      <c r="AN186" s="677"/>
      <c r="AO186" s="649"/>
      <c r="AP186" s="292"/>
      <c r="AQ186" s="675"/>
      <c r="AR186" s="675"/>
      <c r="AS186" s="676"/>
      <c r="AT186" s="681"/>
      <c r="AU186" s="675"/>
      <c r="AV186" s="675"/>
      <c r="AW186" s="675"/>
      <c r="AX186" s="685"/>
      <c r="AY186" s="677"/>
      <c r="AZ186" s="649"/>
      <c r="BA186" s="292"/>
      <c r="BB186" s="675"/>
      <c r="BC186" s="675"/>
      <c r="BD186" s="691"/>
      <c r="BE186" s="681"/>
      <c r="BF186" s="675"/>
      <c r="BG186" s="675"/>
      <c r="BH186" s="675"/>
      <c r="BI186" s="676"/>
      <c r="BJ186" s="681"/>
      <c r="BK186" s="692"/>
      <c r="BM186" s="475">
        <f t="shared" si="48"/>
        <v>0</v>
      </c>
      <c r="BN186" s="475">
        <f t="shared" si="49"/>
        <v>0</v>
      </c>
      <c r="BO186" s="475">
        <f t="shared" si="50"/>
        <v>0</v>
      </c>
      <c r="BP186" s="475">
        <f t="shared" si="51"/>
        <v>0</v>
      </c>
      <c r="BR186" s="476">
        <f t="shared" si="43"/>
        <v>0</v>
      </c>
      <c r="BS186" s="465">
        <f t="shared" si="44"/>
        <v>0</v>
      </c>
      <c r="BT186" s="466" t="str">
        <f t="shared" si="52"/>
        <v>n.a.</v>
      </c>
    </row>
    <row r="187" spans="1:72" s="312" customFormat="1">
      <c r="A187" s="201">
        <f t="shared" si="45"/>
        <v>174</v>
      </c>
      <c r="B187" s="641"/>
      <c r="C187" s="631" t="s">
        <v>8758</v>
      </c>
      <c r="D187" s="644"/>
      <c r="E187" s="645"/>
      <c r="F187" s="645"/>
      <c r="G187" s="474">
        <f t="shared" si="46"/>
        <v>0</v>
      </c>
      <c r="H187" s="293" t="str">
        <f t="shared" si="47"/>
        <v/>
      </c>
      <c r="I187" s="656"/>
      <c r="J187" s="657"/>
      <c r="K187" s="645"/>
      <c r="L187" s="658"/>
      <c r="M187" s="657"/>
      <c r="N187" s="645"/>
      <c r="O187" s="645"/>
      <c r="P187" s="645"/>
      <c r="Q187" s="656"/>
      <c r="R187" s="659"/>
      <c r="S187" s="649"/>
      <c r="T187" s="292" t="e">
        <f>INDEX(ei_geo!$B:$B,MATCH(S187,ei_geo!$A:$A,0))</f>
        <v>#N/A</v>
      </c>
      <c r="U187" s="675"/>
      <c r="V187" s="675"/>
      <c r="W187" s="676"/>
      <c r="X187" s="657"/>
      <c r="Y187" s="645"/>
      <c r="Z187" s="645"/>
      <c r="AA187" s="645"/>
      <c r="AB187" s="656"/>
      <c r="AC187" s="677"/>
      <c r="AD187" s="649"/>
      <c r="AE187" s="292"/>
      <c r="AF187" s="675"/>
      <c r="AG187" s="675"/>
      <c r="AH187" s="676"/>
      <c r="AI187" s="681"/>
      <c r="AJ187" s="675"/>
      <c r="AK187" s="675"/>
      <c r="AL187" s="675"/>
      <c r="AM187" s="676"/>
      <c r="AN187" s="677"/>
      <c r="AO187" s="649"/>
      <c r="AP187" s="292"/>
      <c r="AQ187" s="675"/>
      <c r="AR187" s="675"/>
      <c r="AS187" s="676"/>
      <c r="AT187" s="681"/>
      <c r="AU187" s="675"/>
      <c r="AV187" s="675"/>
      <c r="AW187" s="675"/>
      <c r="AX187" s="685"/>
      <c r="AY187" s="677"/>
      <c r="AZ187" s="649"/>
      <c r="BA187" s="292"/>
      <c r="BB187" s="675"/>
      <c r="BC187" s="675"/>
      <c r="BD187" s="691"/>
      <c r="BE187" s="681"/>
      <c r="BF187" s="675"/>
      <c r="BG187" s="675"/>
      <c r="BH187" s="675"/>
      <c r="BI187" s="676"/>
      <c r="BJ187" s="681"/>
      <c r="BK187" s="692"/>
      <c r="BM187" s="475">
        <f t="shared" si="48"/>
        <v>0</v>
      </c>
      <c r="BN187" s="475">
        <f t="shared" si="49"/>
        <v>0</v>
      </c>
      <c r="BO187" s="475">
        <f t="shared" si="50"/>
        <v>0</v>
      </c>
      <c r="BP187" s="475">
        <f t="shared" si="51"/>
        <v>0</v>
      </c>
      <c r="BR187" s="476">
        <f t="shared" si="43"/>
        <v>0</v>
      </c>
      <c r="BS187" s="465">
        <f t="shared" si="44"/>
        <v>0</v>
      </c>
      <c r="BT187" s="466" t="str">
        <f t="shared" si="52"/>
        <v>n.a.</v>
      </c>
    </row>
    <row r="188" spans="1:72" s="312" customFormat="1">
      <c r="A188" s="201">
        <f t="shared" si="45"/>
        <v>175</v>
      </c>
      <c r="B188" s="641"/>
      <c r="C188" s="631" t="s">
        <v>8759</v>
      </c>
      <c r="D188" s="644"/>
      <c r="E188" s="645"/>
      <c r="F188" s="645"/>
      <c r="G188" s="474">
        <f t="shared" si="46"/>
        <v>0</v>
      </c>
      <c r="H188" s="293" t="str">
        <f t="shared" si="47"/>
        <v/>
      </c>
      <c r="I188" s="656"/>
      <c r="J188" s="657"/>
      <c r="K188" s="645"/>
      <c r="L188" s="658"/>
      <c r="M188" s="657"/>
      <c r="N188" s="645"/>
      <c r="O188" s="645"/>
      <c r="P188" s="645"/>
      <c r="Q188" s="656"/>
      <c r="R188" s="659"/>
      <c r="S188" s="649"/>
      <c r="T188" s="292" t="e">
        <f>INDEX(ei_geo!$B:$B,MATCH(S188,ei_geo!$A:$A,0))</f>
        <v>#N/A</v>
      </c>
      <c r="U188" s="675"/>
      <c r="V188" s="675"/>
      <c r="W188" s="676"/>
      <c r="X188" s="657"/>
      <c r="Y188" s="645"/>
      <c r="Z188" s="645"/>
      <c r="AA188" s="645"/>
      <c r="AB188" s="656"/>
      <c r="AC188" s="677"/>
      <c r="AD188" s="649"/>
      <c r="AE188" s="292"/>
      <c r="AF188" s="675"/>
      <c r="AG188" s="675"/>
      <c r="AH188" s="676"/>
      <c r="AI188" s="681"/>
      <c r="AJ188" s="675"/>
      <c r="AK188" s="675"/>
      <c r="AL188" s="675"/>
      <c r="AM188" s="676"/>
      <c r="AN188" s="677"/>
      <c r="AO188" s="649"/>
      <c r="AP188" s="292"/>
      <c r="AQ188" s="675"/>
      <c r="AR188" s="675"/>
      <c r="AS188" s="676"/>
      <c r="AT188" s="681"/>
      <c r="AU188" s="675"/>
      <c r="AV188" s="675"/>
      <c r="AW188" s="675"/>
      <c r="AX188" s="685"/>
      <c r="AY188" s="677"/>
      <c r="AZ188" s="649"/>
      <c r="BA188" s="292"/>
      <c r="BB188" s="675"/>
      <c r="BC188" s="675"/>
      <c r="BD188" s="691"/>
      <c r="BE188" s="681"/>
      <c r="BF188" s="675"/>
      <c r="BG188" s="675"/>
      <c r="BH188" s="675"/>
      <c r="BI188" s="676"/>
      <c r="BJ188" s="681"/>
      <c r="BK188" s="692"/>
      <c r="BM188" s="475">
        <f t="shared" si="48"/>
        <v>0</v>
      </c>
      <c r="BN188" s="475">
        <f t="shared" si="49"/>
        <v>0</v>
      </c>
      <c r="BO188" s="475">
        <f t="shared" si="50"/>
        <v>0</v>
      </c>
      <c r="BP188" s="475">
        <f t="shared" si="51"/>
        <v>0</v>
      </c>
      <c r="BR188" s="476">
        <f t="shared" si="43"/>
        <v>0</v>
      </c>
      <c r="BS188" s="465">
        <f t="shared" si="44"/>
        <v>0</v>
      </c>
      <c r="BT188" s="466" t="str">
        <f t="shared" si="52"/>
        <v>n.a.</v>
      </c>
    </row>
    <row r="189" spans="1:72" s="312" customFormat="1">
      <c r="A189" s="201">
        <f t="shared" si="45"/>
        <v>176</v>
      </c>
      <c r="B189" s="641"/>
      <c r="C189" s="631" t="s">
        <v>8760</v>
      </c>
      <c r="D189" s="644"/>
      <c r="E189" s="645"/>
      <c r="F189" s="645"/>
      <c r="G189" s="474">
        <f t="shared" si="46"/>
        <v>0</v>
      </c>
      <c r="H189" s="293" t="str">
        <f t="shared" si="47"/>
        <v/>
      </c>
      <c r="I189" s="656"/>
      <c r="J189" s="657"/>
      <c r="K189" s="645"/>
      <c r="L189" s="658"/>
      <c r="M189" s="657"/>
      <c r="N189" s="645"/>
      <c r="O189" s="645"/>
      <c r="P189" s="645"/>
      <c r="Q189" s="656"/>
      <c r="R189" s="659"/>
      <c r="S189" s="649"/>
      <c r="T189" s="292" t="e">
        <f>INDEX(ei_geo!$B:$B,MATCH(S189,ei_geo!$A:$A,0))</f>
        <v>#N/A</v>
      </c>
      <c r="U189" s="675"/>
      <c r="V189" s="675"/>
      <c r="W189" s="676"/>
      <c r="X189" s="657"/>
      <c r="Y189" s="645"/>
      <c r="Z189" s="645"/>
      <c r="AA189" s="645"/>
      <c r="AB189" s="656"/>
      <c r="AC189" s="677"/>
      <c r="AD189" s="649"/>
      <c r="AE189" s="292"/>
      <c r="AF189" s="675"/>
      <c r="AG189" s="675"/>
      <c r="AH189" s="676"/>
      <c r="AI189" s="681"/>
      <c r="AJ189" s="675"/>
      <c r="AK189" s="675"/>
      <c r="AL189" s="675"/>
      <c r="AM189" s="676"/>
      <c r="AN189" s="677"/>
      <c r="AO189" s="649"/>
      <c r="AP189" s="292"/>
      <c r="AQ189" s="675"/>
      <c r="AR189" s="675"/>
      <c r="AS189" s="676"/>
      <c r="AT189" s="681"/>
      <c r="AU189" s="675"/>
      <c r="AV189" s="675"/>
      <c r="AW189" s="675"/>
      <c r="AX189" s="685"/>
      <c r="AY189" s="677"/>
      <c r="AZ189" s="649"/>
      <c r="BA189" s="292"/>
      <c r="BB189" s="675"/>
      <c r="BC189" s="675"/>
      <c r="BD189" s="691"/>
      <c r="BE189" s="681"/>
      <c r="BF189" s="675"/>
      <c r="BG189" s="675"/>
      <c r="BH189" s="675"/>
      <c r="BI189" s="676"/>
      <c r="BJ189" s="681"/>
      <c r="BK189" s="692"/>
      <c r="BM189" s="475">
        <f t="shared" si="48"/>
        <v>0</v>
      </c>
      <c r="BN189" s="475">
        <f t="shared" si="49"/>
        <v>0</v>
      </c>
      <c r="BO189" s="475">
        <f t="shared" si="50"/>
        <v>0</v>
      </c>
      <c r="BP189" s="475">
        <f t="shared" si="51"/>
        <v>0</v>
      </c>
      <c r="BR189" s="476">
        <f t="shared" si="43"/>
        <v>0</v>
      </c>
      <c r="BS189" s="465">
        <f t="shared" si="44"/>
        <v>0</v>
      </c>
      <c r="BT189" s="466" t="str">
        <f t="shared" si="52"/>
        <v>n.a.</v>
      </c>
    </row>
    <row r="190" spans="1:72" s="312" customFormat="1">
      <c r="A190" s="201">
        <f t="shared" si="45"/>
        <v>177</v>
      </c>
      <c r="B190" s="641"/>
      <c r="C190" s="631" t="s">
        <v>8761</v>
      </c>
      <c r="D190" s="644"/>
      <c r="E190" s="645"/>
      <c r="F190" s="645"/>
      <c r="G190" s="474">
        <f t="shared" si="46"/>
        <v>0</v>
      </c>
      <c r="H190" s="293" t="str">
        <f t="shared" si="47"/>
        <v/>
      </c>
      <c r="I190" s="656"/>
      <c r="J190" s="657"/>
      <c r="K190" s="645"/>
      <c r="L190" s="658"/>
      <c r="M190" s="657"/>
      <c r="N190" s="645"/>
      <c r="O190" s="645"/>
      <c r="P190" s="645"/>
      <c r="Q190" s="656"/>
      <c r="R190" s="659"/>
      <c r="S190" s="649"/>
      <c r="T190" s="292" t="e">
        <f>INDEX(ei_geo!$B:$B,MATCH(S190,ei_geo!$A:$A,0))</f>
        <v>#N/A</v>
      </c>
      <c r="U190" s="675"/>
      <c r="V190" s="675"/>
      <c r="W190" s="676"/>
      <c r="X190" s="657"/>
      <c r="Y190" s="645"/>
      <c r="Z190" s="645"/>
      <c r="AA190" s="645"/>
      <c r="AB190" s="656"/>
      <c r="AC190" s="677"/>
      <c r="AD190" s="649"/>
      <c r="AE190" s="292"/>
      <c r="AF190" s="675"/>
      <c r="AG190" s="675"/>
      <c r="AH190" s="676"/>
      <c r="AI190" s="681"/>
      <c r="AJ190" s="675"/>
      <c r="AK190" s="675"/>
      <c r="AL190" s="675"/>
      <c r="AM190" s="676"/>
      <c r="AN190" s="677"/>
      <c r="AO190" s="649"/>
      <c r="AP190" s="292"/>
      <c r="AQ190" s="675"/>
      <c r="AR190" s="675"/>
      <c r="AS190" s="676"/>
      <c r="AT190" s="681"/>
      <c r="AU190" s="675"/>
      <c r="AV190" s="675"/>
      <c r="AW190" s="675"/>
      <c r="AX190" s="685"/>
      <c r="AY190" s="677"/>
      <c r="AZ190" s="649"/>
      <c r="BA190" s="292"/>
      <c r="BB190" s="675"/>
      <c r="BC190" s="675"/>
      <c r="BD190" s="691"/>
      <c r="BE190" s="681"/>
      <c r="BF190" s="675"/>
      <c r="BG190" s="675"/>
      <c r="BH190" s="675"/>
      <c r="BI190" s="676"/>
      <c r="BJ190" s="681"/>
      <c r="BK190" s="692"/>
      <c r="BM190" s="475">
        <f t="shared" si="48"/>
        <v>0</v>
      </c>
      <c r="BN190" s="475">
        <f t="shared" si="49"/>
        <v>0</v>
      </c>
      <c r="BO190" s="475">
        <f t="shared" si="50"/>
        <v>0</v>
      </c>
      <c r="BP190" s="475">
        <f t="shared" si="51"/>
        <v>0</v>
      </c>
      <c r="BR190" s="476">
        <f t="shared" si="43"/>
        <v>0</v>
      </c>
      <c r="BS190" s="465">
        <f t="shared" si="44"/>
        <v>0</v>
      </c>
      <c r="BT190" s="466" t="str">
        <f t="shared" si="52"/>
        <v>n.a.</v>
      </c>
    </row>
    <row r="191" spans="1:72" s="312" customFormat="1">
      <c r="A191" s="201">
        <f t="shared" si="45"/>
        <v>178</v>
      </c>
      <c r="B191" s="641"/>
      <c r="C191" s="631" t="s">
        <v>8762</v>
      </c>
      <c r="D191" s="644"/>
      <c r="E191" s="645"/>
      <c r="F191" s="645"/>
      <c r="G191" s="474">
        <f t="shared" si="46"/>
        <v>0</v>
      </c>
      <c r="H191" s="293" t="str">
        <f t="shared" si="47"/>
        <v/>
      </c>
      <c r="I191" s="656"/>
      <c r="J191" s="657"/>
      <c r="K191" s="645"/>
      <c r="L191" s="658"/>
      <c r="M191" s="657"/>
      <c r="N191" s="645"/>
      <c r="O191" s="645"/>
      <c r="P191" s="645"/>
      <c r="Q191" s="656"/>
      <c r="R191" s="659"/>
      <c r="S191" s="649"/>
      <c r="T191" s="292" t="e">
        <f>INDEX(ei_geo!$B:$B,MATCH(S191,ei_geo!$A:$A,0))</f>
        <v>#N/A</v>
      </c>
      <c r="U191" s="675"/>
      <c r="V191" s="675"/>
      <c r="W191" s="676"/>
      <c r="X191" s="657"/>
      <c r="Y191" s="645"/>
      <c r="Z191" s="645"/>
      <c r="AA191" s="645"/>
      <c r="AB191" s="656"/>
      <c r="AC191" s="677"/>
      <c r="AD191" s="649"/>
      <c r="AE191" s="292"/>
      <c r="AF191" s="675"/>
      <c r="AG191" s="675"/>
      <c r="AH191" s="676"/>
      <c r="AI191" s="681"/>
      <c r="AJ191" s="675"/>
      <c r="AK191" s="675"/>
      <c r="AL191" s="675"/>
      <c r="AM191" s="676"/>
      <c r="AN191" s="677"/>
      <c r="AO191" s="649"/>
      <c r="AP191" s="292"/>
      <c r="AQ191" s="675"/>
      <c r="AR191" s="675"/>
      <c r="AS191" s="676"/>
      <c r="AT191" s="681"/>
      <c r="AU191" s="675"/>
      <c r="AV191" s="675"/>
      <c r="AW191" s="675"/>
      <c r="AX191" s="685"/>
      <c r="AY191" s="677"/>
      <c r="AZ191" s="649"/>
      <c r="BA191" s="292"/>
      <c r="BB191" s="675"/>
      <c r="BC191" s="675"/>
      <c r="BD191" s="691"/>
      <c r="BE191" s="681"/>
      <c r="BF191" s="675"/>
      <c r="BG191" s="675"/>
      <c r="BH191" s="675"/>
      <c r="BI191" s="676"/>
      <c r="BJ191" s="681"/>
      <c r="BK191" s="692"/>
      <c r="BM191" s="475">
        <f t="shared" si="48"/>
        <v>0</v>
      </c>
      <c r="BN191" s="475">
        <f t="shared" si="49"/>
        <v>0</v>
      </c>
      <c r="BO191" s="475">
        <f t="shared" si="50"/>
        <v>0</v>
      </c>
      <c r="BP191" s="475">
        <f t="shared" si="51"/>
        <v>0</v>
      </c>
      <c r="BR191" s="476">
        <f t="shared" si="43"/>
        <v>0</v>
      </c>
      <c r="BS191" s="465">
        <f t="shared" si="44"/>
        <v>0</v>
      </c>
      <c r="BT191" s="466" t="str">
        <f t="shared" si="52"/>
        <v>n.a.</v>
      </c>
    </row>
    <row r="192" spans="1:72" s="312" customFormat="1">
      <c r="A192" s="201">
        <f t="shared" si="45"/>
        <v>179</v>
      </c>
      <c r="B192" s="641"/>
      <c r="C192" s="631" t="s">
        <v>8763</v>
      </c>
      <c r="D192" s="644"/>
      <c r="E192" s="645"/>
      <c r="F192" s="645"/>
      <c r="G192" s="474">
        <f t="shared" si="46"/>
        <v>0</v>
      </c>
      <c r="H192" s="293" t="str">
        <f t="shared" si="47"/>
        <v/>
      </c>
      <c r="I192" s="656"/>
      <c r="J192" s="657"/>
      <c r="K192" s="645"/>
      <c r="L192" s="658"/>
      <c r="M192" s="657"/>
      <c r="N192" s="645"/>
      <c r="O192" s="645"/>
      <c r="P192" s="645"/>
      <c r="Q192" s="656"/>
      <c r="R192" s="659"/>
      <c r="S192" s="649"/>
      <c r="T192" s="292" t="e">
        <f>INDEX(ei_geo!$B:$B,MATCH(S192,ei_geo!$A:$A,0))</f>
        <v>#N/A</v>
      </c>
      <c r="U192" s="675"/>
      <c r="V192" s="675"/>
      <c r="W192" s="676"/>
      <c r="X192" s="657"/>
      <c r="Y192" s="645"/>
      <c r="Z192" s="645"/>
      <c r="AA192" s="645"/>
      <c r="AB192" s="656"/>
      <c r="AC192" s="677"/>
      <c r="AD192" s="649"/>
      <c r="AE192" s="292"/>
      <c r="AF192" s="675"/>
      <c r="AG192" s="675"/>
      <c r="AH192" s="676"/>
      <c r="AI192" s="681"/>
      <c r="AJ192" s="675"/>
      <c r="AK192" s="675"/>
      <c r="AL192" s="675"/>
      <c r="AM192" s="676"/>
      <c r="AN192" s="677"/>
      <c r="AO192" s="649"/>
      <c r="AP192" s="292"/>
      <c r="AQ192" s="675"/>
      <c r="AR192" s="675"/>
      <c r="AS192" s="676"/>
      <c r="AT192" s="681"/>
      <c r="AU192" s="675"/>
      <c r="AV192" s="675"/>
      <c r="AW192" s="675"/>
      <c r="AX192" s="685"/>
      <c r="AY192" s="677"/>
      <c r="AZ192" s="649"/>
      <c r="BA192" s="292"/>
      <c r="BB192" s="675"/>
      <c r="BC192" s="675"/>
      <c r="BD192" s="691"/>
      <c r="BE192" s="681"/>
      <c r="BF192" s="675"/>
      <c r="BG192" s="675"/>
      <c r="BH192" s="675"/>
      <c r="BI192" s="676"/>
      <c r="BJ192" s="681"/>
      <c r="BK192" s="692"/>
      <c r="BM192" s="475">
        <f t="shared" si="48"/>
        <v>0</v>
      </c>
      <c r="BN192" s="475">
        <f t="shared" si="49"/>
        <v>0</v>
      </c>
      <c r="BO192" s="475">
        <f t="shared" si="50"/>
        <v>0</v>
      </c>
      <c r="BP192" s="475">
        <f t="shared" si="51"/>
        <v>0</v>
      </c>
      <c r="BR192" s="476">
        <f t="shared" si="43"/>
        <v>0</v>
      </c>
      <c r="BS192" s="465">
        <f t="shared" si="44"/>
        <v>0</v>
      </c>
      <c r="BT192" s="466" t="str">
        <f t="shared" si="52"/>
        <v>n.a.</v>
      </c>
    </row>
    <row r="193" spans="1:72" s="312" customFormat="1">
      <c r="A193" s="201">
        <f t="shared" si="45"/>
        <v>180</v>
      </c>
      <c r="B193" s="641"/>
      <c r="C193" s="631" t="s">
        <v>8764</v>
      </c>
      <c r="D193" s="644"/>
      <c r="E193" s="645"/>
      <c r="F193" s="645"/>
      <c r="G193" s="474">
        <f t="shared" si="46"/>
        <v>0</v>
      </c>
      <c r="H193" s="293" t="str">
        <f t="shared" si="47"/>
        <v/>
      </c>
      <c r="I193" s="656"/>
      <c r="J193" s="657"/>
      <c r="K193" s="645"/>
      <c r="L193" s="658"/>
      <c r="M193" s="657"/>
      <c r="N193" s="645"/>
      <c r="O193" s="645"/>
      <c r="P193" s="645"/>
      <c r="Q193" s="656"/>
      <c r="R193" s="659"/>
      <c r="S193" s="649"/>
      <c r="T193" s="292" t="e">
        <f>INDEX(ei_geo!$B:$B,MATCH(S193,ei_geo!$A:$A,0))</f>
        <v>#N/A</v>
      </c>
      <c r="U193" s="675"/>
      <c r="V193" s="675"/>
      <c r="W193" s="676"/>
      <c r="X193" s="657"/>
      <c r="Y193" s="645"/>
      <c r="Z193" s="645"/>
      <c r="AA193" s="645"/>
      <c r="AB193" s="656"/>
      <c r="AC193" s="677"/>
      <c r="AD193" s="649"/>
      <c r="AE193" s="292"/>
      <c r="AF193" s="675"/>
      <c r="AG193" s="675"/>
      <c r="AH193" s="676"/>
      <c r="AI193" s="681"/>
      <c r="AJ193" s="675"/>
      <c r="AK193" s="675"/>
      <c r="AL193" s="675"/>
      <c r="AM193" s="676"/>
      <c r="AN193" s="677"/>
      <c r="AO193" s="649"/>
      <c r="AP193" s="292"/>
      <c r="AQ193" s="675"/>
      <c r="AR193" s="675"/>
      <c r="AS193" s="676"/>
      <c r="AT193" s="681"/>
      <c r="AU193" s="675"/>
      <c r="AV193" s="675"/>
      <c r="AW193" s="675"/>
      <c r="AX193" s="685"/>
      <c r="AY193" s="677"/>
      <c r="AZ193" s="649"/>
      <c r="BA193" s="292"/>
      <c r="BB193" s="675"/>
      <c r="BC193" s="675"/>
      <c r="BD193" s="691"/>
      <c r="BE193" s="681"/>
      <c r="BF193" s="675"/>
      <c r="BG193" s="675"/>
      <c r="BH193" s="675"/>
      <c r="BI193" s="676"/>
      <c r="BJ193" s="681"/>
      <c r="BK193" s="692"/>
      <c r="BM193" s="475">
        <f t="shared" si="48"/>
        <v>0</v>
      </c>
      <c r="BN193" s="475">
        <f t="shared" si="49"/>
        <v>0</v>
      </c>
      <c r="BO193" s="475">
        <f t="shared" si="50"/>
        <v>0</v>
      </c>
      <c r="BP193" s="475">
        <f t="shared" si="51"/>
        <v>0</v>
      </c>
      <c r="BR193" s="476">
        <f t="shared" si="43"/>
        <v>0</v>
      </c>
      <c r="BS193" s="465">
        <f t="shared" si="44"/>
        <v>0</v>
      </c>
      <c r="BT193" s="466" t="str">
        <f t="shared" si="52"/>
        <v>n.a.</v>
      </c>
    </row>
    <row r="194" spans="1:72" s="312" customFormat="1">
      <c r="A194" s="201">
        <f t="shared" si="45"/>
        <v>181</v>
      </c>
      <c r="B194" s="641"/>
      <c r="C194" s="631" t="s">
        <v>8765</v>
      </c>
      <c r="D194" s="644"/>
      <c r="E194" s="645"/>
      <c r="F194" s="645"/>
      <c r="G194" s="474">
        <f t="shared" si="46"/>
        <v>0</v>
      </c>
      <c r="H194" s="293" t="str">
        <f t="shared" si="47"/>
        <v/>
      </c>
      <c r="I194" s="656"/>
      <c r="J194" s="657"/>
      <c r="K194" s="645"/>
      <c r="L194" s="658"/>
      <c r="M194" s="657"/>
      <c r="N194" s="645"/>
      <c r="O194" s="645"/>
      <c r="P194" s="645"/>
      <c r="Q194" s="656"/>
      <c r="R194" s="659"/>
      <c r="S194" s="649"/>
      <c r="T194" s="292" t="e">
        <f>INDEX(ei_geo!$B:$B,MATCH(S194,ei_geo!$A:$A,0))</f>
        <v>#N/A</v>
      </c>
      <c r="U194" s="675"/>
      <c r="V194" s="675"/>
      <c r="W194" s="676"/>
      <c r="X194" s="657"/>
      <c r="Y194" s="645"/>
      <c r="Z194" s="645"/>
      <c r="AA194" s="645"/>
      <c r="AB194" s="656"/>
      <c r="AC194" s="677"/>
      <c r="AD194" s="649"/>
      <c r="AE194" s="292"/>
      <c r="AF194" s="675"/>
      <c r="AG194" s="675"/>
      <c r="AH194" s="676"/>
      <c r="AI194" s="681"/>
      <c r="AJ194" s="675"/>
      <c r="AK194" s="675"/>
      <c r="AL194" s="675"/>
      <c r="AM194" s="676"/>
      <c r="AN194" s="677"/>
      <c r="AO194" s="649"/>
      <c r="AP194" s="292"/>
      <c r="AQ194" s="675"/>
      <c r="AR194" s="675"/>
      <c r="AS194" s="676"/>
      <c r="AT194" s="681"/>
      <c r="AU194" s="675"/>
      <c r="AV194" s="675"/>
      <c r="AW194" s="675"/>
      <c r="AX194" s="685"/>
      <c r="AY194" s="677"/>
      <c r="AZ194" s="649"/>
      <c r="BA194" s="292"/>
      <c r="BB194" s="675"/>
      <c r="BC194" s="675"/>
      <c r="BD194" s="691"/>
      <c r="BE194" s="681"/>
      <c r="BF194" s="675"/>
      <c r="BG194" s="675"/>
      <c r="BH194" s="675"/>
      <c r="BI194" s="676"/>
      <c r="BJ194" s="681"/>
      <c r="BK194" s="692"/>
      <c r="BM194" s="475">
        <f t="shared" si="48"/>
        <v>0</v>
      </c>
      <c r="BN194" s="475">
        <f t="shared" si="49"/>
        <v>0</v>
      </c>
      <c r="BO194" s="475">
        <f t="shared" si="50"/>
        <v>0</v>
      </c>
      <c r="BP194" s="475">
        <f t="shared" si="51"/>
        <v>0</v>
      </c>
      <c r="BR194" s="476">
        <f t="shared" si="43"/>
        <v>0</v>
      </c>
      <c r="BS194" s="465">
        <f t="shared" si="44"/>
        <v>0</v>
      </c>
      <c r="BT194" s="466" t="str">
        <f t="shared" si="52"/>
        <v>n.a.</v>
      </c>
    </row>
    <row r="195" spans="1:72" s="312" customFormat="1">
      <c r="A195" s="201">
        <f t="shared" si="45"/>
        <v>182</v>
      </c>
      <c r="B195" s="641"/>
      <c r="C195" s="631" t="s">
        <v>8766</v>
      </c>
      <c r="D195" s="644"/>
      <c r="E195" s="645"/>
      <c r="F195" s="645"/>
      <c r="G195" s="474">
        <f t="shared" si="46"/>
        <v>0</v>
      </c>
      <c r="H195" s="293" t="str">
        <f t="shared" si="47"/>
        <v/>
      </c>
      <c r="I195" s="656"/>
      <c r="J195" s="657"/>
      <c r="K195" s="645"/>
      <c r="L195" s="658"/>
      <c r="M195" s="657"/>
      <c r="N195" s="645"/>
      <c r="O195" s="645"/>
      <c r="P195" s="645"/>
      <c r="Q195" s="656"/>
      <c r="R195" s="659"/>
      <c r="S195" s="649"/>
      <c r="T195" s="292" t="e">
        <f>INDEX(ei_geo!$B:$B,MATCH(S195,ei_geo!$A:$A,0))</f>
        <v>#N/A</v>
      </c>
      <c r="U195" s="675"/>
      <c r="V195" s="675"/>
      <c r="W195" s="676"/>
      <c r="X195" s="657"/>
      <c r="Y195" s="645"/>
      <c r="Z195" s="645"/>
      <c r="AA195" s="645"/>
      <c r="AB195" s="656"/>
      <c r="AC195" s="677"/>
      <c r="AD195" s="649"/>
      <c r="AE195" s="292"/>
      <c r="AF195" s="675"/>
      <c r="AG195" s="675"/>
      <c r="AH195" s="676"/>
      <c r="AI195" s="681"/>
      <c r="AJ195" s="675"/>
      <c r="AK195" s="675"/>
      <c r="AL195" s="675"/>
      <c r="AM195" s="676"/>
      <c r="AN195" s="677"/>
      <c r="AO195" s="649"/>
      <c r="AP195" s="292"/>
      <c r="AQ195" s="675"/>
      <c r="AR195" s="675"/>
      <c r="AS195" s="676"/>
      <c r="AT195" s="681"/>
      <c r="AU195" s="675"/>
      <c r="AV195" s="675"/>
      <c r="AW195" s="675"/>
      <c r="AX195" s="685"/>
      <c r="AY195" s="677"/>
      <c r="AZ195" s="649"/>
      <c r="BA195" s="292"/>
      <c r="BB195" s="675"/>
      <c r="BC195" s="675"/>
      <c r="BD195" s="691"/>
      <c r="BE195" s="681"/>
      <c r="BF195" s="675"/>
      <c r="BG195" s="675"/>
      <c r="BH195" s="675"/>
      <c r="BI195" s="676"/>
      <c r="BJ195" s="681"/>
      <c r="BK195" s="692"/>
      <c r="BM195" s="475">
        <f t="shared" si="48"/>
        <v>0</v>
      </c>
      <c r="BN195" s="475">
        <f t="shared" si="49"/>
        <v>0</v>
      </c>
      <c r="BO195" s="475">
        <f t="shared" si="50"/>
        <v>0</v>
      </c>
      <c r="BP195" s="475">
        <f t="shared" si="51"/>
        <v>0</v>
      </c>
      <c r="BR195" s="476">
        <f t="shared" si="43"/>
        <v>0</v>
      </c>
      <c r="BS195" s="465">
        <f t="shared" si="44"/>
        <v>0</v>
      </c>
      <c r="BT195" s="466" t="str">
        <f t="shared" si="52"/>
        <v>n.a.</v>
      </c>
    </row>
    <row r="196" spans="1:72" s="312" customFormat="1">
      <c r="A196" s="201">
        <f t="shared" si="45"/>
        <v>183</v>
      </c>
      <c r="B196" s="641"/>
      <c r="C196" s="631" t="s">
        <v>8767</v>
      </c>
      <c r="D196" s="644"/>
      <c r="E196" s="645"/>
      <c r="F196" s="645"/>
      <c r="G196" s="474">
        <f t="shared" si="46"/>
        <v>0</v>
      </c>
      <c r="H196" s="293" t="str">
        <f t="shared" si="47"/>
        <v/>
      </c>
      <c r="I196" s="656"/>
      <c r="J196" s="657"/>
      <c r="K196" s="645"/>
      <c r="L196" s="658"/>
      <c r="M196" s="657"/>
      <c r="N196" s="645"/>
      <c r="O196" s="645"/>
      <c r="P196" s="645"/>
      <c r="Q196" s="656"/>
      <c r="R196" s="659"/>
      <c r="S196" s="649"/>
      <c r="T196" s="292" t="e">
        <f>INDEX(ei_geo!$B:$B,MATCH(S196,ei_geo!$A:$A,0))</f>
        <v>#N/A</v>
      </c>
      <c r="U196" s="675"/>
      <c r="V196" s="675"/>
      <c r="W196" s="676"/>
      <c r="X196" s="657"/>
      <c r="Y196" s="645"/>
      <c r="Z196" s="645"/>
      <c r="AA196" s="645"/>
      <c r="AB196" s="656"/>
      <c r="AC196" s="677"/>
      <c r="AD196" s="649"/>
      <c r="AE196" s="292"/>
      <c r="AF196" s="675"/>
      <c r="AG196" s="675"/>
      <c r="AH196" s="676"/>
      <c r="AI196" s="681"/>
      <c r="AJ196" s="675"/>
      <c r="AK196" s="675"/>
      <c r="AL196" s="675"/>
      <c r="AM196" s="676"/>
      <c r="AN196" s="677"/>
      <c r="AO196" s="649"/>
      <c r="AP196" s="292"/>
      <c r="AQ196" s="675"/>
      <c r="AR196" s="675"/>
      <c r="AS196" s="676"/>
      <c r="AT196" s="681"/>
      <c r="AU196" s="675"/>
      <c r="AV196" s="675"/>
      <c r="AW196" s="675"/>
      <c r="AX196" s="685"/>
      <c r="AY196" s="677"/>
      <c r="AZ196" s="649"/>
      <c r="BA196" s="292"/>
      <c r="BB196" s="675"/>
      <c r="BC196" s="675"/>
      <c r="BD196" s="691"/>
      <c r="BE196" s="681"/>
      <c r="BF196" s="675"/>
      <c r="BG196" s="675"/>
      <c r="BH196" s="675"/>
      <c r="BI196" s="676"/>
      <c r="BJ196" s="681"/>
      <c r="BK196" s="692"/>
      <c r="BM196" s="475">
        <f t="shared" si="48"/>
        <v>0</v>
      </c>
      <c r="BN196" s="475">
        <f t="shared" si="49"/>
        <v>0</v>
      </c>
      <c r="BO196" s="475">
        <f t="shared" si="50"/>
        <v>0</v>
      </c>
      <c r="BP196" s="475">
        <f t="shared" si="51"/>
        <v>0</v>
      </c>
      <c r="BR196" s="476">
        <f t="shared" si="43"/>
        <v>0</v>
      </c>
      <c r="BS196" s="465">
        <f t="shared" si="44"/>
        <v>0</v>
      </c>
      <c r="BT196" s="466" t="str">
        <f t="shared" si="52"/>
        <v>n.a.</v>
      </c>
    </row>
    <row r="197" spans="1:72" s="312" customFormat="1">
      <c r="A197" s="201">
        <f t="shared" si="45"/>
        <v>184</v>
      </c>
      <c r="B197" s="641"/>
      <c r="C197" s="631" t="s">
        <v>8768</v>
      </c>
      <c r="D197" s="644"/>
      <c r="E197" s="645"/>
      <c r="F197" s="645"/>
      <c r="G197" s="474">
        <f t="shared" si="46"/>
        <v>0</v>
      </c>
      <c r="H197" s="293" t="str">
        <f t="shared" si="47"/>
        <v/>
      </c>
      <c r="I197" s="656"/>
      <c r="J197" s="657"/>
      <c r="K197" s="645"/>
      <c r="L197" s="658"/>
      <c r="M197" s="657"/>
      <c r="N197" s="645"/>
      <c r="O197" s="645"/>
      <c r="P197" s="645"/>
      <c r="Q197" s="656"/>
      <c r="R197" s="659"/>
      <c r="S197" s="649"/>
      <c r="T197" s="292" t="e">
        <f>INDEX(ei_geo!$B:$B,MATCH(S197,ei_geo!$A:$A,0))</f>
        <v>#N/A</v>
      </c>
      <c r="U197" s="675"/>
      <c r="V197" s="675"/>
      <c r="W197" s="676"/>
      <c r="X197" s="657"/>
      <c r="Y197" s="645"/>
      <c r="Z197" s="645"/>
      <c r="AA197" s="645"/>
      <c r="AB197" s="656"/>
      <c r="AC197" s="677"/>
      <c r="AD197" s="649"/>
      <c r="AE197" s="292"/>
      <c r="AF197" s="675"/>
      <c r="AG197" s="675"/>
      <c r="AH197" s="676"/>
      <c r="AI197" s="681"/>
      <c r="AJ197" s="675"/>
      <c r="AK197" s="675"/>
      <c r="AL197" s="675"/>
      <c r="AM197" s="676"/>
      <c r="AN197" s="677"/>
      <c r="AO197" s="649"/>
      <c r="AP197" s="292"/>
      <c r="AQ197" s="675"/>
      <c r="AR197" s="675"/>
      <c r="AS197" s="676"/>
      <c r="AT197" s="681"/>
      <c r="AU197" s="675"/>
      <c r="AV197" s="675"/>
      <c r="AW197" s="675"/>
      <c r="AX197" s="685"/>
      <c r="AY197" s="677"/>
      <c r="AZ197" s="649"/>
      <c r="BA197" s="292"/>
      <c r="BB197" s="675"/>
      <c r="BC197" s="675"/>
      <c r="BD197" s="691"/>
      <c r="BE197" s="681"/>
      <c r="BF197" s="675"/>
      <c r="BG197" s="675"/>
      <c r="BH197" s="675"/>
      <c r="BI197" s="676"/>
      <c r="BJ197" s="681"/>
      <c r="BK197" s="692"/>
      <c r="BM197" s="475">
        <f t="shared" si="48"/>
        <v>0</v>
      </c>
      <c r="BN197" s="475">
        <f t="shared" si="49"/>
        <v>0</v>
      </c>
      <c r="BO197" s="475">
        <f t="shared" si="50"/>
        <v>0</v>
      </c>
      <c r="BP197" s="475">
        <f t="shared" si="51"/>
        <v>0</v>
      </c>
      <c r="BR197" s="476">
        <f t="shared" si="43"/>
        <v>0</v>
      </c>
      <c r="BS197" s="465">
        <f t="shared" si="44"/>
        <v>0</v>
      </c>
      <c r="BT197" s="466" t="str">
        <f t="shared" si="52"/>
        <v>n.a.</v>
      </c>
    </row>
    <row r="198" spans="1:72" s="312" customFormat="1">
      <c r="A198" s="201">
        <f t="shared" si="45"/>
        <v>185</v>
      </c>
      <c r="B198" s="641"/>
      <c r="C198" s="631" t="s">
        <v>8769</v>
      </c>
      <c r="D198" s="644"/>
      <c r="E198" s="645"/>
      <c r="F198" s="645"/>
      <c r="G198" s="474">
        <f t="shared" si="46"/>
        <v>0</v>
      </c>
      <c r="H198" s="293" t="str">
        <f t="shared" si="47"/>
        <v/>
      </c>
      <c r="I198" s="656"/>
      <c r="J198" s="657"/>
      <c r="K198" s="645"/>
      <c r="L198" s="658"/>
      <c r="M198" s="657"/>
      <c r="N198" s="645"/>
      <c r="O198" s="645"/>
      <c r="P198" s="645"/>
      <c r="Q198" s="656"/>
      <c r="R198" s="659"/>
      <c r="S198" s="649"/>
      <c r="T198" s="292" t="e">
        <f>INDEX(ei_geo!$B:$B,MATCH(S198,ei_geo!$A:$A,0))</f>
        <v>#N/A</v>
      </c>
      <c r="U198" s="675"/>
      <c r="V198" s="675"/>
      <c r="W198" s="676"/>
      <c r="X198" s="657"/>
      <c r="Y198" s="645"/>
      <c r="Z198" s="645"/>
      <c r="AA198" s="645"/>
      <c r="AB198" s="656"/>
      <c r="AC198" s="677"/>
      <c r="AD198" s="649"/>
      <c r="AE198" s="292"/>
      <c r="AF198" s="675"/>
      <c r="AG198" s="675"/>
      <c r="AH198" s="676"/>
      <c r="AI198" s="681"/>
      <c r="AJ198" s="675"/>
      <c r="AK198" s="675"/>
      <c r="AL198" s="675"/>
      <c r="AM198" s="676"/>
      <c r="AN198" s="677"/>
      <c r="AO198" s="649"/>
      <c r="AP198" s="292"/>
      <c r="AQ198" s="675"/>
      <c r="AR198" s="675"/>
      <c r="AS198" s="676"/>
      <c r="AT198" s="681"/>
      <c r="AU198" s="675"/>
      <c r="AV198" s="675"/>
      <c r="AW198" s="675"/>
      <c r="AX198" s="685"/>
      <c r="AY198" s="677"/>
      <c r="AZ198" s="649"/>
      <c r="BA198" s="292"/>
      <c r="BB198" s="675"/>
      <c r="BC198" s="675"/>
      <c r="BD198" s="691"/>
      <c r="BE198" s="681"/>
      <c r="BF198" s="675"/>
      <c r="BG198" s="675"/>
      <c r="BH198" s="675"/>
      <c r="BI198" s="676"/>
      <c r="BJ198" s="681"/>
      <c r="BK198" s="692"/>
      <c r="BM198" s="475">
        <f t="shared" si="48"/>
        <v>0</v>
      </c>
      <c r="BN198" s="475">
        <f t="shared" si="49"/>
        <v>0</v>
      </c>
      <c r="BO198" s="475">
        <f t="shared" si="50"/>
        <v>0</v>
      </c>
      <c r="BP198" s="475">
        <f t="shared" si="51"/>
        <v>0</v>
      </c>
      <c r="BR198" s="476">
        <f t="shared" si="43"/>
        <v>0</v>
      </c>
      <c r="BS198" s="465">
        <f t="shared" si="44"/>
        <v>0</v>
      </c>
      <c r="BT198" s="466" t="str">
        <f t="shared" si="52"/>
        <v>n.a.</v>
      </c>
    </row>
    <row r="199" spans="1:72" s="312" customFormat="1">
      <c r="A199" s="201">
        <f t="shared" si="45"/>
        <v>186</v>
      </c>
      <c r="B199" s="641"/>
      <c r="C199" s="631" t="s">
        <v>8770</v>
      </c>
      <c r="D199" s="644"/>
      <c r="E199" s="645"/>
      <c r="F199" s="645"/>
      <c r="G199" s="474">
        <f t="shared" si="46"/>
        <v>0</v>
      </c>
      <c r="H199" s="293" t="str">
        <f t="shared" si="47"/>
        <v/>
      </c>
      <c r="I199" s="656"/>
      <c r="J199" s="657"/>
      <c r="K199" s="645"/>
      <c r="L199" s="658"/>
      <c r="M199" s="657"/>
      <c r="N199" s="645"/>
      <c r="O199" s="645"/>
      <c r="P199" s="645"/>
      <c r="Q199" s="656"/>
      <c r="R199" s="659"/>
      <c r="S199" s="649"/>
      <c r="T199" s="292" t="e">
        <f>INDEX(ei_geo!$B:$B,MATCH(S199,ei_geo!$A:$A,0))</f>
        <v>#N/A</v>
      </c>
      <c r="U199" s="675"/>
      <c r="V199" s="675"/>
      <c r="W199" s="676"/>
      <c r="X199" s="657"/>
      <c r="Y199" s="645"/>
      <c r="Z199" s="645"/>
      <c r="AA199" s="645"/>
      <c r="AB199" s="656"/>
      <c r="AC199" s="677"/>
      <c r="AD199" s="649"/>
      <c r="AE199" s="292"/>
      <c r="AF199" s="675"/>
      <c r="AG199" s="675"/>
      <c r="AH199" s="676"/>
      <c r="AI199" s="681"/>
      <c r="AJ199" s="675"/>
      <c r="AK199" s="675"/>
      <c r="AL199" s="675"/>
      <c r="AM199" s="676"/>
      <c r="AN199" s="677"/>
      <c r="AO199" s="649"/>
      <c r="AP199" s="292"/>
      <c r="AQ199" s="675"/>
      <c r="AR199" s="675"/>
      <c r="AS199" s="676"/>
      <c r="AT199" s="681"/>
      <c r="AU199" s="675"/>
      <c r="AV199" s="675"/>
      <c r="AW199" s="675"/>
      <c r="AX199" s="685"/>
      <c r="AY199" s="677"/>
      <c r="AZ199" s="649"/>
      <c r="BA199" s="292"/>
      <c r="BB199" s="675"/>
      <c r="BC199" s="675"/>
      <c r="BD199" s="691"/>
      <c r="BE199" s="681"/>
      <c r="BF199" s="675"/>
      <c r="BG199" s="675"/>
      <c r="BH199" s="675"/>
      <c r="BI199" s="676"/>
      <c r="BJ199" s="681"/>
      <c r="BK199" s="692"/>
      <c r="BM199" s="475">
        <f t="shared" si="48"/>
        <v>0</v>
      </c>
      <c r="BN199" s="475">
        <f t="shared" si="49"/>
        <v>0</v>
      </c>
      <c r="BO199" s="475">
        <f t="shared" si="50"/>
        <v>0</v>
      </c>
      <c r="BP199" s="475">
        <f t="shared" si="51"/>
        <v>0</v>
      </c>
      <c r="BR199" s="476">
        <f t="shared" si="43"/>
        <v>0</v>
      </c>
      <c r="BS199" s="465">
        <f t="shared" si="44"/>
        <v>0</v>
      </c>
      <c r="BT199" s="466" t="str">
        <f t="shared" si="52"/>
        <v>n.a.</v>
      </c>
    </row>
    <row r="200" spans="1:72" s="312" customFormat="1">
      <c r="A200" s="201">
        <f t="shared" si="45"/>
        <v>187</v>
      </c>
      <c r="B200" s="641"/>
      <c r="C200" s="631" t="s">
        <v>8771</v>
      </c>
      <c r="D200" s="644"/>
      <c r="E200" s="645"/>
      <c r="F200" s="645"/>
      <c r="G200" s="474">
        <f t="shared" si="46"/>
        <v>0</v>
      </c>
      <c r="H200" s="293" t="str">
        <f t="shared" si="47"/>
        <v/>
      </c>
      <c r="I200" s="656"/>
      <c r="J200" s="657"/>
      <c r="K200" s="645"/>
      <c r="L200" s="658"/>
      <c r="M200" s="657"/>
      <c r="N200" s="645"/>
      <c r="O200" s="645"/>
      <c r="P200" s="645"/>
      <c r="Q200" s="656"/>
      <c r="R200" s="659"/>
      <c r="S200" s="649"/>
      <c r="T200" s="292" t="e">
        <f>INDEX(ei_geo!$B:$B,MATCH(S200,ei_geo!$A:$A,0))</f>
        <v>#N/A</v>
      </c>
      <c r="U200" s="675"/>
      <c r="V200" s="675"/>
      <c r="W200" s="676"/>
      <c r="X200" s="657"/>
      <c r="Y200" s="645"/>
      <c r="Z200" s="645"/>
      <c r="AA200" s="645"/>
      <c r="AB200" s="656"/>
      <c r="AC200" s="677"/>
      <c r="AD200" s="649"/>
      <c r="AE200" s="292"/>
      <c r="AF200" s="675"/>
      <c r="AG200" s="675"/>
      <c r="AH200" s="676"/>
      <c r="AI200" s="681"/>
      <c r="AJ200" s="675"/>
      <c r="AK200" s="675"/>
      <c r="AL200" s="675"/>
      <c r="AM200" s="676"/>
      <c r="AN200" s="677"/>
      <c r="AO200" s="649"/>
      <c r="AP200" s="292"/>
      <c r="AQ200" s="675"/>
      <c r="AR200" s="675"/>
      <c r="AS200" s="676"/>
      <c r="AT200" s="681"/>
      <c r="AU200" s="675"/>
      <c r="AV200" s="675"/>
      <c r="AW200" s="675"/>
      <c r="AX200" s="685"/>
      <c r="AY200" s="677"/>
      <c r="AZ200" s="649"/>
      <c r="BA200" s="292"/>
      <c r="BB200" s="675"/>
      <c r="BC200" s="675"/>
      <c r="BD200" s="691"/>
      <c r="BE200" s="681"/>
      <c r="BF200" s="675"/>
      <c r="BG200" s="675"/>
      <c r="BH200" s="675"/>
      <c r="BI200" s="676"/>
      <c r="BJ200" s="681"/>
      <c r="BK200" s="692"/>
      <c r="BM200" s="475">
        <f t="shared" si="48"/>
        <v>0</v>
      </c>
      <c r="BN200" s="475">
        <f t="shared" si="49"/>
        <v>0</v>
      </c>
      <c r="BO200" s="475">
        <f t="shared" si="50"/>
        <v>0</v>
      </c>
      <c r="BP200" s="475">
        <f t="shared" si="51"/>
        <v>0</v>
      </c>
      <c r="BR200" s="476">
        <f t="shared" si="43"/>
        <v>0</v>
      </c>
      <c r="BS200" s="465">
        <f t="shared" si="44"/>
        <v>0</v>
      </c>
      <c r="BT200" s="466" t="str">
        <f t="shared" si="52"/>
        <v>n.a.</v>
      </c>
    </row>
    <row r="201" spans="1:72" s="312" customFormat="1">
      <c r="A201" s="201">
        <f t="shared" si="45"/>
        <v>188</v>
      </c>
      <c r="B201" s="641"/>
      <c r="C201" s="631" t="s">
        <v>8772</v>
      </c>
      <c r="D201" s="644"/>
      <c r="E201" s="645"/>
      <c r="F201" s="645"/>
      <c r="G201" s="474">
        <f t="shared" si="46"/>
        <v>0</v>
      </c>
      <c r="H201" s="293" t="str">
        <f t="shared" si="47"/>
        <v/>
      </c>
      <c r="I201" s="656"/>
      <c r="J201" s="657"/>
      <c r="K201" s="645"/>
      <c r="L201" s="658"/>
      <c r="M201" s="657"/>
      <c r="N201" s="645"/>
      <c r="O201" s="645"/>
      <c r="P201" s="645"/>
      <c r="Q201" s="656"/>
      <c r="R201" s="659"/>
      <c r="S201" s="649"/>
      <c r="T201" s="292" t="e">
        <f>INDEX(ei_geo!$B:$B,MATCH(S201,ei_geo!$A:$A,0))</f>
        <v>#N/A</v>
      </c>
      <c r="U201" s="675"/>
      <c r="V201" s="675"/>
      <c r="W201" s="676"/>
      <c r="X201" s="657"/>
      <c r="Y201" s="645"/>
      <c r="Z201" s="645"/>
      <c r="AA201" s="645"/>
      <c r="AB201" s="656"/>
      <c r="AC201" s="677"/>
      <c r="AD201" s="649"/>
      <c r="AE201" s="292"/>
      <c r="AF201" s="675"/>
      <c r="AG201" s="675"/>
      <c r="AH201" s="676"/>
      <c r="AI201" s="681"/>
      <c r="AJ201" s="675"/>
      <c r="AK201" s="675"/>
      <c r="AL201" s="675"/>
      <c r="AM201" s="676"/>
      <c r="AN201" s="677"/>
      <c r="AO201" s="649"/>
      <c r="AP201" s="292"/>
      <c r="AQ201" s="675"/>
      <c r="AR201" s="675"/>
      <c r="AS201" s="676"/>
      <c r="AT201" s="681"/>
      <c r="AU201" s="675"/>
      <c r="AV201" s="675"/>
      <c r="AW201" s="675"/>
      <c r="AX201" s="685"/>
      <c r="AY201" s="677"/>
      <c r="AZ201" s="649"/>
      <c r="BA201" s="292"/>
      <c r="BB201" s="675"/>
      <c r="BC201" s="675"/>
      <c r="BD201" s="691"/>
      <c r="BE201" s="681"/>
      <c r="BF201" s="675"/>
      <c r="BG201" s="675"/>
      <c r="BH201" s="675"/>
      <c r="BI201" s="676"/>
      <c r="BJ201" s="681"/>
      <c r="BK201" s="692"/>
      <c r="BM201" s="475">
        <f t="shared" si="48"/>
        <v>0</v>
      </c>
      <c r="BN201" s="475">
        <f t="shared" si="49"/>
        <v>0</v>
      </c>
      <c r="BO201" s="475">
        <f t="shared" si="50"/>
        <v>0</v>
      </c>
      <c r="BP201" s="475">
        <f t="shared" si="51"/>
        <v>0</v>
      </c>
      <c r="BR201" s="476">
        <f t="shared" si="43"/>
        <v>0</v>
      </c>
      <c r="BS201" s="465">
        <f t="shared" si="44"/>
        <v>0</v>
      </c>
      <c r="BT201" s="466" t="str">
        <f t="shared" si="52"/>
        <v>n.a.</v>
      </c>
    </row>
    <row r="202" spans="1:72" s="312" customFormat="1">
      <c r="A202" s="201">
        <f t="shared" si="45"/>
        <v>189</v>
      </c>
      <c r="B202" s="641"/>
      <c r="C202" s="631" t="s">
        <v>8773</v>
      </c>
      <c r="D202" s="644"/>
      <c r="E202" s="645"/>
      <c r="F202" s="645"/>
      <c r="G202" s="474">
        <f t="shared" si="46"/>
        <v>0</v>
      </c>
      <c r="H202" s="293" t="str">
        <f t="shared" si="47"/>
        <v/>
      </c>
      <c r="I202" s="656"/>
      <c r="J202" s="657"/>
      <c r="K202" s="645"/>
      <c r="L202" s="658"/>
      <c r="M202" s="657"/>
      <c r="N202" s="645"/>
      <c r="O202" s="645"/>
      <c r="P202" s="645"/>
      <c r="Q202" s="656"/>
      <c r="R202" s="659"/>
      <c r="S202" s="649"/>
      <c r="T202" s="292" t="e">
        <f>INDEX(ei_geo!$B:$B,MATCH(S202,ei_geo!$A:$A,0))</f>
        <v>#N/A</v>
      </c>
      <c r="U202" s="675"/>
      <c r="V202" s="675"/>
      <c r="W202" s="676"/>
      <c r="X202" s="657"/>
      <c r="Y202" s="645"/>
      <c r="Z202" s="645"/>
      <c r="AA202" s="645"/>
      <c r="AB202" s="656"/>
      <c r="AC202" s="677"/>
      <c r="AD202" s="649"/>
      <c r="AE202" s="292"/>
      <c r="AF202" s="675"/>
      <c r="AG202" s="675"/>
      <c r="AH202" s="676"/>
      <c r="AI202" s="681"/>
      <c r="AJ202" s="675"/>
      <c r="AK202" s="675"/>
      <c r="AL202" s="675"/>
      <c r="AM202" s="676"/>
      <c r="AN202" s="677"/>
      <c r="AO202" s="649"/>
      <c r="AP202" s="292"/>
      <c r="AQ202" s="675"/>
      <c r="AR202" s="675"/>
      <c r="AS202" s="676"/>
      <c r="AT202" s="681"/>
      <c r="AU202" s="675"/>
      <c r="AV202" s="675"/>
      <c r="AW202" s="675"/>
      <c r="AX202" s="685"/>
      <c r="AY202" s="677"/>
      <c r="AZ202" s="649"/>
      <c r="BA202" s="292"/>
      <c r="BB202" s="675"/>
      <c r="BC202" s="675"/>
      <c r="BD202" s="691"/>
      <c r="BE202" s="681"/>
      <c r="BF202" s="675"/>
      <c r="BG202" s="675"/>
      <c r="BH202" s="675"/>
      <c r="BI202" s="676"/>
      <c r="BJ202" s="681"/>
      <c r="BK202" s="692"/>
      <c r="BM202" s="475">
        <f t="shared" si="48"/>
        <v>0</v>
      </c>
      <c r="BN202" s="475">
        <f t="shared" si="49"/>
        <v>0</v>
      </c>
      <c r="BO202" s="475">
        <f t="shared" si="50"/>
        <v>0</v>
      </c>
      <c r="BP202" s="475">
        <f t="shared" si="51"/>
        <v>0</v>
      </c>
      <c r="BR202" s="476">
        <f t="shared" si="43"/>
        <v>0</v>
      </c>
      <c r="BS202" s="465">
        <f t="shared" si="44"/>
        <v>0</v>
      </c>
      <c r="BT202" s="466" t="str">
        <f t="shared" si="52"/>
        <v>n.a.</v>
      </c>
    </row>
    <row r="203" spans="1:72" s="312" customFormat="1">
      <c r="A203" s="201">
        <f t="shared" si="45"/>
        <v>190</v>
      </c>
      <c r="B203" s="641"/>
      <c r="C203" s="631" t="s">
        <v>8774</v>
      </c>
      <c r="D203" s="644"/>
      <c r="E203" s="645"/>
      <c r="F203" s="645"/>
      <c r="G203" s="474">
        <f t="shared" si="46"/>
        <v>0</v>
      </c>
      <c r="H203" s="293" t="str">
        <f t="shared" si="47"/>
        <v/>
      </c>
      <c r="I203" s="656"/>
      <c r="J203" s="657"/>
      <c r="K203" s="645"/>
      <c r="L203" s="658"/>
      <c r="M203" s="657"/>
      <c r="N203" s="645"/>
      <c r="O203" s="645"/>
      <c r="P203" s="645"/>
      <c r="Q203" s="656"/>
      <c r="R203" s="659"/>
      <c r="S203" s="649"/>
      <c r="T203" s="292" t="e">
        <f>INDEX(ei_geo!$B:$B,MATCH(S203,ei_geo!$A:$A,0))</f>
        <v>#N/A</v>
      </c>
      <c r="U203" s="675"/>
      <c r="V203" s="675"/>
      <c r="W203" s="676"/>
      <c r="X203" s="657"/>
      <c r="Y203" s="645"/>
      <c r="Z203" s="645"/>
      <c r="AA203" s="645"/>
      <c r="AB203" s="656"/>
      <c r="AC203" s="677"/>
      <c r="AD203" s="649"/>
      <c r="AE203" s="292"/>
      <c r="AF203" s="675"/>
      <c r="AG203" s="675"/>
      <c r="AH203" s="676"/>
      <c r="AI203" s="681"/>
      <c r="AJ203" s="675"/>
      <c r="AK203" s="675"/>
      <c r="AL203" s="675"/>
      <c r="AM203" s="676"/>
      <c r="AN203" s="677"/>
      <c r="AO203" s="649"/>
      <c r="AP203" s="292"/>
      <c r="AQ203" s="675"/>
      <c r="AR203" s="675"/>
      <c r="AS203" s="676"/>
      <c r="AT203" s="681"/>
      <c r="AU203" s="675"/>
      <c r="AV203" s="675"/>
      <c r="AW203" s="675"/>
      <c r="AX203" s="685"/>
      <c r="AY203" s="677"/>
      <c r="AZ203" s="649"/>
      <c r="BA203" s="292"/>
      <c r="BB203" s="675"/>
      <c r="BC203" s="675"/>
      <c r="BD203" s="691"/>
      <c r="BE203" s="681"/>
      <c r="BF203" s="675"/>
      <c r="BG203" s="675"/>
      <c r="BH203" s="675"/>
      <c r="BI203" s="676"/>
      <c r="BJ203" s="681"/>
      <c r="BK203" s="692"/>
      <c r="BM203" s="475">
        <f t="shared" si="48"/>
        <v>0</v>
      </c>
      <c r="BN203" s="475">
        <f t="shared" si="49"/>
        <v>0</v>
      </c>
      <c r="BO203" s="475">
        <f t="shared" si="50"/>
        <v>0</v>
      </c>
      <c r="BP203" s="475">
        <f t="shared" si="51"/>
        <v>0</v>
      </c>
      <c r="BR203" s="476">
        <f t="shared" si="43"/>
        <v>0</v>
      </c>
      <c r="BS203" s="465">
        <f t="shared" si="44"/>
        <v>0</v>
      </c>
      <c r="BT203" s="466" t="str">
        <f t="shared" si="52"/>
        <v>n.a.</v>
      </c>
    </row>
    <row r="204" spans="1:72" s="312" customFormat="1">
      <c r="A204" s="201">
        <f t="shared" si="45"/>
        <v>191</v>
      </c>
      <c r="B204" s="641"/>
      <c r="C204" s="631" t="s">
        <v>8775</v>
      </c>
      <c r="D204" s="644"/>
      <c r="E204" s="645"/>
      <c r="F204" s="645"/>
      <c r="G204" s="474">
        <f t="shared" si="46"/>
        <v>0</v>
      </c>
      <c r="H204" s="293" t="str">
        <f t="shared" si="47"/>
        <v/>
      </c>
      <c r="I204" s="656"/>
      <c r="J204" s="657"/>
      <c r="K204" s="645"/>
      <c r="L204" s="658"/>
      <c r="M204" s="657"/>
      <c r="N204" s="645"/>
      <c r="O204" s="645"/>
      <c r="P204" s="645"/>
      <c r="Q204" s="656"/>
      <c r="R204" s="659"/>
      <c r="S204" s="649"/>
      <c r="T204" s="292" t="e">
        <f>INDEX(ei_geo!$B:$B,MATCH(S204,ei_geo!$A:$A,0))</f>
        <v>#N/A</v>
      </c>
      <c r="U204" s="675"/>
      <c r="V204" s="675"/>
      <c r="W204" s="676"/>
      <c r="X204" s="657"/>
      <c r="Y204" s="645"/>
      <c r="Z204" s="645"/>
      <c r="AA204" s="645"/>
      <c r="AB204" s="656"/>
      <c r="AC204" s="677"/>
      <c r="AD204" s="649"/>
      <c r="AE204" s="292"/>
      <c r="AF204" s="675"/>
      <c r="AG204" s="675"/>
      <c r="AH204" s="676"/>
      <c r="AI204" s="681"/>
      <c r="AJ204" s="675"/>
      <c r="AK204" s="675"/>
      <c r="AL204" s="675"/>
      <c r="AM204" s="676"/>
      <c r="AN204" s="677"/>
      <c r="AO204" s="649"/>
      <c r="AP204" s="292"/>
      <c r="AQ204" s="675"/>
      <c r="AR204" s="675"/>
      <c r="AS204" s="676"/>
      <c r="AT204" s="681"/>
      <c r="AU204" s="675"/>
      <c r="AV204" s="675"/>
      <c r="AW204" s="675"/>
      <c r="AX204" s="685"/>
      <c r="AY204" s="677"/>
      <c r="AZ204" s="649"/>
      <c r="BA204" s="292"/>
      <c r="BB204" s="675"/>
      <c r="BC204" s="675"/>
      <c r="BD204" s="691"/>
      <c r="BE204" s="681"/>
      <c r="BF204" s="675"/>
      <c r="BG204" s="675"/>
      <c r="BH204" s="675"/>
      <c r="BI204" s="676"/>
      <c r="BJ204" s="681"/>
      <c r="BK204" s="692"/>
      <c r="BM204" s="475">
        <f t="shared" si="48"/>
        <v>0</v>
      </c>
      <c r="BN204" s="475">
        <f t="shared" si="49"/>
        <v>0</v>
      </c>
      <c r="BO204" s="475">
        <f t="shared" si="50"/>
        <v>0</v>
      </c>
      <c r="BP204" s="475">
        <f t="shared" si="51"/>
        <v>0</v>
      </c>
      <c r="BR204" s="476">
        <f t="shared" si="43"/>
        <v>0</v>
      </c>
      <c r="BS204" s="465">
        <f t="shared" si="44"/>
        <v>0</v>
      </c>
      <c r="BT204" s="466" t="str">
        <f t="shared" si="52"/>
        <v>n.a.</v>
      </c>
    </row>
    <row r="205" spans="1:72" s="312" customFormat="1">
      <c r="A205" s="201">
        <f t="shared" si="45"/>
        <v>192</v>
      </c>
      <c r="B205" s="641"/>
      <c r="C205" s="631" t="s">
        <v>8776</v>
      </c>
      <c r="D205" s="644"/>
      <c r="E205" s="645"/>
      <c r="F205" s="645"/>
      <c r="G205" s="474">
        <f t="shared" si="46"/>
        <v>0</v>
      </c>
      <c r="H205" s="293" t="str">
        <f t="shared" si="47"/>
        <v/>
      </c>
      <c r="I205" s="656"/>
      <c r="J205" s="657"/>
      <c r="K205" s="645"/>
      <c r="L205" s="658"/>
      <c r="M205" s="657"/>
      <c r="N205" s="645"/>
      <c r="O205" s="645"/>
      <c r="P205" s="645"/>
      <c r="Q205" s="656"/>
      <c r="R205" s="659"/>
      <c r="S205" s="649"/>
      <c r="T205" s="292" t="e">
        <f>INDEX(ei_geo!$B:$B,MATCH(S205,ei_geo!$A:$A,0))</f>
        <v>#N/A</v>
      </c>
      <c r="U205" s="675"/>
      <c r="V205" s="675"/>
      <c r="W205" s="676"/>
      <c r="X205" s="657"/>
      <c r="Y205" s="645"/>
      <c r="Z205" s="645"/>
      <c r="AA205" s="645"/>
      <c r="AB205" s="656"/>
      <c r="AC205" s="677"/>
      <c r="AD205" s="649"/>
      <c r="AE205" s="292"/>
      <c r="AF205" s="675"/>
      <c r="AG205" s="675"/>
      <c r="AH205" s="676"/>
      <c r="AI205" s="681"/>
      <c r="AJ205" s="675"/>
      <c r="AK205" s="675"/>
      <c r="AL205" s="675"/>
      <c r="AM205" s="676"/>
      <c r="AN205" s="677"/>
      <c r="AO205" s="649"/>
      <c r="AP205" s="292"/>
      <c r="AQ205" s="675"/>
      <c r="AR205" s="675"/>
      <c r="AS205" s="676"/>
      <c r="AT205" s="681"/>
      <c r="AU205" s="675"/>
      <c r="AV205" s="675"/>
      <c r="AW205" s="675"/>
      <c r="AX205" s="685"/>
      <c r="AY205" s="677"/>
      <c r="AZ205" s="649"/>
      <c r="BA205" s="292"/>
      <c r="BB205" s="675"/>
      <c r="BC205" s="675"/>
      <c r="BD205" s="691"/>
      <c r="BE205" s="681"/>
      <c r="BF205" s="675"/>
      <c r="BG205" s="675"/>
      <c r="BH205" s="675"/>
      <c r="BI205" s="676"/>
      <c r="BJ205" s="681"/>
      <c r="BK205" s="692"/>
      <c r="BM205" s="475">
        <f t="shared" si="48"/>
        <v>0</v>
      </c>
      <c r="BN205" s="475">
        <f t="shared" si="49"/>
        <v>0</v>
      </c>
      <c r="BO205" s="475">
        <f t="shared" si="50"/>
        <v>0</v>
      </c>
      <c r="BP205" s="475">
        <f t="shared" si="51"/>
        <v>0</v>
      </c>
      <c r="BR205" s="476">
        <f t="shared" si="43"/>
        <v>0</v>
      </c>
      <c r="BS205" s="465">
        <f t="shared" si="44"/>
        <v>0</v>
      </c>
      <c r="BT205" s="466" t="str">
        <f t="shared" si="52"/>
        <v>n.a.</v>
      </c>
    </row>
    <row r="206" spans="1:72" s="312" customFormat="1">
      <c r="A206" s="201">
        <f t="shared" si="45"/>
        <v>193</v>
      </c>
      <c r="B206" s="641"/>
      <c r="C206" s="631" t="s">
        <v>8777</v>
      </c>
      <c r="D206" s="644"/>
      <c r="E206" s="645"/>
      <c r="F206" s="645"/>
      <c r="G206" s="474">
        <f t="shared" si="46"/>
        <v>0</v>
      </c>
      <c r="H206" s="293" t="str">
        <f t="shared" si="47"/>
        <v/>
      </c>
      <c r="I206" s="656"/>
      <c r="J206" s="657"/>
      <c r="K206" s="645"/>
      <c r="L206" s="658"/>
      <c r="M206" s="657"/>
      <c r="N206" s="645"/>
      <c r="O206" s="645"/>
      <c r="P206" s="645"/>
      <c r="Q206" s="656"/>
      <c r="R206" s="659"/>
      <c r="S206" s="649"/>
      <c r="T206" s="292" t="e">
        <f>INDEX(ei_geo!$B:$B,MATCH(S206,ei_geo!$A:$A,0))</f>
        <v>#N/A</v>
      </c>
      <c r="U206" s="675"/>
      <c r="V206" s="675"/>
      <c r="W206" s="676"/>
      <c r="X206" s="657"/>
      <c r="Y206" s="645"/>
      <c r="Z206" s="645"/>
      <c r="AA206" s="645"/>
      <c r="AB206" s="656"/>
      <c r="AC206" s="677"/>
      <c r="AD206" s="649"/>
      <c r="AE206" s="292"/>
      <c r="AF206" s="675"/>
      <c r="AG206" s="675"/>
      <c r="AH206" s="676"/>
      <c r="AI206" s="681"/>
      <c r="AJ206" s="675"/>
      <c r="AK206" s="675"/>
      <c r="AL206" s="675"/>
      <c r="AM206" s="676"/>
      <c r="AN206" s="677"/>
      <c r="AO206" s="649"/>
      <c r="AP206" s="292"/>
      <c r="AQ206" s="675"/>
      <c r="AR206" s="675"/>
      <c r="AS206" s="676"/>
      <c r="AT206" s="681"/>
      <c r="AU206" s="675"/>
      <c r="AV206" s="675"/>
      <c r="AW206" s="675"/>
      <c r="AX206" s="685"/>
      <c r="AY206" s="677"/>
      <c r="AZ206" s="649"/>
      <c r="BA206" s="292"/>
      <c r="BB206" s="675"/>
      <c r="BC206" s="675"/>
      <c r="BD206" s="691"/>
      <c r="BE206" s="681"/>
      <c r="BF206" s="675"/>
      <c r="BG206" s="675"/>
      <c r="BH206" s="675"/>
      <c r="BI206" s="676"/>
      <c r="BJ206" s="681"/>
      <c r="BK206" s="692"/>
      <c r="BM206" s="475">
        <f t="shared" si="48"/>
        <v>0</v>
      </c>
      <c r="BN206" s="475">
        <f t="shared" si="49"/>
        <v>0</v>
      </c>
      <c r="BO206" s="475">
        <f t="shared" si="50"/>
        <v>0</v>
      </c>
      <c r="BP206" s="475">
        <f t="shared" si="51"/>
        <v>0</v>
      </c>
      <c r="BR206" s="476">
        <f t="shared" si="43"/>
        <v>0</v>
      </c>
      <c r="BS206" s="465">
        <f t="shared" si="44"/>
        <v>0</v>
      </c>
      <c r="BT206" s="466" t="str">
        <f t="shared" si="52"/>
        <v>n.a.</v>
      </c>
    </row>
    <row r="207" spans="1:72" s="312" customFormat="1">
      <c r="A207" s="201">
        <f t="shared" si="45"/>
        <v>194</v>
      </c>
      <c r="B207" s="641"/>
      <c r="C207" s="631" t="s">
        <v>8778</v>
      </c>
      <c r="D207" s="644"/>
      <c r="E207" s="645"/>
      <c r="F207" s="645"/>
      <c r="G207" s="474">
        <f t="shared" si="46"/>
        <v>0</v>
      </c>
      <c r="H207" s="293" t="str">
        <f t="shared" si="47"/>
        <v/>
      </c>
      <c r="I207" s="656"/>
      <c r="J207" s="657"/>
      <c r="K207" s="645"/>
      <c r="L207" s="658"/>
      <c r="M207" s="657"/>
      <c r="N207" s="645"/>
      <c r="O207" s="645"/>
      <c r="P207" s="645"/>
      <c r="Q207" s="656"/>
      <c r="R207" s="659"/>
      <c r="S207" s="649"/>
      <c r="T207" s="292" t="e">
        <f>INDEX(ei_geo!$B:$B,MATCH(S207,ei_geo!$A:$A,0))</f>
        <v>#N/A</v>
      </c>
      <c r="U207" s="675"/>
      <c r="V207" s="675"/>
      <c r="W207" s="676"/>
      <c r="X207" s="657"/>
      <c r="Y207" s="645"/>
      <c r="Z207" s="645"/>
      <c r="AA207" s="645"/>
      <c r="AB207" s="656"/>
      <c r="AC207" s="677"/>
      <c r="AD207" s="649"/>
      <c r="AE207" s="292"/>
      <c r="AF207" s="675"/>
      <c r="AG207" s="675"/>
      <c r="AH207" s="676"/>
      <c r="AI207" s="681"/>
      <c r="AJ207" s="675"/>
      <c r="AK207" s="675"/>
      <c r="AL207" s="675"/>
      <c r="AM207" s="676"/>
      <c r="AN207" s="677"/>
      <c r="AO207" s="649"/>
      <c r="AP207" s="292"/>
      <c r="AQ207" s="675"/>
      <c r="AR207" s="675"/>
      <c r="AS207" s="676"/>
      <c r="AT207" s="681"/>
      <c r="AU207" s="675"/>
      <c r="AV207" s="675"/>
      <c r="AW207" s="675"/>
      <c r="AX207" s="685"/>
      <c r="AY207" s="677"/>
      <c r="AZ207" s="649"/>
      <c r="BA207" s="292"/>
      <c r="BB207" s="675"/>
      <c r="BC207" s="675"/>
      <c r="BD207" s="691"/>
      <c r="BE207" s="681"/>
      <c r="BF207" s="675"/>
      <c r="BG207" s="675"/>
      <c r="BH207" s="675"/>
      <c r="BI207" s="676"/>
      <c r="BJ207" s="681"/>
      <c r="BK207" s="692"/>
      <c r="BM207" s="475">
        <f t="shared" si="48"/>
        <v>0</v>
      </c>
      <c r="BN207" s="475">
        <f t="shared" si="49"/>
        <v>0</v>
      </c>
      <c r="BO207" s="475">
        <f t="shared" si="50"/>
        <v>0</v>
      </c>
      <c r="BP207" s="475">
        <f t="shared" si="51"/>
        <v>0</v>
      </c>
      <c r="BR207" s="476">
        <f t="shared" ref="BR207:BR212" si="53">IF(E207&gt;0,(AB207+AM207+AX207+BI207),0)</f>
        <v>0</v>
      </c>
      <c r="BS207" s="465">
        <f t="shared" ref="BS207:BS213" si="54">IF($G207&gt;0,"check",IF($G207=0,0))</f>
        <v>0</v>
      </c>
      <c r="BT207" s="466" t="str">
        <f t="shared" si="52"/>
        <v>n.a.</v>
      </c>
    </row>
    <row r="208" spans="1:72" s="312" customFormat="1">
      <c r="A208" s="201">
        <f t="shared" si="45"/>
        <v>195</v>
      </c>
      <c r="B208" s="641"/>
      <c r="C208" s="631" t="s">
        <v>8779</v>
      </c>
      <c r="D208" s="644"/>
      <c r="E208" s="645"/>
      <c r="F208" s="645"/>
      <c r="G208" s="474">
        <f t="shared" si="46"/>
        <v>0</v>
      </c>
      <c r="H208" s="293" t="str">
        <f t="shared" si="47"/>
        <v/>
      </c>
      <c r="I208" s="656"/>
      <c r="J208" s="657"/>
      <c r="K208" s="645"/>
      <c r="L208" s="658"/>
      <c r="M208" s="657"/>
      <c r="N208" s="645"/>
      <c r="O208" s="645"/>
      <c r="P208" s="645"/>
      <c r="Q208" s="656"/>
      <c r="R208" s="659"/>
      <c r="S208" s="649"/>
      <c r="T208" s="292" t="e">
        <f>INDEX(ei_geo!$B:$B,MATCH(S208,ei_geo!$A:$A,0))</f>
        <v>#N/A</v>
      </c>
      <c r="U208" s="675"/>
      <c r="V208" s="675"/>
      <c r="W208" s="676"/>
      <c r="X208" s="657"/>
      <c r="Y208" s="645"/>
      <c r="Z208" s="645"/>
      <c r="AA208" s="645"/>
      <c r="AB208" s="656"/>
      <c r="AC208" s="677"/>
      <c r="AD208" s="649"/>
      <c r="AE208" s="292"/>
      <c r="AF208" s="675"/>
      <c r="AG208" s="675"/>
      <c r="AH208" s="676"/>
      <c r="AI208" s="681"/>
      <c r="AJ208" s="675"/>
      <c r="AK208" s="675"/>
      <c r="AL208" s="675"/>
      <c r="AM208" s="676"/>
      <c r="AN208" s="677"/>
      <c r="AO208" s="649"/>
      <c r="AP208" s="292"/>
      <c r="AQ208" s="675"/>
      <c r="AR208" s="675"/>
      <c r="AS208" s="676"/>
      <c r="AT208" s="681"/>
      <c r="AU208" s="675"/>
      <c r="AV208" s="675"/>
      <c r="AW208" s="675"/>
      <c r="AX208" s="685"/>
      <c r="AY208" s="677"/>
      <c r="AZ208" s="649"/>
      <c r="BA208" s="292"/>
      <c r="BB208" s="675"/>
      <c r="BC208" s="675"/>
      <c r="BD208" s="691"/>
      <c r="BE208" s="681"/>
      <c r="BF208" s="675"/>
      <c r="BG208" s="675"/>
      <c r="BH208" s="675"/>
      <c r="BI208" s="676"/>
      <c r="BJ208" s="681"/>
      <c r="BK208" s="692"/>
      <c r="BM208" s="475">
        <f t="shared" si="48"/>
        <v>0</v>
      </c>
      <c r="BN208" s="475">
        <f t="shared" si="49"/>
        <v>0</v>
      </c>
      <c r="BO208" s="475">
        <f t="shared" si="50"/>
        <v>0</v>
      </c>
      <c r="BP208" s="475">
        <f t="shared" si="51"/>
        <v>0</v>
      </c>
      <c r="BR208" s="476">
        <f t="shared" si="53"/>
        <v>0</v>
      </c>
      <c r="BS208" s="465">
        <f t="shared" si="54"/>
        <v>0</v>
      </c>
      <c r="BT208" s="466" t="str">
        <f t="shared" si="52"/>
        <v>n.a.</v>
      </c>
    </row>
    <row r="209" spans="1:72" s="312" customFormat="1">
      <c r="A209" s="201">
        <f t="shared" si="45"/>
        <v>196</v>
      </c>
      <c r="B209" s="641"/>
      <c r="C209" s="631" t="s">
        <v>8780</v>
      </c>
      <c r="D209" s="644"/>
      <c r="E209" s="645"/>
      <c r="F209" s="645"/>
      <c r="G209" s="474">
        <f t="shared" si="46"/>
        <v>0</v>
      </c>
      <c r="H209" s="293" t="str">
        <f t="shared" si="47"/>
        <v/>
      </c>
      <c r="I209" s="656"/>
      <c r="J209" s="657"/>
      <c r="K209" s="645"/>
      <c r="L209" s="658"/>
      <c r="M209" s="657"/>
      <c r="N209" s="645"/>
      <c r="O209" s="645"/>
      <c r="P209" s="645"/>
      <c r="Q209" s="656"/>
      <c r="R209" s="659"/>
      <c r="S209" s="649"/>
      <c r="T209" s="292" t="e">
        <f>INDEX(ei_geo!$B:$B,MATCH(S209,ei_geo!$A:$A,0))</f>
        <v>#N/A</v>
      </c>
      <c r="U209" s="675"/>
      <c r="V209" s="675"/>
      <c r="W209" s="676"/>
      <c r="X209" s="657"/>
      <c r="Y209" s="645"/>
      <c r="Z209" s="645"/>
      <c r="AA209" s="645"/>
      <c r="AB209" s="656"/>
      <c r="AC209" s="677"/>
      <c r="AD209" s="649"/>
      <c r="AE209" s="292"/>
      <c r="AF209" s="675"/>
      <c r="AG209" s="675"/>
      <c r="AH209" s="676"/>
      <c r="AI209" s="681"/>
      <c r="AJ209" s="675"/>
      <c r="AK209" s="675"/>
      <c r="AL209" s="675"/>
      <c r="AM209" s="676"/>
      <c r="AN209" s="677"/>
      <c r="AO209" s="649"/>
      <c r="AP209" s="292"/>
      <c r="AQ209" s="675"/>
      <c r="AR209" s="675"/>
      <c r="AS209" s="676"/>
      <c r="AT209" s="681"/>
      <c r="AU209" s="675"/>
      <c r="AV209" s="675"/>
      <c r="AW209" s="675"/>
      <c r="AX209" s="685"/>
      <c r="AY209" s="677"/>
      <c r="AZ209" s="649"/>
      <c r="BA209" s="292"/>
      <c r="BB209" s="675"/>
      <c r="BC209" s="675"/>
      <c r="BD209" s="691"/>
      <c r="BE209" s="681"/>
      <c r="BF209" s="675"/>
      <c r="BG209" s="675"/>
      <c r="BH209" s="675"/>
      <c r="BI209" s="676"/>
      <c r="BJ209" s="681"/>
      <c r="BK209" s="692"/>
      <c r="BM209" s="475">
        <f t="shared" si="48"/>
        <v>0</v>
      </c>
      <c r="BN209" s="475">
        <f t="shared" si="49"/>
        <v>0</v>
      </c>
      <c r="BO209" s="475">
        <f t="shared" si="50"/>
        <v>0</v>
      </c>
      <c r="BP209" s="475">
        <f t="shared" si="51"/>
        <v>0</v>
      </c>
      <c r="BR209" s="476">
        <f t="shared" si="53"/>
        <v>0</v>
      </c>
      <c r="BS209" s="465">
        <f t="shared" si="54"/>
        <v>0</v>
      </c>
      <c r="BT209" s="466" t="str">
        <f t="shared" si="52"/>
        <v>n.a.</v>
      </c>
    </row>
    <row r="210" spans="1:72" s="312" customFormat="1">
      <c r="A210" s="201">
        <f t="shared" si="45"/>
        <v>197</v>
      </c>
      <c r="B210" s="641"/>
      <c r="C210" s="631" t="s">
        <v>8781</v>
      </c>
      <c r="D210" s="644"/>
      <c r="E210" s="645"/>
      <c r="F210" s="645"/>
      <c r="G210" s="474">
        <f t="shared" si="46"/>
        <v>0</v>
      </c>
      <c r="H210" s="293" t="str">
        <f t="shared" si="47"/>
        <v/>
      </c>
      <c r="I210" s="656"/>
      <c r="J210" s="657"/>
      <c r="K210" s="645"/>
      <c r="L210" s="658"/>
      <c r="M210" s="657"/>
      <c r="N210" s="645"/>
      <c r="O210" s="645"/>
      <c r="P210" s="645"/>
      <c r="Q210" s="656"/>
      <c r="R210" s="659"/>
      <c r="S210" s="649"/>
      <c r="T210" s="292" t="e">
        <f>INDEX(ei_geo!$B:$B,MATCH(S210,ei_geo!$A:$A,0))</f>
        <v>#N/A</v>
      </c>
      <c r="U210" s="675"/>
      <c r="V210" s="675"/>
      <c r="W210" s="676"/>
      <c r="X210" s="657"/>
      <c r="Y210" s="645"/>
      <c r="Z210" s="645"/>
      <c r="AA210" s="645"/>
      <c r="AB210" s="656"/>
      <c r="AC210" s="677"/>
      <c r="AD210" s="649"/>
      <c r="AE210" s="292"/>
      <c r="AF210" s="675"/>
      <c r="AG210" s="675"/>
      <c r="AH210" s="676"/>
      <c r="AI210" s="681"/>
      <c r="AJ210" s="675"/>
      <c r="AK210" s="675"/>
      <c r="AL210" s="675"/>
      <c r="AM210" s="676"/>
      <c r="AN210" s="677"/>
      <c r="AO210" s="649"/>
      <c r="AP210" s="292"/>
      <c r="AQ210" s="675"/>
      <c r="AR210" s="675"/>
      <c r="AS210" s="676"/>
      <c r="AT210" s="681"/>
      <c r="AU210" s="675"/>
      <c r="AV210" s="675"/>
      <c r="AW210" s="675"/>
      <c r="AX210" s="685"/>
      <c r="AY210" s="677"/>
      <c r="AZ210" s="649"/>
      <c r="BA210" s="292"/>
      <c r="BB210" s="675"/>
      <c r="BC210" s="675"/>
      <c r="BD210" s="691"/>
      <c r="BE210" s="681"/>
      <c r="BF210" s="675"/>
      <c r="BG210" s="675"/>
      <c r="BH210" s="675"/>
      <c r="BI210" s="676"/>
      <c r="BJ210" s="681"/>
      <c r="BK210" s="692"/>
      <c r="BM210" s="475">
        <f t="shared" si="48"/>
        <v>0</v>
      </c>
      <c r="BN210" s="475">
        <f t="shared" si="49"/>
        <v>0</v>
      </c>
      <c r="BO210" s="475">
        <f t="shared" si="50"/>
        <v>0</v>
      </c>
      <c r="BP210" s="475">
        <f t="shared" si="51"/>
        <v>0</v>
      </c>
      <c r="BR210" s="476">
        <f t="shared" si="53"/>
        <v>0</v>
      </c>
      <c r="BS210" s="465">
        <f t="shared" si="54"/>
        <v>0</v>
      </c>
      <c r="BT210" s="466" t="str">
        <f t="shared" si="52"/>
        <v>n.a.</v>
      </c>
    </row>
    <row r="211" spans="1:72" s="312" customFormat="1">
      <c r="A211" s="201">
        <f t="shared" si="45"/>
        <v>198</v>
      </c>
      <c r="B211" s="641"/>
      <c r="C211" s="631" t="s">
        <v>8782</v>
      </c>
      <c r="D211" s="644"/>
      <c r="E211" s="645"/>
      <c r="F211" s="645"/>
      <c r="G211" s="474">
        <f t="shared" si="46"/>
        <v>0</v>
      </c>
      <c r="H211" s="293" t="str">
        <f t="shared" si="47"/>
        <v/>
      </c>
      <c r="I211" s="656"/>
      <c r="J211" s="657"/>
      <c r="K211" s="645"/>
      <c r="L211" s="658"/>
      <c r="M211" s="657"/>
      <c r="N211" s="645"/>
      <c r="O211" s="645"/>
      <c r="P211" s="645"/>
      <c r="Q211" s="656"/>
      <c r="R211" s="659"/>
      <c r="S211" s="649"/>
      <c r="T211" s="292" t="e">
        <f>INDEX(ei_geo!$B:$B,MATCH(S211,ei_geo!$A:$A,0))</f>
        <v>#N/A</v>
      </c>
      <c r="U211" s="675"/>
      <c r="V211" s="675"/>
      <c r="W211" s="676"/>
      <c r="X211" s="657"/>
      <c r="Y211" s="645"/>
      <c r="Z211" s="645"/>
      <c r="AA211" s="645"/>
      <c r="AB211" s="656"/>
      <c r="AC211" s="677"/>
      <c r="AD211" s="649"/>
      <c r="AE211" s="292"/>
      <c r="AF211" s="675"/>
      <c r="AG211" s="675"/>
      <c r="AH211" s="676"/>
      <c r="AI211" s="681"/>
      <c r="AJ211" s="675"/>
      <c r="AK211" s="675"/>
      <c r="AL211" s="675"/>
      <c r="AM211" s="676"/>
      <c r="AN211" s="677"/>
      <c r="AO211" s="649"/>
      <c r="AP211" s="292"/>
      <c r="AQ211" s="675"/>
      <c r="AR211" s="675"/>
      <c r="AS211" s="676"/>
      <c r="AT211" s="681"/>
      <c r="AU211" s="675"/>
      <c r="AV211" s="675"/>
      <c r="AW211" s="675"/>
      <c r="AX211" s="685"/>
      <c r="AY211" s="677"/>
      <c r="AZ211" s="649"/>
      <c r="BA211" s="292"/>
      <c r="BB211" s="675"/>
      <c r="BC211" s="675"/>
      <c r="BD211" s="691"/>
      <c r="BE211" s="681"/>
      <c r="BF211" s="675"/>
      <c r="BG211" s="675"/>
      <c r="BH211" s="675"/>
      <c r="BI211" s="676"/>
      <c r="BJ211" s="681"/>
      <c r="BK211" s="692"/>
      <c r="BM211" s="475">
        <f t="shared" si="48"/>
        <v>0</v>
      </c>
      <c r="BN211" s="475">
        <f t="shared" si="49"/>
        <v>0</v>
      </c>
      <c r="BO211" s="475">
        <f t="shared" si="50"/>
        <v>0</v>
      </c>
      <c r="BP211" s="475">
        <f t="shared" si="51"/>
        <v>0</v>
      </c>
      <c r="BR211" s="476">
        <f t="shared" si="53"/>
        <v>0</v>
      </c>
      <c r="BS211" s="465">
        <f t="shared" si="54"/>
        <v>0</v>
      </c>
      <c r="BT211" s="466" t="str">
        <f t="shared" si="52"/>
        <v>n.a.</v>
      </c>
    </row>
    <row r="212" spans="1:72" s="312" customFormat="1">
      <c r="A212" s="201">
        <f t="shared" si="45"/>
        <v>199</v>
      </c>
      <c r="B212" s="641"/>
      <c r="C212" s="631" t="s">
        <v>8783</v>
      </c>
      <c r="D212" s="644"/>
      <c r="E212" s="645"/>
      <c r="F212" s="645"/>
      <c r="G212" s="474">
        <f t="shared" si="46"/>
        <v>0</v>
      </c>
      <c r="H212" s="293" t="str">
        <f t="shared" si="47"/>
        <v/>
      </c>
      <c r="I212" s="656"/>
      <c r="J212" s="657"/>
      <c r="K212" s="645"/>
      <c r="L212" s="658"/>
      <c r="M212" s="657"/>
      <c r="N212" s="645"/>
      <c r="O212" s="645"/>
      <c r="P212" s="645"/>
      <c r="Q212" s="656"/>
      <c r="R212" s="659"/>
      <c r="S212" s="649"/>
      <c r="T212" s="292" t="e">
        <f>INDEX(ei_geo!$B:$B,MATCH(S212,ei_geo!$A:$A,0))</f>
        <v>#N/A</v>
      </c>
      <c r="U212" s="675"/>
      <c r="V212" s="675"/>
      <c r="W212" s="676"/>
      <c r="X212" s="657"/>
      <c r="Y212" s="645"/>
      <c r="Z212" s="645"/>
      <c r="AA212" s="645"/>
      <c r="AB212" s="656"/>
      <c r="AC212" s="677"/>
      <c r="AD212" s="649"/>
      <c r="AE212" s="292"/>
      <c r="AF212" s="675"/>
      <c r="AG212" s="675"/>
      <c r="AH212" s="676"/>
      <c r="AI212" s="681"/>
      <c r="AJ212" s="675"/>
      <c r="AK212" s="675"/>
      <c r="AL212" s="675"/>
      <c r="AM212" s="676"/>
      <c r="AN212" s="677"/>
      <c r="AO212" s="649"/>
      <c r="AP212" s="292"/>
      <c r="AQ212" s="675"/>
      <c r="AR212" s="675"/>
      <c r="AS212" s="676"/>
      <c r="AT212" s="681"/>
      <c r="AU212" s="675"/>
      <c r="AV212" s="675"/>
      <c r="AW212" s="675"/>
      <c r="AX212" s="685"/>
      <c r="AY212" s="677"/>
      <c r="AZ212" s="649"/>
      <c r="BA212" s="292"/>
      <c r="BB212" s="675"/>
      <c r="BC212" s="675"/>
      <c r="BD212" s="691"/>
      <c r="BE212" s="681"/>
      <c r="BF212" s="675"/>
      <c r="BG212" s="675"/>
      <c r="BH212" s="675"/>
      <c r="BI212" s="676"/>
      <c r="BJ212" s="681"/>
      <c r="BK212" s="692"/>
      <c r="BM212" s="475">
        <f t="shared" si="48"/>
        <v>0</v>
      </c>
      <c r="BN212" s="475">
        <f t="shared" si="49"/>
        <v>0</v>
      </c>
      <c r="BO212" s="475">
        <f t="shared" si="50"/>
        <v>0</v>
      </c>
      <c r="BP212" s="475">
        <f t="shared" si="51"/>
        <v>0</v>
      </c>
      <c r="BR212" s="476">
        <f t="shared" si="53"/>
        <v>0</v>
      </c>
      <c r="BS212" s="465">
        <f t="shared" si="54"/>
        <v>0</v>
      </c>
      <c r="BT212" s="466" t="str">
        <f t="shared" si="52"/>
        <v>n.a.</v>
      </c>
    </row>
    <row r="213" spans="1:72" s="602" customFormat="1" ht="15" thickBot="1">
      <c r="A213" s="201">
        <f t="shared" si="45"/>
        <v>200</v>
      </c>
      <c r="B213" s="641"/>
      <c r="C213" s="693" t="s">
        <v>8784</v>
      </c>
      <c r="D213" s="694"/>
      <c r="E213" s="695"/>
      <c r="F213" s="695"/>
      <c r="G213" s="696">
        <f t="shared" si="46"/>
        <v>0</v>
      </c>
      <c r="H213" s="697" t="str">
        <f t="shared" si="47"/>
        <v/>
      </c>
      <c r="I213" s="698"/>
      <c r="J213" s="699"/>
      <c r="K213" s="695"/>
      <c r="L213" s="700"/>
      <c r="M213" s="699"/>
      <c r="N213" s="695"/>
      <c r="O213" s="695"/>
      <c r="P213" s="695"/>
      <c r="Q213" s="698"/>
      <c r="R213" s="701"/>
      <c r="S213" s="695"/>
      <c r="T213" s="702" t="e">
        <f>INDEX(ei_geo!$B:$B,MATCH(S213,ei_geo!$A:$A,0))</f>
        <v>#N/A</v>
      </c>
      <c r="U213" s="703"/>
      <c r="V213" s="703"/>
      <c r="W213" s="704"/>
      <c r="X213" s="699"/>
      <c r="Y213" s="695"/>
      <c r="Z213" s="695"/>
      <c r="AA213" s="695"/>
      <c r="AB213" s="698"/>
      <c r="AC213" s="705"/>
      <c r="AD213" s="695"/>
      <c r="AE213" s="702"/>
      <c r="AF213" s="703"/>
      <c r="AG213" s="703"/>
      <c r="AH213" s="704"/>
      <c r="AI213" s="706"/>
      <c r="AJ213" s="703"/>
      <c r="AK213" s="703"/>
      <c r="AL213" s="703"/>
      <c r="AM213" s="704"/>
      <c r="AN213" s="705"/>
      <c r="AO213" s="695"/>
      <c r="AP213" s="702"/>
      <c r="AQ213" s="703"/>
      <c r="AR213" s="703"/>
      <c r="AS213" s="704"/>
      <c r="AT213" s="706"/>
      <c r="AU213" s="703"/>
      <c r="AV213" s="703"/>
      <c r="AW213" s="703"/>
      <c r="AX213" s="707"/>
      <c r="AY213" s="705"/>
      <c r="AZ213" s="695"/>
      <c r="BA213" s="702"/>
      <c r="BB213" s="703"/>
      <c r="BC213" s="703"/>
      <c r="BD213" s="708"/>
      <c r="BE213" s="706"/>
      <c r="BF213" s="703"/>
      <c r="BG213" s="703"/>
      <c r="BH213" s="703"/>
      <c r="BI213" s="704"/>
      <c r="BJ213" s="706"/>
      <c r="BK213" s="709"/>
      <c r="BM213" s="475">
        <f t="shared" si="48"/>
        <v>0</v>
      </c>
      <c r="BN213" s="475">
        <f t="shared" si="49"/>
        <v>0</v>
      </c>
      <c r="BO213" s="475">
        <f t="shared" si="50"/>
        <v>0</v>
      </c>
      <c r="BP213" s="475">
        <f t="shared" si="51"/>
        <v>0</v>
      </c>
      <c r="BR213" s="476">
        <f t="shared" ref="BR213" si="55">IF(E213&gt;0,(AB213+AM213+AX213+BI213),0)</f>
        <v>0</v>
      </c>
      <c r="BS213" s="465">
        <f t="shared" si="54"/>
        <v>0</v>
      </c>
      <c r="BT213" s="466" t="str">
        <f t="shared" si="52"/>
        <v>n.a.</v>
      </c>
    </row>
    <row r="214" spans="1:72" ht="31.05" customHeight="1">
      <c r="A214" s="314"/>
      <c r="B214" s="314"/>
      <c r="C214" s="864" t="s">
        <v>8785</v>
      </c>
      <c r="D214" s="864"/>
      <c r="E214" s="581"/>
      <c r="F214" s="581"/>
      <c r="G214" s="294">
        <f>SUM(G14:G213)</f>
        <v>0</v>
      </c>
      <c r="H214" s="295">
        <f>SUM(H14:H213)</f>
        <v>0</v>
      </c>
      <c r="I214" s="312"/>
      <c r="J214" s="312"/>
      <c r="K214" s="312"/>
      <c r="L214" s="312"/>
      <c r="M214" s="312"/>
      <c r="N214" s="312"/>
      <c r="O214" s="312"/>
      <c r="P214" s="312"/>
      <c r="Q214" s="312"/>
      <c r="R214" s="312"/>
      <c r="S214" s="312"/>
      <c r="T214" s="312"/>
      <c r="U214" s="312"/>
      <c r="V214" s="312"/>
      <c r="W214" s="312"/>
      <c r="X214" s="312"/>
      <c r="Y214" s="312"/>
      <c r="Z214" s="312"/>
      <c r="AA214" s="312"/>
      <c r="AB214" s="312"/>
      <c r="AC214" s="312"/>
      <c r="AD214" s="312"/>
      <c r="AE214" s="312"/>
      <c r="AF214" s="312"/>
      <c r="AG214" s="312"/>
      <c r="AH214" s="312"/>
      <c r="AI214" s="312"/>
      <c r="AJ214" s="312"/>
      <c r="AK214" s="312"/>
      <c r="AL214" s="312"/>
      <c r="AM214" s="312"/>
      <c r="AN214" s="312"/>
      <c r="AO214" s="312"/>
      <c r="AP214" s="312"/>
      <c r="AQ214" s="312"/>
      <c r="AR214" s="312"/>
      <c r="AS214" s="312"/>
      <c r="AT214" s="312"/>
      <c r="AU214" s="312"/>
      <c r="AV214" s="312"/>
      <c r="AW214" s="312"/>
      <c r="AX214" s="312"/>
      <c r="AY214" s="312"/>
      <c r="AZ214" s="312"/>
      <c r="BA214" s="312"/>
      <c r="BB214" s="312"/>
      <c r="BC214" s="312"/>
      <c r="BD214" s="312"/>
      <c r="BE214" s="312"/>
      <c r="BF214" s="312"/>
      <c r="BG214" s="312"/>
      <c r="BH214" s="312"/>
      <c r="BI214" s="312"/>
      <c r="BJ214" s="312"/>
      <c r="BK214" s="312"/>
      <c r="BL214" s="312"/>
      <c r="BM214" s="478">
        <f>SUM(BM14:BM213)</f>
        <v>0</v>
      </c>
      <c r="BN214" s="478">
        <f>SUM(BN14:BN213)</f>
        <v>0</v>
      </c>
      <c r="BO214" s="479">
        <f>SUM(BO14:BO213)</f>
        <v>0</v>
      </c>
      <c r="BP214" s="479">
        <f>SUM(BP14:BP213)</f>
        <v>0</v>
      </c>
      <c r="BQ214" s="464"/>
      <c r="BR214" s="480">
        <f>SUM(BM214:BQ214)</f>
        <v>0</v>
      </c>
      <c r="BS214" s="468" t="s">
        <v>3480</v>
      </c>
    </row>
    <row r="215" spans="1:72" ht="31.05" customHeight="1">
      <c r="A215" s="314"/>
      <c r="B215" s="314"/>
      <c r="C215" s="864" t="s">
        <v>10917</v>
      </c>
      <c r="D215" s="864"/>
      <c r="E215" s="312"/>
      <c r="F215" s="312"/>
      <c r="G215" s="294">
        <f>SUMPRODUCT(E14:E200,F14:F200)</f>
        <v>0</v>
      </c>
      <c r="H215" s="312"/>
      <c r="I215" s="312"/>
      <c r="J215" s="312"/>
      <c r="K215" s="312"/>
      <c r="L215" s="312"/>
      <c r="M215" s="312"/>
      <c r="N215" s="312"/>
      <c r="O215" s="312"/>
      <c r="P215" s="312"/>
      <c r="Q215" s="312"/>
      <c r="R215" s="312"/>
      <c r="S215" s="312"/>
      <c r="T215" s="312"/>
      <c r="U215" s="312"/>
      <c r="V215" s="312"/>
      <c r="W215" s="312"/>
      <c r="X215" s="312"/>
      <c r="Y215" s="312"/>
      <c r="Z215" s="312"/>
      <c r="AA215" s="312"/>
      <c r="AB215" s="312"/>
      <c r="AC215" s="312"/>
      <c r="AD215" s="312"/>
      <c r="AE215" s="312"/>
      <c r="AF215" s="312"/>
      <c r="AG215" s="312"/>
      <c r="AH215" s="312"/>
      <c r="AI215" s="312"/>
      <c r="AJ215" s="312"/>
      <c r="AK215" s="312"/>
      <c r="AL215" s="312"/>
      <c r="AM215" s="312"/>
      <c r="AN215" s="312"/>
      <c r="AO215" s="312"/>
      <c r="AP215" s="312"/>
      <c r="AQ215" s="312"/>
      <c r="AR215" s="312"/>
      <c r="AS215" s="312"/>
      <c r="AT215" s="312"/>
      <c r="AU215" s="312"/>
      <c r="AV215" s="312"/>
      <c r="AW215" s="312"/>
      <c r="AX215" s="312"/>
      <c r="AY215" s="312"/>
      <c r="AZ215" s="312"/>
      <c r="BA215" s="312"/>
      <c r="BB215" s="312"/>
      <c r="BC215" s="312"/>
      <c r="BD215" s="312"/>
      <c r="BE215" s="312"/>
      <c r="BF215" s="312"/>
      <c r="BG215" s="312"/>
      <c r="BH215" s="312"/>
      <c r="BI215" s="312"/>
      <c r="BJ215" s="312"/>
      <c r="BK215" s="312"/>
      <c r="BL215" s="312"/>
      <c r="BM215" s="478">
        <f>(SUMPRODUCT($G14:$G200,AB14:AB200))/1000</f>
        <v>0</v>
      </c>
      <c r="BN215" s="478">
        <f>(SUMPRODUCT($G14:$G200,AM14:AM200))/1000</f>
        <v>0</v>
      </c>
      <c r="BO215" s="479">
        <f>(SUMPRODUCT($G14:$G200,AX14:AX200))/1000</f>
        <v>0</v>
      </c>
      <c r="BP215" s="479">
        <f>(SUMPRODUCT($G14:$G200,BI14:BI200))/1000</f>
        <v>0</v>
      </c>
      <c r="BQ215" s="464"/>
      <c r="BR215" s="480">
        <f>SUM(BM215:BQ215)</f>
        <v>0</v>
      </c>
      <c r="BS215" s="468" t="s">
        <v>3480</v>
      </c>
    </row>
    <row r="216" spans="1:72" ht="54" customHeight="1">
      <c r="A216" s="314"/>
      <c r="B216" s="314"/>
      <c r="C216" s="864" t="s">
        <v>8786</v>
      </c>
      <c r="D216" s="864"/>
      <c r="E216" s="312"/>
      <c r="F216" s="312"/>
      <c r="G216" s="408">
        <f>G214-E5</f>
        <v>0</v>
      </c>
      <c r="H216" s="458" t="e">
        <f>G216/G215</f>
        <v>#DIV/0!</v>
      </c>
      <c r="I216" s="459" t="e">
        <f>IF(H216&gt;0.01,"Check mass balance; check for repair/maintenance items in BOM materials end use", "Acceptable tolerance")</f>
        <v>#DIV/0!</v>
      </c>
      <c r="J216" s="312"/>
      <c r="K216" s="312"/>
      <c r="L216" s="312"/>
      <c r="M216" s="312"/>
      <c r="N216" s="312"/>
      <c r="O216" s="312"/>
      <c r="P216" s="312"/>
      <c r="Q216" s="312"/>
      <c r="R216" s="312"/>
      <c r="S216" s="312"/>
      <c r="T216" s="312"/>
      <c r="U216" s="312"/>
      <c r="V216" s="312"/>
      <c r="W216" s="312"/>
      <c r="X216" s="312"/>
      <c r="Y216" s="312"/>
      <c r="Z216" s="312"/>
      <c r="AA216" s="312"/>
      <c r="AB216" s="312"/>
      <c r="AC216" s="312"/>
      <c r="AD216" s="312"/>
      <c r="AE216" s="312"/>
      <c r="AF216" s="312"/>
      <c r="AG216" s="312"/>
      <c r="AH216" s="312"/>
      <c r="AI216" s="312"/>
      <c r="AJ216" s="312"/>
      <c r="AK216" s="312"/>
      <c r="AL216" s="312"/>
      <c r="AM216" s="312"/>
      <c r="AN216" s="312"/>
      <c r="AO216" s="312"/>
      <c r="AP216" s="312"/>
      <c r="AQ216" s="312"/>
      <c r="AR216" s="312"/>
      <c r="AS216" s="312"/>
      <c r="AT216" s="312"/>
      <c r="AU216" s="312"/>
      <c r="AV216" s="312"/>
      <c r="AW216" s="312"/>
      <c r="AX216" s="312"/>
      <c r="AY216" s="312"/>
      <c r="AZ216" s="312"/>
      <c r="BA216" s="312"/>
      <c r="BB216" s="312"/>
      <c r="BC216" s="312"/>
      <c r="BD216" s="312"/>
      <c r="BE216" s="312"/>
      <c r="BF216" s="312"/>
      <c r="BG216" s="312"/>
      <c r="BH216" s="312"/>
      <c r="BI216" s="312"/>
      <c r="BJ216" s="312"/>
      <c r="BK216" s="312"/>
      <c r="BL216" s="312"/>
      <c r="BM216" s="312"/>
      <c r="BN216" s="312"/>
      <c r="BO216" s="312"/>
      <c r="BP216" s="312"/>
      <c r="BQ216" s="312"/>
      <c r="BR216" s="468"/>
      <c r="BS216" s="468"/>
    </row>
    <row r="217" spans="1:72" ht="15.6">
      <c r="A217" s="314"/>
      <c r="B217" s="314"/>
      <c r="C217" s="312"/>
      <c r="E217" s="312"/>
      <c r="F217" s="312"/>
      <c r="G217" s="312"/>
      <c r="H217" s="312"/>
      <c r="I217" s="312"/>
      <c r="J217" s="312"/>
      <c r="K217" s="312"/>
      <c r="L217" s="312"/>
      <c r="M217" s="312"/>
      <c r="N217" s="312"/>
      <c r="O217" s="312"/>
      <c r="P217" s="312"/>
      <c r="Q217" s="312"/>
      <c r="R217" s="312"/>
      <c r="S217" s="312"/>
      <c r="T217" s="312"/>
      <c r="U217" s="312"/>
      <c r="V217" s="312"/>
      <c r="W217" s="312"/>
      <c r="X217" s="312"/>
      <c r="Y217" s="312"/>
      <c r="Z217" s="312"/>
      <c r="AA217" s="312"/>
      <c r="AB217" s="312"/>
      <c r="AC217" s="312"/>
      <c r="AD217" s="312"/>
      <c r="AE217" s="312"/>
      <c r="AF217" s="312"/>
      <c r="AG217" s="312"/>
      <c r="AH217" s="312"/>
      <c r="AI217" s="312"/>
      <c r="AJ217" s="312"/>
      <c r="AK217" s="312"/>
      <c r="AL217" s="312"/>
      <c r="AM217" s="312"/>
      <c r="AN217" s="312"/>
      <c r="AO217" s="312"/>
      <c r="AP217" s="312"/>
      <c r="AQ217" s="312"/>
      <c r="AR217" s="312"/>
      <c r="AS217" s="312"/>
      <c r="AT217" s="312"/>
      <c r="AU217" s="312"/>
      <c r="AV217" s="312"/>
      <c r="AW217" s="312"/>
      <c r="AX217" s="312"/>
      <c r="AY217" s="312"/>
      <c r="AZ217" s="312"/>
      <c r="BA217" s="312"/>
      <c r="BB217" s="312"/>
      <c r="BC217" s="312"/>
      <c r="BD217" s="312"/>
      <c r="BE217" s="312"/>
      <c r="BF217" s="312"/>
      <c r="BG217" s="312"/>
      <c r="BH217" s="312"/>
      <c r="BI217" s="312"/>
      <c r="BJ217" s="312"/>
      <c r="BK217" s="312"/>
      <c r="BL217" s="312"/>
      <c r="BM217" s="312"/>
      <c r="BN217" s="312"/>
      <c r="BO217" s="312"/>
      <c r="BP217" s="312"/>
      <c r="BQ217" s="312"/>
      <c r="BR217" s="468">
        <f>(SUMPRODUCT($G14:$G213,AB14:AB213)+SUMPRODUCT($G14:$G213,AM14:AM213)+SUMPRODUCT($G14:$G213,AX14:AX213)+SUMPRODUCT($G14:$G213,BI14:BI213))/1000</f>
        <v>0</v>
      </c>
      <c r="BS217" s="468" t="s">
        <v>3480</v>
      </c>
    </row>
    <row r="218" spans="1:72" s="178" customFormat="1" ht="38.85" customHeight="1">
      <c r="A218" s="858" t="s">
        <v>8787</v>
      </c>
      <c r="B218" s="858"/>
      <c r="C218" s="858"/>
      <c r="D218" s="858"/>
      <c r="E218" s="858"/>
      <c r="F218" s="858"/>
      <c r="G218" s="858"/>
      <c r="H218" s="858"/>
      <c r="I218" s="858"/>
      <c r="J218" s="858"/>
      <c r="K218" s="858"/>
      <c r="L218" s="858"/>
      <c r="M218" s="858"/>
      <c r="N218" s="858"/>
      <c r="O218" s="858"/>
      <c r="P218" s="858"/>
      <c r="Q218" s="858"/>
      <c r="R218" s="858"/>
      <c r="S218" s="858"/>
      <c r="T218" s="858"/>
      <c r="U218" s="858"/>
      <c r="V218" s="858"/>
      <c r="W218" s="858"/>
      <c r="X218" s="858"/>
      <c r="Y218" s="858"/>
      <c r="Z218" s="858"/>
      <c r="AA218" s="858"/>
      <c r="AB218" s="858"/>
      <c r="AC218" s="858"/>
      <c r="AD218" s="858"/>
      <c r="AE218" s="858"/>
      <c r="AF218" s="858"/>
      <c r="AG218" s="858"/>
      <c r="AH218" s="858"/>
      <c r="AI218" s="858"/>
      <c r="AJ218" s="858"/>
      <c r="AK218" s="858"/>
      <c r="AL218" s="858"/>
      <c r="AM218" s="858"/>
      <c r="AN218" s="858"/>
      <c r="AO218" s="858"/>
      <c r="AP218" s="858"/>
      <c r="AQ218" s="858"/>
      <c r="AR218" s="858"/>
      <c r="AS218" s="858"/>
      <c r="AT218" s="858"/>
      <c r="AU218" s="858"/>
      <c r="AV218" s="858"/>
      <c r="AW218" s="858"/>
      <c r="AX218" s="858"/>
      <c r="AY218" s="858"/>
      <c r="AZ218" s="858"/>
      <c r="BA218" s="858"/>
      <c r="BB218" s="858"/>
      <c r="BC218" s="858"/>
      <c r="BD218" s="858"/>
      <c r="BE218" s="858"/>
      <c r="BF218" s="858"/>
      <c r="BG218" s="858"/>
      <c r="BH218" s="858"/>
      <c r="BI218" s="858"/>
      <c r="BJ218" s="858"/>
      <c r="BK218" s="859"/>
      <c r="BR218" s="469"/>
      <c r="BS218" s="470"/>
      <c r="BT218" s="473"/>
    </row>
    <row r="220" spans="1:72">
      <c r="A220" s="314"/>
      <c r="B220" s="314"/>
      <c r="C220" s="390"/>
      <c r="D220" s="390"/>
      <c r="E220" s="390"/>
      <c r="F220" s="391"/>
      <c r="G220" s="390"/>
      <c r="H220" s="390"/>
      <c r="I220" s="390"/>
      <c r="J220" s="390"/>
      <c r="K220" s="390"/>
      <c r="L220" s="390"/>
      <c r="M220" s="390"/>
      <c r="N220" s="390"/>
      <c r="O220" s="390"/>
      <c r="P220" s="312"/>
      <c r="Q220" s="312"/>
      <c r="R220" s="312"/>
      <c r="S220" s="312"/>
      <c r="T220" s="312"/>
      <c r="U220" s="312"/>
      <c r="V220" s="312"/>
      <c r="W220" s="312"/>
      <c r="X220" s="312"/>
      <c r="Y220" s="312"/>
      <c r="Z220" s="312"/>
      <c r="AA220" s="312"/>
      <c r="AB220" s="312"/>
      <c r="AC220" s="312"/>
      <c r="AD220" s="312"/>
      <c r="AE220" s="312"/>
      <c r="AF220" s="312"/>
      <c r="AG220" s="312"/>
      <c r="AH220" s="312"/>
      <c r="AI220" s="312"/>
      <c r="AJ220" s="312"/>
      <c r="AK220" s="312"/>
      <c r="AL220" s="312"/>
      <c r="AM220" s="312"/>
      <c r="AN220" s="312"/>
      <c r="AO220" s="312"/>
      <c r="AP220" s="312"/>
      <c r="AQ220" s="312"/>
      <c r="AR220" s="312"/>
      <c r="AS220" s="312"/>
      <c r="AT220" s="312"/>
      <c r="AU220" s="312"/>
      <c r="AV220" s="312"/>
      <c r="AW220" s="312"/>
      <c r="AX220" s="312"/>
      <c r="AY220" s="312"/>
      <c r="AZ220" s="312"/>
      <c r="BA220" s="312"/>
      <c r="BB220" s="312"/>
      <c r="BC220" s="312"/>
      <c r="BD220" s="312"/>
      <c r="BE220" s="312"/>
      <c r="BF220" s="312"/>
      <c r="BG220" s="312"/>
      <c r="BH220" s="312"/>
      <c r="BI220" s="312"/>
      <c r="BJ220" s="312"/>
      <c r="BK220" s="312"/>
      <c r="BL220" s="312"/>
      <c r="BM220" s="312"/>
      <c r="BN220" s="312"/>
      <c r="BO220" s="312"/>
      <c r="BP220" s="312"/>
      <c r="BQ220" s="312"/>
    </row>
    <row r="221" spans="1:72">
      <c r="A221" s="314"/>
      <c r="B221" s="314"/>
      <c r="C221" s="390"/>
      <c r="D221" s="390"/>
      <c r="E221" s="390"/>
      <c r="F221" s="391"/>
      <c r="G221" s="390"/>
      <c r="H221" s="390"/>
      <c r="I221" s="390"/>
      <c r="J221" s="390"/>
      <c r="K221" s="390"/>
      <c r="L221" s="390"/>
      <c r="M221" s="390"/>
      <c r="N221" s="390"/>
      <c r="O221" s="390"/>
      <c r="P221" s="312"/>
      <c r="Q221" s="312"/>
      <c r="R221" s="312"/>
      <c r="S221" s="312"/>
      <c r="T221" s="312"/>
      <c r="U221" s="312"/>
      <c r="V221" s="312"/>
      <c r="W221" s="312"/>
      <c r="X221" s="312"/>
      <c r="Y221" s="312"/>
      <c r="Z221" s="312"/>
      <c r="AA221" s="312"/>
      <c r="AB221" s="312"/>
      <c r="AC221" s="312"/>
      <c r="AD221" s="312"/>
      <c r="AE221" s="312"/>
      <c r="AF221" s="312"/>
      <c r="AG221" s="312"/>
      <c r="AH221" s="312"/>
      <c r="AI221" s="312"/>
      <c r="AJ221" s="312"/>
      <c r="AK221" s="312"/>
      <c r="AL221" s="312"/>
      <c r="AM221" s="312"/>
      <c r="AN221" s="312"/>
      <c r="AO221" s="312"/>
      <c r="AP221" s="312"/>
      <c r="AQ221" s="312"/>
      <c r="AR221" s="312"/>
      <c r="AS221" s="312"/>
      <c r="AT221" s="312"/>
      <c r="AU221" s="312"/>
      <c r="AV221" s="312"/>
      <c r="AW221" s="312"/>
      <c r="AX221" s="312"/>
      <c r="AY221" s="312"/>
      <c r="AZ221" s="312"/>
      <c r="BA221" s="312"/>
      <c r="BB221" s="312"/>
      <c r="BC221" s="312"/>
      <c r="BD221" s="312"/>
      <c r="BE221" s="312"/>
      <c r="BF221" s="312"/>
      <c r="BG221" s="312"/>
      <c r="BH221" s="312"/>
      <c r="BI221" s="312"/>
      <c r="BJ221" s="312"/>
      <c r="BK221" s="312"/>
      <c r="BL221" s="312"/>
      <c r="BM221" s="312"/>
      <c r="BN221" s="312"/>
      <c r="BO221" s="312"/>
      <c r="BP221" s="312"/>
      <c r="BQ221" s="312"/>
    </row>
    <row r="222" spans="1:72">
      <c r="A222" s="314"/>
      <c r="B222" s="314"/>
      <c r="C222" s="390"/>
      <c r="D222" s="390"/>
      <c r="E222" s="390"/>
      <c r="F222" s="391"/>
      <c r="G222" s="390"/>
      <c r="H222" s="390"/>
      <c r="I222" s="390"/>
      <c r="J222" s="390"/>
      <c r="K222" s="390"/>
      <c r="L222" s="390"/>
      <c r="M222" s="390"/>
      <c r="N222" s="390"/>
      <c r="O222" s="390"/>
      <c r="P222" s="312"/>
      <c r="Q222" s="312"/>
      <c r="R222" s="312"/>
      <c r="S222" s="312"/>
      <c r="T222" s="312"/>
      <c r="U222" s="312"/>
      <c r="V222" s="312"/>
      <c r="W222" s="312"/>
      <c r="X222" s="312"/>
      <c r="Y222" s="312"/>
      <c r="Z222" s="312"/>
      <c r="AA222" s="312"/>
      <c r="AB222" s="312"/>
      <c r="AC222" s="312"/>
      <c r="AD222" s="312"/>
      <c r="AE222" s="312"/>
      <c r="AF222" s="312"/>
      <c r="AG222" s="312"/>
      <c r="AH222" s="312"/>
      <c r="AI222" s="312"/>
      <c r="AJ222" s="312"/>
      <c r="AK222" s="312"/>
      <c r="AL222" s="312"/>
      <c r="AM222" s="312"/>
      <c r="AN222" s="312"/>
      <c r="AO222" s="312"/>
      <c r="AP222" s="312"/>
      <c r="AQ222" s="312"/>
      <c r="AR222" s="312"/>
      <c r="AS222" s="312"/>
      <c r="AT222" s="312"/>
      <c r="AU222" s="312"/>
      <c r="AV222" s="312"/>
      <c r="AW222" s="312"/>
      <c r="AX222" s="312"/>
      <c r="AY222" s="312"/>
      <c r="AZ222" s="312"/>
      <c r="BA222" s="312"/>
      <c r="BB222" s="312"/>
      <c r="BC222" s="312"/>
      <c r="BD222" s="312"/>
      <c r="BE222" s="312"/>
      <c r="BF222" s="312"/>
      <c r="BG222" s="312"/>
      <c r="BH222" s="312"/>
      <c r="BI222" s="312"/>
      <c r="BJ222" s="312"/>
      <c r="BK222" s="312"/>
      <c r="BL222" s="312"/>
      <c r="BM222" s="312"/>
      <c r="BN222" s="312"/>
      <c r="BO222" s="312"/>
      <c r="BP222" s="312"/>
      <c r="BQ222" s="312"/>
    </row>
    <row r="223" spans="1:72">
      <c r="A223" s="314"/>
      <c r="B223" s="314"/>
      <c r="C223" s="390"/>
      <c r="D223" s="390"/>
      <c r="E223" s="390"/>
      <c r="F223" s="391"/>
      <c r="G223" s="390"/>
      <c r="H223" s="390"/>
      <c r="I223" s="390"/>
      <c r="J223" s="390"/>
      <c r="K223" s="390"/>
      <c r="L223" s="390"/>
      <c r="M223" s="390"/>
      <c r="N223" s="390"/>
      <c r="O223" s="390"/>
      <c r="P223" s="312"/>
      <c r="Q223" s="312"/>
      <c r="R223" s="312"/>
      <c r="S223" s="312"/>
      <c r="T223" s="312"/>
      <c r="U223" s="312"/>
      <c r="V223" s="312"/>
      <c r="W223" s="312"/>
      <c r="X223" s="312"/>
      <c r="Y223" s="312"/>
      <c r="Z223" s="312"/>
      <c r="AA223" s="312"/>
      <c r="AB223" s="312"/>
      <c r="AC223" s="312"/>
      <c r="AD223" s="312"/>
      <c r="AE223" s="312"/>
      <c r="AF223" s="312"/>
      <c r="AG223" s="312"/>
      <c r="AH223" s="312"/>
      <c r="AI223" s="312"/>
      <c r="AJ223" s="312"/>
      <c r="AK223" s="312"/>
      <c r="AL223" s="312"/>
      <c r="AM223" s="312"/>
      <c r="AN223" s="312"/>
      <c r="AO223" s="312"/>
      <c r="AP223" s="312"/>
      <c r="AQ223" s="312"/>
      <c r="AR223" s="312"/>
      <c r="AS223" s="312"/>
      <c r="AT223" s="312"/>
      <c r="AU223" s="312"/>
      <c r="AV223" s="312"/>
      <c r="AW223" s="312"/>
      <c r="AX223" s="312"/>
      <c r="AY223" s="312"/>
      <c r="AZ223" s="312"/>
      <c r="BA223" s="312"/>
      <c r="BB223" s="312"/>
      <c r="BC223" s="312"/>
      <c r="BD223" s="312"/>
      <c r="BE223" s="312"/>
      <c r="BF223" s="312"/>
      <c r="BG223" s="312"/>
      <c r="BH223" s="312"/>
      <c r="BI223" s="312"/>
      <c r="BJ223" s="312"/>
      <c r="BK223" s="312"/>
      <c r="BL223" s="312"/>
      <c r="BM223" s="312"/>
      <c r="BN223" s="312"/>
      <c r="BO223" s="312"/>
      <c r="BP223" s="312"/>
      <c r="BQ223" s="312"/>
    </row>
    <row r="224" spans="1:72">
      <c r="A224" s="314"/>
      <c r="B224" s="314"/>
      <c r="C224" s="390"/>
      <c r="D224" s="390"/>
      <c r="E224" s="390"/>
      <c r="F224" s="391"/>
      <c r="G224" s="390"/>
      <c r="H224" s="390"/>
      <c r="I224" s="390"/>
      <c r="J224" s="390"/>
      <c r="K224" s="390"/>
      <c r="L224" s="390"/>
      <c r="M224" s="390"/>
      <c r="N224" s="390"/>
      <c r="O224" s="390"/>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c r="AS224" s="312"/>
      <c r="AT224" s="312"/>
      <c r="AU224" s="312"/>
      <c r="AV224" s="312"/>
      <c r="AW224" s="312"/>
      <c r="AX224" s="312"/>
      <c r="AY224" s="312"/>
      <c r="AZ224" s="312"/>
      <c r="BA224" s="312"/>
      <c r="BB224" s="312"/>
      <c r="BC224" s="312"/>
      <c r="BD224" s="312"/>
      <c r="BE224" s="312"/>
      <c r="BF224" s="312"/>
      <c r="BG224" s="312"/>
      <c r="BH224" s="312"/>
      <c r="BI224" s="312"/>
      <c r="BJ224" s="312"/>
      <c r="BK224" s="312"/>
      <c r="BL224" s="312"/>
      <c r="BM224" s="312"/>
      <c r="BN224" s="312"/>
      <c r="BO224" s="312"/>
      <c r="BP224" s="312"/>
      <c r="BQ224" s="312"/>
    </row>
    <row r="225" spans="3:15">
      <c r="C225" s="390"/>
      <c r="D225" s="390"/>
      <c r="E225" s="390"/>
      <c r="F225" s="391"/>
      <c r="G225" s="390"/>
      <c r="H225" s="390"/>
      <c r="I225" s="390"/>
      <c r="J225" s="390"/>
      <c r="K225" s="390"/>
      <c r="L225" s="390"/>
      <c r="M225" s="390"/>
      <c r="N225" s="390"/>
      <c r="O225" s="390"/>
    </row>
    <row r="226" spans="3:15">
      <c r="C226" s="390"/>
      <c r="D226" s="390"/>
      <c r="E226" s="390"/>
      <c r="F226" s="391"/>
      <c r="G226" s="390"/>
      <c r="H226" s="390"/>
      <c r="I226" s="390"/>
      <c r="J226" s="390"/>
      <c r="K226" s="390"/>
      <c r="L226" s="390"/>
      <c r="M226" s="390"/>
      <c r="N226" s="390"/>
      <c r="O226" s="390"/>
    </row>
    <row r="227" spans="3:15">
      <c r="C227" s="390"/>
      <c r="D227" s="390"/>
      <c r="E227" s="390"/>
      <c r="F227" s="391"/>
      <c r="G227" s="390"/>
      <c r="H227" s="390"/>
      <c r="I227" s="390"/>
      <c r="J227" s="390"/>
      <c r="K227" s="390"/>
      <c r="L227" s="390"/>
      <c r="M227" s="390"/>
      <c r="N227" s="390"/>
      <c r="O227" s="390"/>
    </row>
    <row r="228" spans="3:15">
      <c r="C228" s="390"/>
      <c r="D228" s="460"/>
      <c r="E228" s="460"/>
      <c r="F228" s="461"/>
      <c r="G228" s="460"/>
      <c r="H228" s="390"/>
      <c r="I228" s="390"/>
      <c r="J228" s="390"/>
      <c r="K228" s="390"/>
      <c r="L228" s="390"/>
      <c r="M228" s="390"/>
      <c r="N228" s="390"/>
      <c r="O228" s="390"/>
    </row>
    <row r="229" spans="3:15">
      <c r="C229" s="390"/>
      <c r="D229" s="460"/>
      <c r="E229" s="460"/>
      <c r="F229" s="461"/>
      <c r="G229" s="460"/>
      <c r="H229" s="390"/>
      <c r="I229" s="390"/>
      <c r="J229" s="390"/>
      <c r="K229" s="390"/>
      <c r="L229" s="390"/>
      <c r="M229" s="390"/>
      <c r="N229" s="390"/>
      <c r="O229" s="390"/>
    </row>
    <row r="230" spans="3:15">
      <c r="C230" s="390"/>
      <c r="D230" s="460"/>
      <c r="E230" s="460"/>
      <c r="F230" s="461"/>
      <c r="G230" s="460"/>
      <c r="H230" s="390"/>
      <c r="I230" s="390"/>
      <c r="J230" s="390"/>
      <c r="K230" s="390"/>
      <c r="L230" s="390"/>
      <c r="M230" s="390"/>
      <c r="N230" s="390"/>
      <c r="O230" s="390"/>
    </row>
    <row r="231" spans="3:15">
      <c r="C231" s="390"/>
      <c r="D231" s="460"/>
      <c r="E231" s="460"/>
      <c r="F231" s="461"/>
      <c r="G231" s="460"/>
      <c r="H231" s="390"/>
      <c r="I231" s="390"/>
      <c r="J231" s="390"/>
      <c r="K231" s="390"/>
      <c r="L231" s="390"/>
      <c r="M231" s="390"/>
      <c r="N231" s="390"/>
      <c r="O231" s="390"/>
    </row>
    <row r="232" spans="3:15">
      <c r="C232" s="390"/>
      <c r="D232" s="460"/>
      <c r="E232" s="460"/>
      <c r="F232" s="462"/>
      <c r="G232" s="460"/>
      <c r="H232" s="390"/>
      <c r="I232" s="390"/>
      <c r="J232" s="390"/>
      <c r="K232" s="390"/>
      <c r="L232" s="390"/>
      <c r="M232" s="390"/>
      <c r="N232" s="390"/>
      <c r="O232" s="390"/>
    </row>
    <row r="233" spans="3:15">
      <c r="C233" s="390"/>
      <c r="D233" s="460"/>
      <c r="E233" s="460"/>
      <c r="F233" s="461"/>
      <c r="G233" s="460"/>
      <c r="H233" s="390"/>
      <c r="I233" s="390"/>
      <c r="J233" s="390"/>
      <c r="K233" s="390"/>
      <c r="L233" s="390"/>
      <c r="M233" s="390"/>
      <c r="N233" s="390"/>
      <c r="O233" s="390"/>
    </row>
    <row r="234" spans="3:15">
      <c r="C234" s="390"/>
      <c r="D234" s="460"/>
      <c r="E234" s="460"/>
      <c r="F234" s="463"/>
      <c r="G234" s="460"/>
      <c r="H234" s="390"/>
      <c r="I234" s="390"/>
      <c r="J234" s="390"/>
      <c r="K234" s="390"/>
      <c r="L234" s="390"/>
      <c r="M234" s="390"/>
      <c r="N234" s="390"/>
      <c r="O234" s="390"/>
    </row>
    <row r="235" spans="3:15">
      <c r="C235" s="390"/>
      <c r="D235" s="460"/>
      <c r="E235" s="460"/>
      <c r="F235" s="460"/>
      <c r="G235" s="460"/>
      <c r="H235" s="390"/>
      <c r="I235" s="390"/>
      <c r="J235" s="390"/>
      <c r="K235" s="390"/>
      <c r="L235" s="390"/>
      <c r="M235" s="390"/>
      <c r="N235" s="390"/>
      <c r="O235" s="390"/>
    </row>
    <row r="236" spans="3:15">
      <c r="C236" s="312"/>
      <c r="D236" s="317"/>
      <c r="E236" s="317"/>
      <c r="F236" s="317"/>
      <c r="G236" s="317"/>
      <c r="H236" s="312"/>
      <c r="I236" s="312"/>
      <c r="J236" s="312"/>
      <c r="K236" s="312"/>
      <c r="L236" s="312"/>
      <c r="M236" s="312"/>
      <c r="N236" s="312"/>
      <c r="O236" s="312"/>
    </row>
    <row r="237" spans="3:15">
      <c r="C237" s="312"/>
      <c r="D237" s="317"/>
      <c r="E237" s="317"/>
      <c r="F237" s="317"/>
      <c r="G237" s="317"/>
      <c r="H237" s="312"/>
      <c r="I237" s="312"/>
      <c r="J237" s="312"/>
      <c r="K237" s="312"/>
      <c r="L237" s="312"/>
      <c r="M237" s="312"/>
      <c r="N237" s="312"/>
      <c r="O237" s="312"/>
    </row>
    <row r="238" spans="3:15">
      <c r="C238" s="312"/>
      <c r="D238" s="317"/>
      <c r="E238" s="317"/>
      <c r="F238" s="317"/>
      <c r="G238" s="317"/>
      <c r="H238" s="312"/>
      <c r="I238" s="312"/>
      <c r="J238" s="312"/>
      <c r="K238" s="312"/>
      <c r="L238" s="312"/>
      <c r="M238" s="312"/>
      <c r="N238" s="312"/>
      <c r="O238" s="312"/>
    </row>
  </sheetData>
  <sheetProtection algorithmName="SHA-512" hashValue="9TdXdDlTvIuPBPH6LSLcSbNvUYev/pDIwrgLN8Ok2e7wbNIT9sTdO6YJ1GLsD5CjrxK7yARMMXsOibdGwvIZLA==" saltValue="rEFaVJNXt+bR8kRcuTTQuA==" spinCount="100000" sheet="1" objects="1" scenarios="1" selectLockedCells="1"/>
  <mergeCells count="26">
    <mergeCell ref="BM12:BP12"/>
    <mergeCell ref="A218:BK218"/>
    <mergeCell ref="AC12:AH12"/>
    <mergeCell ref="AI12:AM12"/>
    <mergeCell ref="AN12:AS12"/>
    <mergeCell ref="AT12:AX12"/>
    <mergeCell ref="AY12:BD12"/>
    <mergeCell ref="C215:D215"/>
    <mergeCell ref="C216:D216"/>
    <mergeCell ref="C214:D214"/>
    <mergeCell ref="BJ13:BK13"/>
    <mergeCell ref="BJ2:BK3"/>
    <mergeCell ref="A2:O3"/>
    <mergeCell ref="M13:N13"/>
    <mergeCell ref="O13:P13"/>
    <mergeCell ref="C12:E12"/>
    <mergeCell ref="M12:Q12"/>
    <mergeCell ref="J6:U6"/>
    <mergeCell ref="J5:S5"/>
    <mergeCell ref="J12:L12"/>
    <mergeCell ref="R12:W12"/>
    <mergeCell ref="X12:AB12"/>
    <mergeCell ref="BE12:BI12"/>
    <mergeCell ref="B11:Q11"/>
    <mergeCell ref="R11:BI11"/>
    <mergeCell ref="BJ11:BK12"/>
  </mergeCells>
  <phoneticPr fontId="33" type="noConversion"/>
  <dataValidations xWindow="738" yWindow="429" count="22">
    <dataValidation allowBlank="1" showInputMessage="1" showErrorMessage="1" promptTitle="Part Number (Optional)" prompt="Optional field to track using internal part numbers" sqref="B14:B213" xr:uid="{4921E612-9272-4F9E-B28A-9044768AAB6F}"/>
    <dataValidation type="decimal" errorStyle="warning" allowBlank="1" showInputMessage="1" showErrorMessage="1" errorTitle="km from vendor" error="If a value between 0-50,000 km is not entered, the location of the vendor and that of the facility provided in this template will be used to estimate the maximum distance by the indicated mode" promptTitle="distance from vendor" prompt="Distance in kilometers from material vendor to facility" sqref="AB14:AB213 AX14:AX213 BI14:BI213 AM14:AM213" xr:uid="{BB5D6865-2C4F-4C6E-B573-4A52884F03A4}">
      <formula1>0</formula1>
      <formula2>50000</formula2>
    </dataValidation>
    <dataValidation type="decimal" allowBlank="1" showInputMessage="1" showErrorMessage="1" errorTitle="% material from this vendor" error="% material from this row supplied by this vendor (enter whole number between 5 and 100 to represent %); total from all vendors should be at least 95 " promptTitle="% material from this vendor" prompt="% material from this row supplied by this vendor (enter decimal number between 0.05 and 1.00 to represent %); total from all vendors should be at least 0.95 _x000a_" sqref="R14:R213" xr:uid="{C6A7C351-88D6-4E6E-9FAB-EF8145CB6FCD}">
      <formula1>0.05</formula1>
      <formula2>1</formula2>
    </dataValidation>
    <dataValidation type="whole" allowBlank="1" showInputMessage="1" showErrorMessage="1" errorTitle="% material from this vendor" error="% material from this row supplied by this vendor (enter whole number between 5 and 100 to represent %); total from all vendors should be at least 95 " promptTitle="% material from this vendor" prompt="% material from this row supplied by this vendor (enter decimal number between 0.05 and 1.00 to represent %); total from all vendors should be at least 0.95 _x000a__x000a_" sqref="AC14:AC213" xr:uid="{0BB9C4B3-1B7E-4965-B03B-B208BEAC9FE5}">
      <formula1>5</formula1>
      <formula2>95</formula2>
    </dataValidation>
    <dataValidation type="whole" allowBlank="1" showInputMessage="1" showErrorMessage="1" errorTitle="% material from this vendor" error="% material from this row supplied by this vendor (enter whole number between 5 and 100 to represent %); total from all vendors should be at least 95 " promptTitle="% material from this vendor" prompt="% material from this row supplied by this vendor (enter decimal number between 0.05 and 1.00 to represent %); total from all vendors should be at least 0.95 _x000a_" sqref="AN14:AN213 AY14:AY213" xr:uid="{80CA672A-90D7-407E-9F78-315DB96EE7E0}">
      <formula1>5</formula1>
      <formula2>95</formula2>
    </dataValidation>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incoming transport for this material; total for all modes must = 1.00" sqref="BH14:BH213 BF14:BF213 AW14:AW213 AU14:AU213 Y14:Y213 AA14:AA213 AL14:AL213 AJ14:AJ213" xr:uid="{9135B834-BAF7-4977-9991-1AA289DF290B}">
      <formula1>0.01</formula1>
      <formula2>1</formula2>
    </dataValidation>
    <dataValidation errorStyle="information" allowBlank="1" showInputMessage="1" showErrorMessage="1" errorTitle="Information" error="Please provide a name for each material even if it is numbered for confidentiality_x000a_" promptTitle="Material/component input name" prompt="Name of component or material from procurement records, data or spec sheet, industry name_x000a_" sqref="C14:C213" xr:uid="{7D5E1831-F1C6-4390-AD3E-10D4B47B06AC}"/>
    <dataValidation type="decimal" operator="greaterThan" allowBlank="1" showInputMessage="1" showErrorMessage="1" errorTitle="Input Weight per Piece" error="Enter only numerical decimal of weight per piece" promptTitle="Material/component input amount" prompt="Weight of each component or material from procurement records, data or spec sheet_x000a_" sqref="E14:E213" xr:uid="{F927B64E-55ED-41BD-9729-B38401326A13}">
      <formula1>0</formula1>
    </dataValidation>
    <dataValidation type="whole" operator="greaterThan" allowBlank="1" showInputMessage="1" showErrorMessage="1" errorTitle="Number of Pieces" error="Enter only discrete whole number of pieces input to product" promptTitle="Material/component input number" prompt="Number of individual components per item product" sqref="F14:F213" xr:uid="{9E3E75E3-9A28-4884-A202-1A1E3487915F}">
      <formula1>0</formula1>
    </dataValidation>
    <dataValidation type="list" showInputMessage="1" showErrorMessage="1" errorTitle="EPD Component Group" error="Please select which of the 3 component groups best describes that into which your material input fits." promptTitle="Luminaire Component Group" prompt="LIGHT SOURCE - lamp type_x000a_POWER SUPPLY - power supply system, driver, power management, electrical_x000a_STRUCTURAL - components supporting placement, structure, and protection of luminaire (including lens, mirrors, fasteners, clips, plates, etc.)_x000a_" sqref="I14:I213" xr:uid="{05A8BB13-20C7-419D-BB15-24945EC63732}">
      <formula1>Group</formula1>
    </dataValidation>
    <dataValidation allowBlank="1" errorTitle="Please enter # between 1 and 100" error="Please enter # between 1 and 100 to represent the % incoming transport covered for this material by this transport mode" promptTitle="Percent by this mode" prompt="Percent (%): enter decimal number between 0.01 and 1.00 this mode covers for outgoing transport for this material; total for all modes must = 1.00" sqref="BM14:BP213" xr:uid="{D8DB1C70-C37C-4D90-90E3-B3068B5A1570}"/>
    <dataValidation type="custom" operator="greaterThan" allowBlank="1" showInputMessage="1" showErrorMessage="1" errorTitle="Numerical value" error="Numerical value is calculated_x000a_" promptTitle="Mass material per product item" prompt="Mass in kilograms of this component utilized in each product item" sqref="G14:G213" xr:uid="{5E41F359-EE59-4FCE-8508-9E4C646BDDDC}">
      <formula1>E14*F14</formula1>
    </dataValidation>
    <dataValidation type="list" allowBlank="1" showInputMessage="1" showErrorMessage="1" errorTitle="Component Type" error="Please select a component type; NOTE: packaging and ancillaries are under structural components" promptTitle="Component Type" prompt="Select the component type that best matches your material input to generate a list of component subtypes; NOTE: packaging &amp; ancillary items are grouped under 'STRUCTURAL' components" sqref="J14:J213" xr:uid="{5B0C2668-5DFE-4C7A-8667-C5801992BDB0}">
      <formula1>INDIRECT(SUBSTITUTE(I14," ","_"))</formula1>
    </dataValidation>
    <dataValidation type="list" allowBlank="1" showInputMessage="1" showErrorMessage="1" errorTitle="Component Subype" promptTitle="Component Subtype" prompt="Select the component subtype that best matches your material input to generate a list of component subtypes; NOTE: packaging &amp; ancillary items are grouped under 'STRUCTURAL' components; metals will have entry fields for forming, machining, and finish" sqref="K14:K213" xr:uid="{0686C261-9DFB-4C72-A3C4-A70DFE970532}">
      <formula1>INDIRECT(SUBSTITUTE(J14," ","_"))</formula1>
    </dataValidation>
    <dataValidation type="list" showInputMessage="1" showErrorMessage="1" errorTitle="Component Specific Detail" error="Please select component further detail type to generate options for further details" promptTitle="Component specific detail" prompt="Select further detail on the component subtype to generate list of either a pointer dataset or further options on component specific details_x000a_" sqref="L14:L213" xr:uid="{DA47520D-0C67-46E8-956A-2053A675C255}">
      <formula1>INDIRECT(SUBSTITUTE(K14," ","_"))</formula1>
    </dataValidation>
    <dataValidation type="list" allowBlank="1" showInputMessage="1" showErrorMessage="1" errorTitle="Pointer to dataset" error="Please enter further detail based on the former selection to generate a list of further detail options" promptTitle="Enter additional detail" prompt="Enter additional detail to point to a background dataset that is representative of this input or generate a list of further options_x000a_" sqref="P14:P213 M14:N213" xr:uid="{0C02D7F3-A508-4B20-9FC1-38917548CF6C}">
      <formula1>INDIRECT(SUBSTITUTE(L14," ","_"))</formula1>
    </dataValidation>
    <dataValidation type="list" allowBlank="1" showInputMessage="1" showErrorMessage="1" errorTitle="Pointer to dataset" error="Please enter further detail based on the former selection to generate a list of further detail options" promptTitle="Enter additional detail" prompt="Enter additional detail to point to a background dataset that is representative of this input or generate a list of further options_x000a_" sqref="O14:O213" xr:uid="{14B0D96D-7EDD-4405-8B40-448163E5194F}">
      <formula1>INDIRECT(SUBSTITUTE(L14," ","_"))</formula1>
    </dataValidation>
    <dataValidation allowBlank="1" showInputMessage="1" showErrorMessage="1" promptTitle="City" prompt="Enter city of material origin if known" sqref="U14:U213 AF14:AF213 AQ14:AQ213 BB14:BB213" xr:uid="{B19F340E-30A8-4411-B2F5-BC25992527B2}"/>
    <dataValidation allowBlank="1" showInputMessage="1" showErrorMessage="1" promptTitle="State" prompt="Enter state/province of material origin if known" sqref="V14:V213 AG14:AG213 AR14:AR213 BC14:BC213" xr:uid="{3EAAC7B4-5F04-4A67-82E6-FC9D77D1CCC3}"/>
    <dataValidation allowBlank="1" showInputMessage="1" showErrorMessage="1" promptTitle="Country" prompt="Enter country of material origin if known (text field available if not listed in pull down)" sqref="W14:W213 AH14:AH213 AS14:AS213 BD14:BD213" xr:uid="{2FC0DCEE-F33D-4281-BF91-FE06251672F0}"/>
    <dataValidation allowBlank="1" showInputMessage="1" showErrorMessage="1" promptTitle="Additional information" prompt="(e.g., additional relevant information on material composition, incoming transport configuration, recycled content, data source, pull-down selected as proxy)" sqref="BJ14:BK213" xr:uid="{761A6A3A-1563-476D-8C19-81DE5F35F9F8}"/>
    <dataValidation type="list" allowBlank="1" showInputMessage="1" showErrorMessage="1" errorTitle="Please enter transport mode" error="Please choose the best match from the transport modes available" promptTitle="Transport Mode" prompt="Select transport mode and enter % by this mode in next cell_x000a_" sqref="AT14:AT213 BE14:BE213 AV14:AV213 AI24:AI213 X14:X213 BG14:BG213 Z14:Z213 AI15 AK15 AK17:AK20 AI17:AI20 AI22 AK22 AK24:AK213" xr:uid="{DA17DCB6-AF00-4E7C-931C-6485FBF40E89}">
      <formula1>#REF!</formula1>
    </dataValidation>
  </dataValidations>
  <pageMargins left="0.7" right="0.7" top="0.75" bottom="0.75" header="0.3" footer="0.3"/>
  <pageSetup orientation="portrait" r:id="rId1"/>
  <ignoredErrors>
    <ignoredError sqref="T14:T38" evalError="1"/>
  </ignoredErrors>
  <extLst>
    <ext xmlns:x14="http://schemas.microsoft.com/office/spreadsheetml/2009/9/main" uri="{CCE6A557-97BC-4b89-ADB6-D9C93CAAB3DF}">
      <x14:dataValidations xmlns:xm="http://schemas.microsoft.com/office/excel/2006/main" xWindow="738" yWindow="429" count="3">
        <x14:dataValidation type="list" allowBlank="1" showInputMessage="1" showErrorMessage="1" promptTitle="Add finish/coating/paint" prompt="Add any of this components' known finish/coating/paint here if not already a separate line item" xr:uid="{1422A3D6-251D-496F-98CB-D158F3943386}">
          <x14:formula1>
            <xm:f>master_list_menus!$M$34:$M$41</xm:f>
          </x14:formula1>
          <xm:sqref>Q14:Q213</xm:sqref>
        </x14:dataValidation>
        <x14:dataValidation type="list" errorStyle="information" allowBlank="1" showInputMessage="1" showErrorMessage="1" errorTitle="End Use" error="Please make a selection for each line item. This selection affects other quantitative formulas in the subsequent modules" promptTitle="Material/component End Use" prompt="End use of this material (line item). If more than one end application, please list the line item again with input values specific to that end-use, e.g., one with amount for SKU incorporated into product and another with amount needed for part replacement" xr:uid="{23D654F6-832E-4C8D-A5DD-EB3677E6ED5C}">
          <x14:formula1>
            <xm:f>master_list_menus!$G$4:$G$13</xm:f>
          </x14:formula1>
          <xm:sqref>D14:D213</xm:sqref>
        </x14:dataValidation>
        <x14:dataValidation type="list" showInputMessage="1" showErrorMessage="1" errorTitle="Material Geo" error="Please make a selection if known; this geospatial aspect helps determine the upstream footprint." promptTitle="Material Geo" prompt="Where is this material produced? Used to determine energy inputs into upstream production." xr:uid="{D513EE53-4DC0-4B9B-9C90-53EDE95B60EA}">
          <x14:formula1>
            <xm:f>ei_geo!$L$5:$L$471</xm:f>
          </x14:formula1>
          <xm:sqref>S14:S213 AD14:AD213 AO14:AO213 AZ14:AZ213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6B70D-5191-4DDA-8AE5-5A55973393CA}">
  <sheetPr>
    <tabColor theme="5" tint="0.79998168889431442"/>
  </sheetPr>
  <dimension ref="A1:L75"/>
  <sheetViews>
    <sheetView showGridLines="0" zoomScaleNormal="100" workbookViewId="0">
      <selection sqref="A1:F1"/>
    </sheetView>
  </sheetViews>
  <sheetFormatPr defaultRowHeight="14.4"/>
  <cols>
    <col min="1" max="2" width="3.44140625" customWidth="1"/>
    <col min="3" max="3" width="24" customWidth="1"/>
    <col min="4" max="4" width="17.5546875" customWidth="1"/>
    <col min="5" max="5" width="15" customWidth="1"/>
    <col min="6" max="6" width="12.44140625" customWidth="1"/>
    <col min="7" max="7" width="20.44140625" customWidth="1"/>
  </cols>
  <sheetData>
    <row r="1" spans="1:11" s="351" customFormat="1" ht="35.85" customHeight="1" thickTop="1" thickBot="1">
      <c r="A1" s="351" t="s">
        <v>8788</v>
      </c>
    </row>
    <row r="2" spans="1:11" s="210" customFormat="1" ht="24" thickTop="1">
      <c r="A2" s="867" t="s">
        <v>10918</v>
      </c>
      <c r="B2" s="867"/>
      <c r="C2" s="867"/>
      <c r="D2" s="867"/>
      <c r="E2" s="867"/>
      <c r="F2" s="867"/>
      <c r="G2" s="867"/>
      <c r="H2" s="867"/>
      <c r="I2" s="867"/>
    </row>
    <row r="3" spans="1:11" ht="49.5" customHeight="1" thickBot="1">
      <c r="A3" s="867"/>
      <c r="B3" s="867"/>
      <c r="C3" s="867"/>
      <c r="D3" s="867"/>
      <c r="E3" s="867"/>
      <c r="F3" s="867"/>
      <c r="G3" s="867"/>
      <c r="H3" s="867"/>
      <c r="I3" s="867"/>
      <c r="J3" s="312"/>
      <c r="K3" s="312"/>
    </row>
    <row r="4" spans="1:11" s="352" customFormat="1" ht="26.55" customHeight="1" thickBot="1">
      <c r="A4" s="353" t="s">
        <v>8789</v>
      </c>
      <c r="B4" s="579"/>
      <c r="C4" s="579"/>
      <c r="D4" s="579"/>
      <c r="E4" s="579"/>
      <c r="F4" s="579"/>
      <c r="G4" s="353"/>
      <c r="H4" s="353"/>
      <c r="I4" s="353"/>
      <c r="J4" s="353"/>
      <c r="K4" s="353"/>
    </row>
    <row r="5" spans="1:11" ht="8.5500000000000007" customHeight="1">
      <c r="A5" s="312"/>
      <c r="B5" s="312"/>
      <c r="C5" s="312"/>
      <c r="D5" s="312"/>
      <c r="E5" s="312"/>
      <c r="F5" s="312"/>
      <c r="G5" s="312"/>
      <c r="H5" s="312"/>
      <c r="I5" s="312"/>
      <c r="J5" s="312"/>
      <c r="K5" s="312"/>
    </row>
    <row r="6" spans="1:11" ht="15" customHeight="1" thickBot="1">
      <c r="A6" s="291" t="s">
        <v>8790</v>
      </c>
      <c r="B6" s="291"/>
      <c r="C6" s="291"/>
      <c r="D6" s="570">
        <f>SUM(D7:D8)</f>
        <v>0</v>
      </c>
      <c r="E6" s="291" t="s">
        <v>8791</v>
      </c>
      <c r="F6" s="312"/>
      <c r="G6" s="312"/>
      <c r="H6" s="312"/>
      <c r="I6" s="312"/>
      <c r="J6" s="312"/>
      <c r="K6" s="312"/>
    </row>
    <row r="7" spans="1:11" ht="15" customHeight="1" thickTop="1">
      <c r="A7" s="283" t="s">
        <v>8792</v>
      </c>
      <c r="B7" s="283"/>
      <c r="C7" s="283"/>
      <c r="D7" s="481">
        <f>SUM(D10,D15,D23,D31,D38)</f>
        <v>0</v>
      </c>
      <c r="E7" s="283" t="s">
        <v>107</v>
      </c>
      <c r="F7" s="312"/>
      <c r="G7" s="312"/>
      <c r="H7" s="312"/>
      <c r="I7" s="312"/>
      <c r="J7" s="312"/>
      <c r="K7" s="312"/>
    </row>
    <row r="8" spans="1:11" ht="15" customHeight="1">
      <c r="A8" s="283" t="s">
        <v>8793</v>
      </c>
      <c r="B8" s="283"/>
      <c r="C8" s="283"/>
      <c r="D8" s="481">
        <f>SUM(D51,D42)</f>
        <v>0</v>
      </c>
      <c r="E8" s="283" t="s">
        <v>107</v>
      </c>
      <c r="F8" s="312"/>
      <c r="G8" s="312"/>
      <c r="H8" s="312"/>
      <c r="I8" s="312"/>
      <c r="J8" s="312"/>
      <c r="K8" s="312"/>
    </row>
    <row r="9" spans="1:11" ht="22.05" customHeight="1">
      <c r="A9" s="312"/>
      <c r="B9" s="312"/>
      <c r="C9" s="312"/>
      <c r="D9" s="312"/>
      <c r="E9" s="312"/>
      <c r="F9" s="312"/>
      <c r="G9" s="312"/>
      <c r="H9" s="312"/>
      <c r="I9" s="312"/>
      <c r="J9" s="312"/>
      <c r="K9" s="312"/>
    </row>
    <row r="10" spans="1:11" s="282" customFormat="1" ht="18">
      <c r="A10" s="289" t="s">
        <v>8794</v>
      </c>
      <c r="B10" s="290"/>
      <c r="C10" s="290"/>
      <c r="D10" s="569">
        <f>SUM(D11:D13)</f>
        <v>0</v>
      </c>
      <c r="E10" s="289" t="s">
        <v>107</v>
      </c>
      <c r="F10" s="581"/>
      <c r="G10" s="581"/>
      <c r="H10" s="581"/>
      <c r="I10" s="581"/>
      <c r="J10" s="581"/>
      <c r="K10" s="581"/>
    </row>
    <row r="11" spans="1:11">
      <c r="A11" s="283" t="s">
        <v>8795</v>
      </c>
      <c r="B11" s="283"/>
      <c r="C11" s="283"/>
      <c r="D11" s="481">
        <f>SQL!R8</f>
        <v>0</v>
      </c>
      <c r="E11" s="283" t="s">
        <v>107</v>
      </c>
      <c r="F11" s="312"/>
      <c r="G11" s="312"/>
      <c r="H11" s="312"/>
      <c r="I11" s="312"/>
      <c r="J11" s="312"/>
      <c r="K11" s="312"/>
    </row>
    <row r="12" spans="1:11">
      <c r="A12" s="283" t="s">
        <v>8796</v>
      </c>
      <c r="B12" s="283"/>
      <c r="C12" s="283"/>
      <c r="D12" s="481">
        <f>SQL!R9</f>
        <v>0</v>
      </c>
      <c r="E12" s="283" t="s">
        <v>107</v>
      </c>
      <c r="F12" s="312"/>
      <c r="G12" s="312"/>
      <c r="H12" s="312"/>
      <c r="I12" s="312"/>
      <c r="J12" s="312"/>
      <c r="K12" s="312"/>
    </row>
    <row r="13" spans="1:11">
      <c r="A13" s="283" t="s">
        <v>10919</v>
      </c>
      <c r="B13" s="283"/>
      <c r="C13" s="283"/>
      <c r="D13" s="481">
        <f>SUM(SQL!R10:R14)</f>
        <v>0</v>
      </c>
      <c r="E13" s="283" t="s">
        <v>107</v>
      </c>
      <c r="F13" s="312"/>
      <c r="G13" s="312"/>
      <c r="H13" s="312"/>
      <c r="I13" s="312"/>
      <c r="J13" s="312"/>
      <c r="K13" s="312"/>
    </row>
    <row r="15" spans="1:11" s="176" customFormat="1" ht="18">
      <c r="A15" s="289" t="s">
        <v>8798</v>
      </c>
      <c r="B15" s="290"/>
      <c r="C15" s="290"/>
      <c r="D15" s="569">
        <f>SUM(D16:D19)</f>
        <v>0</v>
      </c>
      <c r="E15" s="289" t="s">
        <v>107</v>
      </c>
    </row>
    <row r="16" spans="1:11">
      <c r="A16" s="283" t="s">
        <v>8799</v>
      </c>
      <c r="B16" s="283"/>
      <c r="C16" s="283"/>
      <c r="D16" s="481">
        <f>SUM(SQL!R15)</f>
        <v>0</v>
      </c>
      <c r="E16" s="283" t="s">
        <v>107</v>
      </c>
      <c r="F16" s="312"/>
      <c r="G16" s="312"/>
      <c r="H16" s="312"/>
      <c r="I16" s="312"/>
      <c r="J16" s="312"/>
      <c r="K16" s="312"/>
    </row>
    <row r="17" spans="1:5">
      <c r="A17" s="283" t="s">
        <v>8800</v>
      </c>
      <c r="B17" s="283"/>
      <c r="C17" s="283"/>
      <c r="D17" s="481">
        <f>SUM(SQL!R16)</f>
        <v>0</v>
      </c>
      <c r="E17" s="283" t="s">
        <v>107</v>
      </c>
    </row>
    <row r="18" spans="1:5">
      <c r="A18" s="283" t="s">
        <v>8801</v>
      </c>
      <c r="B18" s="283"/>
      <c r="C18" s="283"/>
      <c r="D18" s="481">
        <f>SUM(SQL!R18)</f>
        <v>0</v>
      </c>
      <c r="E18" s="283" t="s">
        <v>107</v>
      </c>
    </row>
    <row r="19" spans="1:5">
      <c r="A19" s="283" t="s">
        <v>8802</v>
      </c>
      <c r="B19" s="283"/>
      <c r="C19" s="283"/>
      <c r="D19" s="481">
        <f>SUM(SQL!R20)</f>
        <v>0</v>
      </c>
      <c r="E19" s="283" t="s">
        <v>107</v>
      </c>
    </row>
    <row r="21" spans="1:5" s="282" customFormat="1" ht="18">
      <c r="A21" s="289" t="s">
        <v>8577</v>
      </c>
      <c r="B21" s="582"/>
      <c r="C21" s="582"/>
      <c r="D21" s="569">
        <f>SUM(D51,D42,D38,D31,D23)</f>
        <v>0</v>
      </c>
      <c r="E21" s="289" t="s">
        <v>107</v>
      </c>
    </row>
    <row r="22" spans="1:5" ht="3" customHeight="1">
      <c r="A22" s="286"/>
      <c r="B22" s="285"/>
      <c r="C22" s="285"/>
      <c r="D22" s="286"/>
      <c r="E22" s="286"/>
    </row>
    <row r="23" spans="1:5">
      <c r="A23" s="288" t="s">
        <v>8803</v>
      </c>
      <c r="B23" s="287"/>
      <c r="C23" s="287"/>
      <c r="D23" s="482">
        <f>SUM(D24:D29)</f>
        <v>0</v>
      </c>
      <c r="E23" s="288" t="s">
        <v>107</v>
      </c>
    </row>
    <row r="24" spans="1:5">
      <c r="A24" s="283"/>
      <c r="B24" s="283" t="s">
        <v>8579</v>
      </c>
      <c r="C24" s="283"/>
      <c r="D24" s="481">
        <f>SUM(SQL!R190:R192)</f>
        <v>0</v>
      </c>
      <c r="E24" s="283" t="s">
        <v>107</v>
      </c>
    </row>
    <row r="25" spans="1:5">
      <c r="A25" s="283"/>
      <c r="B25" s="283" t="s">
        <v>8591</v>
      </c>
      <c r="C25" s="283"/>
      <c r="D25" s="481">
        <f>SUM(SQL!R81:R82)</f>
        <v>0</v>
      </c>
      <c r="E25" s="283" t="s">
        <v>107</v>
      </c>
    </row>
    <row r="26" spans="1:5">
      <c r="A26" s="283"/>
      <c r="B26" s="283" t="s">
        <v>8804</v>
      </c>
      <c r="C26" s="283"/>
      <c r="D26" s="481">
        <f>SUM(SQL!R170)</f>
        <v>0</v>
      </c>
      <c r="E26" s="283" t="s">
        <v>107</v>
      </c>
    </row>
    <row r="27" spans="1:5">
      <c r="A27" s="283"/>
      <c r="B27" s="283" t="s">
        <v>776</v>
      </c>
      <c r="C27" s="283"/>
      <c r="D27" s="481">
        <f>SUM(SQL!R84)</f>
        <v>0</v>
      </c>
      <c r="E27" s="283" t="s">
        <v>107</v>
      </c>
    </row>
    <row r="28" spans="1:5">
      <c r="A28" s="283"/>
      <c r="B28" s="283" t="s">
        <v>807</v>
      </c>
      <c r="C28" s="283"/>
      <c r="D28" s="481">
        <f>SUM(SQL!R93)</f>
        <v>0</v>
      </c>
      <c r="E28" s="283" t="s">
        <v>107</v>
      </c>
    </row>
    <row r="29" spans="1:5">
      <c r="A29" s="283"/>
      <c r="B29" s="283" t="s">
        <v>8588</v>
      </c>
      <c r="C29" s="283"/>
      <c r="D29" s="481">
        <f>((SUMIF(BOM!$L$14:$L$213,"*powder*", BOM!$G$14:$G$213)))</f>
        <v>0</v>
      </c>
      <c r="E29" s="283" t="s">
        <v>107</v>
      </c>
    </row>
    <row r="30" spans="1:5" ht="4.05" customHeight="1">
      <c r="A30" s="312"/>
      <c r="B30" s="312"/>
      <c r="C30" s="312"/>
      <c r="D30" s="312"/>
      <c r="E30" s="312"/>
    </row>
    <row r="31" spans="1:5">
      <c r="A31" s="288" t="s">
        <v>8805</v>
      </c>
      <c r="B31" s="287"/>
      <c r="C31" s="287"/>
      <c r="D31" s="482">
        <f>SUM(D32:D36)</f>
        <v>0</v>
      </c>
      <c r="E31" s="288" t="s">
        <v>107</v>
      </c>
    </row>
    <row r="32" spans="1:5">
      <c r="A32" s="283"/>
      <c r="B32" s="283" t="s">
        <v>8602</v>
      </c>
      <c r="C32" s="283"/>
      <c r="D32" s="481">
        <f>SUM(SQL!R203)</f>
        <v>0</v>
      </c>
      <c r="E32" s="283" t="s">
        <v>107</v>
      </c>
    </row>
    <row r="33" spans="1:5">
      <c r="A33" s="283"/>
      <c r="B33" s="283" t="s">
        <v>4145</v>
      </c>
      <c r="C33" s="283"/>
      <c r="D33" s="481">
        <f>SUM(SQL!R210)</f>
        <v>0</v>
      </c>
      <c r="E33" s="283" t="s">
        <v>107</v>
      </c>
    </row>
    <row r="34" spans="1:5">
      <c r="A34" s="283"/>
      <c r="B34" s="283" t="s">
        <v>8806</v>
      </c>
      <c r="C34" s="283"/>
      <c r="D34" s="481">
        <f>SUM(SQL!R212)</f>
        <v>0</v>
      </c>
      <c r="E34" s="283" t="s">
        <v>107</v>
      </c>
    </row>
    <row r="35" spans="1:5">
      <c r="A35" s="283"/>
      <c r="B35" s="283" t="s">
        <v>8807</v>
      </c>
      <c r="C35" s="283"/>
      <c r="D35" s="481">
        <f>SUM(SQL!R211)</f>
        <v>0</v>
      </c>
      <c r="E35" s="283" t="s">
        <v>107</v>
      </c>
    </row>
    <row r="36" spans="1:5">
      <c r="A36" s="283"/>
      <c r="B36" s="283" t="s">
        <v>8808</v>
      </c>
      <c r="C36" s="283"/>
      <c r="D36" s="481">
        <f>SUM(SQL!R209)</f>
        <v>0</v>
      </c>
      <c r="E36" s="283" t="s">
        <v>107</v>
      </c>
    </row>
    <row r="37" spans="1:5" ht="5.55" customHeight="1">
      <c r="A37" s="312"/>
      <c r="B37" s="312"/>
      <c r="C37" s="312"/>
      <c r="D37" s="312"/>
      <c r="E37" s="312"/>
    </row>
    <row r="38" spans="1:5">
      <c r="A38" s="288" t="s">
        <v>8809</v>
      </c>
      <c r="B38" s="288"/>
      <c r="C38" s="288"/>
      <c r="D38" s="482">
        <f>SUM(D39:D40)</f>
        <v>0</v>
      </c>
      <c r="E38" s="288" t="s">
        <v>107</v>
      </c>
    </row>
    <row r="39" spans="1:5">
      <c r="A39" s="283"/>
      <c r="B39" s="283" t="s">
        <v>8810</v>
      </c>
      <c r="C39" s="283"/>
      <c r="D39" s="481">
        <f>SUM(SQL!R67)</f>
        <v>0</v>
      </c>
      <c r="E39" s="283" t="s">
        <v>107</v>
      </c>
    </row>
    <row r="40" spans="1:5">
      <c r="A40" s="283"/>
      <c r="B40" s="283" t="s">
        <v>8811</v>
      </c>
      <c r="C40" s="283"/>
      <c r="D40" s="481">
        <f>SUM(SQL!R66)</f>
        <v>0</v>
      </c>
      <c r="E40" s="283" t="s">
        <v>107</v>
      </c>
    </row>
    <row r="41" spans="1:5" ht="4.5" customHeight="1">
      <c r="A41" s="312"/>
      <c r="B41" s="312"/>
      <c r="C41" s="312"/>
      <c r="D41" s="312"/>
      <c r="E41" s="312"/>
    </row>
    <row r="42" spans="1:5">
      <c r="A42" s="288" t="s">
        <v>8812</v>
      </c>
      <c r="B42" s="288"/>
      <c r="C42" s="288"/>
      <c r="D42" s="482">
        <f>SUM(D43:D49)</f>
        <v>0</v>
      </c>
      <c r="E42" s="288" t="s">
        <v>107</v>
      </c>
    </row>
    <row r="43" spans="1:5">
      <c r="A43" s="283"/>
      <c r="B43" s="283" t="s">
        <v>8813</v>
      </c>
      <c r="C43" s="283"/>
      <c r="D43" s="481">
        <f>SUM(SQL!R59)</f>
        <v>0</v>
      </c>
      <c r="E43" s="283" t="s">
        <v>107</v>
      </c>
    </row>
    <row r="44" spans="1:5">
      <c r="A44" s="283"/>
      <c r="B44" s="283" t="s">
        <v>8814</v>
      </c>
      <c r="C44" s="283"/>
      <c r="D44" s="481">
        <f>SUM(SQL!R60)</f>
        <v>0</v>
      </c>
      <c r="E44" s="283" t="s">
        <v>107</v>
      </c>
    </row>
    <row r="45" spans="1:5">
      <c r="A45" s="283"/>
      <c r="B45" s="283" t="s">
        <v>8815</v>
      </c>
      <c r="C45" s="283"/>
      <c r="D45" s="481">
        <f>SUM(SQL!R61)</f>
        <v>0</v>
      </c>
      <c r="E45" s="283" t="s">
        <v>107</v>
      </c>
    </row>
    <row r="46" spans="1:5">
      <c r="A46" s="283"/>
      <c r="B46" s="283" t="s">
        <v>8816</v>
      </c>
      <c r="C46" s="283"/>
      <c r="D46" s="481">
        <f>SUM(SQL!R62)</f>
        <v>0</v>
      </c>
      <c r="E46" s="283" t="s">
        <v>107</v>
      </c>
    </row>
    <row r="47" spans="1:5">
      <c r="A47" s="283"/>
      <c r="B47" s="283" t="s">
        <v>8817</v>
      </c>
      <c r="C47" s="283"/>
      <c r="D47" s="481">
        <f>SUM(SQL!R63)</f>
        <v>0</v>
      </c>
      <c r="E47" s="283" t="s">
        <v>107</v>
      </c>
    </row>
    <row r="48" spans="1:5">
      <c r="A48" s="283"/>
      <c r="B48" s="283" t="s">
        <v>3048</v>
      </c>
      <c r="C48" s="283"/>
      <c r="D48" s="481">
        <f>SUM(SQL!R64)</f>
        <v>0</v>
      </c>
      <c r="E48" s="283" t="s">
        <v>107</v>
      </c>
    </row>
    <row r="49" spans="1:12">
      <c r="A49" s="283"/>
      <c r="B49" s="283" t="s">
        <v>8818</v>
      </c>
      <c r="C49" s="283"/>
      <c r="D49" s="481">
        <f>SUM(SQL!R65)</f>
        <v>0</v>
      </c>
      <c r="E49" s="283" t="s">
        <v>107</v>
      </c>
      <c r="F49" s="312"/>
      <c r="G49" s="312"/>
      <c r="H49" s="312"/>
      <c r="I49" s="312"/>
      <c r="J49" s="312"/>
      <c r="K49" s="312"/>
      <c r="L49" s="312"/>
    </row>
    <row r="50" spans="1:12" ht="4.05" customHeight="1">
      <c r="A50" s="312"/>
      <c r="B50" s="312"/>
      <c r="C50" s="312"/>
      <c r="D50" s="312"/>
      <c r="E50" s="312"/>
      <c r="F50" s="312"/>
      <c r="G50" s="312"/>
      <c r="H50" s="312"/>
      <c r="I50" s="312"/>
      <c r="J50" s="312"/>
      <c r="K50" s="312"/>
      <c r="L50" s="312"/>
    </row>
    <row r="51" spans="1:12">
      <c r="A51" s="288" t="s">
        <v>8819</v>
      </c>
      <c r="B51" s="288"/>
      <c r="C51" s="288"/>
      <c r="D51" s="482">
        <f>SUM(D52:D55)</f>
        <v>0</v>
      </c>
      <c r="E51" s="288" t="s">
        <v>107</v>
      </c>
      <c r="F51" s="312"/>
      <c r="G51" s="312"/>
      <c r="H51" s="312"/>
      <c r="I51" s="312"/>
      <c r="J51" s="312"/>
      <c r="K51" s="312"/>
      <c r="L51" s="312"/>
    </row>
    <row r="52" spans="1:12">
      <c r="A52" s="283"/>
      <c r="B52" s="283" t="s">
        <v>8820</v>
      </c>
      <c r="C52" s="283"/>
      <c r="D52" s="481">
        <f>SUM(SQL!R197)</f>
        <v>0</v>
      </c>
      <c r="E52" s="284" t="s">
        <v>107</v>
      </c>
      <c r="F52" s="312"/>
      <c r="G52" s="312"/>
      <c r="H52" s="312"/>
      <c r="I52" s="312"/>
      <c r="J52" s="312"/>
      <c r="K52" s="312"/>
      <c r="L52" s="312"/>
    </row>
    <row r="53" spans="1:12">
      <c r="A53" s="283"/>
      <c r="B53" s="283" t="s">
        <v>8821</v>
      </c>
      <c r="C53" s="283"/>
      <c r="D53" s="481">
        <f>SUM(SQL!R199)</f>
        <v>0</v>
      </c>
      <c r="E53" s="284" t="s">
        <v>107</v>
      </c>
      <c r="F53" s="312"/>
      <c r="G53" s="312"/>
      <c r="H53" s="312"/>
      <c r="I53" s="312"/>
      <c r="J53" s="312"/>
      <c r="K53" s="312"/>
      <c r="L53" s="312"/>
    </row>
    <row r="54" spans="1:12">
      <c r="A54" s="283"/>
      <c r="B54" s="283" t="s">
        <v>8822</v>
      </c>
      <c r="C54" s="283"/>
      <c r="D54" s="481">
        <f>SUM(SQL!R200)</f>
        <v>0</v>
      </c>
      <c r="E54" s="284" t="s">
        <v>107</v>
      </c>
      <c r="F54" s="312"/>
      <c r="G54" s="312"/>
      <c r="H54" s="312"/>
      <c r="I54" s="312"/>
      <c r="J54" s="312"/>
      <c r="K54" s="312"/>
      <c r="L54" s="312"/>
    </row>
    <row r="55" spans="1:12">
      <c r="A55" s="283"/>
      <c r="B55" s="283" t="s">
        <v>8823</v>
      </c>
      <c r="C55" s="283"/>
      <c r="D55" s="481">
        <f>SUM(SQL!R201:R202)</f>
        <v>0</v>
      </c>
      <c r="E55" s="284" t="s">
        <v>107</v>
      </c>
      <c r="F55" s="312"/>
      <c r="G55" s="312"/>
      <c r="H55" s="312"/>
      <c r="I55" s="312"/>
      <c r="J55" s="312"/>
      <c r="K55" s="312"/>
      <c r="L55" s="312"/>
    </row>
    <row r="56" spans="1:12">
      <c r="A56" s="312"/>
      <c r="B56" s="312"/>
      <c r="C56" s="312"/>
      <c r="D56" s="312"/>
      <c r="E56" s="318"/>
      <c r="F56" s="312"/>
      <c r="G56" s="312"/>
      <c r="H56" s="312"/>
      <c r="I56" s="312"/>
      <c r="J56" s="312"/>
      <c r="K56" s="312"/>
      <c r="L56" s="312"/>
    </row>
    <row r="57" spans="1:12">
      <c r="A57" s="312"/>
      <c r="B57" s="312"/>
      <c r="C57" s="312"/>
      <c r="D57" s="312"/>
      <c r="E57" s="318"/>
      <c r="F57" s="312"/>
      <c r="G57" s="312"/>
      <c r="H57" s="312"/>
      <c r="I57" s="312"/>
      <c r="J57" s="312"/>
      <c r="K57" s="312"/>
      <c r="L57" s="312"/>
    </row>
    <row r="58" spans="1:12" ht="15" thickBot="1">
      <c r="A58" s="312"/>
      <c r="B58" s="312"/>
      <c r="C58" s="312"/>
      <c r="D58" s="312"/>
      <c r="E58" s="318"/>
      <c r="F58" s="312"/>
      <c r="G58" s="312"/>
      <c r="H58" s="312"/>
      <c r="I58" s="312"/>
      <c r="J58" s="312"/>
      <c r="K58" s="312"/>
      <c r="L58" s="312"/>
    </row>
    <row r="59" spans="1:12" s="352" customFormat="1" ht="26.55" customHeight="1" thickBot="1">
      <c r="A59" s="353" t="s">
        <v>8824</v>
      </c>
      <c r="B59" s="579"/>
      <c r="C59" s="579"/>
      <c r="D59" s="579"/>
      <c r="E59" s="579"/>
      <c r="F59" s="579"/>
      <c r="G59" s="353"/>
      <c r="H59" s="353"/>
      <c r="I59" s="353"/>
      <c r="J59" s="353"/>
      <c r="K59" s="353"/>
      <c r="L59" s="580"/>
    </row>
    <row r="60" spans="1:12" ht="15" thickBot="1">
      <c r="A60" s="312"/>
      <c r="B60" s="312"/>
      <c r="C60" s="312"/>
      <c r="D60" s="312"/>
      <c r="E60" s="318"/>
      <c r="F60" s="312"/>
      <c r="G60" s="312"/>
      <c r="H60" s="312"/>
      <c r="I60" s="312"/>
      <c r="J60" s="312"/>
      <c r="K60" s="312"/>
      <c r="L60" s="312"/>
    </row>
    <row r="61" spans="1:12" ht="33.6" customHeight="1" thickBot="1">
      <c r="A61" s="868" t="s">
        <v>8825</v>
      </c>
      <c r="B61" s="868"/>
      <c r="C61" s="868"/>
      <c r="D61" s="868"/>
      <c r="E61" s="868"/>
      <c r="F61" s="297" t="s">
        <v>8826</v>
      </c>
      <c r="G61" s="298" t="s">
        <v>10921</v>
      </c>
      <c r="H61" s="312"/>
      <c r="I61" s="296" t="s">
        <v>8572</v>
      </c>
      <c r="J61" s="296" t="s">
        <v>8573</v>
      </c>
      <c r="K61" s="296" t="s">
        <v>8574</v>
      </c>
      <c r="L61" s="296" t="s">
        <v>8575</v>
      </c>
    </row>
    <row r="62" spans="1:12" s="97" customFormat="1" ht="13.5" customHeight="1">
      <c r="A62" s="869" t="s">
        <v>8827</v>
      </c>
      <c r="B62" s="869"/>
      <c r="C62" s="869"/>
      <c r="D62" s="869"/>
      <c r="E62" s="869"/>
      <c r="F62" s="332" t="e">
        <f>(SUM(I62:L62))/(SUM(I$71:L$71))</f>
        <v>#DIV/0!</v>
      </c>
      <c r="G62" s="483">
        <f>SUM(I62:L62)</f>
        <v>0</v>
      </c>
      <c r="H62" s="484"/>
      <c r="I62" s="475">
        <f>SUMIF(BOM!$X$14:$X$213,"*van*",BOM!$BM$14:$BM$213)</f>
        <v>0</v>
      </c>
      <c r="J62" s="475">
        <f>SUMIF(BOM!$AI$14:$AI$213,"*van*",BOM!$BN$14:$BN$213)</f>
        <v>0</v>
      </c>
      <c r="K62" s="475">
        <f>SUMIF(BOM!$AT$14:$AT$213,"*van*",BOM!$BO$14:$BNC$213)</f>
        <v>0</v>
      </c>
      <c r="L62" s="475">
        <f>SUMIF(BOM!$BE$14:$BE$213,"*van*",BOM!$BP$14:$BP$213)</f>
        <v>0</v>
      </c>
    </row>
    <row r="63" spans="1:12" s="97" customFormat="1" ht="13.5" customHeight="1">
      <c r="A63" s="869" t="s">
        <v>8828</v>
      </c>
      <c r="B63" s="869"/>
      <c r="C63" s="869"/>
      <c r="D63" s="869"/>
      <c r="E63" s="869"/>
      <c r="F63" s="424" t="e">
        <f>(SUM(I63:L63))/(SUM(I$71:L$71))</f>
        <v>#DIV/0!</v>
      </c>
      <c r="G63" s="474">
        <f>SUM(I63:L63)</f>
        <v>0</v>
      </c>
      <c r="H63" s="484"/>
      <c r="I63" s="475">
        <f>SUMIF(BOM!$X$14:$X$213,"*light*",BOM!$BM$14:$BM$213)</f>
        <v>0</v>
      </c>
      <c r="J63" s="475">
        <f>SUMIF(BOM!$AI$14:$AI$213,"*light*",BOM!$BN$14:$BN$213)</f>
        <v>0</v>
      </c>
      <c r="K63" s="475">
        <f>SUMIF(BOM!$AT$14:$AT$213,"*light*",BOM!$BO$14:$BNC$213)</f>
        <v>0</v>
      </c>
      <c r="L63" s="475">
        <f>SUMIF(BOM!$BE$14:$BE$213,"*light*",BOM!$BP$14:$BP$213)</f>
        <v>0</v>
      </c>
    </row>
    <row r="64" spans="1:12">
      <c r="A64" s="869" t="s">
        <v>8829</v>
      </c>
      <c r="B64" s="869"/>
      <c r="C64" s="869"/>
      <c r="D64" s="869"/>
      <c r="E64" s="869"/>
      <c r="F64" s="424" t="e">
        <f t="shared" ref="F64:F70" si="0">(SUM(I64:L64))/(SUM(I$71:L$71))</f>
        <v>#DIV/0!</v>
      </c>
      <c r="G64" s="474">
        <f t="shared" ref="G64:G70" si="1">SUM(I64:L64)</f>
        <v>0</v>
      </c>
      <c r="H64" s="10"/>
      <c r="I64" s="475">
        <f>SUMIF(BOM!$X$14:$X$213,"*medium*",BOM!$BM$14:$BM$213)</f>
        <v>0</v>
      </c>
      <c r="J64" s="475">
        <f>SUMIF(BOM!$AI$14:$AI$213,"*medium*",BOM!$BN$14:$BN$213)</f>
        <v>0</v>
      </c>
      <c r="K64" s="475">
        <f>SUMIF(BOM!$AT$14:$AT$213,"*medium*",BOM!$BO$14:$BNC$213)</f>
        <v>0</v>
      </c>
      <c r="L64" s="475">
        <f>SUMIF(BOM!$BE$14:$BE$213,"*medium*",BOM!$BP$14:$BP$213)</f>
        <v>0</v>
      </c>
    </row>
    <row r="65" spans="1:12">
      <c r="A65" s="869" t="s">
        <v>8830</v>
      </c>
      <c r="B65" s="869"/>
      <c r="C65" s="869"/>
      <c r="D65" s="869"/>
      <c r="E65" s="869"/>
      <c r="F65" s="424" t="e">
        <f t="shared" si="0"/>
        <v>#DIV/0!</v>
      </c>
      <c r="G65" s="474">
        <f t="shared" si="1"/>
        <v>0</v>
      </c>
      <c r="H65" s="10"/>
      <c r="I65" s="475">
        <f>SUMIF(BOM!$X$14:$X$213,"*single*",BOM!$BM$14:$BM$213)</f>
        <v>0</v>
      </c>
      <c r="J65" s="475">
        <f>SUMIF(BOM!$AI$14:$AI$213,"*single*",BOM!$BN$14:$BN$213)</f>
        <v>0</v>
      </c>
      <c r="K65" s="475">
        <f>SUMIF(BOM!$AT$14:$AT$213,"*single*",BOM!$BO$14:$BNC$213)</f>
        <v>0</v>
      </c>
      <c r="L65" s="475">
        <f>SUMIF(BOM!$BE$14:$BE$213,"*single*",BOM!$BP$14:$BP$213)</f>
        <v>0</v>
      </c>
    </row>
    <row r="66" spans="1:12">
      <c r="A66" s="869" t="s">
        <v>8586</v>
      </c>
      <c r="B66" s="869"/>
      <c r="C66" s="869"/>
      <c r="D66" s="869"/>
      <c r="E66" s="869"/>
      <c r="F66" s="424" t="e">
        <f t="shared" si="0"/>
        <v>#DIV/0!</v>
      </c>
      <c r="G66" s="474">
        <f t="shared" si="1"/>
        <v>0</v>
      </c>
      <c r="H66" s="10"/>
      <c r="I66" s="475">
        <f>SUMIF(BOM!$X$14:$X$213,"*combo*",BOM!$BM$14:$BM$213)</f>
        <v>0</v>
      </c>
      <c r="J66" s="475">
        <f>SUMIF(BOM!$AI$14:$AI$213,"*combo*",BOM!$BN$14:$BN$213)</f>
        <v>0</v>
      </c>
      <c r="K66" s="475">
        <f>SUMIF(BOM!$AT$14:$AT$213,"*combo*",BOM!$BO$14:$BNC$213)</f>
        <v>0</v>
      </c>
      <c r="L66" s="475">
        <f>SUMIF(BOM!$BE$14:$BE$213,"*combo*",BOM!$BP$14:$BP$213)</f>
        <v>0</v>
      </c>
    </row>
    <row r="67" spans="1:12">
      <c r="A67" s="869" t="s">
        <v>8587</v>
      </c>
      <c r="B67" s="869"/>
      <c r="C67" s="869"/>
      <c r="D67" s="869"/>
      <c r="E67" s="869"/>
      <c r="F67" s="424" t="e">
        <f t="shared" si="0"/>
        <v>#DIV/0!</v>
      </c>
      <c r="G67" s="474">
        <f t="shared" si="1"/>
        <v>0</v>
      </c>
      <c r="H67" s="10"/>
      <c r="I67" s="475">
        <f>SUMIF(BOM!$X$14:$X$213,"*containership*",BOM!$BM$14:$BM$213)</f>
        <v>0</v>
      </c>
      <c r="J67" s="475">
        <f>SUMIF(BOM!$AI$14:$AI$213,"*containership*",BOM!$BN$14:$BN$213)</f>
        <v>0</v>
      </c>
      <c r="K67" s="475">
        <f>SUMIF(BOM!$AT$14:$AT$213,"*containership*",BOM!$BO$14:$BNC$213)</f>
        <v>0</v>
      </c>
      <c r="L67" s="475">
        <f>SUMIF(BOM!$BE$14:$BE$213,"*containership*",BOM!$BP$14:$BP$213)</f>
        <v>0</v>
      </c>
    </row>
    <row r="68" spans="1:12">
      <c r="A68" s="869" t="s">
        <v>549</v>
      </c>
      <c r="B68" s="869"/>
      <c r="C68" s="869"/>
      <c r="D68" s="869"/>
      <c r="E68" s="869"/>
      <c r="F68" s="424" t="e">
        <f t="shared" si="0"/>
        <v>#DIV/0!</v>
      </c>
      <c r="G68" s="474">
        <f t="shared" si="1"/>
        <v>0</v>
      </c>
      <c r="H68" s="10"/>
      <c r="I68" s="475">
        <f>SUMIF(BOM!$X$14:$X$213,"*barge*",BOM!$BM$14:$BM$213)</f>
        <v>0</v>
      </c>
      <c r="J68" s="475">
        <f>SUMIF(BOM!$AI$14:$AI$213,"*barge*",BOM!$BN$14:$BN$213)</f>
        <v>0</v>
      </c>
      <c r="K68" s="475">
        <f>SUMIF(BOM!$AT$14:$AT$213,"*barge*",BOM!$BO$14:$BNC$213)</f>
        <v>0</v>
      </c>
      <c r="L68" s="475">
        <f>SUMIF(BOM!$BE$14:$BE$213,"*barge*",BOM!$BP$14:$BP$213)</f>
        <v>0</v>
      </c>
    </row>
    <row r="69" spans="1:12">
      <c r="A69" s="869" t="s">
        <v>8831</v>
      </c>
      <c r="B69" s="869"/>
      <c r="C69" s="869"/>
      <c r="D69" s="869"/>
      <c r="E69" s="869"/>
      <c r="F69" s="424" t="e">
        <f t="shared" si="0"/>
        <v>#DIV/0!</v>
      </c>
      <c r="G69" s="474">
        <f t="shared" si="1"/>
        <v>0</v>
      </c>
      <c r="H69" s="10"/>
      <c r="I69" s="475">
        <f>SUMIF(BOM!$X$14:$X$213,"*air*",BOM!$BM$14:$BM$213)</f>
        <v>0</v>
      </c>
      <c r="J69" s="475">
        <f>SUMIF(BOM!$AI$14:$AI$213,"*air *",BOM!$BN$14:$BN$213)</f>
        <v>0</v>
      </c>
      <c r="K69" s="475">
        <f>SUMIF(BOM!$AT$14:$AT$213,"*air *",BOM!$BO$14:$BNC$213)</f>
        <v>0</v>
      </c>
      <c r="L69" s="475">
        <f>SUMIF(BOM!$BE$14:$BE$213,"*air *",BOM!$BP$14:$BP$213)</f>
        <v>0</v>
      </c>
    </row>
    <row r="70" spans="1:12">
      <c r="A70" s="869" t="s">
        <v>8832</v>
      </c>
      <c r="B70" s="869"/>
      <c r="C70" s="869"/>
      <c r="D70" s="869"/>
      <c r="E70" s="869"/>
      <c r="F70" s="424" t="e">
        <f t="shared" si="0"/>
        <v>#DIV/0!</v>
      </c>
      <c r="G70" s="474">
        <f t="shared" si="1"/>
        <v>0</v>
      </c>
      <c r="H70" s="10"/>
      <c r="I70" s="475">
        <f>SUMIF(BOM!$X$14:$X$213,"*rail *",BOM!$BM$14:$BM$213)</f>
        <v>0</v>
      </c>
      <c r="J70" s="475">
        <f>SUMIF(BOM!$AI$14:$AI$213,"*rail *",BOM!$BN$14:$BN$213)</f>
        <v>0</v>
      </c>
      <c r="K70" s="475">
        <f>SUMIF(BOM!$AT$14:$AT$213,"*rail *",BOM!$BO$14:$BNC$213)</f>
        <v>0</v>
      </c>
      <c r="L70" s="475">
        <f>SUMIF(BOM!$BE$14:$BE$213,"*rail *",BOM!$BP$14:$BP$213)</f>
        <v>0</v>
      </c>
    </row>
    <row r="71" spans="1:12" ht="15" thickBot="1">
      <c r="A71" s="312"/>
      <c r="B71" s="312"/>
      <c r="C71" s="312"/>
      <c r="D71" s="312"/>
      <c r="E71" s="312"/>
      <c r="F71" s="312"/>
      <c r="G71" s="476">
        <f>SUM(G62:G70)</f>
        <v>0</v>
      </c>
      <c r="H71" s="10"/>
      <c r="I71" s="476">
        <f>SUM(I62:I70)</f>
        <v>0</v>
      </c>
      <c r="J71" s="476">
        <f t="shared" ref="J71:L71" si="2">SUM(J62:J70)</f>
        <v>0</v>
      </c>
      <c r="K71" s="476">
        <f t="shared" si="2"/>
        <v>0</v>
      </c>
      <c r="L71" s="476">
        <f t="shared" si="2"/>
        <v>0</v>
      </c>
    </row>
    <row r="72" spans="1:12" s="352" customFormat="1" ht="26.55" customHeight="1" thickBot="1">
      <c r="A72" s="353" t="s">
        <v>8833</v>
      </c>
      <c r="B72" s="579"/>
      <c r="C72" s="579"/>
      <c r="D72" s="579"/>
      <c r="E72" s="579"/>
      <c r="F72" s="579"/>
      <c r="G72" s="353"/>
      <c r="H72" s="353"/>
      <c r="I72" s="353"/>
      <c r="J72" s="353"/>
      <c r="K72" s="353"/>
      <c r="L72" s="580"/>
    </row>
    <row r="73" spans="1:12">
      <c r="A73" s="318" t="s">
        <v>8834</v>
      </c>
      <c r="B73" s="318"/>
      <c r="C73" s="318"/>
      <c r="D73" s="312"/>
      <c r="E73" s="312"/>
      <c r="F73" s="312"/>
      <c r="G73" s="312"/>
      <c r="H73" s="312"/>
      <c r="I73" s="312"/>
      <c r="J73" s="312"/>
      <c r="K73" s="312"/>
      <c r="L73" s="312"/>
    </row>
    <row r="74" spans="1:12">
      <c r="A74" s="318" t="s">
        <v>10920</v>
      </c>
      <c r="B74" s="318"/>
      <c r="C74" s="318"/>
      <c r="D74" s="312"/>
      <c r="E74" s="312"/>
      <c r="F74" s="312"/>
      <c r="G74" s="312"/>
      <c r="H74" s="312"/>
      <c r="I74" s="312"/>
      <c r="J74" s="312"/>
      <c r="K74" s="312"/>
      <c r="L74" s="312"/>
    </row>
    <row r="75" spans="1:12">
      <c r="A75" s="318"/>
      <c r="B75" s="318"/>
      <c r="C75" s="318"/>
      <c r="D75" s="312"/>
      <c r="E75" s="312"/>
      <c r="F75" s="312"/>
      <c r="G75" s="312"/>
      <c r="H75" s="312"/>
      <c r="I75" s="312"/>
      <c r="J75" s="312"/>
      <c r="K75" s="312"/>
      <c r="L75" s="312"/>
    </row>
  </sheetData>
  <sheetProtection algorithmName="SHA-512" hashValue="8ViMqetKLHJ85Bn24GYnOQiur6k6TO0D4Vs8mcCfSjNAOnpWmo8A/rNDg9qdtJVrZeFLQUuef9op8TEysLDsbA==" saltValue="kJUq8GzN0/p36vLNuouANg==" spinCount="100000" sheet="1" objects="1" scenarios="1" selectLockedCells="1"/>
  <mergeCells count="11">
    <mergeCell ref="A67:E67"/>
    <mergeCell ref="A68:E68"/>
    <mergeCell ref="A69:E69"/>
    <mergeCell ref="A70:E70"/>
    <mergeCell ref="A62:E62"/>
    <mergeCell ref="A66:E66"/>
    <mergeCell ref="A2:I3"/>
    <mergeCell ref="A61:E61"/>
    <mergeCell ref="A63:E63"/>
    <mergeCell ref="A64:E64"/>
    <mergeCell ref="A65:E65"/>
  </mergeCells>
  <dataValidations count="3">
    <dataValidation type="decimal" errorStyle="warning" allowBlank="1" showInputMessage="1" showErrorMessage="1" errorTitle="km from vendor" error="If a value between 0-50,000 km is not entered, the location of the vendor and that of the facility provided in this template will be used to estimate the maximum distance by the indicated mode" promptTitle="distance to building site" prompt="Distance in kilometers from produciton facility to building installation site" sqref="G62:G70" xr:uid="{42B477B5-CA5D-4DD1-9B3C-367A699A90D1}">
      <formula1>0</formula1>
      <formula2>50000</formula2>
    </dataValidation>
    <dataValidation allowBlank="1" errorTitle="Please enter # between 1 and 100" error="Please enter # between 1 and 100 to represent the % incoming transport covered for this material by this transport mode" promptTitle="Percent by this mode" prompt="Percent (%): enter decimal number between 0.01 and 1.00 this mode covers for outgoing transport for this material; total for all modes must = 1.00" sqref="I62:L70 F62:F70" xr:uid="{4467FB77-50B5-465E-AB1B-EA2EB446D50B}"/>
    <dataValidation type="list" allowBlank="1" showInputMessage="1" showErrorMessage="1" errorTitle="Please enter transport mode" error="Please choose the best match from the transport modes available" promptTitle="Transport Mode" prompt="Select transport mode and enter % by this mode in next cell_x000a_" sqref="A62:A70" xr:uid="{EB393D5B-E76E-45DE-9FAD-B4B58C6DC580}">
      <formula1>#REF!</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529B7-3BB7-4D3E-880A-BA02B0AEA5CF}">
  <sheetPr codeName="Sheet10">
    <tabColor rgb="FFFFCC99"/>
  </sheetPr>
  <dimension ref="A1:BE135"/>
  <sheetViews>
    <sheetView showGridLines="0" zoomScaleNormal="100" workbookViewId="0">
      <selection sqref="A1:F1"/>
    </sheetView>
  </sheetViews>
  <sheetFormatPr defaultRowHeight="14.4" outlineLevelRow="1" outlineLevelCol="1"/>
  <cols>
    <col min="1" max="1" width="49.77734375" customWidth="1"/>
    <col min="2" max="2" width="14.44140625" style="312" customWidth="1"/>
    <col min="3" max="3" width="19" customWidth="1"/>
    <col min="4" max="4" width="20.5546875" customWidth="1"/>
    <col min="5" max="5" width="21.77734375" customWidth="1"/>
    <col min="6" max="7" width="18.5546875" customWidth="1"/>
    <col min="8" max="8" width="21.44140625" customWidth="1"/>
    <col min="9" max="9" width="10.5546875" customWidth="1"/>
    <col min="10" max="10" width="20.5546875" customWidth="1"/>
    <col min="11" max="11" width="13" customWidth="1"/>
    <col min="12" max="12" width="21" customWidth="1" outlineLevel="1"/>
    <col min="13" max="13" width="14.5546875" customWidth="1" outlineLevel="1"/>
    <col min="14" max="14" width="21.44140625" customWidth="1" outlineLevel="1"/>
    <col min="15" max="15" width="14.44140625" customWidth="1" outlineLevel="1"/>
    <col min="16" max="16" width="32" customWidth="1"/>
    <col min="17" max="17" width="11.5546875" customWidth="1"/>
    <col min="18" max="18" width="27.5546875" customWidth="1"/>
    <col min="19" max="19" width="27.44140625" customWidth="1"/>
    <col min="20" max="20" width="54.44140625" customWidth="1"/>
    <col min="37" max="37" width="16.5546875" customWidth="1"/>
  </cols>
  <sheetData>
    <row r="1" spans="1:57" s="351" customFormat="1" ht="35.85" customHeight="1" thickTop="1" thickBot="1">
      <c r="A1" s="351" t="s">
        <v>8835</v>
      </c>
    </row>
    <row r="2" spans="1:57" ht="14.85" customHeight="1" thickTop="1">
      <c r="A2" s="891" t="s">
        <v>8836</v>
      </c>
      <c r="B2" s="891"/>
      <c r="C2" s="891"/>
      <c r="D2" s="891"/>
      <c r="E2" s="891"/>
      <c r="F2" s="891"/>
      <c r="G2" s="343"/>
      <c r="H2" s="343"/>
      <c r="I2" s="343"/>
      <c r="J2" s="343"/>
      <c r="K2" s="343"/>
      <c r="L2" s="343"/>
      <c r="M2" s="343"/>
      <c r="N2" s="343"/>
      <c r="O2" s="592"/>
      <c r="P2" s="380" t="s">
        <v>8837</v>
      </c>
      <c r="Q2" s="312"/>
      <c r="R2" s="312"/>
      <c r="S2" s="312"/>
      <c r="T2" s="312"/>
      <c r="U2" s="312"/>
      <c r="V2" s="312"/>
      <c r="W2" s="312"/>
      <c r="X2" s="312"/>
      <c r="Y2" s="312"/>
      <c r="Z2" s="312"/>
      <c r="AA2" s="312"/>
      <c r="AB2" s="312"/>
      <c r="AC2" s="312"/>
      <c r="AD2" s="312"/>
      <c r="AE2" s="312"/>
      <c r="AF2" s="312"/>
      <c r="AG2" s="312"/>
      <c r="AH2" s="312"/>
      <c r="AI2" s="312"/>
      <c r="AJ2" s="312"/>
      <c r="AK2" s="312"/>
      <c r="AL2" s="312"/>
      <c r="AM2" s="312"/>
      <c r="AN2" s="312"/>
      <c r="AO2" s="312"/>
      <c r="AP2" s="312"/>
      <c r="AQ2" s="312"/>
      <c r="AR2" s="312"/>
      <c r="AS2" s="312"/>
      <c r="AT2" s="312"/>
      <c r="AU2" s="312"/>
      <c r="AV2" s="312"/>
      <c r="AW2" s="312"/>
      <c r="AX2" s="312"/>
      <c r="AY2" s="312"/>
      <c r="AZ2" s="312"/>
      <c r="BA2" s="312"/>
      <c r="BB2" s="312"/>
      <c r="BC2" s="312"/>
      <c r="BD2" s="312"/>
      <c r="BE2" s="312"/>
    </row>
    <row r="3" spans="1:57" ht="20.100000000000001" customHeight="1">
      <c r="A3" s="892"/>
      <c r="B3" s="892"/>
      <c r="C3" s="892"/>
      <c r="D3" s="892"/>
      <c r="E3" s="892"/>
      <c r="F3" s="892"/>
      <c r="G3" s="343"/>
      <c r="H3" s="343"/>
      <c r="I3" s="343"/>
      <c r="J3" s="343"/>
      <c r="K3" s="343"/>
      <c r="L3" s="343"/>
      <c r="M3" s="343"/>
      <c r="N3" s="343"/>
      <c r="O3" s="592"/>
      <c r="P3" s="312"/>
      <c r="Q3" s="312"/>
      <c r="R3" s="312"/>
      <c r="S3" s="312"/>
      <c r="T3" s="312"/>
      <c r="U3" s="312"/>
      <c r="V3" s="312"/>
      <c r="W3" s="312"/>
      <c r="X3" s="312"/>
      <c r="Y3" s="312"/>
      <c r="Z3" s="312"/>
      <c r="AA3" s="312"/>
      <c r="AB3" s="312"/>
      <c r="AC3" s="312"/>
      <c r="AD3" s="312"/>
      <c r="AE3" s="312"/>
      <c r="AF3" s="312"/>
      <c r="AG3" s="312"/>
      <c r="AH3" s="312"/>
      <c r="AI3" s="312"/>
      <c r="AJ3" s="312"/>
      <c r="AK3" s="312"/>
      <c r="AL3" s="312"/>
      <c r="AM3" s="312"/>
      <c r="AN3" s="312"/>
      <c r="AO3" s="312"/>
      <c r="AP3" s="312"/>
      <c r="AQ3" s="312"/>
      <c r="AR3" s="312"/>
      <c r="AS3" s="312"/>
      <c r="AT3" s="312"/>
      <c r="AU3" s="312"/>
      <c r="AV3" s="312"/>
      <c r="AW3" s="312"/>
      <c r="AX3" s="312"/>
      <c r="AY3" s="312"/>
      <c r="AZ3" s="312"/>
      <c r="BA3" s="312"/>
      <c r="BB3" s="312"/>
      <c r="BC3" s="312"/>
      <c r="BD3" s="312"/>
      <c r="BE3" s="312"/>
    </row>
    <row r="4" spans="1:57" s="312" customFormat="1" ht="23.55" customHeight="1">
      <c r="A4" s="892"/>
      <c r="B4" s="892"/>
      <c r="C4" s="892"/>
      <c r="D4" s="892"/>
      <c r="E4" s="892"/>
      <c r="F4" s="892"/>
      <c r="G4" s="587"/>
      <c r="H4" s="587"/>
      <c r="I4" s="343"/>
      <c r="J4" s="343"/>
      <c r="K4" s="343"/>
      <c r="L4" s="343"/>
      <c r="M4" s="343"/>
      <c r="N4" s="343"/>
      <c r="O4" s="592"/>
    </row>
    <row r="5" spans="1:57" ht="29.55" customHeight="1">
      <c r="A5" s="12" t="s">
        <v>8520</v>
      </c>
      <c r="B5" s="12"/>
      <c r="C5" s="312"/>
      <c r="D5" s="312"/>
      <c r="E5" s="316"/>
      <c r="F5" s="316"/>
      <c r="G5" s="312"/>
      <c r="H5" s="312"/>
      <c r="I5" s="312"/>
      <c r="J5" s="312"/>
      <c r="K5" s="312"/>
      <c r="L5" s="312"/>
      <c r="M5" s="312"/>
      <c r="N5" s="312"/>
      <c r="O5" s="312"/>
      <c r="P5" s="312"/>
      <c r="Q5" s="312"/>
      <c r="R5" s="312"/>
      <c r="S5" s="312"/>
      <c r="T5" s="312"/>
      <c r="U5" s="312"/>
      <c r="V5" s="312"/>
      <c r="W5" s="312"/>
      <c r="X5" s="312"/>
      <c r="Y5" s="312"/>
      <c r="Z5" s="312"/>
      <c r="AA5" s="312"/>
      <c r="AB5" s="312"/>
      <c r="AC5" s="312"/>
      <c r="AD5" s="312"/>
      <c r="AE5" s="312"/>
      <c r="AF5" s="312"/>
      <c r="AG5" s="312"/>
      <c r="AH5" s="312"/>
      <c r="AI5" s="312"/>
      <c r="AJ5" s="312"/>
      <c r="AK5" s="312"/>
      <c r="AL5" s="312"/>
      <c r="AM5" s="312"/>
      <c r="AN5" s="312"/>
      <c r="AO5" s="312"/>
      <c r="AP5" s="312"/>
      <c r="AQ5" s="312"/>
      <c r="AR5" s="312"/>
      <c r="AS5" s="312"/>
      <c r="AT5" s="312"/>
      <c r="AU5" s="312"/>
      <c r="AV5" s="312"/>
      <c r="AW5" s="312"/>
      <c r="AX5" s="312"/>
      <c r="AY5" s="312"/>
      <c r="AZ5" s="312"/>
      <c r="BA5" s="312"/>
      <c r="BB5" s="312"/>
      <c r="BC5" s="312"/>
      <c r="BD5" s="312"/>
      <c r="BE5" s="312"/>
    </row>
    <row r="6" spans="1:57">
      <c r="A6" s="114" t="s">
        <v>10922</v>
      </c>
      <c r="B6" s="114"/>
      <c r="C6" s="571">
        <f>GEN_EPD!$C$72</f>
        <v>0</v>
      </c>
      <c r="D6" s="312" t="str">
        <f>GEN_EPD!$D$72</f>
        <v>kg per unit product, a.k.a., per product item</v>
      </c>
      <c r="E6" s="119"/>
      <c r="F6" s="316"/>
      <c r="G6" s="119"/>
      <c r="H6" s="119"/>
      <c r="I6" s="312"/>
      <c r="J6" s="312"/>
      <c r="K6" s="312"/>
      <c r="L6" s="312"/>
      <c r="M6" s="312"/>
      <c r="N6" s="312"/>
      <c r="O6" s="115"/>
      <c r="P6" s="115"/>
      <c r="Q6" s="115"/>
      <c r="R6" s="115"/>
      <c r="S6" s="115"/>
      <c r="T6" s="115"/>
      <c r="U6" s="115"/>
      <c r="V6" s="115"/>
      <c r="W6" s="115"/>
      <c r="X6" s="115"/>
      <c r="Y6" s="115"/>
      <c r="Z6" s="115"/>
      <c r="AA6" s="115"/>
      <c r="AB6" s="115"/>
      <c r="AC6" s="115"/>
      <c r="AD6" s="115"/>
      <c r="AE6" s="312"/>
      <c r="AF6" s="312"/>
      <c r="AG6" s="115"/>
      <c r="AH6" s="115"/>
      <c r="AI6" s="115"/>
      <c r="AJ6" s="115"/>
      <c r="AK6" s="115"/>
      <c r="AL6" s="115"/>
      <c r="AM6" s="115"/>
      <c r="AN6" s="312"/>
      <c r="AO6" s="312"/>
      <c r="AP6" s="115"/>
      <c r="AQ6" s="115"/>
      <c r="AR6" s="115"/>
      <c r="AS6" s="115"/>
      <c r="AT6" s="115"/>
      <c r="AU6" s="115"/>
      <c r="AV6" s="115"/>
      <c r="AW6" s="312"/>
      <c r="AX6" s="312"/>
      <c r="AY6" s="115"/>
      <c r="AZ6" s="115"/>
      <c r="BA6" s="115"/>
      <c r="BB6" s="115"/>
      <c r="BC6" s="115"/>
      <c r="BD6" s="115"/>
      <c r="BE6" s="115"/>
    </row>
    <row r="7" spans="1:57">
      <c r="A7" s="114" t="s">
        <v>10915</v>
      </c>
      <c r="B7" s="114"/>
      <c r="C7" s="571">
        <f>IFERROR((YEAR(GEN_EPD!$F$16)-YEAR(GEN_EPD!$C$16))*12+(MONTH(GEN_EPD!$F$16)-MONTH(GEN_EPD!$C$16)),"Error in calculation")</f>
        <v>0</v>
      </c>
      <c r="D7" s="312" t="s">
        <v>8522</v>
      </c>
      <c r="E7" s="119"/>
      <c r="F7" s="316"/>
      <c r="G7" s="312"/>
      <c r="H7" s="312"/>
      <c r="I7" s="312"/>
      <c r="J7" s="312"/>
      <c r="K7" s="312"/>
      <c r="L7" s="312"/>
      <c r="M7" s="312"/>
      <c r="N7" s="312"/>
      <c r="O7" s="115"/>
      <c r="P7" s="115"/>
      <c r="Q7" s="115"/>
      <c r="R7" s="115"/>
      <c r="S7" s="115"/>
      <c r="T7" s="115"/>
      <c r="U7" s="115"/>
      <c r="V7" s="115"/>
      <c r="W7" s="115"/>
      <c r="X7" s="115"/>
      <c r="Y7" s="115"/>
      <c r="Z7" s="115"/>
      <c r="AA7" s="115"/>
      <c r="AB7" s="115"/>
      <c r="AC7" s="115"/>
      <c r="AD7" s="115"/>
      <c r="AE7" s="312"/>
      <c r="AF7" s="312"/>
      <c r="AG7" s="115"/>
      <c r="AH7" s="115"/>
      <c r="AI7" s="115"/>
      <c r="AJ7" s="115"/>
      <c r="AK7" s="115"/>
      <c r="AL7" s="115"/>
      <c r="AM7" s="115"/>
      <c r="AN7" s="312"/>
      <c r="AO7" s="312"/>
      <c r="AP7" s="115"/>
      <c r="AQ7" s="115"/>
      <c r="AR7" s="115"/>
      <c r="AS7" s="115"/>
      <c r="AT7" s="115"/>
      <c r="AU7" s="115"/>
      <c r="AV7" s="115"/>
      <c r="AW7" s="312"/>
      <c r="AX7" s="312"/>
      <c r="AY7" s="115"/>
      <c r="AZ7" s="115"/>
      <c r="BA7" s="115"/>
      <c r="BB7" s="115"/>
      <c r="BC7" s="115"/>
      <c r="BD7" s="115"/>
      <c r="BE7" s="115"/>
    </row>
    <row r="8" spans="1:57">
      <c r="A8" s="114"/>
      <c r="B8" s="114"/>
      <c r="C8" s="312"/>
      <c r="D8" s="312"/>
      <c r="E8" s="316"/>
      <c r="F8" s="316"/>
      <c r="G8" s="312"/>
      <c r="H8" s="312"/>
      <c r="I8" s="312"/>
      <c r="J8" s="312"/>
      <c r="K8" s="312"/>
      <c r="L8" s="312"/>
      <c r="M8" s="312"/>
      <c r="N8" s="312"/>
      <c r="O8" s="312"/>
      <c r="P8" s="312"/>
      <c r="Q8" s="312"/>
      <c r="R8" s="312"/>
      <c r="S8" s="312"/>
      <c r="T8" s="312"/>
      <c r="U8" s="312"/>
      <c r="V8" s="312"/>
      <c r="W8" s="312"/>
      <c r="X8" s="312"/>
      <c r="Y8" s="312"/>
      <c r="Z8" s="312"/>
      <c r="AA8" s="312"/>
      <c r="AB8" s="312"/>
      <c r="AC8" s="312"/>
      <c r="AD8" s="312"/>
      <c r="AE8" s="312"/>
      <c r="AF8" s="312"/>
      <c r="AG8" s="312"/>
      <c r="AH8" s="312"/>
      <c r="AI8" s="312"/>
      <c r="AJ8" s="312"/>
      <c r="AK8" s="312"/>
      <c r="AL8" s="312"/>
      <c r="AM8" s="312"/>
      <c r="AN8" s="312"/>
      <c r="AO8" s="312"/>
      <c r="AP8" s="312"/>
      <c r="AQ8" s="312"/>
      <c r="AR8" s="312"/>
      <c r="AS8" s="312"/>
      <c r="AT8" s="312"/>
      <c r="AU8" s="312"/>
      <c r="AV8" s="312"/>
      <c r="AW8" s="312"/>
      <c r="AX8" s="312"/>
      <c r="AY8" s="312"/>
      <c r="AZ8" s="312"/>
      <c r="BA8" s="312"/>
      <c r="BB8" s="312"/>
      <c r="BC8" s="312"/>
      <c r="BD8" s="312"/>
      <c r="BE8" s="312"/>
    </row>
    <row r="9" spans="1:57">
      <c r="A9" s="114" t="s">
        <v>10916</v>
      </c>
      <c r="B9" s="114"/>
      <c r="C9" s="423" t="str">
        <f>IFERROR((GEN_EPD!$C$23)/($C$7/12),"Error in calculation")</f>
        <v>Error in calculation</v>
      </c>
      <c r="D9" s="312" t="s">
        <v>8526</v>
      </c>
      <c r="E9" s="164"/>
      <c r="F9" s="316"/>
      <c r="G9" s="312"/>
      <c r="H9" s="312"/>
      <c r="I9" s="312"/>
      <c r="J9" s="312"/>
      <c r="K9" s="312"/>
      <c r="L9" s="312"/>
      <c r="M9" s="312"/>
      <c r="N9" s="312"/>
      <c r="O9" s="312"/>
      <c r="P9" s="312"/>
      <c r="Q9" s="312"/>
      <c r="R9" s="312"/>
      <c r="S9" s="312"/>
      <c r="T9" s="312"/>
      <c r="U9" s="312"/>
      <c r="V9" s="312"/>
      <c r="W9" s="312"/>
      <c r="X9" s="312"/>
      <c r="Y9" s="312"/>
      <c r="Z9" s="312"/>
      <c r="AA9" s="312"/>
      <c r="AB9" s="312"/>
      <c r="AC9" s="312"/>
      <c r="AD9" s="312"/>
      <c r="AE9" s="312"/>
      <c r="AF9" s="312"/>
      <c r="AG9" s="312"/>
      <c r="AH9" s="312"/>
      <c r="AI9" s="312"/>
      <c r="AJ9" s="312"/>
      <c r="AK9" s="312"/>
      <c r="AL9" s="312"/>
      <c r="AM9" s="312"/>
      <c r="AN9" s="312"/>
      <c r="AO9" s="312"/>
      <c r="AP9" s="312"/>
      <c r="AQ9" s="312"/>
      <c r="AR9" s="312"/>
      <c r="AS9" s="312"/>
      <c r="AT9" s="312"/>
      <c r="AU9" s="312"/>
      <c r="AV9" s="312"/>
      <c r="AW9" s="312"/>
      <c r="AX9" s="312"/>
      <c r="AY9" s="312"/>
      <c r="AZ9" s="312"/>
      <c r="BA9" s="312"/>
      <c r="BB9" s="312"/>
      <c r="BC9" s="312"/>
      <c r="BD9" s="312"/>
      <c r="BE9" s="312"/>
    </row>
    <row r="10" spans="1:57" s="312" customFormat="1">
      <c r="A10" s="605" t="s">
        <v>10916</v>
      </c>
      <c r="B10" s="114"/>
      <c r="C10" s="423" t="str">
        <f>IFERROR(($C$9*(GEN_EPD!$C$74/1000)*'openEPD_units &amp; conversions'!$J$17),"Error in calculation")</f>
        <v>Error in calculation</v>
      </c>
      <c r="D10" s="312" t="s">
        <v>8838</v>
      </c>
      <c r="E10" s="164"/>
      <c r="F10" s="316"/>
    </row>
    <row r="11" spans="1:57">
      <c r="A11" s="605" t="s">
        <v>10916</v>
      </c>
      <c r="B11" s="114"/>
      <c r="C11" s="423" t="str">
        <f>IFERROR(((GEN_EPD!$C$23)*$C$6)/($C$7/12),"Error in calculation")</f>
        <v>Error in calculation</v>
      </c>
      <c r="D11" s="312" t="s">
        <v>8528</v>
      </c>
      <c r="E11" s="164"/>
      <c r="F11" s="316"/>
      <c r="G11" s="312"/>
      <c r="H11" s="312"/>
      <c r="I11" s="312"/>
      <c r="J11" s="312"/>
      <c r="K11" s="312"/>
      <c r="L11" s="312"/>
      <c r="M11" s="312"/>
      <c r="N11" s="312"/>
      <c r="O11" s="312"/>
      <c r="P11" s="312"/>
      <c r="Q11" s="312"/>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312"/>
      <c r="AR11" s="312"/>
      <c r="AS11" s="312"/>
      <c r="AT11" s="312"/>
      <c r="AU11" s="312"/>
      <c r="AV11" s="312"/>
      <c r="AW11" s="312"/>
      <c r="AX11" s="312"/>
      <c r="AY11" s="312"/>
      <c r="AZ11" s="312"/>
      <c r="BA11" s="312"/>
      <c r="BB11" s="312"/>
      <c r="BC11" s="312"/>
      <c r="BD11" s="312"/>
      <c r="BE11" s="312"/>
    </row>
    <row r="12" spans="1:57">
      <c r="A12" s="380" t="s">
        <v>8839</v>
      </c>
      <c r="B12" s="380"/>
      <c r="C12" s="710"/>
      <c r="D12" s="381" t="s">
        <v>8840</v>
      </c>
      <c r="E12" s="316"/>
      <c r="F12" s="316"/>
      <c r="G12" s="316"/>
      <c r="H12" s="316"/>
      <c r="I12" s="312"/>
      <c r="J12" s="312"/>
      <c r="K12" s="312"/>
      <c r="L12" s="312"/>
      <c r="M12" s="312"/>
      <c r="N12" s="312"/>
      <c r="O12" s="312"/>
      <c r="P12" s="312"/>
      <c r="Q12" s="312"/>
      <c r="R12" s="312"/>
      <c r="S12" s="312"/>
      <c r="T12" s="312"/>
      <c r="U12" s="312"/>
      <c r="V12" s="312"/>
      <c r="W12" s="312"/>
      <c r="X12" s="312"/>
      <c r="Y12" s="312"/>
      <c r="Z12" s="312"/>
      <c r="AA12" s="312"/>
      <c r="AB12" s="312"/>
      <c r="AC12" s="312"/>
      <c r="AD12" s="312"/>
      <c r="AE12" s="312"/>
      <c r="AF12" s="312"/>
      <c r="AG12" s="312"/>
      <c r="AH12" s="312"/>
      <c r="AI12" s="312"/>
      <c r="AJ12" s="312"/>
      <c r="AK12" s="312"/>
      <c r="AL12" s="312"/>
      <c r="AM12" s="312"/>
      <c r="AN12" s="312"/>
      <c r="AO12" s="312"/>
      <c r="AP12" s="312"/>
      <c r="AQ12" s="312"/>
      <c r="AR12" s="312"/>
      <c r="AS12" s="312"/>
      <c r="AT12" s="312"/>
      <c r="AU12" s="312"/>
      <c r="AV12" s="312"/>
      <c r="AW12" s="312"/>
      <c r="AX12" s="312"/>
      <c r="AY12" s="312"/>
      <c r="AZ12" s="312"/>
      <c r="BA12" s="312"/>
      <c r="BB12" s="312"/>
      <c r="BC12" s="312"/>
      <c r="BD12" s="312"/>
      <c r="BE12" s="312"/>
    </row>
    <row r="14" spans="1:57" ht="18.600000000000001" thickBot="1">
      <c r="A14" s="379" t="s">
        <v>8841</v>
      </c>
      <c r="B14" s="379"/>
      <c r="C14" s="312"/>
      <c r="D14" s="312"/>
      <c r="E14" s="312"/>
      <c r="F14" s="312"/>
      <c r="G14" s="312"/>
      <c r="H14" s="312"/>
      <c r="I14" s="312"/>
      <c r="J14" s="312"/>
      <c r="K14" s="312"/>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c r="AR14" s="312"/>
      <c r="AS14" s="312"/>
      <c r="AT14" s="312"/>
      <c r="AU14" s="312"/>
      <c r="AV14" s="312"/>
      <c r="AW14" s="312"/>
      <c r="AX14" s="312"/>
      <c r="AY14" s="312"/>
      <c r="AZ14" s="312"/>
      <c r="BA14" s="312"/>
      <c r="BB14" s="312"/>
      <c r="BC14" s="312"/>
      <c r="BD14" s="312"/>
      <c r="BE14" s="312"/>
    </row>
    <row r="15" spans="1:57" s="352" customFormat="1" ht="26.55" customHeight="1" thickBot="1">
      <c r="A15" s="353" t="s">
        <v>8842</v>
      </c>
      <c r="B15" s="353"/>
      <c r="C15" s="579"/>
      <c r="D15" s="579"/>
      <c r="E15" s="579"/>
      <c r="F15" s="579"/>
      <c r="G15" s="579"/>
      <c r="H15" s="353"/>
      <c r="I15" s="353"/>
      <c r="J15" s="353"/>
      <c r="K15" s="353"/>
      <c r="L15" s="353"/>
      <c r="M15" s="580"/>
      <c r="N15" s="580"/>
      <c r="O15" s="580"/>
      <c r="P15" s="580"/>
      <c r="Q15" s="580"/>
      <c r="R15" s="580"/>
      <c r="S15" s="580"/>
      <c r="T15" s="580"/>
      <c r="U15" s="580"/>
      <c r="V15" s="580"/>
      <c r="W15" s="580"/>
      <c r="X15" s="580"/>
      <c r="Y15" s="580"/>
      <c r="Z15" s="580"/>
      <c r="AA15" s="580"/>
      <c r="AB15" s="580"/>
      <c r="AC15" s="580"/>
      <c r="AD15" s="580"/>
      <c r="AE15" s="580"/>
      <c r="AF15" s="580"/>
      <c r="AG15" s="580"/>
      <c r="AH15" s="580"/>
      <c r="AI15" s="580"/>
      <c r="AJ15" s="580"/>
      <c r="AK15" s="580"/>
      <c r="AL15" s="580"/>
      <c r="AM15" s="580"/>
      <c r="AN15" s="580"/>
      <c r="AO15" s="580"/>
      <c r="AP15" s="580"/>
      <c r="AQ15" s="580"/>
      <c r="AR15" s="580"/>
      <c r="AS15" s="580"/>
      <c r="AT15" s="580"/>
      <c r="AU15" s="580"/>
      <c r="AV15" s="580"/>
      <c r="AW15" s="580"/>
      <c r="AX15" s="580"/>
      <c r="AY15" s="580"/>
      <c r="AZ15" s="580"/>
      <c r="BA15" s="580"/>
      <c r="BB15" s="580"/>
      <c r="BC15" s="580"/>
      <c r="BD15" s="580"/>
      <c r="BE15" s="580"/>
    </row>
    <row r="16" spans="1:57" s="312" customFormat="1"/>
    <row r="17" spans="1:32" s="312" customFormat="1">
      <c r="A17" s="322" t="s">
        <v>8843</v>
      </c>
      <c r="C17" s="628"/>
    </row>
    <row r="18" spans="1:32" s="312" customFormat="1" ht="15" thickBot="1"/>
    <row r="19" spans="1:32" ht="37.5" customHeight="1">
      <c r="A19" s="170" t="s">
        <v>8845</v>
      </c>
      <c r="B19" s="388" t="s">
        <v>8846</v>
      </c>
      <c r="C19" s="236" t="s">
        <v>8847</v>
      </c>
      <c r="D19" s="237" t="s">
        <v>8848</v>
      </c>
      <c r="E19" s="237" t="s">
        <v>8849</v>
      </c>
      <c r="F19" s="237" t="s">
        <v>8850</v>
      </c>
      <c r="G19" s="237" t="s">
        <v>8851</v>
      </c>
      <c r="H19" s="238" t="s">
        <v>8852</v>
      </c>
      <c r="I19" s="870" t="s">
        <v>8532</v>
      </c>
      <c r="J19" s="870"/>
      <c r="K19" s="870"/>
      <c r="L19" s="312"/>
      <c r="M19" s="312"/>
      <c r="N19" s="312"/>
      <c r="O19" s="312"/>
      <c r="P19" s="312"/>
      <c r="Q19" s="312"/>
      <c r="R19" s="312"/>
      <c r="S19" s="312"/>
      <c r="T19" s="312"/>
      <c r="U19" s="312"/>
      <c r="V19" s="312"/>
      <c r="W19" s="312"/>
      <c r="X19" s="312"/>
      <c r="Y19" s="312"/>
      <c r="Z19" s="312"/>
      <c r="AA19" s="312"/>
      <c r="AB19" s="312"/>
      <c r="AC19" s="312"/>
      <c r="AD19" s="312"/>
      <c r="AE19" s="312"/>
      <c r="AF19" s="312"/>
    </row>
    <row r="20" spans="1:32">
      <c r="A20" s="425" t="s">
        <v>8853</v>
      </c>
      <c r="B20" s="389" t="str">
        <f>IFERROR(C20*$C$12/$C$9,"")</f>
        <v/>
      </c>
      <c r="C20" s="711"/>
      <c r="D20" s="712"/>
      <c r="E20" s="713"/>
      <c r="F20" s="713"/>
      <c r="G20" s="713"/>
      <c r="H20" s="714"/>
      <c r="I20" s="871"/>
      <c r="J20" s="871"/>
      <c r="K20" s="871"/>
      <c r="L20" s="312"/>
      <c r="M20" s="312"/>
      <c r="N20" s="312"/>
      <c r="O20" s="312"/>
      <c r="P20" s="312"/>
      <c r="Q20" s="312"/>
      <c r="R20" s="312"/>
      <c r="S20" s="312"/>
      <c r="T20" s="312"/>
      <c r="U20" s="312"/>
      <c r="V20" s="312"/>
      <c r="W20" s="312"/>
      <c r="X20" s="312"/>
      <c r="Y20" s="312"/>
      <c r="Z20" s="312"/>
      <c r="AA20" s="312"/>
      <c r="AB20" s="312"/>
      <c r="AC20" s="312"/>
      <c r="AD20" s="312"/>
      <c r="AE20" s="312"/>
      <c r="AF20" s="312"/>
    </row>
    <row r="21" spans="1:32" s="312" customFormat="1">
      <c r="A21" s="506" t="s">
        <v>8854</v>
      </c>
      <c r="B21" s="507" t="str">
        <f t="shared" ref="B21:B27" si="0">IFERROR(C21*$C$12/$C$9,"")</f>
        <v/>
      </c>
      <c r="C21" s="572"/>
      <c r="D21" s="872"/>
      <c r="E21" s="873"/>
      <c r="F21" s="873"/>
      <c r="G21" s="873"/>
      <c r="H21" s="873"/>
      <c r="I21" s="873"/>
      <c r="J21" s="873"/>
      <c r="K21" s="873"/>
    </row>
    <row r="22" spans="1:32">
      <c r="A22" s="425" t="s">
        <v>8855</v>
      </c>
      <c r="B22" s="389" t="str">
        <f t="shared" si="0"/>
        <v/>
      </c>
      <c r="C22" s="715"/>
      <c r="D22" s="712"/>
      <c r="E22" s="713"/>
      <c r="F22" s="713"/>
      <c r="G22" s="713"/>
      <c r="H22" s="714"/>
      <c r="I22" s="871"/>
      <c r="J22" s="871"/>
      <c r="K22" s="871"/>
      <c r="L22" s="312"/>
      <c r="M22" s="312"/>
      <c r="N22" s="312"/>
      <c r="O22" s="312"/>
      <c r="P22" s="312"/>
      <c r="Q22" s="312"/>
      <c r="R22" s="312"/>
      <c r="S22" s="312"/>
      <c r="T22" s="312"/>
      <c r="U22" s="312"/>
      <c r="V22" s="312"/>
      <c r="W22" s="312"/>
      <c r="X22" s="312"/>
      <c r="Y22" s="312"/>
      <c r="Z22" s="312"/>
      <c r="AA22" s="312"/>
      <c r="AB22" s="312"/>
      <c r="AC22" s="312"/>
      <c r="AD22" s="312"/>
      <c r="AE22" s="312"/>
      <c r="AF22" s="312"/>
    </row>
    <row r="23" spans="1:32" s="312" customFormat="1">
      <c r="A23" s="506" t="s">
        <v>8856</v>
      </c>
      <c r="B23" s="507" t="str">
        <f t="shared" si="0"/>
        <v/>
      </c>
      <c r="C23" s="508"/>
      <c r="D23" s="872"/>
      <c r="E23" s="873"/>
      <c r="F23" s="873"/>
      <c r="G23" s="873"/>
      <c r="H23" s="873"/>
      <c r="I23" s="873"/>
      <c r="J23" s="873"/>
      <c r="K23" s="873"/>
    </row>
    <row r="24" spans="1:32">
      <c r="A24" s="425" t="s">
        <v>8857</v>
      </c>
      <c r="B24" s="389" t="str">
        <f t="shared" si="0"/>
        <v/>
      </c>
      <c r="C24" s="715"/>
      <c r="D24" s="712"/>
      <c r="E24" s="713"/>
      <c r="F24" s="713"/>
      <c r="G24" s="713"/>
      <c r="H24" s="714"/>
      <c r="I24" s="871"/>
      <c r="J24" s="871"/>
      <c r="K24" s="871"/>
      <c r="L24" s="312"/>
      <c r="M24" s="312"/>
      <c r="N24" s="312"/>
      <c r="O24" s="312"/>
      <c r="P24" s="312"/>
      <c r="Q24" s="312"/>
      <c r="R24" s="312"/>
      <c r="S24" s="312"/>
      <c r="T24" s="312"/>
      <c r="U24" s="312"/>
      <c r="V24" s="312"/>
      <c r="W24" s="312"/>
      <c r="X24" s="312"/>
      <c r="Y24" s="312"/>
      <c r="Z24" s="312"/>
      <c r="AA24" s="312"/>
      <c r="AB24" s="312"/>
      <c r="AC24" s="312"/>
      <c r="AD24" s="312"/>
      <c r="AE24" s="312"/>
      <c r="AF24" s="312"/>
    </row>
    <row r="25" spans="1:32">
      <c r="A25" s="425" t="s">
        <v>8858</v>
      </c>
      <c r="B25" s="389" t="str">
        <f t="shared" si="0"/>
        <v/>
      </c>
      <c r="C25" s="715"/>
      <c r="D25" s="712"/>
      <c r="E25" s="713"/>
      <c r="F25" s="713"/>
      <c r="G25" s="713"/>
      <c r="H25" s="714"/>
      <c r="I25" s="871"/>
      <c r="J25" s="871"/>
      <c r="K25" s="871"/>
      <c r="L25" s="312"/>
      <c r="M25" s="312"/>
      <c r="N25" s="312"/>
      <c r="O25" s="312"/>
      <c r="P25" s="312"/>
      <c r="Q25" s="312"/>
      <c r="R25" s="312"/>
      <c r="S25" s="312"/>
      <c r="T25" s="312"/>
      <c r="U25" s="312"/>
      <c r="V25" s="312"/>
      <c r="W25" s="312"/>
      <c r="X25" s="312"/>
      <c r="Y25" s="312"/>
      <c r="Z25" s="312"/>
      <c r="AA25" s="312"/>
      <c r="AB25" s="312"/>
      <c r="AC25" s="312"/>
      <c r="AD25" s="312"/>
      <c r="AE25" s="312"/>
      <c r="AF25" s="312"/>
    </row>
    <row r="26" spans="1:32" ht="14.25" customHeight="1">
      <c r="A26" s="425" t="s">
        <v>8859</v>
      </c>
      <c r="B26" s="389" t="str">
        <f t="shared" si="0"/>
        <v/>
      </c>
      <c r="C26" s="715"/>
      <c r="D26" s="712"/>
      <c r="E26" s="713"/>
      <c r="F26" s="713"/>
      <c r="G26" s="713"/>
      <c r="H26" s="714"/>
      <c r="I26" s="871"/>
      <c r="J26" s="871"/>
      <c r="K26" s="871"/>
      <c r="L26" s="312"/>
      <c r="M26" s="312"/>
      <c r="N26" s="312"/>
      <c r="O26" s="312"/>
      <c r="P26" s="312"/>
      <c r="Q26" s="312"/>
      <c r="R26" s="312"/>
      <c r="S26" s="312"/>
      <c r="T26" s="312"/>
      <c r="U26" s="312"/>
      <c r="V26" s="312"/>
      <c r="W26" s="312"/>
      <c r="X26" s="312"/>
      <c r="Y26" s="312"/>
      <c r="Z26" s="312"/>
      <c r="AA26" s="312"/>
      <c r="AB26" s="312"/>
      <c r="AC26" s="312"/>
      <c r="AD26" s="312"/>
      <c r="AE26" s="312"/>
      <c r="AF26" s="312"/>
    </row>
    <row r="27" spans="1:32" ht="15" thickBot="1">
      <c r="A27" s="415" t="s">
        <v>8860</v>
      </c>
      <c r="B27" s="501" t="str">
        <f t="shared" si="0"/>
        <v/>
      </c>
      <c r="C27" s="716"/>
      <c r="D27" s="712"/>
      <c r="E27" s="713"/>
      <c r="F27" s="713"/>
      <c r="G27" s="713"/>
      <c r="H27" s="714"/>
      <c r="I27" s="871"/>
      <c r="J27" s="871"/>
      <c r="K27" s="871"/>
      <c r="L27" s="192" t="s">
        <v>8861</v>
      </c>
      <c r="M27" s="312"/>
      <c r="N27" s="312"/>
      <c r="O27" s="312"/>
      <c r="P27" s="312"/>
      <c r="Q27" s="312"/>
      <c r="R27" s="312"/>
      <c r="S27" s="312"/>
      <c r="T27" s="312"/>
      <c r="U27" s="312"/>
      <c r="V27" s="312"/>
      <c r="W27" s="312"/>
      <c r="X27" s="312"/>
      <c r="Y27" s="312"/>
      <c r="Z27" s="312"/>
      <c r="AA27" s="312"/>
      <c r="AB27" s="312"/>
      <c r="AC27" s="312"/>
      <c r="AD27" s="312"/>
      <c r="AE27" s="312"/>
      <c r="AF27" s="312"/>
    </row>
    <row r="28" spans="1:32" s="312" customFormat="1">
      <c r="A28" s="509" t="s">
        <v>8862</v>
      </c>
      <c r="B28" s="510">
        <f>SUM(B21,B23,B24:B27)</f>
        <v>0</v>
      </c>
      <c r="C28" s="233"/>
      <c r="D28" s="504"/>
      <c r="E28" s="504"/>
      <c r="F28" s="504"/>
      <c r="G28" s="504"/>
      <c r="H28" s="504"/>
      <c r="I28" s="233"/>
      <c r="J28" s="233"/>
      <c r="K28" s="233"/>
      <c r="L28" s="192"/>
    </row>
    <row r="29" spans="1:32" s="319" customFormat="1" ht="7.05" customHeight="1">
      <c r="A29" s="502"/>
      <c r="B29" s="503"/>
      <c r="C29" s="233"/>
      <c r="D29" s="504"/>
      <c r="E29" s="504"/>
      <c r="F29" s="504"/>
      <c r="G29" s="504"/>
      <c r="H29" s="504"/>
      <c r="I29" s="233"/>
      <c r="J29" s="233"/>
      <c r="K29" s="233"/>
      <c r="L29" s="505"/>
    </row>
    <row r="30" spans="1:32">
      <c r="A30" s="198" t="s">
        <v>8863</v>
      </c>
      <c r="B30" s="317"/>
      <c r="C30" s="312"/>
      <c r="D30" s="312"/>
      <c r="E30" s="312"/>
      <c r="F30" s="312"/>
      <c r="G30" s="312"/>
      <c r="H30" s="312"/>
      <c r="I30" s="312"/>
      <c r="J30" s="312"/>
      <c r="K30" s="312"/>
      <c r="L30" s="312"/>
      <c r="M30" s="312"/>
      <c r="N30" s="312"/>
      <c r="O30" s="312"/>
      <c r="P30" s="312"/>
      <c r="Q30" s="312"/>
      <c r="R30" s="312"/>
      <c r="S30" s="312"/>
      <c r="T30" s="312"/>
      <c r="U30" s="312"/>
      <c r="V30" s="312"/>
      <c r="W30" s="312"/>
      <c r="X30" s="312"/>
      <c r="Y30" s="312"/>
      <c r="Z30" s="312"/>
      <c r="AA30" s="312"/>
      <c r="AB30" s="312"/>
      <c r="AC30" s="312"/>
      <c r="AD30" s="312"/>
      <c r="AE30" s="312"/>
      <c r="AF30" s="312"/>
    </row>
    <row r="31" spans="1:32">
      <c r="A31" s="416" t="s">
        <v>8864</v>
      </c>
      <c r="B31" s="317"/>
      <c r="C31" s="312"/>
      <c r="D31" s="312"/>
      <c r="E31" s="312"/>
      <c r="F31" s="312"/>
      <c r="G31" s="312"/>
      <c r="H31" s="312"/>
      <c r="I31" s="312"/>
      <c r="J31" s="312"/>
      <c r="K31" s="312"/>
      <c r="L31" s="312"/>
      <c r="M31" s="312"/>
      <c r="N31" s="312"/>
      <c r="O31" s="312"/>
      <c r="P31" s="312"/>
      <c r="Q31" s="312"/>
      <c r="R31" s="312"/>
      <c r="S31" s="312"/>
      <c r="T31" s="312"/>
      <c r="U31" s="312"/>
      <c r="V31" s="312"/>
      <c r="W31" s="312"/>
      <c r="X31" s="312"/>
      <c r="Y31" s="312"/>
      <c r="Z31" s="312"/>
      <c r="AA31" s="312"/>
      <c r="AB31" s="312"/>
      <c r="AC31" s="312"/>
      <c r="AD31" s="312"/>
      <c r="AE31" s="312"/>
      <c r="AF31" s="312"/>
    </row>
    <row r="32" spans="1:32" s="312" customFormat="1">
      <c r="A32" s="317"/>
      <c r="B32" s="317"/>
    </row>
    <row r="33" spans="1:32" s="312" customFormat="1" ht="15" thickBot="1">
      <c r="A33" s="198" t="s">
        <v>8865</v>
      </c>
      <c r="B33" s="317"/>
    </row>
    <row r="34" spans="1:32" s="352" customFormat="1" ht="35.1" customHeight="1" thickBot="1">
      <c r="A34" s="353" t="s">
        <v>8866</v>
      </c>
      <c r="B34" s="353"/>
      <c r="C34" s="579"/>
      <c r="D34" s="579"/>
      <c r="E34" s="579"/>
      <c r="F34" s="579"/>
      <c r="G34" s="579"/>
      <c r="H34" s="353"/>
      <c r="I34" s="353"/>
      <c r="J34" s="353"/>
      <c r="K34" s="353"/>
      <c r="L34" s="353"/>
      <c r="M34" s="353"/>
      <c r="N34" s="353"/>
      <c r="O34" s="353"/>
      <c r="P34" s="353"/>
      <c r="Q34" s="353"/>
      <c r="R34" s="580"/>
      <c r="S34" s="580"/>
      <c r="T34" s="580"/>
      <c r="U34" s="580"/>
      <c r="V34" s="580"/>
      <c r="W34" s="580"/>
      <c r="X34" s="580"/>
      <c r="Y34" s="580"/>
      <c r="Z34" s="580"/>
      <c r="AA34" s="580"/>
      <c r="AB34" s="580"/>
      <c r="AC34" s="580"/>
      <c r="AD34" s="580"/>
      <c r="AE34" s="580"/>
      <c r="AF34" s="580"/>
    </row>
    <row r="35" spans="1:32" s="12" customFormat="1" ht="43.35" customHeight="1" outlineLevel="1">
      <c r="A35" s="170" t="s">
        <v>8867</v>
      </c>
      <c r="B35" s="388" t="s">
        <v>8868</v>
      </c>
      <c r="C35" s="213" t="s">
        <v>8869</v>
      </c>
      <c r="D35" s="214" t="s">
        <v>8848</v>
      </c>
      <c r="E35" s="214" t="s">
        <v>8870</v>
      </c>
      <c r="F35" s="214" t="s">
        <v>8850</v>
      </c>
      <c r="G35" s="214" t="s">
        <v>8851</v>
      </c>
      <c r="H35" s="215" t="s">
        <v>8852</v>
      </c>
      <c r="I35" s="213" t="s">
        <v>8871</v>
      </c>
      <c r="J35" s="216" t="s">
        <v>8848</v>
      </c>
      <c r="K35" s="214" t="s">
        <v>8870</v>
      </c>
      <c r="L35" s="214" t="s">
        <v>8850</v>
      </c>
      <c r="M35" s="214" t="s">
        <v>8851</v>
      </c>
      <c r="N35" s="215" t="s">
        <v>8852</v>
      </c>
      <c r="O35" s="870" t="s">
        <v>8532</v>
      </c>
      <c r="P35" s="870"/>
      <c r="Q35" s="870"/>
      <c r="AF35" s="103"/>
    </row>
    <row r="36" spans="1:32" outlineLevel="1">
      <c r="A36" s="426" t="s">
        <v>8872</v>
      </c>
      <c r="B36" s="488" t="e">
        <f>(((C36*'openEPD_units &amp; conversions'!$G$29)/$C$10)*((GEN_EPD!$C$74/1000)*'openEPD_units &amp; conversions'!$J$17))+((I36/0.026)/$C$10)*((GEN_EPD!$C$74/1000)*'openEPD_units &amp; conversions'!$J$17)</f>
        <v>#VALUE!</v>
      </c>
      <c r="C36" s="717"/>
      <c r="D36" s="718"/>
      <c r="E36" s="719" t="str">
        <f>IF(OR($D36="Logarithmic normal distribution",$D36="Normal distribution"),"enter standard deviation","N/A")</f>
        <v>N/A</v>
      </c>
      <c r="F36" s="719" t="str">
        <f>IF(OR($D36="Triangle distribution",$D36="Uniform distribution"),"enter minimum value","N/A")</f>
        <v>N/A</v>
      </c>
      <c r="G36" s="719" t="str">
        <f>IF(OR($D36="Triangle distribution",$D36="Uniform distribution"),"enter maximum value","N/A")</f>
        <v>N/A</v>
      </c>
      <c r="H36" s="720"/>
      <c r="I36" s="717"/>
      <c r="J36" s="721"/>
      <c r="K36" s="719" t="str">
        <f>IF(OR($J36="Logarithmic normal distribution",$J36="Normal distribution"),"enter standard deviation","N/A")</f>
        <v>N/A</v>
      </c>
      <c r="L36" s="719" t="str">
        <f>IF(OR($J36="Triangle distribution",$J36="Uniform distribution"),"enter minimum value","N/A")</f>
        <v>N/A</v>
      </c>
      <c r="M36" s="719" t="str">
        <f>IF(OR($J36="Triangle distribution",$J36="Uniform distribution"),"enter maximum value","N/A")</f>
        <v>N/A</v>
      </c>
      <c r="N36" s="720"/>
      <c r="O36" s="871"/>
      <c r="P36" s="871"/>
      <c r="Q36" s="871"/>
      <c r="R36" s="312"/>
      <c r="S36" s="312"/>
      <c r="T36" s="312"/>
      <c r="U36" s="312"/>
      <c r="V36" s="312"/>
      <c r="W36" s="312"/>
      <c r="X36" s="312"/>
      <c r="Y36" s="312"/>
      <c r="Z36" s="312"/>
      <c r="AA36" s="312"/>
      <c r="AB36" s="312"/>
      <c r="AC36" s="312"/>
      <c r="AD36" s="312"/>
      <c r="AE36" s="312"/>
      <c r="AF36" s="312"/>
    </row>
    <row r="37" spans="1:32" outlineLevel="1">
      <c r="A37" s="426" t="s">
        <v>8873</v>
      </c>
      <c r="B37" s="488" t="e">
        <f>(((C37*'openEPD_units &amp; conversions'!$G$29)/$C$10)*((GEN_EPD!$C$74/1000)*'openEPD_units &amp; conversions'!$J$17))+((I37/0.026)/$C$10)*((GEN_EPD!$C$74/1000)*'openEPD_units &amp; conversions'!$J$17)</f>
        <v>#VALUE!</v>
      </c>
      <c r="C37" s="717"/>
      <c r="D37" s="718"/>
      <c r="E37" s="719" t="str">
        <f>IF(OR($D37="Logarithmic normal distribution",$D37="Normal distribution"),"enter standard deviation","N/A")</f>
        <v>N/A</v>
      </c>
      <c r="F37" s="719" t="str">
        <f t="shared" ref="F37:F44" si="1">IF(OR($D37="Triangle distribution",$D37="Uniform distribution"),"enter minimum value","N/A")</f>
        <v>N/A</v>
      </c>
      <c r="G37" s="719" t="str">
        <f t="shared" ref="G37:G44" si="2">IF(OR($D37="Triangle distribution",$D37="Uniform distribution"),"enter maximum value","N/A")</f>
        <v>N/A</v>
      </c>
      <c r="H37" s="720"/>
      <c r="I37" s="717"/>
      <c r="J37" s="721"/>
      <c r="K37" s="719" t="str">
        <f t="shared" ref="K37:K44" si="3">IF(OR($D37="Logarithmic normal distribution",$D37="Normal distribution"),"enter standard deviation","N/A")</f>
        <v>N/A</v>
      </c>
      <c r="L37" s="719" t="str">
        <f t="shared" ref="L37:L44" si="4">IF(OR($J37="Triangle distribution",$J37="Uniform distribution"),"enter minimum value","N/A")</f>
        <v>N/A</v>
      </c>
      <c r="M37" s="719" t="str">
        <f t="shared" ref="M37:M44" si="5">IF(OR($J37="Triangle distribution",$J37="Uniform distribution"),"enter maximum value","N/A")</f>
        <v>N/A</v>
      </c>
      <c r="N37" s="720"/>
      <c r="O37" s="871"/>
      <c r="P37" s="871"/>
      <c r="Q37" s="871"/>
      <c r="R37" s="312"/>
      <c r="S37" s="312"/>
      <c r="T37" s="312"/>
      <c r="U37" s="312"/>
      <c r="V37" s="312"/>
      <c r="W37" s="312"/>
      <c r="X37" s="312"/>
      <c r="Y37" s="312"/>
      <c r="Z37" s="312"/>
      <c r="AA37" s="312"/>
      <c r="AB37" s="312"/>
      <c r="AC37" s="312"/>
      <c r="AD37" s="312"/>
      <c r="AE37" s="312"/>
      <c r="AF37" s="312"/>
    </row>
    <row r="38" spans="1:32" outlineLevel="1">
      <c r="A38" s="426" t="s">
        <v>8874</v>
      </c>
      <c r="B38" s="488" t="e">
        <f>(((C38*'openEPD_units &amp; conversions'!$G$29)/$C$10)*((GEN_EPD!$C$74/1000)*'openEPD_units &amp; conversions'!$J$17))+((I38/0.026)/$C$10)*((GEN_EPD!$C$74/1000)*'openEPD_units &amp; conversions'!$J$17)</f>
        <v>#VALUE!</v>
      </c>
      <c r="C38" s="717"/>
      <c r="D38" s="718"/>
      <c r="E38" s="719" t="str">
        <f t="shared" ref="E38:E44" si="6">IF(OR($D38="Logarithmic normal distribution",$D38="Normal distribution"),"enter standard deviation","N/A")</f>
        <v>N/A</v>
      </c>
      <c r="F38" s="719" t="str">
        <f t="shared" si="1"/>
        <v>N/A</v>
      </c>
      <c r="G38" s="719" t="str">
        <f t="shared" si="2"/>
        <v>N/A</v>
      </c>
      <c r="H38" s="720"/>
      <c r="I38" s="717"/>
      <c r="J38" s="721"/>
      <c r="K38" s="719" t="str">
        <f t="shared" si="3"/>
        <v>N/A</v>
      </c>
      <c r="L38" s="719" t="str">
        <f t="shared" si="4"/>
        <v>N/A</v>
      </c>
      <c r="M38" s="719" t="str">
        <f t="shared" si="5"/>
        <v>N/A</v>
      </c>
      <c r="N38" s="720"/>
      <c r="O38" s="871"/>
      <c r="P38" s="871"/>
      <c r="Q38" s="871"/>
      <c r="R38" s="312"/>
      <c r="S38" s="312"/>
      <c r="T38" s="312"/>
      <c r="U38" s="312"/>
      <c r="V38" s="312"/>
      <c r="W38" s="312"/>
      <c r="X38" s="312"/>
      <c r="Y38" s="312"/>
      <c r="Z38" s="312"/>
      <c r="AA38" s="312"/>
      <c r="AB38" s="312"/>
      <c r="AC38" s="312"/>
      <c r="AD38" s="312"/>
      <c r="AE38" s="312"/>
      <c r="AF38" s="312"/>
    </row>
    <row r="39" spans="1:32" outlineLevel="1">
      <c r="A39" s="426" t="s">
        <v>8875</v>
      </c>
      <c r="B39" s="488" t="e">
        <f>(((C39*'openEPD_units &amp; conversions'!$G$29)/$C$10)*((GEN_EPD!$C$74/1000)*'openEPD_units &amp; conversions'!$J$17))+((I39/0.026)/$C$10)*((GEN_EPD!$C$74/1000)*'openEPD_units &amp; conversions'!$J$17)</f>
        <v>#VALUE!</v>
      </c>
      <c r="C39" s="717"/>
      <c r="D39" s="718"/>
      <c r="E39" s="719" t="str">
        <f t="shared" si="6"/>
        <v>N/A</v>
      </c>
      <c r="F39" s="719" t="str">
        <f t="shared" si="1"/>
        <v>N/A</v>
      </c>
      <c r="G39" s="719" t="str">
        <f t="shared" si="2"/>
        <v>N/A</v>
      </c>
      <c r="H39" s="720"/>
      <c r="I39" s="717"/>
      <c r="J39" s="721"/>
      <c r="K39" s="719" t="str">
        <f t="shared" si="3"/>
        <v>N/A</v>
      </c>
      <c r="L39" s="719" t="str">
        <f t="shared" si="4"/>
        <v>N/A</v>
      </c>
      <c r="M39" s="719" t="str">
        <f t="shared" si="5"/>
        <v>N/A</v>
      </c>
      <c r="N39" s="720"/>
      <c r="O39" s="871"/>
      <c r="P39" s="871"/>
      <c r="Q39" s="871"/>
      <c r="R39" s="312"/>
      <c r="S39" s="312"/>
      <c r="T39" s="312"/>
      <c r="U39" s="312"/>
      <c r="V39" s="312"/>
      <c r="W39" s="312"/>
      <c r="X39" s="312"/>
      <c r="Y39" s="312"/>
      <c r="Z39" s="312"/>
      <c r="AA39" s="312"/>
      <c r="AB39" s="312"/>
      <c r="AC39" s="312"/>
      <c r="AD39" s="312"/>
      <c r="AE39" s="312"/>
      <c r="AF39" s="312"/>
    </row>
    <row r="40" spans="1:32" outlineLevel="1">
      <c r="A40" s="426" t="s">
        <v>8876</v>
      </c>
      <c r="B40" s="488" t="e">
        <f>(((C40*'openEPD_units &amp; conversions'!$G$29)/$C$10)*((GEN_EPD!$C$74/1000)*'openEPD_units &amp; conversions'!$J$17))+((I40/0.026)/$C$10)*((GEN_EPD!$C$74/1000)*'openEPD_units &amp; conversions'!$J$17)</f>
        <v>#VALUE!</v>
      </c>
      <c r="C40" s="717"/>
      <c r="D40" s="718"/>
      <c r="E40" s="719" t="str">
        <f t="shared" si="6"/>
        <v>N/A</v>
      </c>
      <c r="F40" s="719" t="str">
        <f t="shared" si="1"/>
        <v>N/A</v>
      </c>
      <c r="G40" s="719" t="str">
        <f t="shared" si="2"/>
        <v>N/A</v>
      </c>
      <c r="H40" s="720"/>
      <c r="I40" s="717"/>
      <c r="J40" s="721"/>
      <c r="K40" s="719" t="str">
        <f t="shared" si="3"/>
        <v>N/A</v>
      </c>
      <c r="L40" s="719" t="str">
        <f t="shared" si="4"/>
        <v>N/A</v>
      </c>
      <c r="M40" s="719" t="str">
        <f t="shared" si="5"/>
        <v>N/A</v>
      </c>
      <c r="N40" s="720"/>
      <c r="O40" s="871"/>
      <c r="P40" s="871"/>
      <c r="Q40" s="871"/>
      <c r="R40" s="312"/>
      <c r="S40" s="312"/>
      <c r="T40" s="312"/>
      <c r="U40" s="312"/>
      <c r="V40" s="312"/>
      <c r="W40" s="312"/>
      <c r="X40" s="312"/>
      <c r="Y40" s="312"/>
      <c r="Z40" s="312"/>
      <c r="AA40" s="312"/>
      <c r="AB40" s="312"/>
      <c r="AC40" s="312"/>
      <c r="AD40" s="312"/>
      <c r="AE40" s="312"/>
      <c r="AF40" s="312"/>
    </row>
    <row r="41" spans="1:32" outlineLevel="1">
      <c r="A41" s="426" t="s">
        <v>8877</v>
      </c>
      <c r="B41" s="488" t="e">
        <f>(((C41*'openEPD_units &amp; conversions'!$G$29)/$C$10)*((GEN_EPD!$C$74/1000)*'openEPD_units &amp; conversions'!$J$17))+((I41/0.026)/$C$10)*((GEN_EPD!$C$74/1000)*'openEPD_units &amp; conversions'!$J$17)</f>
        <v>#VALUE!</v>
      </c>
      <c r="C41" s="717"/>
      <c r="D41" s="718"/>
      <c r="E41" s="719" t="str">
        <f t="shared" si="6"/>
        <v>N/A</v>
      </c>
      <c r="F41" s="719" t="str">
        <f t="shared" si="1"/>
        <v>N/A</v>
      </c>
      <c r="G41" s="719" t="str">
        <f t="shared" si="2"/>
        <v>N/A</v>
      </c>
      <c r="H41" s="720"/>
      <c r="I41" s="717"/>
      <c r="J41" s="721"/>
      <c r="K41" s="719" t="str">
        <f t="shared" si="3"/>
        <v>N/A</v>
      </c>
      <c r="L41" s="719" t="str">
        <f t="shared" si="4"/>
        <v>N/A</v>
      </c>
      <c r="M41" s="719" t="str">
        <f t="shared" si="5"/>
        <v>N/A</v>
      </c>
      <c r="N41" s="720"/>
      <c r="O41" s="871"/>
      <c r="P41" s="871"/>
      <c r="Q41" s="871"/>
      <c r="R41" s="312"/>
      <c r="S41" s="312"/>
      <c r="T41" s="312"/>
      <c r="U41" s="312"/>
      <c r="V41" s="312"/>
      <c r="W41" s="312"/>
      <c r="X41" s="312"/>
      <c r="Y41" s="312"/>
      <c r="Z41" s="312"/>
      <c r="AA41" s="312"/>
      <c r="AB41" s="312"/>
      <c r="AC41" s="312"/>
      <c r="AD41" s="312"/>
      <c r="AE41" s="312"/>
      <c r="AF41" s="312"/>
    </row>
    <row r="42" spans="1:32" outlineLevel="1">
      <c r="A42" s="427" t="s">
        <v>8878</v>
      </c>
      <c r="B42" s="488" t="e">
        <f>(((C42*'openEPD_units &amp; conversions'!$G$29)/$C$10)*((GEN_EPD!$C$74/1000)*'openEPD_units &amp; conversions'!$J$17))+((I42/0.026)/$C$10)*((GEN_EPD!$C$74/1000)*'openEPD_units &amp; conversions'!$J$17)</f>
        <v>#VALUE!</v>
      </c>
      <c r="C42" s="717"/>
      <c r="D42" s="718"/>
      <c r="E42" s="719" t="str">
        <f t="shared" si="6"/>
        <v>N/A</v>
      </c>
      <c r="F42" s="719" t="str">
        <f t="shared" si="1"/>
        <v>N/A</v>
      </c>
      <c r="G42" s="719" t="str">
        <f t="shared" si="2"/>
        <v>N/A</v>
      </c>
      <c r="H42" s="720"/>
      <c r="I42" s="717"/>
      <c r="J42" s="721"/>
      <c r="K42" s="719" t="str">
        <f t="shared" si="3"/>
        <v>N/A</v>
      </c>
      <c r="L42" s="719" t="str">
        <f t="shared" si="4"/>
        <v>N/A</v>
      </c>
      <c r="M42" s="719" t="str">
        <f t="shared" si="5"/>
        <v>N/A</v>
      </c>
      <c r="N42" s="720"/>
      <c r="O42" s="871"/>
      <c r="P42" s="871"/>
      <c r="Q42" s="871"/>
      <c r="R42" s="312"/>
      <c r="S42" s="312"/>
      <c r="T42" s="312"/>
      <c r="U42" s="312"/>
      <c r="V42" s="312"/>
      <c r="W42" s="312"/>
      <c r="X42" s="312"/>
      <c r="Y42" s="312"/>
      <c r="Z42" s="312"/>
      <c r="AA42" s="312"/>
      <c r="AB42" s="312"/>
      <c r="AC42" s="312"/>
      <c r="AD42" s="312"/>
      <c r="AE42" s="312"/>
      <c r="AF42" s="312"/>
    </row>
    <row r="43" spans="1:32" outlineLevel="1">
      <c r="A43" s="427" t="s">
        <v>8879</v>
      </c>
      <c r="B43" s="488" t="e">
        <f>(((C43*'openEPD_units &amp; conversions'!$G$29)/$C$10)*((GEN_EPD!$C$74/1000)*'openEPD_units &amp; conversions'!$J$17))+((I43/0.026)/$C$10)*((GEN_EPD!$C$74/1000)*'openEPD_units &amp; conversions'!$J$17)</f>
        <v>#VALUE!</v>
      </c>
      <c r="C43" s="717"/>
      <c r="D43" s="718"/>
      <c r="E43" s="719" t="str">
        <f t="shared" si="6"/>
        <v>N/A</v>
      </c>
      <c r="F43" s="719" t="str">
        <f t="shared" si="1"/>
        <v>N/A</v>
      </c>
      <c r="G43" s="719" t="str">
        <f t="shared" si="2"/>
        <v>N/A</v>
      </c>
      <c r="H43" s="720"/>
      <c r="I43" s="717"/>
      <c r="J43" s="721"/>
      <c r="K43" s="719" t="str">
        <f t="shared" si="3"/>
        <v>N/A</v>
      </c>
      <c r="L43" s="719" t="str">
        <f t="shared" si="4"/>
        <v>N/A</v>
      </c>
      <c r="M43" s="719" t="str">
        <f t="shared" si="5"/>
        <v>N/A</v>
      </c>
      <c r="N43" s="720"/>
      <c r="O43" s="871"/>
      <c r="P43" s="871"/>
      <c r="Q43" s="871"/>
      <c r="R43" s="312"/>
      <c r="S43" s="312"/>
      <c r="T43" s="312"/>
      <c r="U43" s="312"/>
      <c r="V43" s="312"/>
      <c r="W43" s="312"/>
      <c r="X43" s="312"/>
      <c r="Y43" s="312"/>
      <c r="Z43" s="312"/>
      <c r="AA43" s="312"/>
      <c r="AB43" s="312"/>
      <c r="AC43" s="312"/>
      <c r="AD43" s="312"/>
      <c r="AE43" s="312"/>
      <c r="AF43" s="312"/>
    </row>
    <row r="44" spans="1:32" ht="15" outlineLevel="1" thickBot="1">
      <c r="A44" s="427" t="s">
        <v>8880</v>
      </c>
      <c r="B44" s="488" t="e">
        <f>(((C44*'openEPD_units &amp; conversions'!$G$29)/$C$10)*((GEN_EPD!$C$74/1000)*'openEPD_units &amp; conversions'!$J$17))+((I44/0.026)/$C$10)*((GEN_EPD!$C$74/1000)*'openEPD_units &amp; conversions'!$J$17)</f>
        <v>#VALUE!</v>
      </c>
      <c r="C44" s="722"/>
      <c r="D44" s="723"/>
      <c r="E44" s="724" t="str">
        <f t="shared" si="6"/>
        <v>N/A</v>
      </c>
      <c r="F44" s="724" t="str">
        <f t="shared" si="1"/>
        <v>N/A</v>
      </c>
      <c r="G44" s="724" t="str">
        <f t="shared" si="2"/>
        <v>N/A</v>
      </c>
      <c r="H44" s="725"/>
      <c r="I44" s="722"/>
      <c r="J44" s="726"/>
      <c r="K44" s="724" t="str">
        <f t="shared" si="3"/>
        <v>N/A</v>
      </c>
      <c r="L44" s="724" t="str">
        <f t="shared" si="4"/>
        <v>N/A</v>
      </c>
      <c r="M44" s="724" t="str">
        <f t="shared" si="5"/>
        <v>N/A</v>
      </c>
      <c r="N44" s="725"/>
      <c r="O44" s="871"/>
      <c r="P44" s="871"/>
      <c r="Q44" s="871"/>
      <c r="R44" s="312"/>
      <c r="S44" s="312"/>
      <c r="T44" s="312"/>
      <c r="U44" s="312"/>
      <c r="V44" s="312"/>
      <c r="W44" s="312"/>
      <c r="X44" s="312"/>
      <c r="Y44" s="312"/>
      <c r="Z44" s="312"/>
      <c r="AA44" s="312"/>
      <c r="AB44" s="312"/>
      <c r="AC44" s="312"/>
      <c r="AD44" s="312"/>
      <c r="AE44" s="312"/>
      <c r="AF44" s="312"/>
    </row>
    <row r="45" spans="1:32">
      <c r="A45" s="509" t="s">
        <v>8862</v>
      </c>
      <c r="B45" s="510" t="e">
        <f>SUM(B36:B44)</f>
        <v>#VALUE!</v>
      </c>
      <c r="C45" s="312"/>
      <c r="D45" s="312"/>
      <c r="E45" s="312"/>
      <c r="F45" s="312"/>
      <c r="G45" s="312"/>
      <c r="H45" s="312"/>
      <c r="I45" s="312"/>
      <c r="J45" s="312"/>
      <c r="K45" s="312"/>
      <c r="L45" s="312"/>
      <c r="M45" s="312"/>
      <c r="N45" s="312"/>
      <c r="O45" s="312"/>
      <c r="P45" s="312"/>
      <c r="Q45" s="312"/>
      <c r="R45" s="312"/>
      <c r="S45" s="312"/>
      <c r="T45" s="312"/>
      <c r="U45" s="312"/>
      <c r="V45" s="312"/>
      <c r="W45" s="312"/>
      <c r="X45" s="312"/>
      <c r="Y45" s="312"/>
      <c r="Z45" s="312"/>
      <c r="AA45" s="312"/>
      <c r="AB45" s="312"/>
      <c r="AC45" s="312"/>
      <c r="AD45" s="312"/>
      <c r="AE45" s="312"/>
      <c r="AF45" s="312"/>
    </row>
    <row r="46" spans="1:32" ht="15" thickBot="1">
      <c r="A46" s="312"/>
      <c r="C46" s="312"/>
      <c r="D46" s="312"/>
      <c r="E46" s="312"/>
      <c r="F46" s="312"/>
      <c r="G46" s="312"/>
      <c r="H46" s="312"/>
      <c r="I46" s="312"/>
      <c r="J46" s="312"/>
      <c r="K46" s="312"/>
      <c r="L46" s="312"/>
      <c r="M46" s="312"/>
      <c r="N46" s="312"/>
      <c r="O46" s="312"/>
      <c r="P46" s="312"/>
      <c r="Q46" s="312"/>
      <c r="R46" s="312"/>
      <c r="S46" s="312"/>
      <c r="T46" s="312"/>
      <c r="U46" s="312"/>
      <c r="V46" s="312"/>
      <c r="W46" s="312"/>
      <c r="X46" s="312"/>
      <c r="Y46" s="312"/>
      <c r="Z46" s="312"/>
      <c r="AA46" s="312"/>
      <c r="AB46" s="312"/>
      <c r="AC46" s="312"/>
      <c r="AD46" s="312"/>
      <c r="AE46" s="312"/>
      <c r="AF46" s="312"/>
    </row>
    <row r="47" spans="1:32" s="352" customFormat="1" ht="40.049999999999997" customHeight="1" thickBot="1">
      <c r="A47" s="353" t="s">
        <v>10923</v>
      </c>
      <c r="B47" s="353"/>
      <c r="C47" s="579"/>
      <c r="D47" s="579"/>
      <c r="E47" s="579"/>
      <c r="F47" s="579"/>
      <c r="G47" s="579"/>
      <c r="H47" s="353"/>
      <c r="I47" s="874" t="s">
        <v>8881</v>
      </c>
      <c r="J47" s="874"/>
      <c r="K47" s="874"/>
      <c r="L47" s="874"/>
      <c r="M47" s="874"/>
      <c r="N47" s="874"/>
      <c r="O47" s="874"/>
      <c r="P47" s="874"/>
      <c r="Q47" s="874"/>
      <c r="R47" s="580"/>
      <c r="S47" s="580"/>
      <c r="T47" s="580"/>
      <c r="U47" s="580"/>
      <c r="V47" s="580"/>
      <c r="W47" s="580"/>
      <c r="X47" s="580"/>
      <c r="Y47" s="580"/>
      <c r="Z47" s="580"/>
      <c r="AA47" s="580"/>
      <c r="AB47" s="580"/>
      <c r="AC47" s="580"/>
      <c r="AD47" s="580"/>
      <c r="AE47" s="580"/>
      <c r="AF47" s="580"/>
    </row>
    <row r="48" spans="1:32" s="172" customFormat="1" ht="19.5" customHeight="1" thickBot="1">
      <c r="A48" s="171"/>
      <c r="B48" s="171"/>
      <c r="C48" s="171"/>
      <c r="D48" s="171"/>
      <c r="E48" s="171"/>
      <c r="F48" s="171"/>
      <c r="G48" s="171"/>
      <c r="H48" s="171"/>
      <c r="I48" s="171"/>
      <c r="J48" s="171"/>
      <c r="K48" s="171"/>
      <c r="L48" s="171"/>
      <c r="M48" s="171"/>
      <c r="N48" s="171"/>
      <c r="O48" s="171"/>
      <c r="P48" s="147"/>
      <c r="Q48" s="147"/>
      <c r="R48" s="171"/>
      <c r="S48" s="171"/>
      <c r="T48" s="171"/>
    </row>
    <row r="49" spans="1:20" s="12" customFormat="1" ht="35.25" customHeight="1">
      <c r="A49" s="170" t="s">
        <v>8882</v>
      </c>
      <c r="B49" s="517" t="s">
        <v>8846</v>
      </c>
      <c r="C49" s="218" t="s">
        <v>8883</v>
      </c>
      <c r="D49" s="214" t="s">
        <v>8848</v>
      </c>
      <c r="E49" s="214" t="s">
        <v>8870</v>
      </c>
      <c r="F49" s="214" t="s">
        <v>8850</v>
      </c>
      <c r="G49" s="214" t="s">
        <v>8851</v>
      </c>
      <c r="H49" s="215" t="s">
        <v>8852</v>
      </c>
      <c r="I49" s="224" t="s">
        <v>8884</v>
      </c>
      <c r="J49" s="515" t="s">
        <v>8885</v>
      </c>
      <c r="K49" s="516" t="s">
        <v>8886</v>
      </c>
      <c r="L49" s="512" t="s">
        <v>8887</v>
      </c>
      <c r="M49" s="513" t="s">
        <v>8886</v>
      </c>
      <c r="N49" s="514" t="s">
        <v>8888</v>
      </c>
      <c r="O49" s="513" t="s">
        <v>8886</v>
      </c>
      <c r="P49" s="219" t="s">
        <v>8532</v>
      </c>
      <c r="Q49" s="105"/>
      <c r="R49" s="167"/>
      <c r="S49" s="168"/>
      <c r="T49" s="169"/>
    </row>
    <row r="50" spans="1:20">
      <c r="A50" s="428">
        <f>GEN_EPD!B3</f>
        <v>0</v>
      </c>
      <c r="B50" s="417" t="e">
        <f>C50/$C$9</f>
        <v>#VALUE!</v>
      </c>
      <c r="C50" s="492" t="e">
        <f>$C$9*$C$6</f>
        <v>#VALUE!</v>
      </c>
      <c r="D50" s="712" t="s">
        <v>8889</v>
      </c>
      <c r="E50" s="713" t="str">
        <f>IF(OR($D50="Logarithmic normal distribution",$D50="Normal distribution"),"enter standard deviation","N/A")</f>
        <v>N/A</v>
      </c>
      <c r="F50" s="713" t="str">
        <f>IF(OR($D50="Triangle distribution",$D50="Uniform distribution"),"enter minimum value","N/A")</f>
        <v>N/A</v>
      </c>
      <c r="G50" s="713" t="str">
        <f>IF(OR($D50="Triangle distribution",$D50="Uniform distribution"),"enter maximum value","N/A")</f>
        <v>N/A</v>
      </c>
      <c r="H50" s="714"/>
      <c r="I50" s="715"/>
      <c r="J50" s="727"/>
      <c r="K50" s="728"/>
      <c r="L50" s="727"/>
      <c r="M50" s="728"/>
      <c r="N50" s="729"/>
      <c r="O50" s="728"/>
      <c r="P50" s="871"/>
      <c r="Q50" s="871"/>
      <c r="R50" s="316"/>
      <c r="S50" s="316"/>
      <c r="T50" s="316"/>
    </row>
    <row r="51" spans="1:20">
      <c r="A51" s="430" t="s">
        <v>8890</v>
      </c>
      <c r="B51" s="417" t="e">
        <f t="shared" ref="B51:B54" si="7">C51/$C$9</f>
        <v>#VALUE!</v>
      </c>
      <c r="C51" s="715"/>
      <c r="D51" s="712" t="s">
        <v>8889</v>
      </c>
      <c r="E51" s="713" t="str">
        <f t="shared" ref="E51:E54" si="8">IF(OR($D51="Logarithmic normal distribution",$D51="Normal distribution"),"enter standard deviation","N/A")</f>
        <v>N/A</v>
      </c>
      <c r="F51" s="713" t="str">
        <f t="shared" ref="F51:F54" si="9">IF(OR($D51="Triangle distribution",$D51="Uniform distribution"),"enter minimum value","N/A")</f>
        <v>N/A</v>
      </c>
      <c r="G51" s="713" t="str">
        <f t="shared" ref="G51:G54" si="10">IF(OR($D51="Triangle distribution",$D51="Uniform distribution"),"enter maximum value","N/A")</f>
        <v>N/A</v>
      </c>
      <c r="H51" s="714"/>
      <c r="I51" s="715"/>
      <c r="J51" s="727"/>
      <c r="K51" s="728"/>
      <c r="L51" s="727"/>
      <c r="M51" s="728"/>
      <c r="N51" s="729"/>
      <c r="O51" s="728"/>
      <c r="P51" s="871"/>
      <c r="Q51" s="871"/>
      <c r="R51" s="192" t="s">
        <v>8891</v>
      </c>
      <c r="S51" s="316"/>
      <c r="T51" s="316"/>
    </row>
    <row r="52" spans="1:20">
      <c r="A52" s="430" t="s">
        <v>8892</v>
      </c>
      <c r="B52" s="417" t="e">
        <f t="shared" si="7"/>
        <v>#VALUE!</v>
      </c>
      <c r="C52" s="715"/>
      <c r="D52" s="712" t="s">
        <v>8889</v>
      </c>
      <c r="E52" s="713" t="str">
        <f t="shared" si="8"/>
        <v>N/A</v>
      </c>
      <c r="F52" s="713" t="str">
        <f t="shared" si="9"/>
        <v>N/A</v>
      </c>
      <c r="G52" s="713" t="str">
        <f t="shared" si="10"/>
        <v>N/A</v>
      </c>
      <c r="H52" s="714"/>
      <c r="I52" s="715"/>
      <c r="J52" s="727"/>
      <c r="K52" s="728"/>
      <c r="L52" s="727"/>
      <c r="M52" s="728"/>
      <c r="N52" s="729"/>
      <c r="O52" s="728"/>
      <c r="P52" s="871"/>
      <c r="Q52" s="871"/>
      <c r="R52" s="192" t="s">
        <v>8891</v>
      </c>
      <c r="S52" s="316"/>
      <c r="T52" s="316"/>
    </row>
    <row r="53" spans="1:20">
      <c r="A53" s="430" t="s">
        <v>8893</v>
      </c>
      <c r="B53" s="417" t="e">
        <f t="shared" si="7"/>
        <v>#VALUE!</v>
      </c>
      <c r="C53" s="715"/>
      <c r="D53" s="712" t="s">
        <v>8889</v>
      </c>
      <c r="E53" s="713" t="str">
        <f t="shared" si="8"/>
        <v>N/A</v>
      </c>
      <c r="F53" s="713" t="str">
        <f t="shared" si="9"/>
        <v>N/A</v>
      </c>
      <c r="G53" s="713" t="str">
        <f t="shared" si="10"/>
        <v>N/A</v>
      </c>
      <c r="H53" s="714"/>
      <c r="I53" s="715"/>
      <c r="J53" s="727"/>
      <c r="K53" s="728"/>
      <c r="L53" s="727"/>
      <c r="M53" s="728"/>
      <c r="N53" s="729"/>
      <c r="O53" s="728"/>
      <c r="P53" s="871"/>
      <c r="Q53" s="871"/>
      <c r="R53" s="192" t="s">
        <v>8891</v>
      </c>
      <c r="S53" s="316"/>
      <c r="T53" s="316"/>
    </row>
    <row r="54" spans="1:20" ht="15" thickBot="1">
      <c r="A54" s="430" t="s">
        <v>8894</v>
      </c>
      <c r="B54" s="417" t="e">
        <f t="shared" si="7"/>
        <v>#VALUE!</v>
      </c>
      <c r="C54" s="716"/>
      <c r="D54" s="712" t="s">
        <v>8889</v>
      </c>
      <c r="E54" s="730" t="str">
        <f t="shared" si="8"/>
        <v>N/A</v>
      </c>
      <c r="F54" s="730" t="str">
        <f t="shared" si="9"/>
        <v>N/A</v>
      </c>
      <c r="G54" s="730" t="str">
        <f t="shared" si="10"/>
        <v>N/A</v>
      </c>
      <c r="H54" s="731"/>
      <c r="I54" s="716"/>
      <c r="J54" s="732"/>
      <c r="K54" s="733"/>
      <c r="L54" s="732"/>
      <c r="M54" s="733"/>
      <c r="N54" s="734"/>
      <c r="O54" s="733"/>
      <c r="P54" s="871"/>
      <c r="Q54" s="871"/>
      <c r="R54" s="192" t="s">
        <v>8891</v>
      </c>
      <c r="S54" s="316"/>
      <c r="T54" s="316"/>
    </row>
    <row r="55" spans="1:20" s="172" customFormat="1" ht="10.199999999999999">
      <c r="A55" s="382" t="s">
        <v>8895</v>
      </c>
      <c r="B55" s="382"/>
      <c r="C55" s="171"/>
      <c r="D55" s="171"/>
      <c r="E55" s="171"/>
      <c r="F55" s="171"/>
      <c r="G55" s="171"/>
      <c r="H55" s="171"/>
      <c r="I55" s="171"/>
      <c r="J55" s="171"/>
      <c r="K55" s="171"/>
      <c r="L55" s="171"/>
      <c r="M55" s="171"/>
      <c r="N55" s="171"/>
      <c r="O55" s="171"/>
      <c r="P55" s="147"/>
      <c r="Q55" s="147"/>
      <c r="R55" s="171"/>
      <c r="S55" s="171"/>
      <c r="T55" s="171"/>
    </row>
    <row r="56" spans="1:20" s="172" customFormat="1" ht="10.199999999999999">
      <c r="A56" s="382" t="s">
        <v>8896</v>
      </c>
      <c r="B56" s="382"/>
      <c r="C56" s="171"/>
      <c r="D56" s="171"/>
      <c r="E56" s="171"/>
      <c r="F56" s="171"/>
      <c r="G56" s="171"/>
      <c r="H56" s="171"/>
      <c r="I56" s="171"/>
      <c r="J56" s="171"/>
      <c r="K56" s="171"/>
      <c r="L56" s="171"/>
      <c r="M56" s="171"/>
      <c r="N56" s="171"/>
      <c r="O56" s="171"/>
      <c r="P56" s="147"/>
      <c r="Q56" s="147"/>
      <c r="R56" s="171"/>
      <c r="S56" s="171"/>
      <c r="T56" s="171"/>
    </row>
    <row r="57" spans="1:20" s="172" customFormat="1" ht="10.199999999999999">
      <c r="A57" s="171"/>
      <c r="B57" s="171"/>
      <c r="C57" s="171"/>
      <c r="D57" s="171"/>
      <c r="E57" s="171"/>
      <c r="F57" s="171"/>
      <c r="G57" s="171"/>
      <c r="H57" s="171"/>
      <c r="I57" s="171"/>
      <c r="J57" s="171"/>
      <c r="K57" s="171"/>
      <c r="L57" s="171"/>
      <c r="M57" s="171"/>
      <c r="N57" s="171"/>
      <c r="O57" s="171"/>
      <c r="P57" s="147"/>
      <c r="Q57" s="147"/>
      <c r="R57" s="171"/>
      <c r="S57" s="171"/>
      <c r="T57" s="171"/>
    </row>
    <row r="58" spans="1:20" ht="15" thickBot="1">
      <c r="A58" s="312"/>
      <c r="C58" s="312"/>
      <c r="D58" s="312"/>
      <c r="E58" s="312"/>
      <c r="F58" s="312"/>
      <c r="G58" s="312"/>
      <c r="H58" s="312"/>
      <c r="I58" s="312"/>
      <c r="J58" s="312"/>
      <c r="K58" s="312"/>
      <c r="L58" s="312"/>
      <c r="M58" s="312"/>
      <c r="N58" s="312"/>
      <c r="O58" s="312"/>
      <c r="P58" s="312"/>
      <c r="Q58" s="312"/>
      <c r="R58" s="312"/>
      <c r="S58" s="312"/>
      <c r="T58" s="312"/>
    </row>
    <row r="59" spans="1:20" s="13" customFormat="1" ht="37.5" customHeight="1">
      <c r="A59" s="170" t="s">
        <v>8897</v>
      </c>
      <c r="B59" s="388" t="s">
        <v>8846</v>
      </c>
      <c r="C59" s="220" t="s">
        <v>8883</v>
      </c>
      <c r="D59" s="221" t="s">
        <v>8848</v>
      </c>
      <c r="E59" s="222" t="s">
        <v>8870</v>
      </c>
      <c r="F59" s="222" t="s">
        <v>8850</v>
      </c>
      <c r="G59" s="222" t="s">
        <v>8851</v>
      </c>
      <c r="H59" s="223" t="s">
        <v>8852</v>
      </c>
      <c r="I59" s="224" t="s">
        <v>8884</v>
      </c>
      <c r="J59" s="226" t="s">
        <v>8885</v>
      </c>
      <c r="K59" s="227" t="s">
        <v>8886</v>
      </c>
      <c r="L59" s="226" t="s">
        <v>8887</v>
      </c>
      <c r="M59" s="227" t="s">
        <v>8886</v>
      </c>
      <c r="N59" s="225" t="s">
        <v>8888</v>
      </c>
      <c r="O59" s="227" t="s">
        <v>8886</v>
      </c>
      <c r="P59" s="219" t="s">
        <v>8532</v>
      </c>
      <c r="Q59" s="316"/>
      <c r="R59" s="316"/>
      <c r="S59" s="316"/>
      <c r="T59" s="316"/>
    </row>
    <row r="60" spans="1:20">
      <c r="A60" s="430" t="s">
        <v>8898</v>
      </c>
      <c r="B60" s="417" t="e">
        <f>C60*$C$12/$C$9</f>
        <v>#VALUE!</v>
      </c>
      <c r="C60" s="735"/>
      <c r="D60" s="712" t="s">
        <v>8889</v>
      </c>
      <c r="E60" s="713" t="str">
        <f>IF(OR($D60="Logarithmic normal distribution",$D60="Normal distribution"),"enter standard deviation","N/A")</f>
        <v>N/A</v>
      </c>
      <c r="F60" s="713" t="str">
        <f>IF(OR($D60="Triangle distribution",$D60="Uniform distribution"),"enter minimum value","N/A")</f>
        <v>N/A</v>
      </c>
      <c r="G60" s="713" t="str">
        <f>IF(OR($D60="Triangle distribution",$D60="Uniform distribution"),"enter maximum value","N/A")</f>
        <v>N/A</v>
      </c>
      <c r="H60" s="714"/>
      <c r="I60" s="715"/>
      <c r="J60" s="727"/>
      <c r="K60" s="728"/>
      <c r="L60" s="727"/>
      <c r="M60" s="728"/>
      <c r="N60" s="729"/>
      <c r="O60" s="728"/>
      <c r="P60" s="871"/>
      <c r="Q60" s="871"/>
      <c r="R60" s="316"/>
      <c r="S60" s="316"/>
      <c r="T60" s="316"/>
    </row>
    <row r="61" spans="1:20">
      <c r="A61" s="430" t="s">
        <v>8899</v>
      </c>
      <c r="B61" s="417" t="e">
        <f t="shared" ref="B61:B68" si="11">C61*$C$12/$C$9</f>
        <v>#VALUE!</v>
      </c>
      <c r="C61" s="715"/>
      <c r="D61" s="712" t="s">
        <v>8889</v>
      </c>
      <c r="E61" s="713" t="str">
        <f t="shared" ref="E61:E68" si="12">IF(OR($D61="Logarithmic normal distribution",$D61="Normal distribution"),"enter standard deviation","N/A")</f>
        <v>N/A</v>
      </c>
      <c r="F61" s="713" t="str">
        <f t="shared" ref="F61:F68" si="13">IF(OR($D61="Triangle distribution",$D61="Uniform distribution"),"enter minimum value","N/A")</f>
        <v>N/A</v>
      </c>
      <c r="G61" s="713" t="str">
        <f t="shared" ref="G61:G68" si="14">IF(OR($D61="Triangle distribution",$D61="Uniform distribution"),"enter maximum value","N/A")</f>
        <v>N/A</v>
      </c>
      <c r="H61" s="714"/>
      <c r="I61" s="715"/>
      <c r="J61" s="727"/>
      <c r="K61" s="728"/>
      <c r="L61" s="727"/>
      <c r="M61" s="728"/>
      <c r="N61" s="729"/>
      <c r="O61" s="728"/>
      <c r="P61" s="871"/>
      <c r="Q61" s="871"/>
      <c r="R61" s="316"/>
      <c r="S61" s="316"/>
      <c r="T61" s="316"/>
    </row>
    <row r="62" spans="1:20">
      <c r="A62" s="430" t="s">
        <v>8900</v>
      </c>
      <c r="B62" s="417" t="e">
        <f t="shared" si="11"/>
        <v>#VALUE!</v>
      </c>
      <c r="C62" s="715"/>
      <c r="D62" s="712" t="s">
        <v>8889</v>
      </c>
      <c r="E62" s="713" t="str">
        <f t="shared" si="12"/>
        <v>N/A</v>
      </c>
      <c r="F62" s="713" t="str">
        <f t="shared" si="13"/>
        <v>N/A</v>
      </c>
      <c r="G62" s="713" t="str">
        <f t="shared" si="14"/>
        <v>N/A</v>
      </c>
      <c r="H62" s="714"/>
      <c r="I62" s="715"/>
      <c r="J62" s="727"/>
      <c r="K62" s="728"/>
      <c r="L62" s="727"/>
      <c r="M62" s="728"/>
      <c r="N62" s="729"/>
      <c r="O62" s="728"/>
      <c r="P62" s="871"/>
      <c r="Q62" s="871"/>
      <c r="R62" s="316"/>
      <c r="S62" s="316"/>
      <c r="T62" s="316"/>
    </row>
    <row r="63" spans="1:20">
      <c r="A63" s="430" t="s">
        <v>8901</v>
      </c>
      <c r="B63" s="417" t="e">
        <f t="shared" si="11"/>
        <v>#VALUE!</v>
      </c>
      <c r="C63" s="735"/>
      <c r="D63" s="712" t="s">
        <v>8889</v>
      </c>
      <c r="E63" s="713" t="str">
        <f t="shared" si="12"/>
        <v>N/A</v>
      </c>
      <c r="F63" s="713" t="str">
        <f t="shared" si="13"/>
        <v>N/A</v>
      </c>
      <c r="G63" s="713" t="str">
        <f t="shared" si="14"/>
        <v>N/A</v>
      </c>
      <c r="H63" s="714"/>
      <c r="I63" s="715"/>
      <c r="J63" s="727"/>
      <c r="K63" s="728"/>
      <c r="L63" s="727"/>
      <c r="M63" s="728"/>
      <c r="N63" s="729"/>
      <c r="O63" s="728"/>
      <c r="P63" s="871"/>
      <c r="Q63" s="871"/>
      <c r="R63" s="316"/>
      <c r="S63" s="316"/>
      <c r="T63" s="316"/>
    </row>
    <row r="64" spans="1:20">
      <c r="A64" s="430" t="s">
        <v>8902</v>
      </c>
      <c r="B64" s="417" t="e">
        <f t="shared" si="11"/>
        <v>#VALUE!</v>
      </c>
      <c r="C64" s="715"/>
      <c r="D64" s="712" t="s">
        <v>8889</v>
      </c>
      <c r="E64" s="713" t="str">
        <f t="shared" si="12"/>
        <v>N/A</v>
      </c>
      <c r="F64" s="713" t="str">
        <f t="shared" si="13"/>
        <v>N/A</v>
      </c>
      <c r="G64" s="713" t="str">
        <f t="shared" si="14"/>
        <v>N/A</v>
      </c>
      <c r="H64" s="714"/>
      <c r="I64" s="715"/>
      <c r="J64" s="727"/>
      <c r="K64" s="728"/>
      <c r="L64" s="727"/>
      <c r="M64" s="728"/>
      <c r="N64" s="729"/>
      <c r="O64" s="728"/>
      <c r="P64" s="871"/>
      <c r="Q64" s="871"/>
      <c r="R64" s="316"/>
      <c r="S64" s="316"/>
      <c r="T64" s="316"/>
    </row>
    <row r="65" spans="1:37">
      <c r="A65" s="430" t="s">
        <v>8903</v>
      </c>
      <c r="B65" s="417" t="e">
        <f t="shared" si="11"/>
        <v>#VALUE!</v>
      </c>
      <c r="C65" s="715"/>
      <c r="D65" s="712" t="s">
        <v>8889</v>
      </c>
      <c r="E65" s="713" t="str">
        <f t="shared" si="12"/>
        <v>N/A</v>
      </c>
      <c r="F65" s="713" t="str">
        <f t="shared" si="13"/>
        <v>N/A</v>
      </c>
      <c r="G65" s="713" t="str">
        <f t="shared" si="14"/>
        <v>N/A</v>
      </c>
      <c r="H65" s="714"/>
      <c r="I65" s="715"/>
      <c r="J65" s="727"/>
      <c r="K65" s="728"/>
      <c r="L65" s="727"/>
      <c r="M65" s="728"/>
      <c r="N65" s="729"/>
      <c r="O65" s="728"/>
      <c r="P65" s="871"/>
      <c r="Q65" s="871"/>
      <c r="R65" s="316"/>
      <c r="S65" s="316"/>
      <c r="T65" s="316"/>
      <c r="U65" s="312"/>
      <c r="V65" s="312"/>
      <c r="W65" s="312"/>
      <c r="X65" s="312"/>
      <c r="Y65" s="312"/>
      <c r="Z65" s="312"/>
      <c r="AA65" s="312"/>
      <c r="AB65" s="312"/>
      <c r="AC65" s="312"/>
      <c r="AD65" s="312"/>
      <c r="AE65" s="312"/>
      <c r="AF65" s="312"/>
      <c r="AG65" s="312"/>
      <c r="AH65" s="312"/>
      <c r="AI65" s="312"/>
      <c r="AJ65" s="312"/>
      <c r="AK65" s="312"/>
    </row>
    <row r="66" spans="1:37">
      <c r="A66" s="427" t="s">
        <v>8904</v>
      </c>
      <c r="B66" s="417" t="e">
        <f t="shared" si="11"/>
        <v>#VALUE!</v>
      </c>
      <c r="C66" s="715"/>
      <c r="D66" s="712" t="s">
        <v>8889</v>
      </c>
      <c r="E66" s="713" t="str">
        <f t="shared" si="12"/>
        <v>N/A</v>
      </c>
      <c r="F66" s="713" t="str">
        <f t="shared" si="13"/>
        <v>N/A</v>
      </c>
      <c r="G66" s="713" t="str">
        <f t="shared" si="14"/>
        <v>N/A</v>
      </c>
      <c r="H66" s="714"/>
      <c r="I66" s="715"/>
      <c r="J66" s="727"/>
      <c r="K66" s="728"/>
      <c r="L66" s="727"/>
      <c r="M66" s="728"/>
      <c r="N66" s="729"/>
      <c r="O66" s="728"/>
      <c r="P66" s="871"/>
      <c r="Q66" s="871"/>
      <c r="R66" s="316"/>
      <c r="S66" s="316"/>
      <c r="T66" s="316"/>
      <c r="U66" s="312"/>
      <c r="V66" s="312"/>
      <c r="W66" s="312"/>
      <c r="X66" s="312"/>
      <c r="Y66" s="312"/>
      <c r="Z66" s="312"/>
      <c r="AA66" s="312"/>
      <c r="AB66" s="312"/>
      <c r="AC66" s="312"/>
      <c r="AD66" s="312"/>
      <c r="AE66" s="312"/>
      <c r="AF66" s="312"/>
      <c r="AG66" s="312"/>
      <c r="AH66" s="312"/>
      <c r="AI66" s="312"/>
      <c r="AJ66" s="312"/>
      <c r="AK66" s="312"/>
    </row>
    <row r="67" spans="1:37" s="312" customFormat="1">
      <c r="A67" s="427" t="s">
        <v>8905</v>
      </c>
      <c r="B67" s="417" t="e">
        <f t="shared" si="11"/>
        <v>#VALUE!</v>
      </c>
      <c r="C67" s="736"/>
      <c r="D67" s="712" t="s">
        <v>8889</v>
      </c>
      <c r="E67" s="713" t="str">
        <f t="shared" si="12"/>
        <v>N/A</v>
      </c>
      <c r="F67" s="713" t="str">
        <f t="shared" si="13"/>
        <v>N/A</v>
      </c>
      <c r="G67" s="713" t="str">
        <f t="shared" si="14"/>
        <v>N/A</v>
      </c>
      <c r="H67" s="714"/>
      <c r="I67" s="737"/>
      <c r="J67" s="727"/>
      <c r="K67" s="738"/>
      <c r="L67" s="739"/>
      <c r="M67" s="738"/>
      <c r="N67" s="740"/>
      <c r="O67" s="738"/>
      <c r="P67" s="741"/>
      <c r="Q67" s="741"/>
      <c r="R67" s="316"/>
      <c r="S67" s="316"/>
      <c r="T67" s="316"/>
    </row>
    <row r="68" spans="1:37" ht="15" thickBot="1">
      <c r="A68" s="427" t="s">
        <v>8906</v>
      </c>
      <c r="B68" s="417" t="e">
        <f t="shared" si="11"/>
        <v>#VALUE!</v>
      </c>
      <c r="C68" s="716"/>
      <c r="D68" s="712" t="s">
        <v>8889</v>
      </c>
      <c r="E68" s="730" t="str">
        <f t="shared" si="12"/>
        <v>N/A</v>
      </c>
      <c r="F68" s="730" t="str">
        <f t="shared" si="13"/>
        <v>N/A</v>
      </c>
      <c r="G68" s="730" t="str">
        <f t="shared" si="14"/>
        <v>N/A</v>
      </c>
      <c r="H68" s="731"/>
      <c r="I68" s="716"/>
      <c r="J68" s="732"/>
      <c r="K68" s="733"/>
      <c r="L68" s="732"/>
      <c r="M68" s="733"/>
      <c r="N68" s="734"/>
      <c r="O68" s="733"/>
      <c r="P68" s="871"/>
      <c r="Q68" s="871"/>
      <c r="R68" s="316"/>
      <c r="S68" s="316"/>
      <c r="T68" s="316"/>
      <c r="U68" s="312"/>
      <c r="V68" s="312"/>
      <c r="W68" s="312"/>
      <c r="X68" s="312"/>
      <c r="Y68" s="312"/>
      <c r="Z68" s="312"/>
      <c r="AA68" s="312"/>
      <c r="AB68" s="312"/>
      <c r="AC68" s="312"/>
      <c r="AD68" s="312"/>
      <c r="AE68" s="312"/>
      <c r="AF68" s="312"/>
      <c r="AG68" s="312"/>
      <c r="AH68" s="312"/>
      <c r="AI68" s="312"/>
      <c r="AJ68" s="312"/>
      <c r="AK68" s="312"/>
    </row>
    <row r="70" spans="1:37" ht="15" thickBot="1">
      <c r="A70" s="312"/>
      <c r="C70" s="312"/>
      <c r="D70" s="312"/>
      <c r="E70" s="312"/>
      <c r="F70" s="312"/>
      <c r="G70" s="312"/>
      <c r="H70" s="312"/>
      <c r="I70" s="312"/>
      <c r="J70" s="312"/>
      <c r="K70" s="312"/>
      <c r="L70" s="312"/>
      <c r="M70" s="312"/>
      <c r="N70" s="312"/>
      <c r="O70" s="312"/>
      <c r="P70" s="312"/>
      <c r="Q70" s="312"/>
      <c r="R70" s="312"/>
      <c r="S70" s="312"/>
      <c r="T70" s="312"/>
      <c r="U70" s="312"/>
      <c r="V70" s="312"/>
      <c r="W70" s="312"/>
      <c r="X70" s="312"/>
      <c r="Y70" s="312"/>
      <c r="Z70" s="312"/>
      <c r="AA70" s="312"/>
      <c r="AB70" s="312"/>
      <c r="AC70" s="312"/>
      <c r="AD70" s="312"/>
      <c r="AE70" s="312"/>
      <c r="AF70" s="312"/>
      <c r="AG70" s="312"/>
      <c r="AH70" s="312"/>
      <c r="AI70" s="312"/>
      <c r="AJ70" s="312"/>
      <c r="AK70" s="312"/>
    </row>
    <row r="71" spans="1:37" s="352" customFormat="1" ht="26.55" customHeight="1" thickBot="1">
      <c r="A71" s="353" t="s">
        <v>8907</v>
      </c>
      <c r="B71" s="353"/>
      <c r="C71" s="579"/>
      <c r="D71" s="579"/>
      <c r="E71" s="579"/>
      <c r="F71" s="579"/>
      <c r="G71" s="579"/>
      <c r="H71" s="353"/>
      <c r="I71" s="353"/>
      <c r="J71" s="353"/>
      <c r="K71" s="353"/>
      <c r="L71" s="353"/>
      <c r="M71" s="580"/>
      <c r="N71" s="580"/>
      <c r="O71" s="580"/>
      <c r="P71" s="580"/>
      <c r="Q71" s="580"/>
      <c r="R71" s="580"/>
      <c r="S71" s="580"/>
      <c r="T71" s="580"/>
      <c r="U71" s="580"/>
      <c r="V71" s="580"/>
      <c r="W71" s="580"/>
      <c r="X71" s="580"/>
      <c r="Y71" s="580"/>
      <c r="Z71" s="580"/>
      <c r="AA71" s="580"/>
      <c r="AB71" s="580"/>
      <c r="AC71" s="580"/>
      <c r="AD71" s="580"/>
      <c r="AE71" s="580"/>
      <c r="AF71" s="580"/>
      <c r="AG71" s="580"/>
      <c r="AH71" s="580"/>
      <c r="AI71" s="580"/>
      <c r="AJ71" s="580"/>
      <c r="AK71" s="580"/>
    </row>
    <row r="72" spans="1:37" ht="45.6" customHeight="1" thickBot="1">
      <c r="A72" s="312"/>
      <c r="B72" s="388" t="s">
        <v>8846</v>
      </c>
      <c r="C72" s="106" t="s">
        <v>8908</v>
      </c>
      <c r="D72" s="880" t="s">
        <v>8909</v>
      </c>
      <c r="E72" s="880"/>
      <c r="F72" s="228" t="s">
        <v>8910</v>
      </c>
      <c r="G72" s="228" t="s">
        <v>8911</v>
      </c>
      <c r="H72" s="228" t="s">
        <v>8912</v>
      </c>
      <c r="I72" s="228" t="s">
        <v>8913</v>
      </c>
      <c r="J72" s="173"/>
      <c r="K72" s="173"/>
      <c r="L72" s="173"/>
      <c r="M72" s="173"/>
      <c r="N72" s="173"/>
      <c r="O72" s="173"/>
      <c r="P72" s="173"/>
      <c r="Q72" s="173"/>
      <c r="R72" s="173"/>
      <c r="S72" s="173"/>
      <c r="T72" s="316"/>
      <c r="U72" s="312"/>
      <c r="V72" s="312"/>
      <c r="W72" s="312"/>
      <c r="X72" s="312"/>
      <c r="Y72" s="312"/>
      <c r="Z72" s="312"/>
      <c r="AA72" s="312"/>
      <c r="AB72" s="312"/>
      <c r="AC72" s="312"/>
      <c r="AD72" s="312"/>
      <c r="AE72" s="312"/>
      <c r="AF72" s="312"/>
      <c r="AG72" s="312"/>
      <c r="AH72" s="312"/>
      <c r="AI72" s="312"/>
      <c r="AJ72" s="312"/>
      <c r="AK72" s="100"/>
    </row>
    <row r="73" spans="1:37" ht="15" thickBot="1">
      <c r="A73" s="420" t="s">
        <v>8914</v>
      </c>
      <c r="B73" s="417" t="e">
        <f>C73*$C$12/$C$9</f>
        <v>#VALUE!</v>
      </c>
      <c r="C73" s="742"/>
      <c r="D73" s="881"/>
      <c r="E73" s="882"/>
      <c r="F73" s="743"/>
      <c r="G73" s="885"/>
      <c r="H73" s="885"/>
      <c r="I73" s="883"/>
      <c r="J73" s="884"/>
      <c r="K73" s="884"/>
      <c r="L73" s="316"/>
      <c r="M73" s="316"/>
      <c r="N73" s="316"/>
      <c r="O73" s="316"/>
      <c r="P73" s="316"/>
      <c r="Q73" s="316"/>
      <c r="R73" s="316"/>
      <c r="S73" s="316"/>
      <c r="T73" s="316"/>
      <c r="U73" s="312"/>
      <c r="V73" s="312"/>
      <c r="W73" s="312"/>
      <c r="X73" s="312"/>
      <c r="Y73" s="312"/>
      <c r="Z73" s="312"/>
      <c r="AA73" s="312"/>
      <c r="AB73" s="312"/>
      <c r="AC73" s="312"/>
      <c r="AD73" s="312"/>
      <c r="AE73" s="312"/>
      <c r="AF73" s="312"/>
      <c r="AG73" s="312"/>
      <c r="AH73" s="312"/>
      <c r="AI73" s="312"/>
      <c r="AJ73" s="312"/>
      <c r="AK73" s="312"/>
    </row>
    <row r="74" spans="1:37" ht="16.5" customHeight="1" thickBot="1">
      <c r="A74" s="431" t="s">
        <v>10924</v>
      </c>
      <c r="B74" s="417" t="e">
        <f t="shared" ref="B74:B77" si="15">C74*$C$12/$C$9</f>
        <v>#VALUE!</v>
      </c>
      <c r="C74" s="715"/>
      <c r="D74" s="876" t="s">
        <v>8916</v>
      </c>
      <c r="E74" s="877"/>
      <c r="F74" s="745"/>
      <c r="G74" s="886"/>
      <c r="H74" s="886"/>
      <c r="I74" s="883"/>
      <c r="J74" s="884"/>
      <c r="K74" s="884"/>
      <c r="L74" s="316"/>
      <c r="M74" s="316"/>
      <c r="N74" s="316"/>
      <c r="O74" s="316"/>
      <c r="P74" s="316"/>
      <c r="Q74" s="316"/>
      <c r="R74" s="316"/>
      <c r="S74" s="316"/>
      <c r="T74" s="316"/>
      <c r="U74" s="312"/>
      <c r="V74" s="312"/>
      <c r="W74" s="312"/>
      <c r="X74" s="312"/>
      <c r="Y74" s="312"/>
      <c r="Z74" s="312"/>
      <c r="AA74" s="312"/>
      <c r="AB74" s="312"/>
      <c r="AC74" s="312"/>
      <c r="AD74" s="312"/>
      <c r="AE74" s="312"/>
      <c r="AF74" s="312"/>
      <c r="AG74" s="312"/>
      <c r="AH74" s="312"/>
      <c r="AI74" s="312"/>
      <c r="AJ74" s="312"/>
      <c r="AK74" s="312"/>
    </row>
    <row r="75" spans="1:37" ht="15" thickBot="1">
      <c r="A75" s="420" t="s">
        <v>8917</v>
      </c>
      <c r="B75" s="417" t="e">
        <f t="shared" si="15"/>
        <v>#VALUE!</v>
      </c>
      <c r="C75" s="716"/>
      <c r="D75" s="878"/>
      <c r="E75" s="879"/>
      <c r="F75" s="746"/>
      <c r="G75" s="746"/>
      <c r="H75" s="747"/>
      <c r="I75" s="883"/>
      <c r="J75" s="884"/>
      <c r="K75" s="884"/>
      <c r="L75" s="316"/>
      <c r="M75" s="316"/>
      <c r="N75" s="316"/>
      <c r="O75" s="316"/>
      <c r="P75" s="316"/>
      <c r="Q75" s="316"/>
      <c r="R75" s="316"/>
      <c r="S75" s="316"/>
      <c r="T75" s="316"/>
      <c r="U75" s="312"/>
      <c r="V75" s="312"/>
      <c r="W75" s="312"/>
      <c r="X75" s="312"/>
      <c r="Y75" s="312"/>
      <c r="Z75" s="312"/>
      <c r="AA75" s="312"/>
      <c r="AB75" s="312"/>
      <c r="AC75" s="312"/>
      <c r="AD75" s="312"/>
      <c r="AE75" s="312"/>
      <c r="AF75" s="312"/>
      <c r="AG75" s="312"/>
      <c r="AH75" s="312"/>
      <c r="AI75" s="312"/>
      <c r="AJ75" s="312"/>
      <c r="AK75" s="312"/>
    </row>
    <row r="76" spans="1:37" s="312" customFormat="1" ht="15" thickBot="1">
      <c r="A76" s="420" t="s">
        <v>8919</v>
      </c>
      <c r="B76" s="417" t="e">
        <f t="shared" si="15"/>
        <v>#VALUE!</v>
      </c>
      <c r="C76" s="744"/>
      <c r="D76" s="889"/>
      <c r="E76" s="890"/>
      <c r="F76" s="98"/>
      <c r="G76" s="98"/>
      <c r="H76" s="98"/>
      <c r="I76" s="748"/>
      <c r="J76" s="749"/>
      <c r="K76" s="749"/>
      <c r="L76" s="316"/>
      <c r="M76" s="316"/>
      <c r="N76" s="316"/>
      <c r="O76" s="316"/>
      <c r="P76" s="316"/>
      <c r="Q76" s="316"/>
      <c r="R76" s="316"/>
      <c r="S76" s="316"/>
      <c r="T76" s="316"/>
    </row>
    <row r="77" spans="1:37" ht="15" thickBot="1">
      <c r="A77" s="420" t="s">
        <v>8921</v>
      </c>
      <c r="B77" s="417" t="e">
        <f t="shared" si="15"/>
        <v>#VALUE!</v>
      </c>
      <c r="C77" s="744"/>
      <c r="D77" s="887"/>
      <c r="E77" s="888"/>
      <c r="F77" s="312"/>
      <c r="G77" s="312"/>
      <c r="H77" s="312"/>
      <c r="I77" s="883"/>
      <c r="J77" s="884"/>
      <c r="K77" s="884"/>
      <c r="L77" s="312"/>
      <c r="M77" s="312"/>
      <c r="N77" s="312"/>
      <c r="O77" s="312"/>
      <c r="P77" s="312"/>
      <c r="Q77" s="312"/>
      <c r="R77" s="312"/>
      <c r="S77" s="312"/>
      <c r="T77" s="312"/>
      <c r="U77" s="312"/>
      <c r="V77" s="312"/>
      <c r="W77" s="312"/>
      <c r="X77" s="312"/>
      <c r="Y77" s="312"/>
      <c r="Z77" s="312"/>
      <c r="AA77" s="312"/>
      <c r="AB77" s="312"/>
      <c r="AC77" s="312"/>
      <c r="AD77" s="312"/>
      <c r="AE77" s="312"/>
      <c r="AF77" s="312"/>
      <c r="AG77" s="312"/>
      <c r="AH77" s="312"/>
      <c r="AI77" s="312"/>
      <c r="AJ77" s="312"/>
      <c r="AK77" s="312"/>
    </row>
    <row r="78" spans="1:37" s="312" customFormat="1">
      <c r="A78" s="509" t="s">
        <v>8923</v>
      </c>
      <c r="B78" s="510" t="e">
        <f>(B73+B74)-B75</f>
        <v>#VALUE!</v>
      </c>
    </row>
    <row r="79" spans="1:37" s="312" customFormat="1"/>
    <row r="80" spans="1:37" s="312" customFormat="1" ht="15" thickBot="1"/>
    <row r="81" spans="1:37" s="352" customFormat="1" ht="26.55" customHeight="1" thickBot="1">
      <c r="A81" s="353" t="s">
        <v>8924</v>
      </c>
      <c r="B81" s="353"/>
      <c r="C81" s="579"/>
      <c r="D81" s="579"/>
      <c r="E81" s="579"/>
      <c r="F81" s="579"/>
      <c r="G81" s="579"/>
      <c r="H81" s="353"/>
      <c r="I81" s="353"/>
      <c r="J81" s="353"/>
      <c r="K81" s="353"/>
      <c r="L81" s="353"/>
      <c r="M81" s="580"/>
      <c r="N81" s="580"/>
      <c r="O81" s="580"/>
      <c r="P81" s="580"/>
      <c r="Q81" s="580"/>
      <c r="R81" s="580"/>
      <c r="S81" s="580"/>
      <c r="T81" s="580"/>
      <c r="U81" s="580"/>
      <c r="V81" s="580"/>
      <c r="W81" s="580"/>
      <c r="X81" s="580"/>
      <c r="Y81" s="580"/>
      <c r="Z81" s="580"/>
      <c r="AA81" s="580"/>
      <c r="AB81" s="580"/>
      <c r="AC81" s="580"/>
      <c r="AD81" s="580"/>
      <c r="AE81" s="580"/>
      <c r="AF81" s="580"/>
      <c r="AG81" s="580"/>
      <c r="AH81" s="580"/>
      <c r="AI81" s="580"/>
      <c r="AJ81" s="580"/>
      <c r="AK81" s="580"/>
    </row>
    <row r="82" spans="1:37">
      <c r="A82" s="323" t="s">
        <v>8925</v>
      </c>
      <c r="B82" s="323"/>
      <c r="C82" s="312"/>
      <c r="D82" s="312"/>
      <c r="E82" s="312"/>
      <c r="F82" s="312"/>
      <c r="G82" s="312"/>
      <c r="H82" s="312"/>
      <c r="I82" s="312"/>
      <c r="J82" s="312"/>
      <c r="K82" s="312"/>
      <c r="L82" s="312"/>
      <c r="M82" s="312"/>
      <c r="N82" s="312"/>
      <c r="O82" s="312"/>
      <c r="P82" s="312"/>
      <c r="Q82" s="312"/>
      <c r="R82" s="312"/>
      <c r="S82" s="312"/>
      <c r="T82" s="312"/>
      <c r="U82" s="312"/>
      <c r="V82" s="312"/>
      <c r="W82" s="312"/>
      <c r="X82" s="312"/>
      <c r="Y82" s="312"/>
      <c r="Z82" s="312"/>
      <c r="AA82" s="312"/>
      <c r="AB82" s="312"/>
      <c r="AC82" s="312"/>
      <c r="AD82" s="312"/>
      <c r="AE82" s="312"/>
      <c r="AF82" s="312"/>
      <c r="AG82" s="312"/>
      <c r="AH82" s="312"/>
      <c r="AI82" s="312"/>
      <c r="AJ82" s="312"/>
      <c r="AK82" s="312"/>
    </row>
    <row r="83" spans="1:37" ht="15" thickBot="1">
      <c r="A83" s="323"/>
      <c r="B83" s="323"/>
      <c r="C83" s="312"/>
      <c r="D83" s="312"/>
      <c r="E83" s="312"/>
      <c r="F83" s="312"/>
      <c r="G83" s="312"/>
      <c r="H83" s="312"/>
      <c r="I83" s="312"/>
      <c r="J83" s="312"/>
      <c r="K83" s="312"/>
      <c r="L83" s="312"/>
      <c r="M83" s="312"/>
      <c r="N83" s="312"/>
      <c r="O83" s="312"/>
      <c r="P83" s="312"/>
      <c r="Q83" s="312"/>
      <c r="R83" s="312"/>
      <c r="S83" s="312"/>
      <c r="T83" s="312"/>
      <c r="U83" s="312"/>
      <c r="V83" s="312"/>
      <c r="W83" s="312"/>
      <c r="X83" s="312"/>
      <c r="Y83" s="312"/>
      <c r="Z83" s="312"/>
      <c r="AA83" s="312"/>
      <c r="AB83" s="312"/>
      <c r="AC83" s="312"/>
      <c r="AD83" s="312"/>
      <c r="AE83" s="312"/>
      <c r="AF83" s="312"/>
      <c r="AG83" s="312"/>
      <c r="AH83" s="312"/>
      <c r="AI83" s="312"/>
      <c r="AJ83" s="312"/>
      <c r="AK83" s="312"/>
    </row>
    <row r="84" spans="1:37" ht="34.5" customHeight="1">
      <c r="A84" s="170" t="s">
        <v>8926</v>
      </c>
      <c r="B84" s="388" t="s">
        <v>8846</v>
      </c>
      <c r="C84" s="220" t="s">
        <v>8883</v>
      </c>
      <c r="D84" s="221" t="s">
        <v>8848</v>
      </c>
      <c r="E84" s="222" t="s">
        <v>8870</v>
      </c>
      <c r="F84" s="222" t="s">
        <v>8850</v>
      </c>
      <c r="G84" s="222" t="s">
        <v>8851</v>
      </c>
      <c r="H84" s="223" t="s">
        <v>8852</v>
      </c>
      <c r="I84" s="229" t="s">
        <v>8913</v>
      </c>
      <c r="J84" s="121"/>
      <c r="K84" s="312"/>
      <c r="L84" s="312"/>
      <c r="M84" s="312"/>
      <c r="N84" s="312"/>
      <c r="O84" s="312"/>
      <c r="P84" s="312"/>
      <c r="Q84" s="312"/>
      <c r="R84" s="312"/>
      <c r="S84" s="312"/>
      <c r="T84" s="312"/>
      <c r="U84" s="312"/>
      <c r="V84" s="312"/>
      <c r="W84" s="312"/>
      <c r="X84" s="312"/>
      <c r="Y84" s="312"/>
      <c r="Z84" s="312"/>
      <c r="AA84" s="312"/>
      <c r="AB84" s="312"/>
      <c r="AC84" s="312"/>
      <c r="AD84" s="312"/>
      <c r="AE84" s="312"/>
      <c r="AF84" s="312"/>
      <c r="AG84" s="312"/>
      <c r="AH84" s="312"/>
      <c r="AI84" s="312"/>
      <c r="AJ84" s="312"/>
      <c r="AK84" s="312"/>
    </row>
    <row r="85" spans="1:37">
      <c r="A85" s="420" t="s">
        <v>8927</v>
      </c>
      <c r="B85" s="429" t="e">
        <f>C85*$C$12/$C$9</f>
        <v>#VALUE!</v>
      </c>
      <c r="C85" s="717"/>
      <c r="D85" s="718"/>
      <c r="E85" s="719" t="str">
        <f>IF(OR($D85="Logarithmic normal distribution",$D85="Normal distribution"),"enter standard deviation","N/A")</f>
        <v>N/A</v>
      </c>
      <c r="F85" s="719" t="str">
        <f>IF(OR($D85="Triangle distribution",$D85="Uniform distribution"),"enter minimum value","N/A")</f>
        <v>N/A</v>
      </c>
      <c r="G85" s="719" t="str">
        <f>IF(OR($D85="Triangle distribution",$D85="Uniform distribution"),"enter maximum value","N/A")</f>
        <v>N/A</v>
      </c>
      <c r="H85" s="720"/>
      <c r="I85" s="875"/>
      <c r="J85" s="871"/>
      <c r="K85" s="871"/>
      <c r="L85" s="312"/>
      <c r="M85" s="312"/>
      <c r="N85" s="312"/>
      <c r="O85" s="312"/>
      <c r="P85" s="312"/>
      <c r="Q85" s="312"/>
      <c r="R85" s="312"/>
      <c r="S85" s="312"/>
      <c r="T85" s="312"/>
      <c r="U85" s="312"/>
      <c r="V85" s="312"/>
      <c r="W85" s="312"/>
      <c r="X85" s="312"/>
      <c r="Y85" s="312"/>
      <c r="Z85" s="312"/>
      <c r="AA85" s="312"/>
      <c r="AB85" s="312"/>
      <c r="AC85" s="312"/>
      <c r="AD85" s="312"/>
      <c r="AE85" s="312"/>
      <c r="AF85" s="312"/>
      <c r="AG85" s="312"/>
      <c r="AH85" s="312"/>
      <c r="AI85" s="312"/>
      <c r="AJ85" s="312"/>
      <c r="AK85" s="312"/>
    </row>
    <row r="86" spans="1:37">
      <c r="A86" s="420" t="s">
        <v>8928</v>
      </c>
      <c r="B86" s="429" t="e">
        <f t="shared" ref="B86:B98" si="16">C86*$C$12/$C$9</f>
        <v>#VALUE!</v>
      </c>
      <c r="C86" s="717"/>
      <c r="D86" s="718"/>
      <c r="E86" s="719" t="str">
        <f t="shared" ref="E86:E98" si="17">IF(OR($D86="Logarithmic normal distribution",$D86="Normal distribution"),"enter standard deviation","N/A")</f>
        <v>N/A</v>
      </c>
      <c r="F86" s="719" t="str">
        <f t="shared" ref="F86:F98" si="18">IF(OR($D86="Triangle distribution",$D86="Uniform distribution"),"enter minimum value","N/A")</f>
        <v>N/A</v>
      </c>
      <c r="G86" s="719" t="str">
        <f t="shared" ref="G86:G98" si="19">IF(OR($D86="Triangle distribution",$D86="Uniform distribution"),"enter maximum value","N/A")</f>
        <v>N/A</v>
      </c>
      <c r="H86" s="720"/>
      <c r="I86" s="875"/>
      <c r="J86" s="871"/>
      <c r="K86" s="871"/>
      <c r="L86" s="312"/>
      <c r="M86" s="312"/>
      <c r="N86" s="312"/>
      <c r="O86" s="312"/>
      <c r="P86" s="312"/>
      <c r="Q86" s="312"/>
      <c r="R86" s="312"/>
      <c r="S86" s="312"/>
      <c r="T86" s="312"/>
      <c r="U86" s="312"/>
      <c r="V86" s="312"/>
      <c r="W86" s="312"/>
      <c r="X86" s="312"/>
      <c r="Y86" s="312"/>
      <c r="Z86" s="312"/>
      <c r="AA86" s="312"/>
      <c r="AB86" s="312"/>
      <c r="AC86" s="312"/>
      <c r="AD86" s="312"/>
      <c r="AE86" s="312"/>
      <c r="AF86" s="312"/>
      <c r="AG86" s="312"/>
      <c r="AH86" s="312"/>
      <c r="AI86" s="312"/>
      <c r="AJ86" s="312"/>
      <c r="AK86" s="312"/>
    </row>
    <row r="87" spans="1:37">
      <c r="A87" s="420" t="s">
        <v>6252</v>
      </c>
      <c r="B87" s="429" t="e">
        <f t="shared" si="16"/>
        <v>#VALUE!</v>
      </c>
      <c r="C87" s="717"/>
      <c r="D87" s="718"/>
      <c r="E87" s="719" t="str">
        <f t="shared" si="17"/>
        <v>N/A</v>
      </c>
      <c r="F87" s="719" t="str">
        <f t="shared" si="18"/>
        <v>N/A</v>
      </c>
      <c r="G87" s="719" t="str">
        <f t="shared" si="19"/>
        <v>N/A</v>
      </c>
      <c r="H87" s="720"/>
      <c r="I87" s="875"/>
      <c r="J87" s="871"/>
      <c r="K87" s="871"/>
      <c r="L87" s="312"/>
      <c r="M87" s="312"/>
      <c r="N87" s="312"/>
      <c r="O87" s="312"/>
      <c r="P87" s="312"/>
      <c r="Q87" s="312"/>
      <c r="R87" s="312"/>
      <c r="S87" s="312"/>
      <c r="T87" s="312"/>
      <c r="U87" s="312"/>
      <c r="V87" s="312"/>
      <c r="W87" s="312"/>
      <c r="X87" s="312"/>
      <c r="Y87" s="312"/>
      <c r="Z87" s="312"/>
      <c r="AA87" s="312"/>
      <c r="AB87" s="312"/>
      <c r="AC87" s="312"/>
      <c r="AD87" s="312"/>
      <c r="AE87" s="312"/>
      <c r="AF87" s="312"/>
      <c r="AG87" s="312"/>
      <c r="AH87" s="312"/>
      <c r="AI87" s="312"/>
      <c r="AJ87" s="312"/>
      <c r="AK87" s="312"/>
    </row>
    <row r="88" spans="1:37">
      <c r="A88" s="420" t="s">
        <v>6253</v>
      </c>
      <c r="B88" s="429" t="e">
        <f t="shared" si="16"/>
        <v>#VALUE!</v>
      </c>
      <c r="C88" s="717"/>
      <c r="D88" s="718"/>
      <c r="E88" s="719" t="str">
        <f t="shared" si="17"/>
        <v>N/A</v>
      </c>
      <c r="F88" s="719" t="str">
        <f t="shared" si="18"/>
        <v>N/A</v>
      </c>
      <c r="G88" s="719" t="str">
        <f t="shared" si="19"/>
        <v>N/A</v>
      </c>
      <c r="H88" s="720"/>
      <c r="I88" s="875"/>
      <c r="J88" s="871"/>
      <c r="K88" s="871"/>
      <c r="L88" s="312"/>
      <c r="M88" s="312"/>
      <c r="N88" s="312"/>
      <c r="O88" s="312"/>
      <c r="P88" s="312"/>
      <c r="Q88" s="312"/>
      <c r="R88" s="312"/>
      <c r="S88" s="312"/>
      <c r="T88" s="312"/>
      <c r="U88" s="312"/>
      <c r="V88" s="312"/>
      <c r="W88" s="312"/>
      <c r="X88" s="312"/>
      <c r="Y88" s="312"/>
      <c r="Z88" s="312"/>
      <c r="AA88" s="312"/>
      <c r="AB88" s="312"/>
      <c r="AC88" s="312"/>
      <c r="AD88" s="312"/>
      <c r="AE88" s="312"/>
      <c r="AF88" s="312"/>
      <c r="AG88" s="312"/>
      <c r="AH88" s="312"/>
      <c r="AI88" s="312"/>
      <c r="AJ88" s="312"/>
      <c r="AK88" s="312"/>
    </row>
    <row r="89" spans="1:37">
      <c r="A89" s="420" t="s">
        <v>8929</v>
      </c>
      <c r="B89" s="429" t="e">
        <f t="shared" si="16"/>
        <v>#VALUE!</v>
      </c>
      <c r="C89" s="717"/>
      <c r="D89" s="718"/>
      <c r="E89" s="719" t="str">
        <f t="shared" si="17"/>
        <v>N/A</v>
      </c>
      <c r="F89" s="719" t="str">
        <f t="shared" si="18"/>
        <v>N/A</v>
      </c>
      <c r="G89" s="719" t="str">
        <f t="shared" si="19"/>
        <v>N/A</v>
      </c>
      <c r="H89" s="720"/>
      <c r="I89" s="875"/>
      <c r="J89" s="871"/>
      <c r="K89" s="871"/>
      <c r="L89" s="312"/>
      <c r="M89" s="312"/>
      <c r="N89" s="312"/>
      <c r="O89" s="312"/>
      <c r="P89" s="312"/>
      <c r="Q89" s="312"/>
      <c r="R89" s="312"/>
      <c r="S89" s="312"/>
      <c r="T89" s="312"/>
      <c r="U89" s="312"/>
      <c r="V89" s="312"/>
      <c r="W89" s="312"/>
      <c r="X89" s="312"/>
      <c r="Y89" s="312"/>
      <c r="Z89" s="312"/>
      <c r="AA89" s="312"/>
      <c r="AB89" s="312"/>
      <c r="AC89" s="312"/>
      <c r="AD89" s="312"/>
      <c r="AE89" s="312"/>
      <c r="AF89" s="312"/>
      <c r="AG89" s="312"/>
      <c r="AH89" s="312"/>
      <c r="AI89" s="312"/>
      <c r="AJ89" s="312"/>
      <c r="AK89" s="312"/>
    </row>
    <row r="90" spans="1:37">
      <c r="A90" s="420" t="s">
        <v>8930</v>
      </c>
      <c r="B90" s="429" t="e">
        <f t="shared" si="16"/>
        <v>#VALUE!</v>
      </c>
      <c r="C90" s="717"/>
      <c r="D90" s="718"/>
      <c r="E90" s="719" t="str">
        <f t="shared" si="17"/>
        <v>N/A</v>
      </c>
      <c r="F90" s="719" t="str">
        <f t="shared" si="18"/>
        <v>N/A</v>
      </c>
      <c r="G90" s="719" t="str">
        <f t="shared" si="19"/>
        <v>N/A</v>
      </c>
      <c r="H90" s="720"/>
      <c r="I90" s="875"/>
      <c r="J90" s="871"/>
      <c r="K90" s="871"/>
      <c r="L90" s="312"/>
      <c r="M90" s="312"/>
      <c r="N90" s="312"/>
      <c r="O90" s="312"/>
      <c r="P90" s="312"/>
      <c r="Q90" s="312"/>
      <c r="R90" s="312"/>
      <c r="S90" s="312"/>
      <c r="T90" s="312"/>
      <c r="U90" s="312"/>
      <c r="V90" s="312"/>
      <c r="W90" s="312"/>
      <c r="X90" s="312"/>
      <c r="Y90" s="312"/>
      <c r="Z90" s="312"/>
      <c r="AA90" s="312"/>
      <c r="AB90" s="312"/>
      <c r="AC90" s="312"/>
      <c r="AD90" s="312"/>
      <c r="AE90" s="312"/>
      <c r="AF90" s="312"/>
      <c r="AG90" s="312"/>
      <c r="AH90" s="312"/>
      <c r="AI90" s="312"/>
      <c r="AJ90" s="312"/>
      <c r="AK90" s="312"/>
    </row>
    <row r="91" spans="1:37">
      <c r="A91" s="420" t="s">
        <v>8931</v>
      </c>
      <c r="B91" s="429" t="e">
        <f t="shared" si="16"/>
        <v>#VALUE!</v>
      </c>
      <c r="C91" s="717"/>
      <c r="D91" s="718"/>
      <c r="E91" s="719" t="str">
        <f t="shared" si="17"/>
        <v>N/A</v>
      </c>
      <c r="F91" s="719" t="str">
        <f t="shared" si="18"/>
        <v>N/A</v>
      </c>
      <c r="G91" s="719" t="str">
        <f t="shared" si="19"/>
        <v>N/A</v>
      </c>
      <c r="H91" s="720"/>
      <c r="I91" s="875"/>
      <c r="J91" s="871"/>
      <c r="K91" s="871"/>
      <c r="L91" s="312"/>
      <c r="M91" s="312"/>
      <c r="N91" s="312"/>
      <c r="O91" s="312"/>
      <c r="P91" s="312"/>
      <c r="Q91" s="312"/>
      <c r="R91" s="312"/>
      <c r="S91" s="312"/>
      <c r="T91" s="312"/>
      <c r="U91" s="312"/>
      <c r="V91" s="312"/>
      <c r="W91" s="312"/>
      <c r="X91" s="312"/>
      <c r="Y91" s="312"/>
      <c r="Z91" s="312"/>
      <c r="AA91" s="312"/>
      <c r="AB91" s="312"/>
      <c r="AC91" s="312"/>
      <c r="AD91" s="312"/>
      <c r="AE91" s="312"/>
      <c r="AF91" s="312"/>
      <c r="AG91" s="312"/>
      <c r="AH91" s="312"/>
      <c r="AI91" s="312"/>
      <c r="AJ91" s="312"/>
      <c r="AK91" s="312"/>
    </row>
    <row r="92" spans="1:37">
      <c r="A92" s="420" t="s">
        <v>8932</v>
      </c>
      <c r="B92" s="429" t="e">
        <f t="shared" si="16"/>
        <v>#VALUE!</v>
      </c>
      <c r="C92" s="717"/>
      <c r="D92" s="718"/>
      <c r="E92" s="719" t="str">
        <f t="shared" si="17"/>
        <v>N/A</v>
      </c>
      <c r="F92" s="719" t="str">
        <f t="shared" si="18"/>
        <v>N/A</v>
      </c>
      <c r="G92" s="719" t="str">
        <f t="shared" si="19"/>
        <v>N/A</v>
      </c>
      <c r="H92" s="720"/>
      <c r="I92" s="875"/>
      <c r="J92" s="871"/>
      <c r="K92" s="871"/>
      <c r="L92" s="312"/>
      <c r="M92" s="312"/>
      <c r="N92" s="312"/>
      <c r="O92" s="312"/>
      <c r="P92" s="312"/>
      <c r="Q92" s="312"/>
      <c r="R92" s="312"/>
      <c r="S92" s="312"/>
      <c r="T92" s="312"/>
      <c r="U92" s="312"/>
      <c r="V92" s="312"/>
      <c r="W92" s="312"/>
      <c r="X92" s="312"/>
      <c r="Y92" s="312"/>
      <c r="Z92" s="312"/>
      <c r="AA92" s="312"/>
      <c r="AB92" s="312"/>
      <c r="AC92" s="312"/>
      <c r="AD92" s="312"/>
      <c r="AE92" s="312"/>
      <c r="AF92" s="312"/>
      <c r="AG92" s="312"/>
      <c r="AH92" s="312"/>
      <c r="AI92" s="312"/>
      <c r="AJ92" s="312"/>
      <c r="AK92" s="312"/>
    </row>
    <row r="93" spans="1:37">
      <c r="A93" s="420" t="s">
        <v>8933</v>
      </c>
      <c r="B93" s="429" t="e">
        <f t="shared" si="16"/>
        <v>#VALUE!</v>
      </c>
      <c r="C93" s="717"/>
      <c r="D93" s="718"/>
      <c r="E93" s="719" t="str">
        <f t="shared" si="17"/>
        <v>N/A</v>
      </c>
      <c r="F93" s="719" t="str">
        <f t="shared" si="18"/>
        <v>N/A</v>
      </c>
      <c r="G93" s="719" t="str">
        <f t="shared" si="19"/>
        <v>N/A</v>
      </c>
      <c r="H93" s="720"/>
      <c r="I93" s="875"/>
      <c r="J93" s="871"/>
      <c r="K93" s="871"/>
      <c r="L93" s="312"/>
      <c r="M93" s="312"/>
      <c r="N93" s="312"/>
      <c r="O93" s="312"/>
      <c r="P93" s="312"/>
      <c r="Q93" s="312"/>
      <c r="R93" s="312"/>
      <c r="S93" s="312"/>
      <c r="T93" s="312"/>
      <c r="U93" s="312"/>
      <c r="V93" s="312"/>
      <c r="W93" s="312"/>
      <c r="X93" s="312"/>
      <c r="Y93" s="312"/>
      <c r="Z93" s="312"/>
      <c r="AA93" s="312"/>
      <c r="AB93" s="312"/>
      <c r="AC93" s="312"/>
      <c r="AD93" s="312"/>
      <c r="AE93" s="312"/>
      <c r="AF93" s="312"/>
      <c r="AG93" s="312"/>
      <c r="AH93" s="312"/>
      <c r="AI93" s="312"/>
      <c r="AJ93" s="312"/>
      <c r="AK93" s="312"/>
    </row>
    <row r="94" spans="1:37">
      <c r="A94" s="420" t="s">
        <v>8803</v>
      </c>
      <c r="B94" s="429" t="e">
        <f t="shared" si="16"/>
        <v>#VALUE!</v>
      </c>
      <c r="C94" s="717"/>
      <c r="D94" s="718"/>
      <c r="E94" s="719" t="str">
        <f t="shared" si="17"/>
        <v>N/A</v>
      </c>
      <c r="F94" s="719" t="str">
        <f t="shared" si="18"/>
        <v>N/A</v>
      </c>
      <c r="G94" s="719" t="str">
        <f t="shared" si="19"/>
        <v>N/A</v>
      </c>
      <c r="H94" s="720"/>
      <c r="I94" s="875"/>
      <c r="J94" s="871"/>
      <c r="K94" s="871"/>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row>
    <row r="95" spans="1:37">
      <c r="A95" s="420" t="s">
        <v>8934</v>
      </c>
      <c r="B95" s="429" t="e">
        <f t="shared" si="16"/>
        <v>#VALUE!</v>
      </c>
      <c r="C95" s="717"/>
      <c r="D95" s="718"/>
      <c r="E95" s="719" t="str">
        <f t="shared" si="17"/>
        <v>N/A</v>
      </c>
      <c r="F95" s="719" t="str">
        <f t="shared" si="18"/>
        <v>N/A</v>
      </c>
      <c r="G95" s="719" t="str">
        <f t="shared" si="19"/>
        <v>N/A</v>
      </c>
      <c r="H95" s="720"/>
      <c r="I95" s="875"/>
      <c r="J95" s="871"/>
      <c r="K95" s="871"/>
      <c r="L95" s="312"/>
      <c r="M95" s="312"/>
      <c r="N95" s="312"/>
      <c r="O95" s="312"/>
      <c r="P95" s="312"/>
      <c r="Q95" s="312"/>
      <c r="R95" s="312"/>
      <c r="S95" s="312"/>
      <c r="T95" s="312"/>
      <c r="U95" s="312"/>
      <c r="V95" s="312"/>
      <c r="W95" s="312"/>
      <c r="X95" s="312"/>
      <c r="Y95" s="312"/>
      <c r="Z95" s="312"/>
      <c r="AA95" s="312"/>
      <c r="AB95" s="312"/>
      <c r="AC95" s="312"/>
      <c r="AD95" s="312"/>
      <c r="AE95" s="312"/>
      <c r="AF95" s="312"/>
      <c r="AG95" s="312"/>
      <c r="AH95" s="312"/>
      <c r="AI95" s="312"/>
      <c r="AJ95" s="312"/>
      <c r="AK95" s="312"/>
    </row>
    <row r="96" spans="1:37">
      <c r="A96" s="420" t="s">
        <v>8935</v>
      </c>
      <c r="B96" s="429" t="e">
        <f t="shared" si="16"/>
        <v>#VALUE!</v>
      </c>
      <c r="C96" s="717"/>
      <c r="D96" s="718"/>
      <c r="E96" s="719" t="str">
        <f t="shared" si="17"/>
        <v>N/A</v>
      </c>
      <c r="F96" s="719" t="str">
        <f t="shared" si="18"/>
        <v>N/A</v>
      </c>
      <c r="G96" s="719" t="str">
        <f t="shared" si="19"/>
        <v>N/A</v>
      </c>
      <c r="H96" s="720"/>
      <c r="I96" s="875"/>
      <c r="J96" s="871"/>
      <c r="K96" s="871"/>
      <c r="L96" s="312"/>
      <c r="M96" s="312"/>
      <c r="N96" s="312"/>
      <c r="O96" s="312"/>
      <c r="P96" s="312"/>
      <c r="Q96" s="312"/>
      <c r="R96" s="312"/>
      <c r="S96" s="312"/>
      <c r="T96" s="312"/>
      <c r="U96" s="312"/>
      <c r="V96" s="312"/>
      <c r="W96" s="312"/>
      <c r="X96" s="312"/>
      <c r="Y96" s="312"/>
      <c r="Z96" s="312"/>
      <c r="AA96" s="312"/>
      <c r="AB96" s="312"/>
      <c r="AC96" s="312"/>
      <c r="AD96" s="312"/>
      <c r="AE96" s="312"/>
      <c r="AF96" s="312"/>
      <c r="AG96" s="312"/>
      <c r="AH96" s="312"/>
      <c r="AI96" s="312"/>
      <c r="AJ96" s="312"/>
      <c r="AK96" s="312"/>
    </row>
    <row r="97" spans="1:11">
      <c r="A97" s="420" t="s">
        <v>8936</v>
      </c>
      <c r="B97" s="429" t="e">
        <f t="shared" si="16"/>
        <v>#VALUE!</v>
      </c>
      <c r="C97" s="717"/>
      <c r="D97" s="718"/>
      <c r="E97" s="719" t="str">
        <f t="shared" si="17"/>
        <v>N/A</v>
      </c>
      <c r="F97" s="719" t="str">
        <f t="shared" si="18"/>
        <v>N/A</v>
      </c>
      <c r="G97" s="719" t="str">
        <f t="shared" si="19"/>
        <v>N/A</v>
      </c>
      <c r="H97" s="720"/>
      <c r="I97" s="875"/>
      <c r="J97" s="871"/>
      <c r="K97" s="871"/>
    </row>
    <row r="98" spans="1:11" ht="15" thickBot="1">
      <c r="A98" s="420" t="s">
        <v>8937</v>
      </c>
      <c r="B98" s="429" t="e">
        <f t="shared" si="16"/>
        <v>#VALUE!</v>
      </c>
      <c r="C98" s="722"/>
      <c r="D98" s="718"/>
      <c r="E98" s="719" t="str">
        <f t="shared" si="17"/>
        <v>N/A</v>
      </c>
      <c r="F98" s="719" t="str">
        <f t="shared" si="18"/>
        <v>N/A</v>
      </c>
      <c r="G98" s="719" t="str">
        <f t="shared" si="19"/>
        <v>N/A</v>
      </c>
      <c r="H98" s="720"/>
      <c r="I98" s="875"/>
      <c r="J98" s="871"/>
      <c r="K98" s="871"/>
    </row>
    <row r="99" spans="1:11" ht="15" thickBot="1">
      <c r="A99" s="312"/>
      <c r="C99" s="112"/>
      <c r="D99" s="112"/>
      <c r="E99" s="312"/>
      <c r="F99" s="312"/>
      <c r="G99" s="312"/>
      <c r="H99" s="312"/>
      <c r="I99" s="312"/>
      <c r="J99" s="312"/>
      <c r="K99" s="312"/>
    </row>
    <row r="100" spans="1:11" ht="42" customHeight="1" thickBot="1">
      <c r="A100" s="170" t="s">
        <v>8938</v>
      </c>
      <c r="B100" s="388" t="s">
        <v>8846</v>
      </c>
      <c r="C100" s="217" t="s">
        <v>8883</v>
      </c>
      <c r="D100" s="221" t="s">
        <v>8848</v>
      </c>
      <c r="E100" s="222" t="s">
        <v>8870</v>
      </c>
      <c r="F100" s="222" t="s">
        <v>8850</v>
      </c>
      <c r="G100" s="222" t="s">
        <v>8851</v>
      </c>
      <c r="H100" s="223" t="s">
        <v>8852</v>
      </c>
      <c r="I100" s="229" t="s">
        <v>8913</v>
      </c>
      <c r="J100" s="312"/>
      <c r="K100" s="312"/>
    </row>
    <row r="101" spans="1:11">
      <c r="A101" s="420" t="s">
        <v>8939</v>
      </c>
      <c r="B101" s="429" t="e">
        <f>C101*$C$12/$C$9</f>
        <v>#VALUE!</v>
      </c>
      <c r="C101" s="750"/>
      <c r="D101" s="718"/>
      <c r="E101" s="719" t="str">
        <f>IF(OR($D101="Logarithmic normal distribution",$D101="Normal distribution"),"enter standard deviation","N/A")</f>
        <v>N/A</v>
      </c>
      <c r="F101" s="719" t="str">
        <f>IF(OR($D101="Triangle distribution",$D101="Uniform distribution"),"enter minimum value","N/A")</f>
        <v>N/A</v>
      </c>
      <c r="G101" s="719" t="str">
        <f>IF(OR($D101="Triangle distribution",$D101="Uniform distribution"),"enter maximum value","N/A")</f>
        <v>N/A</v>
      </c>
      <c r="H101" s="720"/>
      <c r="I101" s="875"/>
      <c r="J101" s="871"/>
      <c r="K101" s="871"/>
    </row>
    <row r="102" spans="1:11">
      <c r="A102" s="420" t="s">
        <v>8940</v>
      </c>
      <c r="B102" s="429" t="e">
        <f t="shared" ref="B102:B114" si="20">C102*$C$12/$C$9</f>
        <v>#VALUE!</v>
      </c>
      <c r="C102" s="717"/>
      <c r="D102" s="718"/>
      <c r="E102" s="719" t="str">
        <f t="shared" ref="E102:E114" si="21">IF(OR($D102="Logarithmic normal distribution",$D102="Normal distribution"),"enter standard deviation","N/A")</f>
        <v>N/A</v>
      </c>
      <c r="F102" s="719" t="str">
        <f t="shared" ref="F102:F114" si="22">IF(OR($D102="Triangle distribution",$D102="Uniform distribution"),"enter minimum value","N/A")</f>
        <v>N/A</v>
      </c>
      <c r="G102" s="719" t="str">
        <f t="shared" ref="G102:G114" si="23">IF(OR($D102="Triangle distribution",$D102="Uniform distribution"),"enter maximum value","N/A")</f>
        <v>N/A</v>
      </c>
      <c r="H102" s="720"/>
      <c r="I102" s="875"/>
      <c r="J102" s="871"/>
      <c r="K102" s="871"/>
    </row>
    <row r="103" spans="1:11">
      <c r="A103" s="420" t="s">
        <v>8941</v>
      </c>
      <c r="B103" s="429" t="e">
        <f t="shared" si="20"/>
        <v>#VALUE!</v>
      </c>
      <c r="C103" s="717"/>
      <c r="D103" s="718"/>
      <c r="E103" s="719" t="str">
        <f t="shared" si="21"/>
        <v>N/A</v>
      </c>
      <c r="F103" s="719" t="str">
        <f t="shared" si="22"/>
        <v>N/A</v>
      </c>
      <c r="G103" s="719" t="str">
        <f t="shared" si="23"/>
        <v>N/A</v>
      </c>
      <c r="H103" s="720"/>
      <c r="I103" s="875"/>
      <c r="J103" s="871"/>
      <c r="K103" s="871"/>
    </row>
    <row r="104" spans="1:11">
      <c r="A104" s="420" t="s">
        <v>8942</v>
      </c>
      <c r="B104" s="429" t="e">
        <f t="shared" si="20"/>
        <v>#VALUE!</v>
      </c>
      <c r="C104" s="717"/>
      <c r="D104" s="718"/>
      <c r="E104" s="719" t="str">
        <f t="shared" si="21"/>
        <v>N/A</v>
      </c>
      <c r="F104" s="719" t="str">
        <f t="shared" si="22"/>
        <v>N/A</v>
      </c>
      <c r="G104" s="719" t="str">
        <f t="shared" si="23"/>
        <v>N/A</v>
      </c>
      <c r="H104" s="720"/>
      <c r="I104" s="875"/>
      <c r="J104" s="871"/>
      <c r="K104" s="871"/>
    </row>
    <row r="105" spans="1:11">
      <c r="A105" s="420" t="s">
        <v>8943</v>
      </c>
      <c r="B105" s="429" t="e">
        <f t="shared" si="20"/>
        <v>#VALUE!</v>
      </c>
      <c r="C105" s="717"/>
      <c r="D105" s="718"/>
      <c r="E105" s="719" t="str">
        <f t="shared" si="21"/>
        <v>N/A</v>
      </c>
      <c r="F105" s="719" t="str">
        <f t="shared" si="22"/>
        <v>N/A</v>
      </c>
      <c r="G105" s="719" t="str">
        <f t="shared" si="23"/>
        <v>N/A</v>
      </c>
      <c r="H105" s="720"/>
      <c r="I105" s="875"/>
      <c r="J105" s="871"/>
      <c r="K105" s="871"/>
    </row>
    <row r="106" spans="1:11">
      <c r="A106" s="420" t="s">
        <v>8944</v>
      </c>
      <c r="B106" s="429" t="e">
        <f t="shared" si="20"/>
        <v>#VALUE!</v>
      </c>
      <c r="C106" s="717"/>
      <c r="D106" s="718"/>
      <c r="E106" s="719" t="str">
        <f t="shared" si="21"/>
        <v>N/A</v>
      </c>
      <c r="F106" s="719" t="str">
        <f t="shared" si="22"/>
        <v>N/A</v>
      </c>
      <c r="G106" s="719" t="str">
        <f t="shared" si="23"/>
        <v>N/A</v>
      </c>
      <c r="H106" s="720"/>
      <c r="I106" s="875"/>
      <c r="J106" s="871"/>
      <c r="K106" s="871"/>
    </row>
    <row r="107" spans="1:11">
      <c r="A107" s="420" t="s">
        <v>8945</v>
      </c>
      <c r="B107" s="429" t="e">
        <f t="shared" si="20"/>
        <v>#VALUE!</v>
      </c>
      <c r="C107" s="717"/>
      <c r="D107" s="718"/>
      <c r="E107" s="719" t="str">
        <f t="shared" si="21"/>
        <v>N/A</v>
      </c>
      <c r="F107" s="719" t="str">
        <f t="shared" si="22"/>
        <v>N/A</v>
      </c>
      <c r="G107" s="719" t="str">
        <f t="shared" si="23"/>
        <v>N/A</v>
      </c>
      <c r="H107" s="720"/>
      <c r="I107" s="875"/>
      <c r="J107" s="871"/>
      <c r="K107" s="871"/>
    </row>
    <row r="108" spans="1:11">
      <c r="A108" s="420" t="s">
        <v>8803</v>
      </c>
      <c r="B108" s="429" t="e">
        <f t="shared" si="20"/>
        <v>#VALUE!</v>
      </c>
      <c r="C108" s="717"/>
      <c r="D108" s="718"/>
      <c r="E108" s="719" t="str">
        <f t="shared" si="21"/>
        <v>N/A</v>
      </c>
      <c r="F108" s="719" t="str">
        <f t="shared" si="22"/>
        <v>N/A</v>
      </c>
      <c r="G108" s="719" t="str">
        <f t="shared" si="23"/>
        <v>N/A</v>
      </c>
      <c r="H108" s="720"/>
      <c r="I108" s="875"/>
      <c r="J108" s="871"/>
      <c r="K108" s="871"/>
    </row>
    <row r="109" spans="1:11">
      <c r="A109" s="420" t="s">
        <v>8946</v>
      </c>
      <c r="B109" s="429" t="e">
        <f t="shared" si="20"/>
        <v>#VALUE!</v>
      </c>
      <c r="C109" s="717"/>
      <c r="D109" s="718"/>
      <c r="E109" s="719" t="str">
        <f t="shared" si="21"/>
        <v>N/A</v>
      </c>
      <c r="F109" s="719" t="str">
        <f t="shared" si="22"/>
        <v>N/A</v>
      </c>
      <c r="G109" s="719" t="str">
        <f t="shared" si="23"/>
        <v>N/A</v>
      </c>
      <c r="H109" s="720"/>
      <c r="I109" s="875"/>
      <c r="J109" s="871"/>
      <c r="K109" s="871"/>
    </row>
    <row r="110" spans="1:11">
      <c r="A110" s="420" t="s">
        <v>8946</v>
      </c>
      <c r="B110" s="429" t="e">
        <f t="shared" si="20"/>
        <v>#VALUE!</v>
      </c>
      <c r="C110" s="717"/>
      <c r="D110" s="718"/>
      <c r="E110" s="719" t="str">
        <f t="shared" si="21"/>
        <v>N/A</v>
      </c>
      <c r="F110" s="719" t="str">
        <f t="shared" si="22"/>
        <v>N/A</v>
      </c>
      <c r="G110" s="719" t="str">
        <f t="shared" si="23"/>
        <v>N/A</v>
      </c>
      <c r="H110" s="720"/>
      <c r="I110" s="875"/>
      <c r="J110" s="871"/>
      <c r="K110" s="871"/>
    </row>
    <row r="111" spans="1:11">
      <c r="A111" s="420" t="s">
        <v>8947</v>
      </c>
      <c r="B111" s="429" t="e">
        <f t="shared" si="20"/>
        <v>#VALUE!</v>
      </c>
      <c r="C111" s="717"/>
      <c r="D111" s="718"/>
      <c r="E111" s="719" t="str">
        <f t="shared" si="21"/>
        <v>N/A</v>
      </c>
      <c r="F111" s="719" t="str">
        <f t="shared" si="22"/>
        <v>N/A</v>
      </c>
      <c r="G111" s="719" t="str">
        <f t="shared" si="23"/>
        <v>N/A</v>
      </c>
      <c r="H111" s="720"/>
      <c r="I111" s="875"/>
      <c r="J111" s="871"/>
      <c r="K111" s="871"/>
    </row>
    <row r="112" spans="1:11">
      <c r="A112" s="420" t="s">
        <v>8935</v>
      </c>
      <c r="B112" s="429" t="e">
        <f t="shared" si="20"/>
        <v>#VALUE!</v>
      </c>
      <c r="C112" s="717"/>
      <c r="D112" s="718"/>
      <c r="E112" s="719" t="str">
        <f t="shared" si="21"/>
        <v>N/A</v>
      </c>
      <c r="F112" s="719" t="str">
        <f t="shared" si="22"/>
        <v>N/A</v>
      </c>
      <c r="G112" s="719" t="str">
        <f t="shared" si="23"/>
        <v>N/A</v>
      </c>
      <c r="H112" s="720"/>
      <c r="I112" s="875"/>
      <c r="J112" s="871"/>
      <c r="K112" s="871"/>
    </row>
    <row r="113" spans="1:11">
      <c r="A113" s="420" t="s">
        <v>8936</v>
      </c>
      <c r="B113" s="429" t="e">
        <f t="shared" si="20"/>
        <v>#VALUE!</v>
      </c>
      <c r="C113" s="717"/>
      <c r="D113" s="718"/>
      <c r="E113" s="719" t="str">
        <f t="shared" si="21"/>
        <v>N/A</v>
      </c>
      <c r="F113" s="719" t="str">
        <f t="shared" si="22"/>
        <v>N/A</v>
      </c>
      <c r="G113" s="719" t="str">
        <f t="shared" si="23"/>
        <v>N/A</v>
      </c>
      <c r="H113" s="720"/>
      <c r="I113" s="875"/>
      <c r="J113" s="871"/>
      <c r="K113" s="871"/>
    </row>
    <row r="114" spans="1:11" ht="15" thickBot="1">
      <c r="A114" s="420" t="s">
        <v>8937</v>
      </c>
      <c r="B114" s="429" t="e">
        <f t="shared" si="20"/>
        <v>#VALUE!</v>
      </c>
      <c r="C114" s="722"/>
      <c r="D114" s="718"/>
      <c r="E114" s="719" t="str">
        <f t="shared" si="21"/>
        <v>N/A</v>
      </c>
      <c r="F114" s="719" t="str">
        <f t="shared" si="22"/>
        <v>N/A</v>
      </c>
      <c r="G114" s="719" t="str">
        <f t="shared" si="23"/>
        <v>N/A</v>
      </c>
      <c r="H114" s="720"/>
      <c r="I114" s="875"/>
      <c r="J114" s="871"/>
      <c r="K114" s="871"/>
    </row>
    <row r="115" spans="1:11" ht="15" thickBot="1">
      <c r="A115" s="312"/>
      <c r="C115" s="312"/>
      <c r="D115" s="312"/>
      <c r="E115" s="312"/>
      <c r="F115" s="312"/>
      <c r="G115" s="312"/>
      <c r="H115" s="312"/>
      <c r="I115" s="312"/>
      <c r="J115" s="312"/>
      <c r="K115" s="312"/>
    </row>
    <row r="116" spans="1:11" ht="51" customHeight="1" thickBot="1">
      <c r="A116" s="170" t="s">
        <v>8948</v>
      </c>
      <c r="B116" s="388" t="s">
        <v>8846</v>
      </c>
      <c r="C116" s="217" t="s">
        <v>8883</v>
      </c>
      <c r="D116" s="221" t="s">
        <v>8848</v>
      </c>
      <c r="E116" s="222" t="s">
        <v>8870</v>
      </c>
      <c r="F116" s="222" t="s">
        <v>8850</v>
      </c>
      <c r="G116" s="222" t="s">
        <v>8851</v>
      </c>
      <c r="H116" s="223" t="s">
        <v>8852</v>
      </c>
      <c r="I116" s="229" t="s">
        <v>8913</v>
      </c>
      <c r="J116" s="312"/>
      <c r="K116" s="312"/>
    </row>
    <row r="117" spans="1:11">
      <c r="A117" s="420" t="s">
        <v>8949</v>
      </c>
      <c r="B117" s="429" t="e">
        <f>C117*$C$12/$C$9</f>
        <v>#VALUE!</v>
      </c>
      <c r="C117" s="750"/>
      <c r="D117" s="718"/>
      <c r="E117" s="719" t="str">
        <f>IF(OR($D117="Logarithmic normal distribution",$D117="Normal distribution"),"enter standard deviation","N/A")</f>
        <v>N/A</v>
      </c>
      <c r="F117" s="719" t="str">
        <f>IF(OR($D117="Triangle distribution",$D117="Uniform distribution"),"enter minimum value","N/A")</f>
        <v>N/A</v>
      </c>
      <c r="G117" s="719" t="str">
        <f>IF(OR($D117="Triangle distribution",$D117="Uniform distribution"),"enter maximum value","N/A")</f>
        <v>N/A</v>
      </c>
      <c r="H117" s="720"/>
      <c r="I117" s="875"/>
      <c r="J117" s="871"/>
      <c r="K117" s="871"/>
    </row>
    <row r="118" spans="1:11">
      <c r="A118" s="420" t="s">
        <v>8950</v>
      </c>
      <c r="B118" s="429" t="e">
        <f t="shared" ref="B118:B130" si="24">C118*$C$12/$C$9</f>
        <v>#VALUE!</v>
      </c>
      <c r="C118" s="717"/>
      <c r="D118" s="718"/>
      <c r="E118" s="719" t="str">
        <f t="shared" ref="E118:E130" si="25">IF(OR($D118="Logarithmic normal distribution",$D118="Normal distribution"),"enter standard deviation","N/A")</f>
        <v>N/A</v>
      </c>
      <c r="F118" s="719" t="str">
        <f t="shared" ref="F118:F130" si="26">IF(OR($D118="Triangle distribution",$D118="Uniform distribution"),"enter minimum value","N/A")</f>
        <v>N/A</v>
      </c>
      <c r="G118" s="719" t="str">
        <f t="shared" ref="G118:G130" si="27">IF(OR($D118="Triangle distribution",$D118="Uniform distribution"),"enter maximum value","N/A")</f>
        <v>N/A</v>
      </c>
      <c r="H118" s="720"/>
      <c r="I118" s="875"/>
      <c r="J118" s="871"/>
      <c r="K118" s="871"/>
    </row>
    <row r="119" spans="1:11">
      <c r="A119" s="420" t="s">
        <v>8951</v>
      </c>
      <c r="B119" s="429" t="e">
        <f t="shared" si="24"/>
        <v>#VALUE!</v>
      </c>
      <c r="C119" s="717"/>
      <c r="D119" s="718"/>
      <c r="E119" s="719" t="str">
        <f t="shared" si="25"/>
        <v>N/A</v>
      </c>
      <c r="F119" s="719" t="str">
        <f t="shared" si="26"/>
        <v>N/A</v>
      </c>
      <c r="G119" s="719" t="str">
        <f t="shared" si="27"/>
        <v>N/A</v>
      </c>
      <c r="H119" s="720"/>
      <c r="I119" s="875"/>
      <c r="J119" s="871"/>
      <c r="K119" s="871"/>
    </row>
    <row r="120" spans="1:11">
      <c r="A120" s="420" t="s">
        <v>8952</v>
      </c>
      <c r="B120" s="429" t="e">
        <f t="shared" si="24"/>
        <v>#VALUE!</v>
      </c>
      <c r="C120" s="717"/>
      <c r="D120" s="718"/>
      <c r="E120" s="719" t="str">
        <f t="shared" si="25"/>
        <v>N/A</v>
      </c>
      <c r="F120" s="719" t="str">
        <f t="shared" si="26"/>
        <v>N/A</v>
      </c>
      <c r="G120" s="719" t="str">
        <f t="shared" si="27"/>
        <v>N/A</v>
      </c>
      <c r="H120" s="720"/>
      <c r="I120" s="875"/>
      <c r="J120" s="871"/>
      <c r="K120" s="871"/>
    </row>
    <row r="121" spans="1:11">
      <c r="A121" s="420" t="s">
        <v>8953</v>
      </c>
      <c r="B121" s="429" t="e">
        <f t="shared" si="24"/>
        <v>#VALUE!</v>
      </c>
      <c r="C121" s="717"/>
      <c r="D121" s="718"/>
      <c r="E121" s="719" t="str">
        <f t="shared" si="25"/>
        <v>N/A</v>
      </c>
      <c r="F121" s="719" t="str">
        <f t="shared" si="26"/>
        <v>N/A</v>
      </c>
      <c r="G121" s="719" t="str">
        <f t="shared" si="27"/>
        <v>N/A</v>
      </c>
      <c r="H121" s="720"/>
      <c r="I121" s="875"/>
      <c r="J121" s="871"/>
      <c r="K121" s="871"/>
    </row>
    <row r="122" spans="1:11">
      <c r="A122" s="420" t="s">
        <v>8954</v>
      </c>
      <c r="B122" s="429" t="e">
        <f t="shared" si="24"/>
        <v>#VALUE!</v>
      </c>
      <c r="C122" s="717"/>
      <c r="D122" s="718"/>
      <c r="E122" s="719" t="str">
        <f t="shared" si="25"/>
        <v>N/A</v>
      </c>
      <c r="F122" s="719" t="str">
        <f t="shared" si="26"/>
        <v>N/A</v>
      </c>
      <c r="G122" s="719" t="str">
        <f t="shared" si="27"/>
        <v>N/A</v>
      </c>
      <c r="H122" s="720"/>
      <c r="I122" s="875"/>
      <c r="J122" s="871"/>
      <c r="K122" s="871"/>
    </row>
    <row r="123" spans="1:11">
      <c r="A123" s="420" t="s">
        <v>8955</v>
      </c>
      <c r="B123" s="429" t="e">
        <f t="shared" si="24"/>
        <v>#VALUE!</v>
      </c>
      <c r="C123" s="717"/>
      <c r="D123" s="718"/>
      <c r="E123" s="719" t="str">
        <f t="shared" si="25"/>
        <v>N/A</v>
      </c>
      <c r="F123" s="719" t="str">
        <f t="shared" si="26"/>
        <v>N/A</v>
      </c>
      <c r="G123" s="719" t="str">
        <f t="shared" si="27"/>
        <v>N/A</v>
      </c>
      <c r="H123" s="720"/>
      <c r="I123" s="875"/>
      <c r="J123" s="871"/>
      <c r="K123" s="871"/>
    </row>
    <row r="124" spans="1:11">
      <c r="A124" s="420" t="s">
        <v>8956</v>
      </c>
      <c r="B124" s="429" t="e">
        <f t="shared" si="24"/>
        <v>#VALUE!</v>
      </c>
      <c r="C124" s="717"/>
      <c r="D124" s="718"/>
      <c r="E124" s="719" t="str">
        <f t="shared" si="25"/>
        <v>N/A</v>
      </c>
      <c r="F124" s="719" t="str">
        <f t="shared" si="26"/>
        <v>N/A</v>
      </c>
      <c r="G124" s="719" t="str">
        <f t="shared" si="27"/>
        <v>N/A</v>
      </c>
      <c r="H124" s="720"/>
      <c r="I124" s="875"/>
      <c r="J124" s="871"/>
      <c r="K124" s="871"/>
    </row>
    <row r="125" spans="1:11">
      <c r="A125" s="420" t="s">
        <v>8957</v>
      </c>
      <c r="B125" s="429" t="e">
        <f t="shared" si="24"/>
        <v>#VALUE!</v>
      </c>
      <c r="C125" s="717"/>
      <c r="D125" s="718"/>
      <c r="E125" s="719" t="str">
        <f t="shared" si="25"/>
        <v>N/A</v>
      </c>
      <c r="F125" s="719" t="str">
        <f t="shared" si="26"/>
        <v>N/A</v>
      </c>
      <c r="G125" s="719" t="str">
        <f t="shared" si="27"/>
        <v>N/A</v>
      </c>
      <c r="H125" s="720"/>
      <c r="I125" s="875"/>
      <c r="J125" s="871"/>
      <c r="K125" s="871"/>
    </row>
    <row r="126" spans="1:11">
      <c r="A126" s="420" t="s">
        <v>8958</v>
      </c>
      <c r="B126" s="429" t="e">
        <f t="shared" si="24"/>
        <v>#VALUE!</v>
      </c>
      <c r="C126" s="717"/>
      <c r="D126" s="718"/>
      <c r="E126" s="719" t="str">
        <f t="shared" si="25"/>
        <v>N/A</v>
      </c>
      <c r="F126" s="719" t="str">
        <f t="shared" si="26"/>
        <v>N/A</v>
      </c>
      <c r="G126" s="719" t="str">
        <f t="shared" si="27"/>
        <v>N/A</v>
      </c>
      <c r="H126" s="720"/>
      <c r="I126" s="875"/>
      <c r="J126" s="871"/>
      <c r="K126" s="871"/>
    </row>
    <row r="127" spans="1:11">
      <c r="A127" s="420" t="s">
        <v>8959</v>
      </c>
      <c r="B127" s="429" t="e">
        <f t="shared" si="24"/>
        <v>#VALUE!</v>
      </c>
      <c r="C127" s="717"/>
      <c r="D127" s="718"/>
      <c r="E127" s="719" t="str">
        <f t="shared" si="25"/>
        <v>N/A</v>
      </c>
      <c r="F127" s="719" t="str">
        <f t="shared" si="26"/>
        <v>N/A</v>
      </c>
      <c r="G127" s="719" t="str">
        <f t="shared" si="27"/>
        <v>N/A</v>
      </c>
      <c r="H127" s="720"/>
      <c r="I127" s="875"/>
      <c r="J127" s="871"/>
      <c r="K127" s="871"/>
    </row>
    <row r="128" spans="1:11">
      <c r="A128" s="420" t="s">
        <v>8960</v>
      </c>
      <c r="B128" s="429" t="e">
        <f t="shared" si="24"/>
        <v>#VALUE!</v>
      </c>
      <c r="C128" s="717"/>
      <c r="D128" s="718"/>
      <c r="E128" s="719" t="str">
        <f t="shared" si="25"/>
        <v>N/A</v>
      </c>
      <c r="F128" s="719" t="str">
        <f t="shared" si="26"/>
        <v>N/A</v>
      </c>
      <c r="G128" s="719" t="str">
        <f t="shared" si="27"/>
        <v>N/A</v>
      </c>
      <c r="H128" s="720"/>
      <c r="I128" s="875"/>
      <c r="J128" s="871"/>
      <c r="K128" s="871"/>
    </row>
    <row r="129" spans="1:11">
      <c r="A129" s="420" t="s">
        <v>8961</v>
      </c>
      <c r="B129" s="429" t="e">
        <f t="shared" si="24"/>
        <v>#VALUE!</v>
      </c>
      <c r="C129" s="717"/>
      <c r="D129" s="718"/>
      <c r="E129" s="719" t="str">
        <f t="shared" si="25"/>
        <v>N/A</v>
      </c>
      <c r="F129" s="719" t="str">
        <f t="shared" si="26"/>
        <v>N/A</v>
      </c>
      <c r="G129" s="719" t="str">
        <f t="shared" si="27"/>
        <v>N/A</v>
      </c>
      <c r="H129" s="720"/>
      <c r="I129" s="875"/>
      <c r="J129" s="871"/>
      <c r="K129" s="871"/>
    </row>
    <row r="130" spans="1:11" ht="15" thickBot="1">
      <c r="A130" s="420" t="s">
        <v>8962</v>
      </c>
      <c r="B130" s="429" t="e">
        <f t="shared" si="24"/>
        <v>#VALUE!</v>
      </c>
      <c r="C130" s="722"/>
      <c r="D130" s="718"/>
      <c r="E130" s="719" t="str">
        <f t="shared" si="25"/>
        <v>N/A</v>
      </c>
      <c r="F130" s="719" t="str">
        <f t="shared" si="26"/>
        <v>N/A</v>
      </c>
      <c r="G130" s="719" t="str">
        <f t="shared" si="27"/>
        <v>N/A</v>
      </c>
      <c r="H130" s="720"/>
      <c r="I130" s="875"/>
      <c r="J130" s="871"/>
      <c r="K130" s="871"/>
    </row>
    <row r="133" spans="1:11" ht="18">
      <c r="A133" s="407" t="s">
        <v>8963</v>
      </c>
      <c r="B133" s="518" t="e">
        <f>SUM(B50,B85:B98,B101:B114,B117:B130)</f>
        <v>#VALUE!</v>
      </c>
      <c r="C133" s="581"/>
      <c r="D133" s="294"/>
      <c r="E133" s="295"/>
      <c r="F133" s="312"/>
      <c r="G133" s="312"/>
      <c r="H133" s="312"/>
      <c r="I133" s="312"/>
      <c r="J133" s="312"/>
      <c r="K133" s="312"/>
    </row>
    <row r="134" spans="1:11" ht="18">
      <c r="A134" s="407" t="s">
        <v>8964</v>
      </c>
      <c r="B134" s="519" t="e">
        <f>BOM!G214-'A3 Foreground Assembly'!B133</f>
        <v>#VALUE!</v>
      </c>
      <c r="C134" s="312"/>
      <c r="D134" s="312"/>
      <c r="E134" s="312"/>
      <c r="F134" s="312"/>
      <c r="G134" s="312"/>
      <c r="H134" s="312"/>
      <c r="I134" s="312"/>
      <c r="J134" s="312"/>
      <c r="K134" s="312"/>
    </row>
    <row r="135" spans="1:11" ht="18">
      <c r="A135" s="312"/>
      <c r="B135" s="520" t="e">
        <f>B134/BOM!G214</f>
        <v>#VALUE!</v>
      </c>
      <c r="C135" s="521" t="e">
        <f>IF(B135&gt;=0.01,"1% EXCEEDED, CHECK FOR ERRORS","PASS")</f>
        <v>#VALUE!</v>
      </c>
      <c r="D135" s="312"/>
      <c r="E135" s="312"/>
      <c r="F135" s="312"/>
      <c r="G135" s="312"/>
      <c r="H135" s="312"/>
      <c r="I135" s="312"/>
      <c r="J135" s="312"/>
      <c r="K135" s="312"/>
    </row>
  </sheetData>
  <sheetProtection algorithmName="SHA-512" hashValue="a1N4m9Gs4OCZf71QxH0X5lfb7Z86G4+pAW3EDtDbMdK18f3Fk1nvuo83oFxnO6fPulLB1GWB7KMEUYuoIwCRyQ==" saltValue="/Q0OiXgwGUR5G/n7sgUxVA==" spinCount="100000" sheet="1" objects="1" scenarios="1" selectLockedCells="1"/>
  <mergeCells count="88">
    <mergeCell ref="I77:K77"/>
    <mergeCell ref="D76:E76"/>
    <mergeCell ref="A2:F4"/>
    <mergeCell ref="I126:K126"/>
    <mergeCell ref="I127:K127"/>
    <mergeCell ref="I97:K97"/>
    <mergeCell ref="I85:K85"/>
    <mergeCell ref="I86:K86"/>
    <mergeCell ref="I87:K87"/>
    <mergeCell ref="I88:K88"/>
    <mergeCell ref="I89:K89"/>
    <mergeCell ref="I90:K90"/>
    <mergeCell ref="I91:K91"/>
    <mergeCell ref="I92:K92"/>
    <mergeCell ref="I93:K93"/>
    <mergeCell ref="I94:K94"/>
    <mergeCell ref="I111:K111"/>
    <mergeCell ref="I98:K98"/>
    <mergeCell ref="I101:K101"/>
    <mergeCell ref="I102:K102"/>
    <mergeCell ref="I103:K103"/>
    <mergeCell ref="I104:K104"/>
    <mergeCell ref="I105:K105"/>
    <mergeCell ref="I106:K106"/>
    <mergeCell ref="I107:K107"/>
    <mergeCell ref="I108:K108"/>
    <mergeCell ref="I109:K109"/>
    <mergeCell ref="I110:K110"/>
    <mergeCell ref="I130:K130"/>
    <mergeCell ref="I125:K125"/>
    <mergeCell ref="I112:K112"/>
    <mergeCell ref="I113:K113"/>
    <mergeCell ref="I114:K114"/>
    <mergeCell ref="I117:K117"/>
    <mergeCell ref="I118:K118"/>
    <mergeCell ref="I119:K119"/>
    <mergeCell ref="I120:K120"/>
    <mergeCell ref="I121:K121"/>
    <mergeCell ref="I122:K122"/>
    <mergeCell ref="I123:K123"/>
    <mergeCell ref="I124:K124"/>
    <mergeCell ref="I128:K128"/>
    <mergeCell ref="I129:K129"/>
    <mergeCell ref="I95:K95"/>
    <mergeCell ref="I96:K96"/>
    <mergeCell ref="D74:E74"/>
    <mergeCell ref="D75:E75"/>
    <mergeCell ref="P64:Q64"/>
    <mergeCell ref="P65:Q65"/>
    <mergeCell ref="P66:Q66"/>
    <mergeCell ref="P68:Q68"/>
    <mergeCell ref="D72:E72"/>
    <mergeCell ref="D73:E73"/>
    <mergeCell ref="I73:K73"/>
    <mergeCell ref="I74:K74"/>
    <mergeCell ref="I75:K75"/>
    <mergeCell ref="G73:G74"/>
    <mergeCell ref="H73:H74"/>
    <mergeCell ref="D77:E77"/>
    <mergeCell ref="P54:Q54"/>
    <mergeCell ref="P60:Q60"/>
    <mergeCell ref="P61:Q61"/>
    <mergeCell ref="P62:Q62"/>
    <mergeCell ref="P63:Q63"/>
    <mergeCell ref="O35:Q35"/>
    <mergeCell ref="O36:Q36"/>
    <mergeCell ref="P53:Q53"/>
    <mergeCell ref="O37:Q37"/>
    <mergeCell ref="O38:Q38"/>
    <mergeCell ref="O39:Q39"/>
    <mergeCell ref="O40:Q40"/>
    <mergeCell ref="O41:Q41"/>
    <mergeCell ref="O42:Q42"/>
    <mergeCell ref="O43:Q43"/>
    <mergeCell ref="O44:Q44"/>
    <mergeCell ref="P50:Q50"/>
    <mergeCell ref="P51:Q51"/>
    <mergeCell ref="P52:Q52"/>
    <mergeCell ref="I47:Q47"/>
    <mergeCell ref="I19:K19"/>
    <mergeCell ref="I27:K27"/>
    <mergeCell ref="I20:K20"/>
    <mergeCell ref="I22:K22"/>
    <mergeCell ref="I24:K24"/>
    <mergeCell ref="I25:K25"/>
    <mergeCell ref="I26:K26"/>
    <mergeCell ref="D21:K21"/>
    <mergeCell ref="D23:K23"/>
  </mergeCells>
  <phoneticPr fontId="33" type="noConversion"/>
  <dataValidations xWindow="543" yWindow="790" count="99">
    <dataValidation allowBlank="1" showInputMessage="1" showErrorMessage="1" promptTitle="Natural gas" prompt="Natural gas consumption for row process in m3 units" sqref="I36:I44" xr:uid="{F1E9985D-789F-4638-A438-9683DFC4B341}"/>
    <dataValidation type="textLength" showInputMessage="1" showErrorMessage="1" errorTitle="Additional Info" error="Please indicate if there are seasonal variations or other data used to determine consumption value and associated uncertainty; if max text length reached, please enter &quot;added attachment&quot; and send additional attachment" promptTitle="Additional Energy Info" prompt="Describe here relevant additional information (e.g., other type of data collection method not listed in pull-down, seasonal variation or explanation of uncertainty distribution shape or values determination/data availability)" sqref="O36:Q44 R50 I20:K20 I22:K22 I24:K29" xr:uid="{63D6952F-6D3B-496C-8986-8BFF272DE89C}">
      <formula1>4</formula1>
      <formula2>1000</formula2>
    </dataValidation>
    <dataValidation allowBlank="1" showInputMessage="1" showErrorMessage="1" promptTitle="Production Process" prompt="Modify Process Name and Insert Rows as needed; if no processes disaggregating is possible, can enter quantitative value for entire operation and additional rows with qualitative value only (&quot;X&quot; indicates this process is included in entered numeric value)" sqref="A36:A41" xr:uid="{97047EC9-9C3A-4961-B7B6-BD59F30FCD1A}"/>
    <dataValidation allowBlank="1" showInputMessage="1" showErrorMessage="1" promptTitle="Production Process" prompt="Enter value allocated to this aspect; if allocation or disaggregation is not possible, indicate aspect is included in numerical entry above with &quot;X&quot; and leave uncertainty blank, or use N/A if aspect is not included in reported consumption" sqref="A42:A44" xr:uid="{1A8060DE-B17F-4402-B43E-631F65C0052F}"/>
    <dataValidation type="decimal" operator="greaterThanOrEqual" allowBlank="1" showInputMessage="1" showErrorMessage="1" errorTitle="Electricity Consumption" error="Please enter an electricity value from the selected data collection method for this process" promptTitle="Electricity consumption" prompt="Quantity electricity consumption for row process in kWh for the reporting period; if production or consumption was abnormal during reporting period (higher or lower than normal), offer explanation in 'Additional Information'" sqref="C36:C44" xr:uid="{23FF328D-26AB-4954-A463-E11B11BDEB4A}">
      <formula1>0</formula1>
    </dataValidation>
    <dataValidation allowBlank="1" showInputMessage="1" showErrorMessage="1" prompt="Modify Product Name and Insert Rows as needed; if no co-products or by-products, indicate &quot;N/A&quot;" sqref="A58:B58" xr:uid="{C8B7A9D4-3EAD-4F02-8649-3E0A2052EF4C}"/>
    <dataValidation type="decimal" operator="greaterThan" allowBlank="1" showInputMessage="1" showErrorMessage="1" promptTitle="Material Outputs" prompt="Quantity output for reporting period; if production was abnormal during reporting period (higher or lower than normal), offer explanation in 'Additional Information'" sqref="C55:C58" xr:uid="{81DF90CE-B1DB-4A70-B5AD-B3A512F70BA0}">
      <formula1>0</formula1>
    </dataValidation>
    <dataValidation type="decimal" showInputMessage="1" showErrorMessage="1" errorTitle="Relative Economic Value" error="Please enter relative market/economic values of outputs as decimal number between 0.01 and 1.00 with sum of all products being = 1.00" promptTitle="Relative Economic Value" prompt="Market values can be used to allocate operational requirements across products/co-products of multi-output processes; these data are relevant to allocation as described in ISO 14040-14044 LCA standards (enter decimal number from 0.01 to 1.00 with sum=1)" sqref="I55:I58" xr:uid="{8FA2032B-00F7-41D2-899E-FFC60102F101}">
      <formula1>0.01</formula1>
      <formula2>1</formula2>
    </dataValidation>
    <dataValidation allowBlank="1" showInputMessage="1" showErrorMessage="1" promptTitle="Fate/disposition" prompt="Fate/disposition of this output, e.g., &quot;to market&quot;, &quot;re-enters this facility as material to be consumed in production process&quot;, &quot;burned as fuel to produce electricity/steam&quot;, &quot;sold to be used as fuel externally&quot;, &quot;sold as prompt/industrial scrap&quot;, etc." sqref="L55:L58 J55:J58 N55:N58" xr:uid="{8658BCCB-F1D2-49F9-A92C-8B1416C994C4}"/>
    <dataValidation type="decimal" allowBlank="1" showInputMessage="1" showErrorMessage="1" errorTitle="Fate/disposition %" error="Please enter % output has this fate/disposition as a decimal number between 0.01 and 1.00" promptTitle="Fate/disposition %" prompt="Enter numerical decimal between 0.01 and 1.00 to represent % output with the preceeding fate/dispostion indicated; total fate/disposition %'s for this row should add to 1.00" sqref="K50:K58 M50:M58 O50:O58 K60 M60:M68 O60:O68" xr:uid="{02CAA907-BF17-43E8-AEA7-E79261E59F0D}">
      <formula1>0.01</formula1>
      <formula2>1</formula2>
    </dataValidation>
    <dataValidation allowBlank="1" showInputMessage="1" showErrorMessage="1" promptTitle="Processing waste" prompt="Modify Waste Name and Insert Rows as needed; if no process wastes occur, indicate &quot;N/A&quot; in comment field and no quantitative values" sqref="A60:A62" xr:uid="{E553848C-7272-4FE9-AD07-B67FA4266AE3}"/>
    <dataValidation allowBlank="1" showInputMessage="1" showErrorMessage="1" promptTitle="Packaging Waste" prompt="Modify Waste Name and Insert Rows as needed; if no pckaging wastes occur, indicate &quot;N/A&quot;" sqref="A63:A65" xr:uid="{F5B12922-6904-4A64-A33D-4AAED912FA49}"/>
    <dataValidation allowBlank="1" showInputMessage="1" showErrorMessage="1" promptTitle="Hazardous Waste" prompt="Modify Waste Name and Insert Rows as needed; if no hazardous wastes occur, indicate &quot;N/A&quot;" sqref="A66:A67" xr:uid="{1B78BD2A-B1C9-4E3A-AE9A-406A09E2422A}"/>
    <dataValidation allowBlank="1" showInputMessage="1" showErrorMessage="1" promptTitle="Other Waste" prompt="Modify Waste Name and Insert Rows as needed; if no other wastes occur, indicate &quot;N/A&quot;" sqref="A68" xr:uid="{1B8689EE-D7C8-4075-926D-8D1E4E88023F}"/>
    <dataValidation type="textLength" showInputMessage="1" showErrorMessage="1" errorTitle="Additional Info" error="Please indicate if there are seasonal variations or other data used to determine consumption value and associated uncertainty; if max text length reached, please enter &quot;added attachment&quot; and send additional attachment" promptTitle="Additional Product Output Info" prompt="Describe here relevant additional information (e.g., other type of data collection method not listed in pull-down, seasonal variation or explanation of uncertainty distribution shape or values determination/data availability)" sqref="P50:Q58" xr:uid="{C016EDFB-7174-42D4-9ADC-7AE51EC33380}">
      <formula1>4</formula1>
      <formula2>1000</formula2>
    </dataValidation>
    <dataValidation type="list" allowBlank="1" showInputMessage="1" showErrorMessage="1" promptTitle="EOL fate" prompt="Enter the primary fate/disposition of this output_x000a_" sqref="R55:R68" xr:uid="{6F9DE3C3-E802-4E60-B544-73F6C7C60793}">
      <formula1>$AK$50:$AK$69</formula1>
    </dataValidation>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uncertainty distribution is logarithmic or normal type; can be calculated from records of production over time; MODEL CALCULATIONS FOR UNCERTAINTY DISTRIBUTION DEPEND ON THIS VALUE" sqref="E117:E130 E110:E114 E53:E54" xr:uid="{7D8D8A52-8CBA-428E-9CFE-D1B59C1FBF49}">
      <formula1>IF(OR($D24="Logarithmic normal distribution",$D24="Normal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MODEL CACLUATIONS FOR UNCERTAINTY DISTRIBUTION DEPEND ON THIS VALUE" sqref="G117:G130 G110:G114 G53:G54" xr:uid="{021FC8E3-E4F9-4DBF-AF91-6A0CF5FA2FFB}">
      <formula1>IF(OR($D24="Logarithmic normal distribution",$D24="Normal distribution"),"enter standard deviation","N/A")</formula1>
    </dataValidation>
    <dataValidation type="textLength" showInputMessage="1" showErrorMessage="1" errorTitle="Additional Info" error="Please indicate if there are seasonal variations or other data used to determine consumption value and associated uncertainty; if max text length reached, please enter &quot;added attachment&quot; and send additional attachment" promptTitle="Additional Waste Output Info" prompt="Describe here relevant additional information (e.g., other type of data collection method not listed in pull-down, seasonal variation or explanation of uncertainty distribution shape or values determination/data availability)" sqref="P60:Q68" xr:uid="{57A6EB8E-3B40-4414-928E-99DCBACC80A4}">
      <formula1>4</formula1>
      <formula2>1000</formula2>
    </dataValidation>
    <dataValidation allowBlank="1" showInputMessage="1" showErrorMessage="1" promptTitle="Co-Product Name(s)" prompt="Modify Co-Product/By-Product Name(s) and Insert Rows as needed; if no co-products or by-products, indicate &quot;N/A&quot;" sqref="A51:A57 B55:B57" xr:uid="{537074B0-3433-45CB-A8DC-74C14214CA32}"/>
    <dataValidation type="decimal" showInputMessage="1" showErrorMessage="1" errorTitle="Relative Economic Value" error="Please enter relative market/economic values of outputs as decimal number between 0.01 and 1.00 with sum of all products being = 1.00" promptTitle="Relative Economic Value" prompt="Market values can be used to allocate operational requirements across products/co-products of multi-output processes; these data are relevant to allocation as described in ISO 14040-14044 LCA standards (value can be negative if disposal cost incurred)" sqref="I60 I50:I54" xr:uid="{A6F3ABF3-AC29-451A-A47A-46731C054FD6}">
      <formula1>0</formula1>
      <formula2>1</formula2>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production over time" sqref="E58" xr:uid="{1FB1E823-B3EA-46C7-BC50-ED8345F0775B}">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production over time" sqref="F58" xr:uid="{24624E68-4A1B-46D0-9A4A-DF323AA718C8}">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sqref="G58" xr:uid="{D6253AB2-E2B1-4131-B932-95D3E35C67B0}">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production over time" sqref="E57" xr:uid="{633BC1B3-4BBF-4661-A30A-DDB7CF6EA0B8}">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production over time" sqref="F57" xr:uid="{124CD583-D3D3-4A10-B76A-5F4E8BF1EBCE}">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sqref="G57" xr:uid="{4E0D6A92-022F-410D-BC8A-A917F53CA72F}">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production over time" sqref="E55" xr:uid="{EFB3F229-C3CB-4540-96DF-FD199AFD9E59}">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production over time" sqref="E56" xr:uid="{C2F580F8-2B9A-45D0-93AA-9EB14FC3C9FF}">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production over time" sqref="F55" xr:uid="{EC933003-0E28-4ACF-B794-32B78995CE6C}">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production over time" sqref="F56" xr:uid="{55863BAD-881D-4B81-AF44-DC1D58B1A79B}">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sqref="G55" xr:uid="{640CAE1D-3E16-4286-B521-943053BD48B8}">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sqref="G56" xr:uid="{6A6FD053-3AE9-4FD7-9E93-39C4AE051A95}">
      <formula1>IF(OR($D64="Logarithmic normal distribution",$D64="Normal distribution"),"enter standard deviation","N/A")</formula1>
    </dataValidation>
    <dataValidation type="decimal" operator="greaterThan" allowBlank="1" showInputMessage="1" showErrorMessage="1" promptTitle="Waste Outputs" prompt="Quantity output for reporting period; if amount was abnormal during reporting period (higher or lower than normal), offer explanation in 'Additional Information'" sqref="C60:C68" xr:uid="{1BBA7DCB-EB3F-4557-AD61-2FB503AE3DB9}">
      <formula1>0</formula1>
    </dataValidation>
    <dataValidation allowBlank="1" showInputMessage="1" showErrorMessage="1" promptTitle="Water Consumption" prompt="Consumptive water use includes: 1) evaporated water, 2) water incorporated into product, 3) water not returning to source catchment, and 4) water not returned in same period, e.g., withdrawn in scarce period &amp; returned in wet period" sqref="A74" xr:uid="{9B831437-8C20-4EB5-BD41-0538130A44DB}"/>
    <dataValidation type="decimal" operator="greaterThan" allowBlank="1" showInputMessage="1" showErrorMessage="1" promptTitle="Air Emission" prompt="Quantity output for reporting period; data outliers can be reflected in uncertainty distribution and in the 'Other info' field; best practice=data over time period sufficient to give median/mode and uncertainty distribution fairly representative normal op" sqref="C85:C98" xr:uid="{C236619C-4C37-4030-93E3-35580288CE81}">
      <formula1>0</formula1>
    </dataValidation>
    <dataValidation allowBlank="1" showInputMessage="1" showErrorMessage="1" promptTitle="Other info" prompt="Other information relevant to emission fate and transport such as: chemical synonyms/formulas/CAS number, other data collection method, stack release height, continuous or pulse, filter and/or capture technology, etc." sqref="I85:K98" xr:uid="{2CCA6868-608B-4CA5-9698-F20DF6A3B789}"/>
    <dataValidation allowBlank="1" showInputMessage="1" showErrorMessage="1" promptTitle="Emission" prompt="Modify Emission Name and Insert Rows as needed; if no emissions to this compartment occur, indicate &quot;N/A&quot;" sqref="A101:A114 A85:A98 A117:A130" xr:uid="{D88F0E46-9D9F-4ACC-AB15-9FF660023277}"/>
    <dataValidation allowBlank="1" showInputMessage="1" showErrorMessage="1" promptTitle="Other info" prompt="Other information relevant to emission fate and transport such as: chemical synonyms/formulas/CAS number/oxidation state, other data collection method, waterbody released to, continuous or pulse, filter/capture/treatment technology, etc." sqref="I101:K114" xr:uid="{9939C962-9699-49C1-BAF3-FB6AA242D7CB}"/>
    <dataValidation type="decimal" operator="greaterThan" allowBlank="1" showInputMessage="1" showErrorMessage="1" promptTitle="Water Emission" prompt="Quantity output for reporting period; if amount was abnormal during reporting period (higher or lower than normal), offer explanation in 'Additional Information'" sqref="C101:C114" xr:uid="{ACCB1487-129C-4847-92FF-7544951C53BE}">
      <formula1>0</formula1>
    </dataValidation>
    <dataValidation type="decimal" operator="greaterThan" allowBlank="1" showInputMessage="1" showErrorMessage="1" promptTitle="Soil/Land Emission" prompt="Quantity output for reporting period; if amount was abnormal during reporting period (higher or lower than normal), offer explanation in 'Additional Information'" sqref="C117:C130" xr:uid="{2E6A2777-DE10-4731-90B0-3B69321214AE}">
      <formula1>0</formula1>
    </dataValidation>
    <dataValidation allowBlank="1" showInputMessage="1" showErrorMessage="1" promptTitle="Other info" prompt="Other information relevant to emission fate and transport such as: chemical synonyms/formulas/CAS number, other data collection method, continuous or pulse, etc." sqref="I117:K130" xr:uid="{466F371D-F0E7-418A-AF76-6EDAEA5B837A}"/>
    <dataValidation type="list" operator="greaterThanOrEqual" allowBlank="1" showInputMessage="1" showErrorMessage="1" errorTitle="Uncertainty distribution type" error="Please select either NO or a specific type of uncertainty distribution for this parameter" promptTitle="Uncertainty Distribution" prompt="Uncertainty of data point: No distribution use- no variation, no uncertainty; Logarithmic &amp; normal distributio - enter mean and indicate standard deviation_x000a_Triangle &amp; uniform distribution - numeric product amount should be mode with a min and max value" sqref="D55:D58" xr:uid="{E81673BA-A4C5-4857-A030-36697020213D}">
      <formula1>#REF!</formula1>
    </dataValidation>
    <dataValidation type="list" allowBlank="1" showInputMessage="1" showErrorMessage="1" errorTitle="Data Collection Method" error="Please select a method from the list; if 'other', please explain in the 'Additional Information' field" promptTitle="Data collection method" prompt="How this row's production data were collected; if 'other', please describe in 'Additional Information' field in this row" sqref="H55:H58" xr:uid="{CFC1585D-C489-4F29-9F91-F4EA3875E49E}">
      <formula1>#REF!</formula1>
    </dataValidation>
    <dataValidation allowBlank="1" showInputMessage="1" promptTitle="Additional information" prompt="Use this space for entering more information (e.g., regarding Renewable Energy Certifications, carbon capture, energy source, other facility inputs)._x000a_" sqref="I19:K19 O35:Q35" xr:uid="{A9AC0E1C-064B-40E0-B8D4-E650FDE72811}"/>
    <dataValidation type="decimal" operator="greaterThanOrEqual" showInputMessage="1" showErrorMessage="1" errorTitle="Electricity Consumption" error="Please enter an electricity value from the selected data collection method for this process" promptTitle="Electricity consumption" prompt="Quantity electricity consumption for facility in kWh units; per-product MJ amount allocated is auto-calculated to left below; best practice account over &gt;or= 1 year account for seasonal variance; enter mean/median and select probability distribution type" sqref="C20" xr:uid="{B661D3DC-FEDB-45E9-AA8B-35233D18B492}">
      <formula1>0</formula1>
    </dataValidation>
    <dataValidation type="decimal" operator="greaterThanOrEqual" allowBlank="1" showInputMessage="1" showErrorMessage="1" errorTitle="Electricity Consumption" error="Please enter an electricity value from the selected data collection method for this process" promptTitle="Natural gas consumption" prompt="Amount natural gas for facility in MJ units; per-product amount allocated is auto-calculated to left; best to calculate over reporting time to account for seasonal variance; enter mean/median and select probability distribution type" sqref="C23" xr:uid="{D006483B-C3B2-4542-9443-9AAF13AADD85}">
      <formula1>0</formula1>
    </dataValidation>
    <dataValidation type="decimal" operator="greaterThanOrEqual" allowBlank="1" showInputMessage="1" showErrorMessage="1" errorTitle="Electricity Consumption" error="Please enter an electricity value from the selected data collection method for this process" promptTitle="Chilled Water" prompt="Volume chilled water throughput for facility in m3 units; per-product amount allocated is auto-calculated to left; best to calculate over reporting time to account for seasonal variance; enter mean/median and select probability distribution type" sqref="C24" xr:uid="{42D1D625-D6FE-4185-86DE-FC41E53B2179}">
      <formula1>0</formula1>
    </dataValidation>
    <dataValidation type="decimal" operator="greaterThanOrEqual" allowBlank="1" showInputMessage="1" showErrorMessage="1" errorTitle="Electricity Consumption" error="Please enter an electricity value from the selected data collection method for this process" promptTitle="Steam Energy" prompt="Amount steam energy used for facility in MJ units; per-product amount allocated is auto-calculated to left; best to calculate over reporting time to account for seasonal variance; enter mean/median and select probability distribution type" sqref="C25" xr:uid="{4477F74C-9CF8-4F87-8FFD-65A0D10A1C07}">
      <formula1>0</formula1>
    </dataValidation>
    <dataValidation type="decimal" operator="greaterThanOrEqual" allowBlank="1" showInputMessage="1" showErrorMessage="1" errorTitle="Electricity Consumption" error="Please enter an electricity value from the selected data collection method for this process" promptTitle="Electricity consumption" prompt="Amount other heat energy used for facility in MJ units; per-product amount _x000a_allocated is auto-calculated to left; best to calculate over reporting time to account for seasonal variance; enter mean/median and select probability distribution type" sqref="C26" xr:uid="{6922577E-5CCF-4221-95DB-F53AFFFE2467}">
      <formula1>0</formula1>
    </dataValidation>
    <dataValidation type="decimal" operator="greaterThanOrEqual" allowBlank="1" showInputMessage="1" showErrorMessage="1" errorTitle="Electricity Consumption" error="Please enter an electricity value from the selected data collection method for this process" promptTitle="Other facility energy inputs" prompt="Enter name other energy inputs for facility and indicate units; add rows if needed" sqref="C27:C29" xr:uid="{9D01E0E5-5676-4018-9FF7-B372E7BC237C}">
      <formula1>0</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f uncertainty distribution is logarithmic or uniform type; can be calculated from records of consumption over time; MODEL CALCULATIONS FOR UNCERTAINTY DISTRIBUTION DEPEND ON THIS VALUE" sqref="G20 G22" xr:uid="{8A12DB2C-9862-4FE5-8C0F-C0972FE43381}">
      <formula1>IF(OR($D31="Logarithmic normal distribution",$D31="Normal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F uncertainty distribution is logarithmic or normal type; can be calculated from records of consumption over time; MODEL CALCULATIONS FOR UNCERTAINTY DISTRIBUTION DEPEND ON THIS VALUE" sqref="F50:F54 F85:F98 F101:F114 F117:F130 F60:F62 F66" xr:uid="{B3FD8731-9919-437C-B0B3-268381BE39FA}">
      <formula1>IF(OR($D61="Logarithmic normal distribution",$D61="Normal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consumption over time" sqref="G28" xr:uid="{7ED5B133-EC6A-4002-95A2-2E42B833C4E4}">
      <formula1>IF(OR($D37="Logarithmic normal distribution",$D37="Normal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consumption over time" sqref="G29" xr:uid="{8C335F3A-CA99-43E1-9CF2-883195BE8F86}">
      <formula1>IF(OR($D37="Logarithmic normal distribution",$D37="Normal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consumption over time" sqref="F28" xr:uid="{4779AE80-F2E9-4FEE-B20D-7E8A34276AE7}">
      <formula1>IF(OR($D37="Logarithmic normal distribution",$D37="Normal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consumption over time" sqref="F29" xr:uid="{894C849E-2A17-433D-BC1C-DBA83C0DA923}">
      <formula1>IF(OR($D37="Logarithmic normal distribution",$D37="Normal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consumption over time" sqref="E28" xr:uid="{2CE38DC0-B786-42D9-AAC4-C6C793D0F948}">
      <formula1>IF(OR($D37="Logarithmic normal distribution",$D37="Normal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consumption over time" sqref="E29" xr:uid="{F43CC63F-FDF0-4DF1-A0AC-69700C1E7FCD}">
      <formula1>IF(OR($D37="Logarithmic normal distribution",$D37="Normal distribution"),"enter standard deviation","N/A")</formula1>
    </dataValidation>
    <dataValidation allowBlank="1" sqref="D21" xr:uid="{206A2C5B-39AD-4E55-B866-537A43A6A279}"/>
    <dataValidation allowBlank="1" showErrorMessage="1" sqref="B21" xr:uid="{0B83B359-D076-4290-897D-40F79644C0E1}"/>
    <dataValidation type="decimal" operator="greaterThanOrEqual" showErrorMessage="1" errorTitle="Electricity Consumption" error="Please enter an electricity value from the selected data collection method for this process" promptTitle="Electricity consumption" prompt="Quantity electricity consumption for facility in kWh units; per-product MJ amount allocated is auto-calculated to left below; best practice account over &gt;or= 1 year account for seasonal variance; enter mean/median and select probability distribution type" sqref="C21" xr:uid="{7E389DA4-1A2B-4142-B564-97A21AEF9516}">
      <formula1>0</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f uncertainty distribution is logarithmic or uniform type; can be calculated from records of consumption over time; MODEL CALCULATIONS FOR UNCERTAINTY DISTRIBUTION DEPEND ON THIS VALUE" sqref="F64:F65 F24:F27 L36:L44 F36:F44" xr:uid="{CF368F16-6603-47BF-AC62-09463A23E44C}">
      <formula1>IF(OR($D34="Logarithmic normal distribution",$D34="Normal distribution"),"enter standard deviation","N/A")</formula1>
    </dataValidation>
    <dataValidation allowBlank="1" showInputMessage="1" showErrorMessage="1" promptTitle="Water intake" prompt="Water intake in volume over reporting time period; also, select intake source and quality information in row pull-downs" sqref="A73" xr:uid="{3EB322E3-0010-432E-BDBE-C51D0C3EF7DE}"/>
    <dataValidation allowBlank="1" showInputMessage="1" showErrorMessage="1" promptTitle="Water quality change" prompt="For return water, is water chemical/biological content/quality significantly changed upon return; e.g., high BOD or COD levels?" sqref="G73:H73 G75" xr:uid="{91026E1F-0D64-47B2-BED7-6C07D61BA6DC}"/>
    <dataValidation allowBlank="1" showInputMessage="1" showErrorMessage="1" promptTitle="Water quality change" prompt="For return water, is water physical quality significantly changed upon return; e.g., high thermal pollution?" sqref="H75" xr:uid="{0C29F0C1-45FA-4B8C-B3A0-ED264FD04F94}"/>
    <dataValidation allowBlank="1" showInputMessage="1" showErrorMessage="1" promptTitle="Return water" prompt="Indicate volume of water returned to receiving body, if applicable, the name of the receiving body, the receiving water body type and an indication of pollution/quality change; use 'Other info:' field to indicate specific pollutants/pollutant types" sqref="A75:A76" xr:uid="{ED81DB64-3E60-4DEE-A902-33652019AAA8}"/>
    <dataValidation type="list" allowBlank="1" showInputMessage="1" showErrorMessage="1" promptTitle="water body type" prompt="Select source or receiving water body type_x000a_" sqref="O73:O76" xr:uid="{972ABFB9-9619-4A78-B635-C340C1B0767D}">
      <formula1>$AK$73:$AK$86</formula1>
    </dataValidation>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uncertainty distribution is logarithmic or normal type; can be calculated from records of production over time; MODEL CALCULATIONS FOR UNCERTAINTY DISTRIBUTION DEPEND ON THIS VALUE" sqref="E106" xr:uid="{E9BFD3C7-5E77-4DBB-AE5D-8D57F658B350}">
      <formula1>IF(OR(#REF!="Logarithmic normal distribution",#REF!="Normal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MODEL CACLUATIONS FOR UNCERTAINTY DISTRIBUTION DEPEND ON THIS VALUE" sqref="G106" xr:uid="{4B0FCA45-1FFE-4389-A513-2CB622336F85}">
      <formula1>IF(OR(#REF!="Logarithmic normal distribution",#REF!="Normal distribution"),"enter standard deviation","N/A")</formula1>
    </dataValidation>
    <dataValidation type="decimal" operator="greaterThanOrEqual" allowBlank="1" showInputMessage="1" showErrorMessage="1" promptTitle="Water return" prompt="Enter a numerical water volume return for the reporting time period and indicate the water receiver name and type in the following cells for this row" sqref="C75" xr:uid="{D8882CDB-4665-4A72-96B2-779C7E3017EF}">
      <formula1>0</formula1>
    </dataValidation>
    <dataValidation type="textLength" operator="greaterThan" allowBlank="1" promptTitle="Waterbody name" prompt="Enter the name of the waterbody" sqref="D74:E74" xr:uid="{702D3E6E-ACCC-4C1B-A22C-7A17FB1FFE2B}">
      <formula1>0</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F uncertainty distribution is logarithmic or normal type; can be calculated from records of consumption over time; MODEL CALCULATIONS FOR UNCERTAINTY DISTRIBUTION DEPEND ON THIS VALUE" sqref="F63" xr:uid="{C1F51C2B-A96E-4145-B083-4A908559DDCB}">
      <formula1>IF(OR(#REF!="Logarithmic normal distribution",#REF!="Normal distribution"),"enter standard deviation","N/A")</formula1>
    </dataValidation>
    <dataValidation type="decimal" operator="greaterThanOrEqual" allowBlank="1" showInputMessage="1" showErrorMessage="1" promptTitle="Other water consumption" prompt="Enter a numerical water volume consumed in the reporting period and indicate in the pull-down whether 'other consumption' is incorporated into the product or via evaporative use" sqref="C74" xr:uid="{37E5809F-E07A-48B9-90B1-468813A173F5}">
      <formula1>0</formula1>
    </dataValidation>
    <dataValidation type="decimal" operator="greaterThanOrEqual" allowBlank="1" showInputMessage="1" showErrorMessage="1" promptTitle="Water intake" prompt="Enter a numerical water volume intake for the reporting time period and indicate the water source name and type in the following cells for this row" sqref="C73" xr:uid="{47D16EDC-BDDB-4ABD-90D3-EE50A59DB007}">
      <formula1>0</formula1>
    </dataValidation>
    <dataValidation type="textLength" operator="greaterThan" allowBlank="1" showInputMessage="1" showErrorMessage="1" promptTitle="Receiving water body" prompt="Enter the name of the receiving water body" sqref="D75:E75" xr:uid="{F62CCCE5-2C14-4250-9F96-170BAA0875CD}">
      <formula1>0</formula1>
    </dataValidation>
    <dataValidation type="textLength" operator="greaterThan" allowBlank="1" showInputMessage="1" showErrorMessage="1" promptTitle="Source waterbody name" prompt="Enter the name of the intake water body source" sqref="D73:E73" xr:uid="{D7E0AC1C-472E-4246-93EE-3B7520FB872D}">
      <formula1>0</formula1>
    </dataValidation>
    <dataValidation allowBlank="1" showInputMessage="1" showErrorMessage="1" promptTitle="Water treatment" prompt="Indicate volume of water treatment performed for return water, if applicable, for the reporting period" sqref="C77" xr:uid="{43EAA58D-1B4C-4D95-869B-E9EC89419EFE}"/>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uncertainty distribution is logarithmic or normal type; can be calculated from records of production over time; MODEL CALCULATIONS FOR UNCERTAINTY DISTRIBUTION DEPEND ON THIS VALUE" sqref="E60:E68 E50:E52" xr:uid="{C491FC0A-C426-4AF7-A9F0-6B8D3EE0EF12}">
      <formula1>IF(OR($D20="Logarithmic normal distribution",$D20="Normal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MODEL CACLUATIONS FOR UNCERTAINTY DISTRIBUTION DEPEND ON THIS VALUE" sqref="G60:G68 G50:G52" xr:uid="{9B2E86F5-DE8E-4D18-99B8-D0EDC9592747}">
      <formula1>IF(OR($D20="Logarithmic normal distribution",$D20="Normal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F uncertainty distribution is logarithmic or normal type; can be calculated from records of consumption over time; MODEL CALCULATIONS FOR UNCERTAINTY DISTRIBUTION DEPEND ON THIS VALUE" sqref="F67:F68" xr:uid="{A4503612-0740-4915-A15A-7CF85088D620}">
      <formula1>IF(OR($D81="Logarithmic normal distribution",$D81="Normal distribution"),"enter standard deviation","N/A")</formula1>
    </dataValidation>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uncertainty distribution is logarithmic or normal type; can be calculated from records of production over time; MODEL CALCULATIONS FOR UNCERTAINTY DISTRIBUTION DEPEND ON THIS VALUE" sqref="E107:E108" xr:uid="{53DB1635-0272-4828-8C03-D89C15B3D24F}">
      <formula1>IF(OR($D74="Logarithmic normal distribution",$D74="Normal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MODEL CACLUATIONS FOR UNCERTAINTY DISTRIBUTION DEPEND ON THIS VALUE" sqref="G107:G108" xr:uid="{14C98E25-C385-4928-A63A-97EB7011A1D6}">
      <formula1>IF(OR($D74="Logarithmic normal distribution",$D74="Normal distribution"),"enter standard deviation","N/A")</formula1>
    </dataValidation>
    <dataValidation operator="greaterThan" showInputMessage="1" showErrorMessage="1" promptTitle="Material Outputs" prompt="Quantity units output for reporting period (auto-generated from fields of General EPD tab); use uncertainty distribution and ''additional information' to reflect seasonal variations in output" sqref="C50" xr:uid="{276D9967-AD96-4B51-94AB-12708DE13320}"/>
    <dataValidation allowBlank="1" showInputMessage="1" showErrorMessage="1" promptTitle="Water treatment" prompt="Indicate volume of water treatment performed for intake water, if applicable, for the reporting period" sqref="C76" xr:uid="{A8BD3431-5C04-4685-9D22-756910C31A8F}"/>
    <dataValidation operator="greaterThan" allowBlank="1" promptTitle="Treatment type" prompt="Select the type of water treatment performed for return water, if applicable" sqref="F76" xr:uid="{D8897939-4A6D-4EC2-8221-8AD4EE38B7D5}"/>
    <dataValidation allowBlank="1" promptTitle="Water quality change" prompt="For return water, is water chemical/biological content/quality significantly changed upon return; e.g., high BOD or COD levels?" sqref="G76" xr:uid="{8BA3F6CA-1DA0-4AEC-85B7-767890ADA0AD}"/>
    <dataValidation allowBlank="1" promptTitle="Water quality change" prompt="For return water, is water physical quality significantly changed upon return; e.g., high thermal pollution?" sqref="H76" xr:uid="{758F70FF-63C0-4E87-B006-4BEC1A208D88}"/>
    <dataValidation type="decimal" operator="greaterThan" allowBlank="1" showInputMessage="1" showErrorMessage="1" promptTitle="Material Outputs" prompt="Quantity units output for reporting period; use uncertainty distribution and ''additional information' to reflect seasonal variations in output" sqref="C51:C54" xr:uid="{AA248B51-B88B-4C46-A468-B6B4F9F105FE}">
      <formula1>0</formula1>
    </dataValidation>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 uncertainty distribution is logarithmic or normal type; can be calculated from records of production over time; MODEL CALCULATIONS FOR UNCERTAINTY DISTRIBUTION DEPEND ON THIS VALUE" sqref="E36:E44 K36:K44" xr:uid="{354DC58C-ACFE-4161-9F37-71FDDE470BF2}">
      <formula1>IF(OR($D7="Logarithmic normal distribution",$D7="Normal distribution"),"enter standard deviation","N/A")</formula1>
    </dataValidation>
    <dataValidation allowBlank="1" showInputMessage="1" showErrorMessage="1" promptTitle="Basic mass balance check" prompt="Does not consider co-product allocation or water incorporated into product" sqref="A133" xr:uid="{AF55E1A8-16F5-41A0-95BB-5B4AB8ADEFC1}"/>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uncertainty distribution is logarithmic or normal type; can be calculated from records of production over time; MODEL CALCULATIONS FOR UNCERTAINTY DISTRIBUTION DEPEND ON THIS VALUE" sqref="E109 E85:E98 E101:E105" xr:uid="{5207F439-B736-48CE-8105-547F076DAB1E}">
      <formula1>IF(OR($D53="Logarithmic normal distribution",$D53="Normal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MODEL CACLUATIONS FOR UNCERTAINTY DISTRIBUTION DEPEND ON THIS VALUE" sqref="G109 G85:G98 G101:G105" xr:uid="{B17C2DD9-3A8E-4315-8CE2-C0AEF80238E7}">
      <formula1>IF(OR($D53="Logarithmic normal distribution",$D53="Normal distribution"),"enter standard deviation","N/A")</formula1>
    </dataValidation>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 uncertainty distribution is logarithmic or normal type; can be calculated from records of production over time; MODEL CALCULATIONS FOR UNCERTAINTY DISTRIBUTION DEPEND ON THIS VALUE" sqref="E20 E22 E24:E27" xr:uid="{A73EF6F0-CCD5-49C3-843A-027CEC2AAF08}">
      <formula1>IF(OR($D1048571="Logarithmic normal distribution",$D1048571="Normal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f uncertainty distribution is logarithmic or uniform type; can be calculated from records of consumption over time; MODEL CALCULATIONS FOR UNCERTAINTY DISTRIBUTION DEPEND ON THIS VALUE" sqref="F20 F22" xr:uid="{798FC256-B663-4380-98B3-2AC707AA8FD0}">
      <formula1>IF(OR($D31="Logarithmic normal distribution",$D31="Normal distribution"),"enter standard deviation","N/A")</formula1>
    </dataValidation>
    <dataValidation allowBlank="1" showInputMessage="1" promptTitle="Default conversion" prompt="Natural gas default conversion from m3 to MJ using 0.026 conversion factor per Federal LCA Commons Federal Elementary Flow List (FEDEFL) value per EIA:  EIA https://www.eia.gov/energyexplained/units-and-calculators/energy-conversion-calculators.php_x000a_" sqref="I45 B23" xr:uid="{ACB0BA99-D5A0-488B-AD71-23B91488EB10}"/>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f uncertainty distribution is logarithmic or uniform type; can be calculated from records of consumption over time; MODEL CALCULATIONS FOR UNCERTAINTY DISTRIBUTION DEPEND ON THIS VALUE" sqref="G24:G27 G36:G44 M36:M44" xr:uid="{A29299E5-7EE6-49E1-9136-FE8C1C9C52B1}">
      <formula1>IF(OR($D34="Logarithmic normal distribution",$D34="Normal distribution"),"enter standard deviation","N/A")</formula1>
    </dataValidation>
    <dataValidation type="decimal" operator="greaterThanOrEqual" allowBlank="1" showInputMessage="1" showErrorMessage="1" errorTitle="Electricity Consumption" error="Please enter volume natural gas consumption value in m3 from the selected data collection method for this facility" promptTitle="Natural gas consumption" prompt="Amount natural gas for facility in m3 units; per-product amount allocated is auto-calculated to left; best to calculate over reporting time to account for seasonal variance; enter mean/median and select probability distribution type" sqref="C22" xr:uid="{26F95FA9-CB3F-4384-A57A-E3EB31B33E58}">
      <formula1>0</formula1>
    </dataValidation>
    <dataValidation allowBlank="1" showInputMessage="1" showErrorMessage="1" promptTitle="Convert to MJ per unit product" prompt="Converts kWh and m3 to MJ per reporting period and use linear feet produced per reporting period and linear feet per unit product to obtain sum of electricity and natural gas MJ energy consumed per unit product" sqref="B36:B44" xr:uid="{3A74D1F6-BDB4-4836-860D-25A07B3CA63F}"/>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543" yWindow="790" count="18">
        <x14:dataValidation type="list" operator="greaterThanOrEqual" allowBlank="1" showInputMessage="1" showErrorMessage="1" errorTitle="Uncertainty distribution type" error="Please select either NO or a specific type of uncertainty distribution for this parameter" promptTitle="Uncertainty Distribution" prompt="Uncertainty of data point: No distribution use- no variation, no uncertainty; Logarithmic &amp; normal distribution - enter mean and indicate standard deviation; Triangle &amp; uniform distribution - numeric consumption should be mode with a min and max value" xr:uid="{482290DA-00DC-4D97-B699-03E1F9DD19D5}">
          <x14:formula1>
            <xm:f>master_list_menus!$U$3:$U$7</xm:f>
          </x14:formula1>
          <xm:sqref>D36:D44 D117:D130 D101:D114 D85:D98 D24:D27 D50:D54 J36:J44 D20 D22 D60:D68</xm:sqref>
        </x14:dataValidation>
        <x14:dataValidation type="list" allowBlank="1" showInputMessage="1" showErrorMessage="1" errorTitle="Data Collection Method" error="Please select a method from the list; if 'other', please explain in the 'Additional Information' field" promptTitle="Data collection method" prompt="How this row's production data were collected; if 'other', please describe in 'Additional Information' field in this row" xr:uid="{99326273-5A6A-4323-ACAB-495A9B1FCCD4}">
          <x14:formula1>
            <xm:f>master_list_menus!$Q$3:$Q$7</xm:f>
          </x14:formula1>
          <xm:sqref>H101:H114 H117:H130 H86:H98</xm:sqref>
        </x14:dataValidation>
        <x14:dataValidation type="list" allowBlank="1" showInputMessage="1" showErrorMessage="1" promptTitle="Fate/disposition" prompt="Fate/disposition of waste, e.g., &quot;re-enters this facility as material to be consumed in production process&quot;, &quot;burned as fuel to produce electricity/steam&quot;, &quot;sold to be used as fuel externally&quot;, &quot;sold as prompt/industrial scrap&quot;, &quot;recycled&quot;, &quot;disposed&quot;" xr:uid="{4786BC85-C41C-4B89-91AF-682DD02EB747}">
          <x14:formula1>
            <xm:f>master_list_menus!$S$3:$S$17</xm:f>
          </x14:formula1>
          <xm:sqref>J50:J54 J60:J68 N50:N54 L50:L54</xm:sqref>
        </x14:dataValidation>
        <x14:dataValidation type="list" allowBlank="1" showInputMessage="1" showErrorMessage="1" errorTitle="Space conditioning" error="This information is important metadata to include in the LCA reporting and/or EPD declaration." promptTitle="Space conditioning?" prompt="Select yes if energy input values contain space conditioning (i.e., HVAC, pumps, air handlers, water piping) for space (e.g., offices, personnel space) that serves a function separate from the manufacturing process." xr:uid="{A1C0F1CC-A46E-4A45-BB7D-B4A88558F2F4}">
          <x14:formula1>
            <xm:f>master_list_menus!$V$3:$V$4</xm:f>
          </x14:formula1>
          <xm:sqref>C17</xm:sqref>
        </x14:dataValidation>
        <x14:dataValidation type="list" allowBlank="1" showInputMessage="1" showErrorMessage="1" xr:uid="{A442C3BB-992D-4C0D-BDBD-B47A48190239}">
          <x14:formula1>
            <xm:f>master_list_menus!$U$3:$U$7</xm:f>
          </x14:formula1>
          <xm:sqref>D28:D29</xm:sqref>
        </x14:dataValidation>
        <x14:dataValidation type="list" allowBlank="1" showInputMessage="1" showErrorMessage="1" errorTitle="Data Collection Method" error="Please select a method from the list; if 'other', please explain in the 'Additional Information' field" promptTitle="Data collection method" prompt="How this row's energy consumption data were collected; if 'other', please describe in 'Additional Information' field in this row" xr:uid="{8D54D337-B841-4C19-AB6C-D7D67BF38B3B}">
          <x14:formula1>
            <xm:f>master_list_menus!$R$3:$R$8</xm:f>
          </x14:formula1>
          <xm:sqref>N36:N44 H36:H44 H20 H22 H24:H29</xm:sqref>
        </x14:dataValidation>
        <x14:dataValidation type="list" allowBlank="1" showInputMessage="1" showErrorMessage="1" errorTitle="Data Collection Method" error="Please select a method from the list; if 'other', please explain in the 'Additional Information' field" promptTitle="Data collection method" prompt="How this row's production data were collected; if 'other', please describe in 'Additional Information' field in this row" xr:uid="{96588796-31CA-4DDF-BC0C-DD37E2476C38}">
          <x14:formula1>
            <xm:f>master_list_menus!$Q$3:$Q$8</xm:f>
          </x14:formula1>
          <xm:sqref>H50:H54 H60:H68</xm:sqref>
        </x14:dataValidation>
        <x14:dataValidation type="list" allowBlank="1" showInputMessage="1" showErrorMessage="1" promptTitle="Fate/disposition" prompt="Fate/disposition of waste, e.g., &quot;re-enters this facility as material to be consumed in production process&quot;, &quot;burned as fuel to produce electricity/steam&quot;, &quot;sold to be used as fuel externally&quot;, &quot;sold as prompt/industrial scrap&quot;, &quot;recycled&quot;, &quot;disposed&quot;" xr:uid="{A399C359-C757-4AD9-83B2-659616CEAD92}">
          <x14:formula1>
            <xm:f>master_list_menus!$S$3:$S$18</xm:f>
          </x14:formula1>
          <xm:sqref>L60:L68 N60:N68</xm:sqref>
        </x14:dataValidation>
        <x14:dataValidation type="list" showInputMessage="1" showErrorMessage="1" errorTitle="Waterbody type" error="Please select a type from the list" promptTitle="Receiving water body type" prompt="Select waterbody type most closely matching the receiving water body for water return" xr:uid="{B539621C-2715-4CD4-8256-B57D2EEAE2BE}">
          <x14:formula1>
            <xm:f>master_list_menus!$W$3:$W$13</xm:f>
          </x14:formula1>
          <xm:sqref>F75</xm:sqref>
        </x14:dataValidation>
        <x14:dataValidation type="list" showInputMessage="1" showErrorMessage="1" errorTitle="Waterbody type" error="Please select a type from the list" promptTitle="Waterbody type" prompt="Select waterbody type most closely matching the source of water intake" xr:uid="{5F8DC0EA-2DF1-457A-9B58-708A0841770E}">
          <x14:formula1>
            <xm:f>master_list_menus!$T$3:$T$14</xm:f>
          </x14:formula1>
          <xm:sqref>F73</xm:sqref>
        </x14:dataValidation>
        <x14:dataValidation type="list" showInputMessage="1" showErrorMessage="1" errorTitle="Waterbody type" error="Please select a type from the list" promptTitle="Consumptive use type" prompt="Select whether consumptive use is via incorporation into the product/co-products/by-products or via evaporation" xr:uid="{A15B96DC-B6BC-4528-B3DC-525EB46D7D40}">
          <x14:formula1>
            <xm:f>master_list_menus!$X$3:$X$4</xm:f>
          </x14:formula1>
          <xm:sqref>F74</xm:sqref>
        </x14:dataValidation>
        <x14:dataValidation type="list" operator="greaterThan" allowBlank="1" showInputMessage="1" showErrorMessage="1" promptTitle="Treatment type" prompt="Select the type of water treatment performed for return water, if applicable" xr:uid="{AFCAC106-1D45-451D-805A-5062CC62BC3E}">
          <x14:formula1>
            <xm:f>master_list_menus!$Y$3:$Y$5</xm:f>
          </x14:formula1>
          <xm:sqref>D77:E77</xm:sqref>
        </x14:dataValidation>
        <x14:dataValidation type="list" operator="greaterThan" allowBlank="1" showInputMessage="1" showErrorMessage="1" promptTitle="Treatment type" prompt="Select the type of water treatment performed for intake water, if applicable" xr:uid="{C5C3A5DF-1BC5-49D8-92BB-F5692B4B86AF}">
          <x14:formula1>
            <xm:f>master_list_menus!$Y$3:$Y$5</xm:f>
          </x14:formula1>
          <xm:sqref>D76:E76</xm:sqref>
        </x14:dataValidation>
        <x14:dataValidation type="list" allowBlank="1" showInputMessage="1" showErrorMessage="1" errorTitle="Data Collection Method" error="Please select a method from the list; if 'other', please explain in the 'Additional Information' field" promptTitle="Data collection method" prompt="How this row's emission values were collected; if 'other', please describe in 'Additional Information' field in this row" xr:uid="{E432699C-2F80-4BC8-BBB0-84BF983EC12A}">
          <x14:formula1>
            <xm:f>master_list_menus!$Z$3:$Z$8</xm:f>
          </x14:formula1>
          <xm:sqref>H85</xm:sqref>
        </x14:dataValidation>
        <x14:dataValidation type="custom" allowBlank="1" showInputMessage="1" showErrorMessage="1" promptTitle="Main Product Output" prompt="Main Product Output as entered in General EPD tab; auto-generated from Gen_EPD tab" xr:uid="{10BB857A-FB44-4098-A469-781A72970E65}">
          <x14:formula1>
            <xm:f>GEN_EPD!$B$3</xm:f>
          </x14:formula1>
          <xm:sqref>A50</xm:sqref>
        </x14:dataValidation>
        <x14:dataValidation type="list" operator="greaterThanOrEqual" allowBlank="1" showDropDown="1" errorTitle="Uncertainty distribution type" error="Please select either NO or a specific type of uncertainty distribution for this parameter" promptTitle="Uncertainty Distribution" prompt="Uncertainty of data point: No distribution use- no variation, no uncertainty; Logarithmic &amp; normal distribution - enter mean and indicate standard deviation; Triangle &amp; uniform distribution - numeric consumption should be mode with a min and max value" xr:uid="{534D9151-D050-456E-824E-1A1A0152C84E}">
          <x14:formula1>
            <xm:f>master_list_menus!$U$3:$U$7</xm:f>
          </x14:formula1>
          <xm:sqref>D23</xm:sqref>
        </x14:dataValidation>
        <x14:dataValidation type="custom" allowBlank="1" showInputMessage="1" showErrorMessage="1" promptTitle="Main Product Output" prompt="Main Product Output as entered in General EPD tab" xr:uid="{51E0C241-BA1A-4900-A1C5-5AA24BABD9DE}">
          <x14:formula1>
            <xm:f>GEN_EPD!C3</xm:f>
          </x14:formula1>
          <xm:sqref>B52:B54 B50</xm:sqref>
        </x14:dataValidation>
        <x14:dataValidation type="custom" allowBlank="1" showInputMessage="1" showErrorMessage="1" promptTitle="Main Product Output" prompt="Main Product Output as entered in General EPD tab" xr:uid="{91837E32-7682-479F-BD1A-83C9E0B5D036}">
          <x14:formula1>
            <xm:f>GEN_EPD!B4</xm:f>
          </x14:formula1>
          <xm:sqref>B51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164A8-8D63-4C21-97D8-A6B0CF84D8CD}">
  <sheetPr codeName="Sheet11">
    <tabColor rgb="FFFFEBAB"/>
  </sheetPr>
  <dimension ref="A1:O66"/>
  <sheetViews>
    <sheetView showGridLines="0" zoomScaleNormal="100" workbookViewId="0">
      <selection sqref="A1:F1"/>
    </sheetView>
  </sheetViews>
  <sheetFormatPr defaultRowHeight="14.4"/>
  <cols>
    <col min="1" max="1" width="30.5546875" customWidth="1"/>
    <col min="2" max="2" width="9.44140625" customWidth="1"/>
    <col min="3" max="3" width="21.21875" customWidth="1"/>
    <col min="4" max="4" width="14.21875" style="312" customWidth="1"/>
    <col min="5" max="5" width="13.21875" customWidth="1"/>
    <col min="6" max="6" width="21" customWidth="1"/>
    <col min="8" max="8" width="12.44140625" customWidth="1"/>
    <col min="10" max="10" width="6.44140625" customWidth="1"/>
    <col min="14" max="14" width="9.5546875" customWidth="1"/>
  </cols>
  <sheetData>
    <row r="1" spans="1:15" s="351" customFormat="1" ht="35.85" customHeight="1" thickTop="1" thickBot="1">
      <c r="A1" s="351" t="s">
        <v>8965</v>
      </c>
    </row>
    <row r="2" spans="1:15" s="210" customFormat="1" ht="24" thickTop="1">
      <c r="A2" s="826" t="s">
        <v>10925</v>
      </c>
      <c r="B2" s="826"/>
      <c r="C2" s="826"/>
      <c r="D2" s="826"/>
      <c r="E2" s="826"/>
      <c r="F2" s="826"/>
      <c r="G2" s="826"/>
      <c r="H2" s="826"/>
      <c r="I2" s="826"/>
      <c r="J2" s="826"/>
      <c r="K2" s="826"/>
      <c r="L2" s="826"/>
      <c r="M2" s="826"/>
    </row>
    <row r="3" spans="1:15" ht="50.1" customHeight="1" thickBot="1">
      <c r="A3" s="826"/>
      <c r="B3" s="826"/>
      <c r="C3" s="826"/>
      <c r="D3" s="826"/>
      <c r="E3" s="826"/>
      <c r="F3" s="826"/>
      <c r="G3" s="826"/>
      <c r="H3" s="826"/>
      <c r="I3" s="826"/>
      <c r="J3" s="826"/>
      <c r="K3" s="826"/>
      <c r="L3" s="826"/>
      <c r="M3" s="826"/>
      <c r="N3" s="312"/>
      <c r="O3" s="312"/>
    </row>
    <row r="4" spans="1:15" s="352" customFormat="1" ht="26.55" customHeight="1" thickBot="1">
      <c r="A4" s="353" t="s">
        <v>8966</v>
      </c>
      <c r="B4" s="579"/>
      <c r="C4" s="579"/>
      <c r="D4" s="579"/>
      <c r="E4" s="579"/>
      <c r="F4" s="579"/>
      <c r="G4" s="353"/>
      <c r="H4" s="353"/>
      <c r="I4" s="353"/>
      <c r="J4" s="353"/>
      <c r="K4" s="353"/>
      <c r="L4" s="353"/>
      <c r="M4" s="353"/>
      <c r="N4" s="353"/>
      <c r="O4" s="353"/>
    </row>
    <row r="5" spans="1:15">
      <c r="A5" s="312"/>
      <c r="B5" s="312"/>
      <c r="C5" s="312"/>
      <c r="E5" s="312"/>
      <c r="F5" s="312"/>
      <c r="G5" s="312"/>
      <c r="H5" s="312"/>
      <c r="I5" s="312"/>
      <c r="J5" s="312"/>
      <c r="K5" s="312"/>
      <c r="L5" s="312"/>
      <c r="M5" s="312"/>
      <c r="N5" s="312"/>
      <c r="O5" s="312"/>
    </row>
    <row r="6" spans="1:15" s="312" customFormat="1" ht="15" thickBot="1">
      <c r="B6" s="894" t="s">
        <v>8967</v>
      </c>
      <c r="C6" s="895"/>
      <c r="D6" s="896"/>
      <c r="G6" s="894" t="s">
        <v>8968</v>
      </c>
      <c r="H6" s="895"/>
      <c r="I6" s="896"/>
      <c r="L6" s="894" t="s">
        <v>8794</v>
      </c>
      <c r="M6" s="895"/>
      <c r="N6" s="896"/>
    </row>
    <row r="7" spans="1:15" ht="51.6" thickBot="1">
      <c r="A7" s="530" t="s">
        <v>8969</v>
      </c>
      <c r="B7" s="527" t="s">
        <v>8565</v>
      </c>
      <c r="C7" s="528" t="s">
        <v>8970</v>
      </c>
      <c r="D7" s="529" t="s">
        <v>10926</v>
      </c>
      <c r="E7" s="312"/>
      <c r="F7" s="312"/>
      <c r="G7" s="329" t="s">
        <v>8565</v>
      </c>
      <c r="H7" s="330" t="s">
        <v>8970</v>
      </c>
      <c r="I7" s="331" t="s">
        <v>10926</v>
      </c>
      <c r="J7" s="312"/>
      <c r="K7" s="312"/>
      <c r="L7" s="329" t="s">
        <v>8565</v>
      </c>
      <c r="M7" s="330" t="s">
        <v>8970</v>
      </c>
      <c r="N7" s="331" t="s">
        <v>10926</v>
      </c>
      <c r="O7" s="312"/>
    </row>
    <row r="8" spans="1:15" s="312" customFormat="1" ht="15" customHeight="1">
      <c r="A8" s="751" t="s">
        <v>8827</v>
      </c>
      <c r="B8" s="752">
        <v>0</v>
      </c>
      <c r="C8" s="753"/>
      <c r="D8" s="292" t="e">
        <f>(B8*('A4-A5 Deliver Install'!C8*($E$32/1000)))/$G$31</f>
        <v>#DIV/0!</v>
      </c>
      <c r="G8" s="752">
        <v>0</v>
      </c>
      <c r="H8" s="753"/>
      <c r="I8" s="292" t="e">
        <f>(G8*('A4-A5 Deliver Install'!H8*($E$52/1000)))/$G$31</f>
        <v>#DIV/0!</v>
      </c>
      <c r="L8" s="752">
        <v>0</v>
      </c>
      <c r="M8" s="753"/>
      <c r="N8" s="292" t="e">
        <f>(L8*('A4-A5 Deliver Install'!M8*($E$55/1000)))/$G$31</f>
        <v>#DIV/0!</v>
      </c>
    </row>
    <row r="9" spans="1:15" s="97" customFormat="1" ht="15" customHeight="1">
      <c r="A9" s="751" t="s">
        <v>8828</v>
      </c>
      <c r="B9" s="752">
        <v>0</v>
      </c>
      <c r="C9" s="754"/>
      <c r="D9" s="292" t="e">
        <f>(B9*('A4-A5 Deliver Install'!C9*($E$32/1000)))/$G$31</f>
        <v>#DIV/0!</v>
      </c>
      <c r="E9" s="199"/>
      <c r="G9" s="752">
        <v>0</v>
      </c>
      <c r="H9" s="754"/>
      <c r="I9" s="292" t="e">
        <f>(G9*('A4-A5 Deliver Install'!H9*($E$52/1000)))/$G$31</f>
        <v>#DIV/0!</v>
      </c>
      <c r="J9" s="199"/>
      <c r="L9" s="752">
        <v>0</v>
      </c>
      <c r="M9" s="754"/>
      <c r="N9" s="292" t="e">
        <f>(L9*('A4-A5 Deliver Install'!M9*($E$55/1000)))/$G$31</f>
        <v>#DIV/0!</v>
      </c>
      <c r="O9" s="199"/>
    </row>
    <row r="10" spans="1:15" s="97" customFormat="1" ht="15" customHeight="1">
      <c r="A10" s="751" t="s">
        <v>8829</v>
      </c>
      <c r="B10" s="752">
        <v>0</v>
      </c>
      <c r="C10" s="754"/>
      <c r="D10" s="292" t="e">
        <f>(B10*('A4-A5 Deliver Install'!C10*($E$32/1000)))/$G$31</f>
        <v>#DIV/0!</v>
      </c>
      <c r="E10" s="199"/>
      <c r="G10" s="752">
        <v>0</v>
      </c>
      <c r="H10" s="754"/>
      <c r="I10" s="292" t="e">
        <f>(G10*('A4-A5 Deliver Install'!H10*($E$52/1000)))/$G$31</f>
        <v>#DIV/0!</v>
      </c>
      <c r="J10" s="199"/>
      <c r="L10" s="752">
        <v>0</v>
      </c>
      <c r="M10" s="754"/>
      <c r="N10" s="292" t="e">
        <f>(L10*('A4-A5 Deliver Install'!M10*($E$55/1000)))/$G$31</f>
        <v>#DIV/0!</v>
      </c>
      <c r="O10" s="199"/>
    </row>
    <row r="11" spans="1:15" s="97" customFormat="1" ht="15" customHeight="1">
      <c r="A11" s="751" t="s">
        <v>8830</v>
      </c>
      <c r="B11" s="752">
        <v>0</v>
      </c>
      <c r="C11" s="754"/>
      <c r="D11" s="292" t="e">
        <f>(B11*('A4-A5 Deliver Install'!C11*($E$32/1000)))/$G$31</f>
        <v>#DIV/0!</v>
      </c>
      <c r="E11" s="199"/>
      <c r="G11" s="752">
        <v>0</v>
      </c>
      <c r="H11" s="754"/>
      <c r="I11" s="292" t="e">
        <f>(G11*('A4-A5 Deliver Install'!H11*($E$52/1000)))/$G$31</f>
        <v>#DIV/0!</v>
      </c>
      <c r="J11" s="199"/>
      <c r="L11" s="752">
        <v>0</v>
      </c>
      <c r="M11" s="754"/>
      <c r="N11" s="292" t="e">
        <f>(L11*('A4-A5 Deliver Install'!M11*($E$55/1000)))/$G$31</f>
        <v>#DIV/0!</v>
      </c>
      <c r="O11" s="199"/>
    </row>
    <row r="12" spans="1:15" s="97" customFormat="1" ht="15" customHeight="1">
      <c r="A12" s="751" t="s">
        <v>8586</v>
      </c>
      <c r="B12" s="752">
        <v>0</v>
      </c>
      <c r="C12" s="754"/>
      <c r="D12" s="292" t="e">
        <f>(B12*('A4-A5 Deliver Install'!C12*($E$32/1000)))/$G$31</f>
        <v>#DIV/0!</v>
      </c>
      <c r="E12" s="199"/>
      <c r="G12" s="752">
        <v>0</v>
      </c>
      <c r="H12" s="754"/>
      <c r="I12" s="292" t="e">
        <f>(G12*('A4-A5 Deliver Install'!H12*($E$52/1000)))/$G$31</f>
        <v>#DIV/0!</v>
      </c>
      <c r="J12" s="199"/>
      <c r="L12" s="752">
        <v>0</v>
      </c>
      <c r="M12" s="754"/>
      <c r="N12" s="292" t="e">
        <f>(L12*('A4-A5 Deliver Install'!M12*($E$55/1000)))/$G$31</f>
        <v>#DIV/0!</v>
      </c>
      <c r="O12" s="199"/>
    </row>
    <row r="13" spans="1:15" s="97" customFormat="1" ht="15" customHeight="1">
      <c r="A13" s="751" t="s">
        <v>8587</v>
      </c>
      <c r="B13" s="752">
        <v>0</v>
      </c>
      <c r="C13" s="754"/>
      <c r="D13" s="292" t="e">
        <f>(B13*('A4-A5 Deliver Install'!C13*($E$32/1000)))/$G$31</f>
        <v>#DIV/0!</v>
      </c>
      <c r="E13" s="199"/>
      <c r="G13" s="752">
        <v>0</v>
      </c>
      <c r="H13" s="754"/>
      <c r="I13" s="292" t="e">
        <f>(G13*('A4-A5 Deliver Install'!H13*($E$52/1000)))/$G$31</f>
        <v>#DIV/0!</v>
      </c>
      <c r="J13" s="199"/>
      <c r="L13" s="752">
        <v>0</v>
      </c>
      <c r="M13" s="754"/>
      <c r="N13" s="292" t="e">
        <f>(L13*('A4-A5 Deliver Install'!M13*($E$55/1000)))/$G$31</f>
        <v>#DIV/0!</v>
      </c>
      <c r="O13" s="199"/>
    </row>
    <row r="14" spans="1:15" s="97" customFormat="1" ht="15" customHeight="1">
      <c r="A14" s="751" t="s">
        <v>549</v>
      </c>
      <c r="B14" s="752">
        <v>0</v>
      </c>
      <c r="C14" s="754"/>
      <c r="D14" s="292" t="e">
        <f>(B14*('A4-A5 Deliver Install'!C14*($E$32/1000)))/$G$31</f>
        <v>#DIV/0!</v>
      </c>
      <c r="E14" s="199"/>
      <c r="G14" s="752">
        <v>0</v>
      </c>
      <c r="H14" s="754"/>
      <c r="I14" s="292" t="e">
        <f>(G14*('A4-A5 Deliver Install'!H14*($E$52/1000)))/$G$31</f>
        <v>#DIV/0!</v>
      </c>
      <c r="J14" s="199"/>
      <c r="L14" s="752">
        <v>0</v>
      </c>
      <c r="M14" s="754"/>
      <c r="N14" s="292" t="e">
        <f>(L14*('A4-A5 Deliver Install'!M14*($E$55/1000)))/$G$31</f>
        <v>#DIV/0!</v>
      </c>
      <c r="O14" s="199"/>
    </row>
    <row r="15" spans="1:15" s="97" customFormat="1" ht="15" customHeight="1">
      <c r="A15" s="751" t="s">
        <v>8831</v>
      </c>
      <c r="B15" s="752">
        <v>0</v>
      </c>
      <c r="C15" s="754"/>
      <c r="D15" s="292" t="e">
        <f>(B15*('A4-A5 Deliver Install'!C15*($E$32/1000)))/$G$31</f>
        <v>#DIV/0!</v>
      </c>
      <c r="E15" s="199"/>
      <c r="G15" s="752">
        <v>0</v>
      </c>
      <c r="H15" s="754"/>
      <c r="I15" s="292" t="e">
        <f>(G15*('A4-A5 Deliver Install'!H15*($E$52/1000)))/$G$31</f>
        <v>#DIV/0!</v>
      </c>
      <c r="J15" s="199"/>
      <c r="L15" s="752">
        <v>0</v>
      </c>
      <c r="M15" s="754"/>
      <c r="N15" s="292" t="e">
        <f>(L15*('A4-A5 Deliver Install'!M15*($E$55/1000)))/$G$31</f>
        <v>#DIV/0!</v>
      </c>
      <c r="O15" s="199"/>
    </row>
    <row r="16" spans="1:15" s="97" customFormat="1" ht="15" customHeight="1">
      <c r="A16" s="751" t="s">
        <v>8832</v>
      </c>
      <c r="B16" s="752">
        <v>0</v>
      </c>
      <c r="C16" s="754"/>
      <c r="D16" s="292" t="e">
        <f>(B16*('A4-A5 Deliver Install'!C16*($E$32/1000)))/$G$31</f>
        <v>#DIV/0!</v>
      </c>
      <c r="E16" s="199"/>
      <c r="G16" s="752">
        <v>0</v>
      </c>
      <c r="H16" s="754"/>
      <c r="I16" s="292" t="e">
        <f>(G16*('A4-A5 Deliver Install'!H16*($E$52/1000)))/$G$31</f>
        <v>#DIV/0!</v>
      </c>
      <c r="J16" s="199"/>
      <c r="L16" s="752">
        <v>0</v>
      </c>
      <c r="M16" s="754"/>
      <c r="N16" s="292" t="e">
        <f>(L16*('A4-A5 Deliver Install'!M16*($E$55/1000)))/$G$31</f>
        <v>#DIV/0!</v>
      </c>
      <c r="O16" s="199"/>
    </row>
    <row r="17" spans="1:15">
      <c r="A17" s="312"/>
      <c r="B17" s="312"/>
      <c r="C17" s="312"/>
      <c r="E17" s="312"/>
      <c r="F17" s="312"/>
      <c r="G17" s="312"/>
      <c r="H17" s="312"/>
      <c r="I17" s="312"/>
      <c r="J17" s="312"/>
      <c r="K17" s="312"/>
      <c r="L17" s="312"/>
      <c r="M17" s="312"/>
      <c r="N17" s="312"/>
      <c r="O17" s="312"/>
    </row>
    <row r="18" spans="1:15" ht="15" thickBot="1">
      <c r="A18" s="312"/>
      <c r="B18" s="312"/>
      <c r="C18" s="312"/>
      <c r="E18" s="312"/>
      <c r="F18" s="312"/>
      <c r="G18" s="312"/>
      <c r="H18" s="312"/>
      <c r="I18" s="312"/>
      <c r="J18" s="312"/>
      <c r="K18" s="312"/>
      <c r="L18" s="312"/>
      <c r="M18" s="312"/>
      <c r="N18" s="312"/>
      <c r="O18" s="312"/>
    </row>
    <row r="19" spans="1:15" s="352" customFormat="1" ht="26.55" customHeight="1" thickBot="1">
      <c r="A19" s="353" t="s">
        <v>8971</v>
      </c>
      <c r="B19" s="579"/>
      <c r="C19" s="579"/>
      <c r="D19" s="579"/>
      <c r="E19" s="579"/>
      <c r="F19" s="579"/>
      <c r="G19" s="353"/>
      <c r="H19" s="353"/>
      <c r="I19" s="353"/>
      <c r="J19" s="353"/>
      <c r="K19" s="353"/>
      <c r="L19" s="353"/>
      <c r="M19" s="353"/>
      <c r="N19" s="353"/>
      <c r="O19" s="353"/>
    </row>
    <row r="20" spans="1:15" s="312" customFormat="1">
      <c r="A20" s="312" t="s">
        <v>8972</v>
      </c>
    </row>
    <row r="21" spans="1:15" s="312" customFormat="1"/>
    <row r="23" spans="1:15" ht="18">
      <c r="A23" s="365" t="s">
        <v>8973</v>
      </c>
      <c r="B23" s="366"/>
      <c r="C23" s="366"/>
      <c r="D23" s="366"/>
      <c r="E23" s="366"/>
      <c r="F23" s="366"/>
      <c r="G23" s="366"/>
      <c r="H23" s="366"/>
      <c r="I23" s="366"/>
      <c r="J23" s="366"/>
      <c r="K23" s="312"/>
      <c r="L23" s="312"/>
      <c r="M23" s="312"/>
      <c r="N23" s="312"/>
      <c r="O23" s="312"/>
    </row>
    <row r="24" spans="1:15" s="312" customFormat="1">
      <c r="A24" s="312" t="s">
        <v>8974</v>
      </c>
      <c r="B24" s="893"/>
      <c r="C24" s="893"/>
      <c r="D24" s="304"/>
      <c r="E24" s="628"/>
      <c r="F24" s="304" t="s">
        <v>8975</v>
      </c>
      <c r="G24" s="342"/>
      <c r="H24" s="368"/>
    </row>
    <row r="25" spans="1:15" s="312" customFormat="1">
      <c r="A25" s="312" t="s">
        <v>8974</v>
      </c>
      <c r="B25" s="893"/>
      <c r="C25" s="893"/>
      <c r="D25" s="304"/>
      <c r="E25" s="628"/>
      <c r="F25" s="304" t="s">
        <v>8975</v>
      </c>
      <c r="G25" s="342"/>
      <c r="H25" s="368"/>
    </row>
    <row r="26" spans="1:15" s="312" customFormat="1">
      <c r="A26" s="312" t="s">
        <v>8974</v>
      </c>
      <c r="B26" s="893"/>
      <c r="C26" s="893"/>
      <c r="D26" s="304"/>
      <c r="E26" s="628"/>
      <c r="F26" s="304" t="s">
        <v>8975</v>
      </c>
      <c r="G26" s="342"/>
      <c r="H26" s="368"/>
    </row>
    <row r="27" spans="1:15" s="312" customFormat="1">
      <c r="A27" s="312" t="s">
        <v>8974</v>
      </c>
      <c r="B27" s="893"/>
      <c r="C27" s="893"/>
      <c r="D27" s="304"/>
      <c r="E27" s="628"/>
      <c r="F27" s="304" t="s">
        <v>8975</v>
      </c>
      <c r="G27" s="342"/>
      <c r="H27" s="368"/>
    </row>
    <row r="28" spans="1:15" s="312" customFormat="1">
      <c r="A28" s="312" t="s">
        <v>8974</v>
      </c>
      <c r="B28" s="893"/>
      <c r="C28" s="893"/>
      <c r="D28" s="304"/>
      <c r="E28" s="628"/>
      <c r="F28" s="304" t="s">
        <v>8975</v>
      </c>
      <c r="G28" s="342"/>
      <c r="H28" s="368"/>
    </row>
    <row r="29" spans="1:15" s="312" customFormat="1">
      <c r="A29" s="312" t="s">
        <v>8974</v>
      </c>
      <c r="B29" s="893"/>
      <c r="C29" s="893"/>
      <c r="D29" s="304"/>
      <c r="E29" s="628"/>
      <c r="F29" s="304" t="s">
        <v>8975</v>
      </c>
      <c r="G29" s="342"/>
      <c r="H29" s="368"/>
    </row>
    <row r="30" spans="1:15" s="316" customFormat="1">
      <c r="C30" s="342"/>
      <c r="D30" s="304"/>
      <c r="G30" s="342"/>
      <c r="H30" s="368"/>
    </row>
    <row r="31" spans="1:15">
      <c r="A31" s="312" t="s">
        <v>8976</v>
      </c>
      <c r="B31" s="312"/>
      <c r="C31" s="755"/>
      <c r="D31" s="304" t="s">
        <v>8977</v>
      </c>
      <c r="E31" s="316"/>
      <c r="F31" s="316"/>
      <c r="G31" s="756"/>
      <c r="H31" s="315" t="s">
        <v>8978</v>
      </c>
      <c r="I31" s="312"/>
      <c r="J31" s="312"/>
      <c r="K31" s="312"/>
      <c r="L31" s="312"/>
      <c r="M31" s="312"/>
      <c r="N31" s="312"/>
      <c r="O31" s="312"/>
    </row>
    <row r="32" spans="1:15">
      <c r="A32" s="312"/>
      <c r="B32" s="312"/>
      <c r="C32" s="312"/>
      <c r="E32" s="432">
        <f>SUM(E24:E29)</f>
        <v>0</v>
      </c>
      <c r="F32" s="304" t="s">
        <v>8979</v>
      </c>
      <c r="G32" s="312"/>
      <c r="H32" s="312"/>
      <c r="I32" s="312"/>
      <c r="J32" s="312"/>
      <c r="K32" s="312"/>
      <c r="L32" s="312"/>
      <c r="M32" s="312"/>
      <c r="N32" s="312"/>
      <c r="O32" s="312"/>
    </row>
    <row r="33" spans="1:10" s="312" customFormat="1"/>
    <row r="34" spans="1:10" ht="18">
      <c r="A34" s="365" t="s">
        <v>8980</v>
      </c>
      <c r="B34" s="366"/>
      <c r="C34" s="366"/>
      <c r="D34" s="366"/>
      <c r="E34" s="366"/>
      <c r="F34" s="366"/>
      <c r="G34" s="366"/>
      <c r="H34" s="366"/>
      <c r="I34" s="366"/>
      <c r="J34" s="366"/>
    </row>
    <row r="35" spans="1:10">
      <c r="A35" s="97" t="s">
        <v>8981</v>
      </c>
      <c r="B35" s="312"/>
      <c r="C35" s="622"/>
      <c r="D35" s="304"/>
      <c r="E35" s="628"/>
      <c r="F35" s="304" t="s">
        <v>8982</v>
      </c>
      <c r="G35" s="342"/>
      <c r="H35" s="368"/>
      <c r="I35" s="316"/>
      <c r="J35" s="312"/>
    </row>
    <row r="36" spans="1:10" s="312" customFormat="1">
      <c r="A36" s="97" t="s">
        <v>8981</v>
      </c>
      <c r="C36" s="622"/>
      <c r="D36" s="304"/>
      <c r="E36" s="628"/>
      <c r="F36" s="304" t="s">
        <v>8982</v>
      </c>
      <c r="G36" s="342"/>
      <c r="H36" s="368"/>
      <c r="I36" s="316"/>
    </row>
    <row r="37" spans="1:10" s="312" customFormat="1">
      <c r="A37" s="97" t="s">
        <v>8981</v>
      </c>
      <c r="C37" s="622"/>
      <c r="D37" s="304"/>
      <c r="E37" s="628"/>
      <c r="F37" s="304" t="s">
        <v>8982</v>
      </c>
      <c r="G37" s="342"/>
      <c r="H37" s="368"/>
      <c r="I37" s="316"/>
    </row>
    <row r="38" spans="1:10">
      <c r="A38" s="312" t="s">
        <v>8983</v>
      </c>
      <c r="B38" s="312"/>
      <c r="C38" s="622"/>
      <c r="D38" s="304"/>
      <c r="E38" s="628"/>
      <c r="F38" s="304" t="s">
        <v>8982</v>
      </c>
      <c r="G38" s="342"/>
      <c r="H38" s="368"/>
      <c r="I38" s="316"/>
      <c r="J38" s="312"/>
    </row>
    <row r="39" spans="1:10" s="312" customFormat="1">
      <c r="A39" s="312" t="s">
        <v>8983</v>
      </c>
      <c r="C39" s="622"/>
      <c r="D39" s="304"/>
      <c r="E39" s="628"/>
      <c r="F39" s="304" t="s">
        <v>8982</v>
      </c>
      <c r="G39" s="342"/>
      <c r="H39" s="368"/>
      <c r="I39" s="316"/>
    </row>
    <row r="40" spans="1:10" s="312" customFormat="1">
      <c r="A40" s="312" t="s">
        <v>8983</v>
      </c>
      <c r="C40" s="622"/>
      <c r="D40" s="304"/>
      <c r="E40" s="628"/>
      <c r="F40" s="304" t="s">
        <v>8982</v>
      </c>
      <c r="G40" s="342"/>
      <c r="H40" s="368"/>
      <c r="I40" s="316"/>
    </row>
    <row r="41" spans="1:10">
      <c r="A41" s="312" t="s">
        <v>8984</v>
      </c>
      <c r="B41" s="312"/>
      <c r="C41" s="622"/>
      <c r="D41" s="304"/>
      <c r="E41" s="628"/>
      <c r="F41" s="304" t="s">
        <v>8982</v>
      </c>
      <c r="G41" s="342"/>
      <c r="H41" s="368"/>
      <c r="I41" s="316"/>
      <c r="J41" s="312"/>
    </row>
    <row r="42" spans="1:10" s="312" customFormat="1">
      <c r="A42" s="312" t="s">
        <v>8984</v>
      </c>
      <c r="C42" s="622"/>
      <c r="D42" s="304"/>
      <c r="E42" s="628"/>
      <c r="F42" s="304" t="s">
        <v>8982</v>
      </c>
      <c r="G42" s="342"/>
      <c r="H42" s="368"/>
      <c r="I42" s="316"/>
    </row>
    <row r="43" spans="1:10" s="312" customFormat="1">
      <c r="A43" s="312" t="s">
        <v>8984</v>
      </c>
      <c r="C43" s="622"/>
      <c r="D43" s="304"/>
      <c r="E43" s="628"/>
      <c r="F43" s="304" t="s">
        <v>8982</v>
      </c>
      <c r="G43" s="342"/>
      <c r="H43" s="368"/>
      <c r="I43" s="316"/>
    </row>
    <row r="44" spans="1:10">
      <c r="A44" s="312" t="s">
        <v>8985</v>
      </c>
      <c r="B44" s="312"/>
      <c r="C44" s="622"/>
      <c r="D44" s="304"/>
      <c r="E44" s="628"/>
      <c r="F44" s="304" t="s">
        <v>8982</v>
      </c>
      <c r="G44" s="342"/>
      <c r="H44" s="368"/>
      <c r="I44" s="316"/>
      <c r="J44" s="312"/>
    </row>
    <row r="45" spans="1:10" s="312" customFormat="1">
      <c r="A45" s="312" t="s">
        <v>8985</v>
      </c>
      <c r="C45" s="622"/>
      <c r="D45" s="304"/>
      <c r="E45" s="628"/>
      <c r="F45" s="304" t="s">
        <v>8982</v>
      </c>
      <c r="G45" s="342"/>
      <c r="H45" s="368"/>
      <c r="I45" s="316"/>
    </row>
    <row r="46" spans="1:10" s="312" customFormat="1">
      <c r="A46" s="312" t="s">
        <v>8985</v>
      </c>
      <c r="C46" s="622"/>
      <c r="D46" s="304"/>
      <c r="E46" s="628"/>
      <c r="F46" s="304" t="s">
        <v>8982</v>
      </c>
      <c r="G46" s="342"/>
      <c r="H46" s="368"/>
      <c r="I46" s="316"/>
    </row>
    <row r="47" spans="1:10">
      <c r="A47" s="312" t="s">
        <v>8986</v>
      </c>
      <c r="B47" s="312"/>
      <c r="C47" s="622"/>
      <c r="D47" s="304"/>
      <c r="E47" s="628"/>
      <c r="F47" s="304" t="s">
        <v>8982</v>
      </c>
      <c r="G47" s="342"/>
      <c r="H47" s="368"/>
      <c r="I47" s="316"/>
      <c r="J47" s="312"/>
    </row>
    <row r="48" spans="1:10" s="312" customFormat="1">
      <c r="A48" s="312" t="s">
        <v>8986</v>
      </c>
      <c r="C48" s="622"/>
      <c r="D48" s="304"/>
      <c r="E48" s="628"/>
      <c r="F48" s="304" t="s">
        <v>8982</v>
      </c>
      <c r="G48" s="342"/>
      <c r="H48" s="368"/>
      <c r="I48" s="316"/>
    </row>
    <row r="49" spans="1:14" s="312" customFormat="1">
      <c r="A49" s="312" t="s">
        <v>8986</v>
      </c>
      <c r="C49" s="622"/>
      <c r="D49" s="304"/>
      <c r="E49" s="628"/>
      <c r="F49" s="304" t="s">
        <v>8982</v>
      </c>
      <c r="G49" s="342"/>
      <c r="H49" s="368"/>
      <c r="I49" s="316"/>
    </row>
    <row r="50" spans="1:14" s="312" customFormat="1">
      <c r="A50" s="312" t="s">
        <v>8986</v>
      </c>
      <c r="C50" s="622"/>
      <c r="D50" s="304"/>
      <c r="E50" s="628"/>
      <c r="F50" s="304" t="s">
        <v>8982</v>
      </c>
      <c r="G50" s="342"/>
      <c r="H50" s="368"/>
      <c r="I50" s="316"/>
    </row>
    <row r="51" spans="1:14" s="313" customFormat="1">
      <c r="C51" s="120"/>
      <c r="D51" s="367"/>
    </row>
    <row r="52" spans="1:14" s="313" customFormat="1">
      <c r="C52" s="120"/>
      <c r="D52" s="367"/>
      <c r="E52" s="432">
        <f>SUM(E35:E50)</f>
        <v>0</v>
      </c>
      <c r="F52" s="313" t="s">
        <v>8987</v>
      </c>
    </row>
    <row r="53" spans="1:14" s="313" customFormat="1">
      <c r="C53" s="120"/>
      <c r="D53" s="367"/>
    </row>
    <row r="54" spans="1:14" ht="18">
      <c r="A54" s="365" t="s">
        <v>8988</v>
      </c>
      <c r="B54" s="366"/>
      <c r="C54" s="366"/>
      <c r="D54" s="366"/>
      <c r="E54" s="312"/>
      <c r="F54" s="312"/>
      <c r="G54" s="312"/>
      <c r="H54" s="312"/>
      <c r="I54" s="312"/>
      <c r="J54" s="312"/>
      <c r="K54" s="312"/>
      <c r="L54" s="312"/>
      <c r="M54" s="312"/>
      <c r="N54" s="312"/>
    </row>
    <row r="55" spans="1:14">
      <c r="A55" s="312" t="s">
        <v>8989</v>
      </c>
      <c r="B55" s="312"/>
      <c r="C55" s="622"/>
      <c r="D55" s="304"/>
      <c r="E55" s="628"/>
      <c r="F55" s="304" t="s">
        <v>8982</v>
      </c>
      <c r="G55" s="312"/>
      <c r="H55" s="312"/>
      <c r="I55" s="312"/>
      <c r="J55" s="312"/>
      <c r="K55" s="312"/>
      <c r="L55" s="312"/>
      <c r="M55" s="312"/>
      <c r="N55" s="312"/>
    </row>
    <row r="57" spans="1:14" s="312" customFormat="1"/>
    <row r="58" spans="1:14" ht="18">
      <c r="A58" s="365" t="s">
        <v>8990</v>
      </c>
      <c r="B58" s="366"/>
      <c r="C58" s="366"/>
      <c r="D58" s="366"/>
      <c r="E58" s="366"/>
      <c r="F58" s="366"/>
      <c r="G58" s="366"/>
      <c r="H58" s="366"/>
      <c r="I58" s="366"/>
      <c r="J58" s="366"/>
      <c r="K58" s="366"/>
      <c r="L58" s="366"/>
      <c r="M58" s="366"/>
      <c r="N58" s="366"/>
    </row>
    <row r="59" spans="1:14">
      <c r="A59" s="312" t="s">
        <v>8991</v>
      </c>
      <c r="B59" s="312" t="str">
        <f>"----------------------------------------------------&gt;&gt;&gt;&gt;&gt;"</f>
        <v>----------------------------------------------------&gt;&gt;&gt;&gt;&gt;</v>
      </c>
      <c r="C59" s="203"/>
      <c r="D59" s="304"/>
      <c r="E59" s="628"/>
      <c r="F59" s="304" t="s">
        <v>8982</v>
      </c>
      <c r="G59" s="757"/>
      <c r="H59" s="315" t="s">
        <v>8992</v>
      </c>
      <c r="I59" s="312"/>
      <c r="J59" s="312"/>
      <c r="K59" s="342"/>
      <c r="L59" s="368"/>
      <c r="M59" s="312"/>
      <c r="N59" s="312"/>
    </row>
    <row r="60" spans="1:14">
      <c r="A60" s="312" t="s">
        <v>8993</v>
      </c>
      <c r="B60" s="312" t="str">
        <f>"----------------------------------------------------&gt;&gt;&gt;&gt;&gt;"</f>
        <v>----------------------------------------------------&gt;&gt;&gt;&gt;&gt;</v>
      </c>
      <c r="C60" s="203"/>
      <c r="D60" s="304"/>
      <c r="E60" s="628"/>
      <c r="F60" s="304" t="s">
        <v>8982</v>
      </c>
      <c r="G60" s="757"/>
      <c r="H60" s="315" t="s">
        <v>8992</v>
      </c>
      <c r="I60" s="312"/>
      <c r="J60" s="312"/>
      <c r="K60" s="342"/>
      <c r="L60" s="368"/>
      <c r="M60" s="312"/>
      <c r="N60" s="312"/>
    </row>
    <row r="61" spans="1:14" ht="13.5" customHeight="1">
      <c r="A61" s="312"/>
      <c r="B61" s="312"/>
      <c r="C61" s="312"/>
      <c r="E61" s="312"/>
      <c r="F61" s="312"/>
      <c r="G61" s="312"/>
      <c r="H61" s="312"/>
      <c r="I61" s="312"/>
      <c r="J61" s="312"/>
      <c r="K61" s="312"/>
      <c r="L61" s="312"/>
      <c r="M61" s="312"/>
      <c r="N61" s="312"/>
    </row>
    <row r="62" spans="1:14" s="312" customFormat="1" ht="16.05" customHeight="1" thickBot="1"/>
    <row r="63" spans="1:14" s="352" customFormat="1" ht="26.55" customHeight="1" thickBot="1">
      <c r="A63" s="353" t="s">
        <v>8833</v>
      </c>
      <c r="B63" s="579"/>
      <c r="C63" s="579"/>
      <c r="D63" s="579"/>
      <c r="E63" s="579"/>
      <c r="F63" s="579"/>
      <c r="G63" s="353"/>
      <c r="H63" s="353"/>
      <c r="I63" s="353"/>
      <c r="J63" s="353"/>
      <c r="K63" s="353"/>
      <c r="L63" s="580"/>
      <c r="M63" s="580"/>
      <c r="N63" s="580"/>
    </row>
    <row r="64" spans="1:14">
      <c r="A64" s="318" t="s">
        <v>8994</v>
      </c>
      <c r="B64" s="312"/>
      <c r="C64" s="312"/>
      <c r="E64" s="312"/>
      <c r="F64" s="312"/>
      <c r="G64" s="312"/>
      <c r="H64" s="312"/>
      <c r="I64" s="312"/>
      <c r="J64" s="312"/>
      <c r="K64" s="312"/>
      <c r="L64" s="312"/>
      <c r="M64" s="312"/>
      <c r="N64" s="312"/>
    </row>
    <row r="65" spans="1:1">
      <c r="A65" s="318" t="s">
        <v>10920</v>
      </c>
    </row>
    <row r="66" spans="1:1">
      <c r="A66" s="318" t="s">
        <v>8995</v>
      </c>
    </row>
  </sheetData>
  <sheetProtection algorithmName="SHA-512" hashValue="nizpzVJJXL6RCnfovnSl+sGnxpcrApuFW4D6xpk417alzFZQwoquxzpAg0rnSUC2Rddm4xnuFt6mXDDAL6psOg==" saltValue="WHeBpoqQwKGcyVRMuWfqlg==" spinCount="100000" sheet="1" objects="1" scenarios="1" selectLockedCells="1"/>
  <mergeCells count="10">
    <mergeCell ref="A2:M3"/>
    <mergeCell ref="B6:D6"/>
    <mergeCell ref="G6:I6"/>
    <mergeCell ref="L6:N6"/>
    <mergeCell ref="B24:C24"/>
    <mergeCell ref="B25:C25"/>
    <mergeCell ref="B26:C26"/>
    <mergeCell ref="B27:C27"/>
    <mergeCell ref="B28:C28"/>
    <mergeCell ref="B29:C29"/>
  </mergeCells>
  <dataValidations xWindow="717" yWindow="538" count="14">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outgoing transport for this material; total for all modes must = 1.00" sqref="B8:B16 G8:G16 L8:L16" xr:uid="{9C4333FB-40AE-45D0-80BC-19B40402A0B1}">
      <formula1>0</formula1>
      <formula2>1</formula2>
    </dataValidation>
    <dataValidation type="decimal" errorStyle="warning" allowBlank="1" showInputMessage="1" showErrorMessage="1" errorTitle="km from vendor" error="If a value between 0-50,000 km is not entered, the location of the vendor and that of the facility provided in this template will be used to estimate the maximum distance by the indicated mode" promptTitle="distance to building site" prompt="Distance in kilometers from produciton facility to building installation site" sqref="H8:H16 C8:C16 M8:M16" xr:uid="{47DB8D82-B3CA-4AF4-BE51-5A35A14A4F08}">
      <formula1>0</formula1>
      <formula2>50000</formula2>
    </dataValidation>
    <dataValidation type="list" allowBlank="1" showInputMessage="1" showErrorMessage="1" sqref="C51:C53" xr:uid="{D6E78AAA-6A72-432E-8860-F0716443751D}">
      <formula1>Material_Input_Name</formula1>
    </dataValidation>
    <dataValidation type="decimal" operator="greaterThanOrEqual" allowBlank="1" showInputMessage="1" showErrorMessage="1" errorTitle="kilograms per installation" error="Please enter the weight of the indicated material; this amount affects the amount of material required per installation to be normalized across the product lifetime. If none, enter 0." promptTitle="kilograms per installation" prompt="Enter weight of material indicated from BOM list" sqref="E24:E29 E59:E60 E35:E50 E55" xr:uid="{A35B2B17-87F2-46CE-AAC7-25F9D909BC53}">
      <formula1>0</formula1>
    </dataValidation>
    <dataValidation type="decimal" errorStyle="warning" allowBlank="1" showInputMessage="1" showErrorMessage="1" errorTitle="km from vendor" error="If a value between 0-50,000 km is not entered, the location of the vendor and that of the facility provided in this template will be used to estimate the maximum distance by the indicated mode" promptTitle="Converts to tn*km" prompt="Uses % mass of supplies utilitized multiplied by distance to convert to tonne-kilometers by this transport mode" sqref="D8:D16 I8:I16 N8:N16" xr:uid="{12F617CD-3705-4847-9862-E1AE8F80147C}">
      <formula1>0</formula1>
      <formula2>50000</formula2>
    </dataValidation>
    <dataValidation type="list" allowBlank="1" showInputMessage="1" showErrorMessage="1" promptTitle="Supplies from BOM" prompt="Selecte supplies entered on BOM utilized for installation" sqref="B24:C29 D35 C35:C50 F35 C55" xr:uid="{460C9982-D524-4343-B2F5-D98444A59368}">
      <formula1>Material_Input_Name</formula1>
    </dataValidation>
    <dataValidation allowBlank="1" showInputMessage="1" showErrorMessage="1" promptTitle="Energy of installation" prompt="Enter kWh energy required for installation process per installation event and then next cells reflect number of luminaires installed per event_x000a_" sqref="C31" xr:uid="{6A959FEF-F9A2-4FF7-8AFA-0C5936567189}"/>
    <dataValidation type="decimal" operator="greaterThanOrEqual" errorTitle="kilograms per installation" error="Please enter the weight of the indicated material; this amount affects the amount of material required per installation to be normalized across the product lifetime. If none, enter 0." promptTitle="kilograms per installation" prompt="Enter weight of material indicated from BOM list" sqref="E31" xr:uid="{3790FC5C-2BF1-4EF2-9F37-A5E754D76CD9}">
      <formula1>0</formula1>
    </dataValidation>
    <dataValidation type="whole" operator="greaterThanOrEqual" allowBlank="1" showInputMessage="1" showErrorMessage="1" errorTitle="# luminaires installed" error="Please enter the # of luminaires for the installation event that the energy required is representative. This value is needed as a denominator to determine installation energy required per luminaire." promptTitle="# luminaires installed" prompt="Enter # of luminaires installed in the installation event that represents the energy required for installation." sqref="G31" xr:uid="{9A077637-C61D-4D53-BBBE-0D055E57E1DC}">
      <formula1>1</formula1>
    </dataValidation>
    <dataValidation allowBlank="1" showInputMessage="1" showErrorMessage="1" promptTitle="Packaging waste C-content" prompt="Practitioner input" sqref="G59:G60" xr:uid="{1C148424-FFB4-4F02-98C6-263D92863CA5}"/>
    <dataValidation type="whole" operator="greaterThanOrEqual" errorTitle="# luminaires installed" error="Please enter the # of luminaires for the installation event that the mass of supplies required is representative. This value is needed as a denominator to determine installation materials required per luminaire." promptTitle="# luminaires installed" prompt="Enter # of luminaires installed in the installation event that represents the mass of supplies required for installation." sqref="G24:G29 G35:I50" xr:uid="{11F01D85-2810-4BE0-92A1-EA6D7E9210D2}">
      <formula1>1</formula1>
    </dataValidation>
    <dataValidation allowBlank="1" promptTitle="Packaging waste C-content" prompt="Practitioner input" sqref="K59:L60" xr:uid="{3BB51BE5-DE08-42A7-A1FE-724F2A10F5E0}"/>
    <dataValidation showDropDown="1" promptTitle="Packaging Supplies from BOM" prompt="Selecte packaging supplies entered on BOM utilized for installation" sqref="C59:D61" xr:uid="{A66C21DB-41C2-429D-A6F9-9E3752F0D2CE}"/>
    <dataValidation type="list" allowBlank="1" showInputMessage="1" showErrorMessage="1" errorTitle="Please enter transport mode" error="Please choose the best match from the transport modes available" promptTitle="Transport Mode" prompt="Select transport mode and enter % by this mode in next cell_x000a_" sqref="A8:A16" xr:uid="{B6548A14-EA09-481B-A841-07BE00553B20}">
      <formula1>#REF!</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17" yWindow="538" count="1">
        <x14:dataValidation type="list" allowBlank="1" showInputMessage="1" showErrorMessage="1" errorTitle="Install supplies" error="Please select which materials are used/consumed when installing luminaires" promptTitle="Supplies to install" prompt="Select any packaging supplies required for installation of luminaires" xr:uid="{4360E11F-2B83-4D24-B6DF-A145D567BED8}">
          <x14:formula1>
            <xm:f>master_list_menus!$K$18:$K$21</xm:f>
          </x14:formula1>
          <xm:sqref>C30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C2121-0FE5-4E46-BB9F-C39CFA1B6AF5}">
  <sheetPr codeName="Sheet12">
    <tabColor rgb="FFFFFF99"/>
  </sheetPr>
  <dimension ref="A1:M98"/>
  <sheetViews>
    <sheetView showGridLines="0" zoomScaleNormal="100" workbookViewId="0">
      <selection sqref="A1:F1"/>
    </sheetView>
  </sheetViews>
  <sheetFormatPr defaultRowHeight="14.4"/>
  <cols>
    <col min="1" max="1" width="58.21875" customWidth="1"/>
    <col min="2" max="2" width="42.5546875" customWidth="1"/>
    <col min="3" max="3" width="43.77734375" customWidth="1"/>
  </cols>
  <sheetData>
    <row r="1" spans="1:13" s="351" customFormat="1" ht="35.85" customHeight="1" thickTop="1" thickBot="1">
      <c r="A1" s="351" t="s">
        <v>8996</v>
      </c>
    </row>
    <row r="2" spans="1:13" s="210" customFormat="1" ht="23.55" customHeight="1" thickTop="1">
      <c r="A2" s="867" t="str">
        <f>Contents!D23</f>
        <v>B1-B6: Includes electrical consumption of reference product during operational use, replacement of light source (including manufacture and distribution of light sources), other consumables and maintenance operations as needed, repair/replacement/refurbishment, and end-of-life treatment of potential waste, e.g., replaced light source or packaging, incurred during these activities.</v>
      </c>
      <c r="B2" s="867"/>
      <c r="C2" s="867"/>
      <c r="D2" s="193"/>
      <c r="E2" s="193"/>
      <c r="F2" s="193"/>
      <c r="G2" s="193"/>
      <c r="H2" s="193"/>
      <c r="I2" s="193"/>
      <c r="J2" s="193"/>
      <c r="K2" s="193"/>
      <c r="L2" s="193"/>
      <c r="M2" s="193"/>
    </row>
    <row r="3" spans="1:13" ht="15" thickBot="1">
      <c r="A3" s="867"/>
      <c r="B3" s="867"/>
      <c r="C3" s="867"/>
      <c r="D3" s="193"/>
      <c r="E3" s="193"/>
      <c r="F3" s="193"/>
      <c r="G3" s="193"/>
      <c r="H3" s="193"/>
      <c r="I3" s="193"/>
      <c r="J3" s="193"/>
      <c r="K3" s="193"/>
      <c r="L3" s="193"/>
      <c r="M3" s="193"/>
    </row>
    <row r="4" spans="1:13" s="352" customFormat="1" ht="26.55" customHeight="1" thickBot="1">
      <c r="A4" s="353" t="s">
        <v>8997</v>
      </c>
      <c r="B4" s="579"/>
      <c r="C4" s="579"/>
      <c r="D4" s="579"/>
      <c r="E4" s="579"/>
      <c r="F4" s="579"/>
      <c r="G4" s="353"/>
      <c r="H4" s="353"/>
      <c r="I4" s="353"/>
      <c r="J4" s="353"/>
      <c r="K4" s="353"/>
      <c r="L4" s="580"/>
      <c r="M4" s="580"/>
    </row>
    <row r="5" spans="1:13" s="312" customFormat="1">
      <c r="A5" s="312" t="s">
        <v>8972</v>
      </c>
      <c r="B5" s="593"/>
      <c r="C5" s="593"/>
      <c r="D5" s="193"/>
      <c r="E5" s="193"/>
      <c r="F5" s="193"/>
      <c r="G5" s="193"/>
      <c r="H5" s="193"/>
      <c r="I5" s="193"/>
      <c r="J5" s="193"/>
      <c r="K5" s="193"/>
      <c r="L5" s="193"/>
      <c r="M5" s="193"/>
    </row>
    <row r="6" spans="1:13" s="312" customFormat="1">
      <c r="A6" s="593"/>
      <c r="B6" s="593"/>
      <c r="C6" s="593"/>
      <c r="D6" s="193"/>
      <c r="E6" s="193"/>
      <c r="F6" s="193"/>
      <c r="G6" s="193"/>
      <c r="H6" s="193"/>
      <c r="I6" s="193"/>
      <c r="J6" s="193"/>
      <c r="K6" s="193"/>
      <c r="L6" s="193"/>
      <c r="M6" s="193"/>
    </row>
    <row r="7" spans="1:13" ht="18">
      <c r="A7" s="175"/>
      <c r="B7" s="106" t="s">
        <v>8998</v>
      </c>
      <c r="C7" s="228" t="s">
        <v>8999</v>
      </c>
      <c r="D7" s="106"/>
      <c r="E7" s="312"/>
      <c r="F7" s="312"/>
      <c r="G7" s="312"/>
      <c r="H7" s="312"/>
      <c r="I7" s="312"/>
      <c r="J7" s="312"/>
      <c r="K7" s="312"/>
      <c r="L7" s="312"/>
      <c r="M7" s="312"/>
    </row>
    <row r="8" spans="1:13" s="321" customFormat="1" ht="36.6" customHeight="1">
      <c r="A8" s="369" t="s">
        <v>9000</v>
      </c>
      <c r="B8" s="434" t="s">
        <v>9001</v>
      </c>
      <c r="C8" s="435" t="s">
        <v>9002</v>
      </c>
    </row>
    <row r="9" spans="1:13">
      <c r="A9" s="324" t="s">
        <v>9003</v>
      </c>
      <c r="B9" s="312"/>
      <c r="C9" s="312"/>
      <c r="D9" s="312"/>
      <c r="E9" s="312"/>
      <c r="F9" s="312"/>
      <c r="G9" s="312"/>
      <c r="H9" s="312"/>
      <c r="I9" s="312"/>
      <c r="J9" s="312"/>
      <c r="K9" s="312"/>
      <c r="L9" s="312"/>
      <c r="M9" s="312"/>
    </row>
    <row r="10" spans="1:13">
      <c r="A10" s="324" t="s">
        <v>9004</v>
      </c>
      <c r="B10" s="624"/>
      <c r="C10" s="624"/>
      <c r="D10" s="312"/>
      <c r="E10" s="312"/>
      <c r="F10" s="312"/>
      <c r="G10" s="312"/>
      <c r="H10" s="312"/>
      <c r="I10" s="312"/>
      <c r="J10" s="312"/>
      <c r="K10" s="312"/>
      <c r="L10" s="312"/>
      <c r="M10" s="312"/>
    </row>
    <row r="11" spans="1:13">
      <c r="A11" s="324" t="s">
        <v>9005</v>
      </c>
      <c r="B11" s="624"/>
      <c r="C11" s="624"/>
      <c r="D11" s="312"/>
      <c r="E11" s="312"/>
      <c r="F11" s="312"/>
      <c r="G11" s="312"/>
      <c r="H11" s="312"/>
      <c r="I11" s="312"/>
      <c r="J11" s="312"/>
      <c r="K11" s="312"/>
      <c r="L11" s="312"/>
      <c r="M11" s="312"/>
    </row>
    <row r="12" spans="1:13" ht="28.8">
      <c r="A12" s="604" t="s">
        <v>9006</v>
      </c>
      <c r="B12" s="622"/>
      <c r="C12" s="622"/>
      <c r="D12" s="312"/>
      <c r="E12" s="312"/>
      <c r="F12" s="312"/>
      <c r="G12" s="312"/>
      <c r="H12" s="312"/>
      <c r="I12" s="312"/>
      <c r="J12" s="312"/>
      <c r="K12" s="312"/>
      <c r="L12" s="312"/>
      <c r="M12" s="312"/>
    </row>
    <row r="13" spans="1:13">
      <c r="A13" s="312" t="s">
        <v>9007</v>
      </c>
      <c r="B13" s="622"/>
      <c r="C13" s="622"/>
      <c r="D13" s="312"/>
      <c r="E13" s="312"/>
      <c r="F13" s="312"/>
      <c r="G13" s="312"/>
      <c r="H13" s="312"/>
      <c r="I13" s="312"/>
      <c r="J13" s="312"/>
      <c r="K13" s="312"/>
      <c r="L13" s="312"/>
      <c r="M13" s="312"/>
    </row>
    <row r="14" spans="1:13">
      <c r="A14" s="324" t="s">
        <v>9008</v>
      </c>
      <c r="B14" s="624"/>
      <c r="C14" s="624"/>
      <c r="D14" s="312"/>
      <c r="E14" s="312"/>
      <c r="F14" s="312"/>
      <c r="G14" s="312"/>
      <c r="H14" s="312"/>
      <c r="I14" s="312"/>
      <c r="J14" s="312"/>
      <c r="K14" s="312"/>
      <c r="L14" s="312"/>
      <c r="M14" s="312"/>
    </row>
    <row r="15" spans="1:13">
      <c r="A15" s="324" t="s">
        <v>9009</v>
      </c>
      <c r="B15" s="433">
        <f>GEN_EPD!C59</f>
        <v>0</v>
      </c>
      <c r="C15" s="624"/>
      <c r="D15" s="312"/>
      <c r="E15" s="312"/>
      <c r="F15" s="312"/>
      <c r="G15" s="312"/>
      <c r="H15" s="312"/>
      <c r="I15" s="312"/>
      <c r="J15" s="312"/>
      <c r="K15" s="312"/>
      <c r="L15" s="312"/>
      <c r="M15" s="312"/>
    </row>
    <row r="16" spans="1:13">
      <c r="A16" s="312" t="s">
        <v>9010</v>
      </c>
      <c r="B16" s="433">
        <f>B13*B12</f>
        <v>0</v>
      </c>
      <c r="C16" s="433">
        <f>C13*C12</f>
        <v>0</v>
      </c>
      <c r="D16" s="312"/>
      <c r="E16" s="312"/>
      <c r="F16" s="312"/>
      <c r="G16" s="312"/>
      <c r="H16" s="312"/>
      <c r="I16" s="312"/>
      <c r="J16" s="312"/>
      <c r="K16" s="312"/>
      <c r="L16" s="312"/>
      <c r="M16" s="312"/>
    </row>
    <row r="17" spans="1:12">
      <c r="A17" s="312" t="s">
        <v>9011</v>
      </c>
      <c r="B17" s="433">
        <f>($B$16/1000)*GEN_EPD!$C$68</f>
        <v>0</v>
      </c>
      <c r="C17" s="433">
        <f>($B$16/1000)*GEN_EPD!$C$68</f>
        <v>0</v>
      </c>
      <c r="D17" s="312"/>
      <c r="E17" s="312"/>
      <c r="F17" s="312"/>
      <c r="G17" s="312"/>
      <c r="H17" s="312"/>
      <c r="I17" s="312"/>
      <c r="J17" s="312"/>
      <c r="K17" s="312"/>
      <c r="L17" s="312"/>
    </row>
    <row r="18" spans="1:12">
      <c r="A18" s="312"/>
      <c r="B18" s="324" t="s">
        <v>10934</v>
      </c>
      <c r="C18" s="312"/>
      <c r="D18" s="312"/>
      <c r="E18" s="312"/>
      <c r="F18" s="312"/>
      <c r="G18" s="312"/>
      <c r="H18" s="312"/>
      <c r="I18" s="312"/>
      <c r="J18" s="312"/>
      <c r="K18" s="312"/>
      <c r="L18" s="312"/>
    </row>
    <row r="19" spans="1:12" ht="18">
      <c r="A19" s="175"/>
      <c r="B19" s="324"/>
      <c r="C19" s="312"/>
      <c r="D19" s="312"/>
      <c r="E19" s="312"/>
      <c r="F19" s="312"/>
      <c r="G19" s="312"/>
      <c r="H19" s="312"/>
      <c r="I19" s="312"/>
      <c r="J19" s="312"/>
      <c r="K19" s="312"/>
      <c r="L19" s="312"/>
    </row>
    <row r="20" spans="1:12" ht="20.100000000000001" customHeight="1" thickBot="1">
      <c r="A20" s="175"/>
      <c r="B20" s="324"/>
      <c r="C20" s="312"/>
      <c r="D20" s="312"/>
      <c r="E20" s="312"/>
      <c r="F20" s="312"/>
      <c r="G20" s="312"/>
      <c r="H20" s="312"/>
      <c r="I20" s="312"/>
      <c r="J20" s="312"/>
      <c r="K20" s="312"/>
      <c r="L20" s="312"/>
    </row>
    <row r="21" spans="1:12" s="352" customFormat="1" ht="26.55" customHeight="1" thickBot="1">
      <c r="A21" s="353" t="s">
        <v>9012</v>
      </c>
      <c r="B21" s="579"/>
      <c r="C21" s="579"/>
      <c r="D21" s="579"/>
      <c r="E21" s="579"/>
      <c r="F21" s="579"/>
      <c r="G21" s="353"/>
      <c r="H21" s="353"/>
      <c r="I21" s="353"/>
      <c r="J21" s="353"/>
      <c r="K21" s="353"/>
      <c r="L21" s="580"/>
    </row>
    <row r="22" spans="1:12" s="312" customFormat="1" ht="18">
      <c r="A22" s="175"/>
      <c r="B22" s="324"/>
    </row>
    <row r="23" spans="1:12">
      <c r="A23" s="322" t="s">
        <v>9013</v>
      </c>
      <c r="B23" s="755"/>
      <c r="C23" s="758"/>
      <c r="D23" s="758"/>
      <c r="E23" s="758"/>
      <c r="F23" s="758"/>
      <c r="G23" s="758"/>
      <c r="H23" s="758"/>
      <c r="I23" s="758"/>
      <c r="J23" s="758"/>
      <c r="K23" s="312"/>
      <c r="L23" s="324"/>
    </row>
    <row r="24" spans="1:12">
      <c r="A24" s="322" t="s">
        <v>9014</v>
      </c>
      <c r="B24" s="897" t="s">
        <v>9015</v>
      </c>
      <c r="C24" s="897"/>
      <c r="D24" s="897"/>
      <c r="E24" s="897"/>
      <c r="F24" s="897"/>
      <c r="G24" s="897"/>
      <c r="H24" s="897"/>
      <c r="I24" s="897"/>
      <c r="J24" s="897"/>
      <c r="K24" s="312"/>
      <c r="L24" s="192" t="s">
        <v>9016</v>
      </c>
    </row>
    <row r="25" spans="1:12">
      <c r="A25" s="312"/>
      <c r="B25" s="324"/>
      <c r="C25" s="312"/>
      <c r="D25" s="312"/>
      <c r="E25" s="312"/>
      <c r="F25" s="312"/>
      <c r="G25" s="312"/>
      <c r="H25" s="312"/>
      <c r="I25" s="312"/>
      <c r="J25" s="312"/>
      <c r="K25" s="312"/>
      <c r="L25" s="312"/>
    </row>
    <row r="26" spans="1:12">
      <c r="A26" s="312"/>
      <c r="B26" s="324"/>
      <c r="C26" s="312"/>
      <c r="D26" s="312"/>
      <c r="E26" s="312"/>
      <c r="F26" s="312"/>
      <c r="G26" s="312"/>
      <c r="H26" s="312"/>
      <c r="I26" s="312"/>
      <c r="J26" s="312"/>
      <c r="K26" s="312"/>
      <c r="L26" s="312"/>
    </row>
    <row r="27" spans="1:12">
      <c r="A27" s="12" t="s">
        <v>9017</v>
      </c>
      <c r="B27" s="302" t="s">
        <v>9018</v>
      </c>
      <c r="C27" s="302" t="s">
        <v>9019</v>
      </c>
      <c r="D27" s="312"/>
      <c r="E27" s="312"/>
      <c r="F27" s="312"/>
      <c r="G27" s="312"/>
      <c r="H27" s="312"/>
      <c r="I27" s="312"/>
      <c r="J27" s="312"/>
      <c r="K27" s="312"/>
      <c r="L27" s="312"/>
    </row>
    <row r="28" spans="1:12">
      <c r="A28" s="299" t="s">
        <v>9020</v>
      </c>
      <c r="B28" s="622"/>
      <c r="C28" s="759"/>
      <c r="D28" s="312"/>
      <c r="E28" s="312"/>
      <c r="F28" s="312"/>
      <c r="G28" s="312"/>
      <c r="H28" s="312"/>
      <c r="I28" s="312"/>
      <c r="J28" s="312"/>
      <c r="K28" s="312"/>
      <c r="L28" s="312"/>
    </row>
    <row r="29" spans="1:12">
      <c r="A29" s="299" t="s">
        <v>8802</v>
      </c>
      <c r="B29" s="759" t="str" cm="1">
        <f t="array" ref="B29">_xlfn._xlws.FILTER(BOM!$C14:C213,BOM!J14:J213="Driver","")</f>
        <v/>
      </c>
      <c r="C29" s="759"/>
      <c r="D29" s="312"/>
      <c r="E29" s="312"/>
      <c r="F29" s="312"/>
      <c r="G29" s="312"/>
      <c r="H29" s="312"/>
      <c r="I29" s="312"/>
      <c r="J29" s="312"/>
      <c r="K29" s="312"/>
      <c r="L29" s="312"/>
    </row>
    <row r="30" spans="1:12">
      <c r="A30" s="299" t="s">
        <v>8802</v>
      </c>
      <c r="B30" s="622"/>
      <c r="C30" s="759"/>
      <c r="D30" s="312"/>
      <c r="E30" s="312"/>
      <c r="F30" s="312"/>
      <c r="G30" s="312"/>
      <c r="H30" s="312"/>
      <c r="I30" s="312"/>
      <c r="J30" s="312"/>
      <c r="K30" s="312"/>
      <c r="L30" s="312"/>
    </row>
    <row r="31" spans="1:12">
      <c r="A31" s="299" t="s">
        <v>8802</v>
      </c>
      <c r="B31" s="760"/>
      <c r="C31" s="759"/>
      <c r="D31" s="312"/>
      <c r="E31" s="312"/>
      <c r="F31" s="312"/>
      <c r="G31" s="312"/>
      <c r="H31" s="312"/>
      <c r="I31" s="312"/>
      <c r="J31" s="312"/>
      <c r="K31" s="312"/>
      <c r="L31" s="312"/>
    </row>
    <row r="32" spans="1:12">
      <c r="A32" s="299" t="s">
        <v>8802</v>
      </c>
      <c r="B32" s="760"/>
      <c r="C32" s="759"/>
      <c r="D32" s="312"/>
      <c r="E32" s="312"/>
      <c r="F32" s="312"/>
      <c r="G32" s="312"/>
      <c r="H32" s="312"/>
      <c r="I32" s="312"/>
      <c r="J32" s="312"/>
      <c r="K32" s="312"/>
      <c r="L32" s="312"/>
    </row>
    <row r="33" spans="1:12">
      <c r="A33" s="299" t="s">
        <v>8802</v>
      </c>
      <c r="B33" s="760"/>
      <c r="C33" s="759"/>
      <c r="D33" s="312"/>
      <c r="E33" s="312"/>
      <c r="F33" s="312"/>
      <c r="G33" s="312"/>
      <c r="H33" s="312"/>
      <c r="I33" s="312"/>
      <c r="J33" s="312"/>
      <c r="K33" s="312"/>
      <c r="L33" s="312"/>
    </row>
    <row r="34" spans="1:12">
      <c r="A34" s="299" t="s">
        <v>8802</v>
      </c>
      <c r="B34" s="760"/>
      <c r="C34" s="759"/>
      <c r="D34" s="312"/>
      <c r="E34" s="312"/>
      <c r="F34" s="312"/>
      <c r="G34" s="312"/>
      <c r="H34" s="312"/>
      <c r="I34" s="312"/>
      <c r="J34" s="312"/>
      <c r="K34" s="312"/>
      <c r="L34" s="312"/>
    </row>
    <row r="35" spans="1:12">
      <c r="A35" s="299" t="s">
        <v>9021</v>
      </c>
      <c r="B35" s="761"/>
      <c r="C35" s="762"/>
      <c r="D35" s="312"/>
      <c r="E35" s="312"/>
      <c r="F35" s="312"/>
      <c r="G35" s="312"/>
      <c r="H35" s="312"/>
      <c r="I35" s="312"/>
      <c r="J35" s="312"/>
      <c r="K35" s="312"/>
      <c r="L35" s="312"/>
    </row>
    <row r="36" spans="1:12">
      <c r="A36" s="299" t="s">
        <v>9021</v>
      </c>
      <c r="B36" s="761"/>
      <c r="C36" s="762"/>
      <c r="D36" s="312"/>
      <c r="E36" s="312"/>
      <c r="F36" s="312"/>
      <c r="G36" s="312"/>
      <c r="H36" s="312"/>
      <c r="I36" s="312"/>
      <c r="J36" s="312"/>
      <c r="K36" s="312"/>
      <c r="L36" s="312"/>
    </row>
    <row r="37" spans="1:12">
      <c r="A37" s="299" t="s">
        <v>9021</v>
      </c>
      <c r="B37" s="761"/>
      <c r="C37" s="762"/>
      <c r="D37" s="312"/>
      <c r="E37" s="312"/>
      <c r="F37" s="312"/>
      <c r="G37" s="312"/>
      <c r="H37" s="312"/>
      <c r="I37" s="312"/>
      <c r="J37" s="312"/>
      <c r="K37" s="312"/>
      <c r="L37" s="312"/>
    </row>
    <row r="38" spans="1:12">
      <c r="A38" s="299" t="s">
        <v>9021</v>
      </c>
      <c r="B38" s="761"/>
      <c r="C38" s="762"/>
      <c r="D38" s="312"/>
      <c r="E38" s="312"/>
      <c r="F38" s="312"/>
      <c r="G38" s="312"/>
      <c r="H38" s="312"/>
      <c r="I38" s="312"/>
      <c r="J38" s="312"/>
      <c r="K38" s="312"/>
      <c r="L38" s="312"/>
    </row>
    <row r="39" spans="1:12">
      <c r="A39" s="299" t="s">
        <v>9021</v>
      </c>
      <c r="B39" s="761"/>
      <c r="C39" s="762"/>
      <c r="D39" s="312"/>
      <c r="E39" s="312"/>
      <c r="F39" s="312"/>
      <c r="G39" s="312"/>
      <c r="H39" s="312"/>
      <c r="I39" s="312"/>
      <c r="J39" s="312"/>
      <c r="K39" s="312"/>
      <c r="L39" s="312"/>
    </row>
    <row r="40" spans="1:12">
      <c r="A40" s="312"/>
      <c r="B40" s="192" t="s">
        <v>9022</v>
      </c>
      <c r="C40" s="312"/>
      <c r="D40" s="312"/>
      <c r="E40" s="312"/>
      <c r="F40" s="312"/>
      <c r="G40" s="312"/>
      <c r="H40" s="312"/>
      <c r="I40" s="312"/>
      <c r="J40" s="312"/>
      <c r="K40" s="312"/>
      <c r="L40" s="312"/>
    </row>
    <row r="41" spans="1:12">
      <c r="A41" s="312"/>
      <c r="B41" s="324"/>
      <c r="C41" s="312"/>
      <c r="D41" s="312"/>
      <c r="E41" s="312"/>
      <c r="F41" s="312"/>
      <c r="G41" s="312"/>
      <c r="H41" s="312"/>
      <c r="I41" s="312"/>
      <c r="J41" s="312"/>
      <c r="K41" s="312"/>
      <c r="L41" s="312"/>
    </row>
    <row r="42" spans="1:12">
      <c r="A42" s="312"/>
      <c r="B42" s="324"/>
      <c r="C42" s="312"/>
      <c r="D42" s="312"/>
      <c r="E42" s="312"/>
      <c r="F42" s="312"/>
      <c r="G42" s="312"/>
      <c r="H42" s="312"/>
      <c r="I42" s="312"/>
      <c r="J42" s="312"/>
      <c r="K42" s="312"/>
      <c r="L42" s="312"/>
    </row>
    <row r="43" spans="1:12">
      <c r="A43" s="303" t="s">
        <v>10927</v>
      </c>
      <c r="B43" s="300" t="s">
        <v>9023</v>
      </c>
      <c r="C43" s="302" t="s">
        <v>9024</v>
      </c>
      <c r="D43" s="312"/>
      <c r="E43" s="312"/>
      <c r="F43" s="312"/>
      <c r="G43" s="312"/>
      <c r="H43" s="312"/>
      <c r="I43" s="312"/>
      <c r="J43" s="312"/>
      <c r="K43" s="312"/>
      <c r="L43" s="312"/>
    </row>
    <row r="44" spans="1:12" ht="28.8">
      <c r="A44" s="113" t="s">
        <v>10931</v>
      </c>
      <c r="B44" s="763"/>
      <c r="C44" s="755"/>
      <c r="D44" s="312" t="s">
        <v>9025</v>
      </c>
      <c r="E44" s="324"/>
      <c r="F44" s="312"/>
      <c r="G44" s="312"/>
      <c r="H44" s="312"/>
      <c r="I44" s="312"/>
      <c r="J44" s="312"/>
      <c r="K44" s="312"/>
      <c r="L44" s="324"/>
    </row>
    <row r="45" spans="1:12" ht="28.8">
      <c r="A45" s="604" t="s">
        <v>10931</v>
      </c>
      <c r="B45" s="763"/>
      <c r="C45" s="755"/>
      <c r="D45" s="312" t="s">
        <v>9025</v>
      </c>
      <c r="E45" s="324"/>
      <c r="F45" s="312"/>
      <c r="G45" s="312"/>
      <c r="H45" s="312"/>
      <c r="I45" s="312"/>
      <c r="J45" s="312"/>
      <c r="K45" s="312"/>
      <c r="L45" s="324"/>
    </row>
    <row r="46" spans="1:12" ht="28.8">
      <c r="A46" s="604" t="s">
        <v>10931</v>
      </c>
      <c r="B46" s="763"/>
      <c r="C46" s="755"/>
      <c r="D46" s="312" t="s">
        <v>9025</v>
      </c>
      <c r="E46" s="324"/>
      <c r="F46" s="312"/>
      <c r="G46" s="312"/>
      <c r="H46" s="312"/>
      <c r="I46" s="312"/>
      <c r="J46" s="312"/>
      <c r="K46" s="312"/>
      <c r="L46" s="324"/>
    </row>
    <row r="47" spans="1:12" ht="28.8">
      <c r="A47" s="604" t="s">
        <v>10931</v>
      </c>
      <c r="B47" s="763"/>
      <c r="C47" s="755"/>
      <c r="D47" s="312" t="s">
        <v>9025</v>
      </c>
      <c r="E47" s="324"/>
      <c r="F47" s="312"/>
      <c r="G47" s="312"/>
      <c r="H47" s="312"/>
      <c r="I47" s="312"/>
      <c r="J47" s="312"/>
      <c r="K47" s="312"/>
      <c r="L47" s="324"/>
    </row>
    <row r="48" spans="1:12" ht="28.8">
      <c r="A48" s="604" t="s">
        <v>10931</v>
      </c>
      <c r="B48" s="763"/>
      <c r="C48" s="755"/>
      <c r="D48" s="312" t="s">
        <v>9025</v>
      </c>
      <c r="E48" s="324"/>
      <c r="F48" s="312"/>
      <c r="G48" s="312"/>
      <c r="H48" s="312"/>
      <c r="I48" s="312"/>
      <c r="J48" s="312"/>
      <c r="K48" s="312"/>
      <c r="L48" s="324"/>
    </row>
    <row r="49" spans="1:12" s="104" customFormat="1">
      <c r="A49" s="301"/>
      <c r="B49" s="203"/>
      <c r="C49" s="342"/>
      <c r="D49" s="316"/>
      <c r="E49" s="203"/>
      <c r="F49" s="316"/>
      <c r="G49" s="316"/>
      <c r="H49" s="316"/>
      <c r="I49" s="316"/>
      <c r="J49" s="316"/>
      <c r="K49" s="316"/>
      <c r="L49" s="203"/>
    </row>
    <row r="50" spans="1:12">
      <c r="A50" s="113" t="s">
        <v>10932</v>
      </c>
      <c r="B50" s="763"/>
      <c r="C50" s="755"/>
      <c r="D50" s="316"/>
      <c r="E50" s="324"/>
      <c r="F50" s="312"/>
      <c r="G50" s="312"/>
      <c r="H50" s="312"/>
      <c r="I50" s="312"/>
      <c r="J50" s="312"/>
      <c r="K50" s="312"/>
      <c r="L50" s="324"/>
    </row>
    <row r="51" spans="1:12" s="104" customFormat="1">
      <c r="A51" s="604" t="s">
        <v>10932</v>
      </c>
      <c r="B51" s="764"/>
      <c r="C51" s="755"/>
      <c r="D51" s="316"/>
      <c r="E51" s="203"/>
      <c r="F51" s="316"/>
      <c r="G51" s="316"/>
      <c r="H51" s="316"/>
      <c r="I51" s="316"/>
      <c r="J51" s="316"/>
      <c r="K51" s="316"/>
      <c r="L51" s="316"/>
    </row>
    <row r="52" spans="1:12" s="104" customFormat="1">
      <c r="A52" s="604" t="s">
        <v>10932</v>
      </c>
      <c r="B52" s="764"/>
      <c r="C52" s="755"/>
      <c r="D52" s="316"/>
      <c r="E52" s="203"/>
      <c r="F52" s="316"/>
      <c r="G52" s="316"/>
      <c r="H52" s="316"/>
      <c r="I52" s="316"/>
      <c r="J52" s="316"/>
      <c r="K52" s="316"/>
      <c r="L52" s="316"/>
    </row>
    <row r="53" spans="1:12" s="104" customFormat="1">
      <c r="A53" s="604" t="s">
        <v>10932</v>
      </c>
      <c r="B53" s="764"/>
      <c r="C53" s="755"/>
      <c r="D53" s="316"/>
      <c r="E53" s="203"/>
      <c r="F53" s="316"/>
      <c r="G53" s="316"/>
      <c r="H53" s="316"/>
      <c r="I53" s="316"/>
      <c r="J53" s="316"/>
      <c r="K53" s="316"/>
      <c r="L53" s="316"/>
    </row>
    <row r="54" spans="1:12" s="104" customFormat="1">
      <c r="A54" s="604" t="s">
        <v>10932</v>
      </c>
      <c r="B54" s="764"/>
      <c r="C54" s="755"/>
      <c r="D54" s="316"/>
      <c r="E54" s="203"/>
      <c r="F54" s="316"/>
      <c r="G54" s="316"/>
      <c r="H54" s="316"/>
      <c r="I54" s="316"/>
      <c r="J54" s="316"/>
      <c r="K54" s="316"/>
      <c r="L54" s="316"/>
    </row>
    <row r="55" spans="1:12" s="104" customFormat="1">
      <c r="A55" s="604" t="s">
        <v>10932</v>
      </c>
      <c r="B55" s="764"/>
      <c r="C55" s="755"/>
      <c r="D55" s="316"/>
      <c r="E55" s="203"/>
      <c r="F55" s="316"/>
      <c r="G55" s="316"/>
      <c r="H55" s="316"/>
      <c r="I55" s="316"/>
      <c r="J55" s="316"/>
      <c r="K55" s="316"/>
      <c r="L55" s="316"/>
    </row>
    <row r="56" spans="1:12" s="104" customFormat="1">
      <c r="A56" s="301"/>
      <c r="B56" s="203"/>
      <c r="C56" s="203"/>
      <c r="D56" s="316"/>
      <c r="E56" s="203"/>
      <c r="F56" s="316"/>
      <c r="G56" s="316"/>
      <c r="H56" s="316"/>
      <c r="I56" s="316"/>
      <c r="J56" s="316"/>
      <c r="K56" s="316"/>
      <c r="L56" s="316"/>
    </row>
    <row r="57" spans="1:12" s="104" customFormat="1">
      <c r="A57" s="301"/>
      <c r="B57" s="203"/>
      <c r="C57" s="203"/>
      <c r="D57" s="316"/>
      <c r="E57" s="203"/>
      <c r="F57" s="316"/>
      <c r="G57" s="316"/>
      <c r="H57" s="316"/>
      <c r="I57" s="316"/>
      <c r="J57" s="316"/>
      <c r="K57" s="316"/>
      <c r="L57" s="316"/>
    </row>
    <row r="58" spans="1:12">
      <c r="A58" s="113" t="s">
        <v>10928</v>
      </c>
      <c r="B58" s="755"/>
      <c r="C58" s="304" t="s">
        <v>9026</v>
      </c>
      <c r="D58" s="312"/>
      <c r="E58" s="324"/>
      <c r="F58" s="312"/>
      <c r="G58" s="312"/>
      <c r="H58" s="312"/>
      <c r="I58" s="312"/>
      <c r="J58" s="312"/>
      <c r="K58" s="312"/>
      <c r="L58" s="312"/>
    </row>
    <row r="59" spans="1:12">
      <c r="A59" s="113" t="s">
        <v>10929</v>
      </c>
      <c r="B59" s="755"/>
      <c r="C59" s="304" t="s">
        <v>9027</v>
      </c>
      <c r="D59" s="312"/>
      <c r="E59" s="312"/>
      <c r="F59" s="312"/>
      <c r="G59" s="312"/>
      <c r="H59" s="312"/>
      <c r="I59" s="312"/>
      <c r="J59" s="312"/>
      <c r="K59" s="312"/>
      <c r="L59" s="312"/>
    </row>
    <row r="60" spans="1:12" ht="18">
      <c r="A60" s="175"/>
      <c r="B60" s="324"/>
      <c r="C60" s="304"/>
      <c r="D60" s="312"/>
      <c r="E60" s="312"/>
      <c r="F60" s="312"/>
      <c r="G60" s="312"/>
      <c r="H60" s="312"/>
      <c r="I60" s="312"/>
      <c r="J60" s="312"/>
      <c r="K60" s="312"/>
      <c r="L60" s="312"/>
    </row>
    <row r="61" spans="1:12" ht="18.600000000000001" customHeight="1" thickBot="1">
      <c r="A61" s="403" t="s">
        <v>9028</v>
      </c>
      <c r="B61" s="324"/>
      <c r="C61" s="117"/>
      <c r="D61" s="312"/>
      <c r="E61" s="312"/>
      <c r="F61" s="312"/>
      <c r="G61" s="312"/>
      <c r="H61" s="312"/>
      <c r="I61" s="312"/>
      <c r="J61" s="312"/>
      <c r="K61" s="312"/>
      <c r="L61" s="312"/>
    </row>
    <row r="62" spans="1:12" s="352" customFormat="1" ht="26.55" customHeight="1" thickBot="1">
      <c r="A62" s="353" t="s">
        <v>9029</v>
      </c>
      <c r="B62" s="579"/>
      <c r="C62" s="579"/>
      <c r="D62" s="579"/>
      <c r="E62" s="579"/>
      <c r="F62" s="579"/>
      <c r="G62" s="353"/>
      <c r="H62" s="353"/>
      <c r="I62" s="353"/>
      <c r="J62" s="353"/>
      <c r="K62" s="353"/>
      <c r="L62" s="580"/>
    </row>
    <row r="63" spans="1:12" s="312" customFormat="1" ht="58.05" customHeight="1">
      <c r="A63" s="900" t="s">
        <v>10930</v>
      </c>
      <c r="B63" s="900"/>
      <c r="C63" s="900"/>
    </row>
    <row r="64" spans="1:12" s="312" customFormat="1" ht="18.600000000000001" customHeight="1">
      <c r="A64" s="322"/>
      <c r="B64" s="324"/>
      <c r="C64" s="898" t="s">
        <v>9030</v>
      </c>
    </row>
    <row r="65" spans="1:3" ht="38.1" customHeight="1">
      <c r="A65" s="12" t="s">
        <v>9031</v>
      </c>
      <c r="B65" s="302" t="s">
        <v>9032</v>
      </c>
      <c r="C65" s="899"/>
    </row>
    <row r="66" spans="1:3" s="312" customFormat="1" ht="16.05" customHeight="1">
      <c r="A66" s="315" t="s">
        <v>9033</v>
      </c>
      <c r="B66" s="760"/>
      <c r="C66" s="765"/>
    </row>
    <row r="67" spans="1:3" s="312" customFormat="1" ht="16.05" customHeight="1">
      <c r="A67" s="315" t="s">
        <v>9033</v>
      </c>
      <c r="B67" s="760"/>
      <c r="C67" s="765"/>
    </row>
    <row r="68" spans="1:3" s="312" customFormat="1" ht="16.05" customHeight="1">
      <c r="A68" s="315" t="s">
        <v>9033</v>
      </c>
      <c r="B68" s="760"/>
      <c r="C68" s="765"/>
    </row>
    <row r="69" spans="1:3" s="312" customFormat="1" ht="16.05" customHeight="1">
      <c r="A69" s="315" t="s">
        <v>9033</v>
      </c>
      <c r="B69" s="760"/>
      <c r="C69" s="765"/>
    </row>
    <row r="70" spans="1:3" s="312" customFormat="1" ht="16.05" customHeight="1">
      <c r="A70" s="315" t="s">
        <v>9033</v>
      </c>
      <c r="B70" s="760"/>
      <c r="C70" s="765"/>
    </row>
    <row r="71" spans="1:3" s="312" customFormat="1" ht="16.05" customHeight="1">
      <c r="B71" s="324" t="s">
        <v>9034</v>
      </c>
      <c r="C71" s="340"/>
    </row>
    <row r="72" spans="1:3" ht="15.75" customHeight="1">
      <c r="A72" s="312"/>
      <c r="B72" s="324"/>
      <c r="C72" s="341"/>
    </row>
    <row r="73" spans="1:3" ht="18">
      <c r="A73" s="175" t="s">
        <v>9035</v>
      </c>
      <c r="B73" s="324"/>
      <c r="C73" s="302"/>
    </row>
    <row r="74" spans="1:3" s="312" customFormat="1" ht="18">
      <c r="A74" s="175"/>
      <c r="B74" s="324"/>
      <c r="C74" s="302" t="s">
        <v>9036</v>
      </c>
    </row>
    <row r="75" spans="1:3" ht="15.75" customHeight="1">
      <c r="A75" s="312" t="s">
        <v>9037</v>
      </c>
      <c r="B75" s="622"/>
      <c r="C75" s="759"/>
    </row>
    <row r="76" spans="1:3" ht="15.75" customHeight="1">
      <c r="A76" s="312" t="s">
        <v>9038</v>
      </c>
      <c r="B76" s="763"/>
      <c r="C76" s="766"/>
    </row>
    <row r="77" spans="1:3" s="312" customFormat="1" ht="15.75" customHeight="1">
      <c r="A77" s="312" t="s">
        <v>9038</v>
      </c>
      <c r="B77" s="763"/>
      <c r="C77" s="766"/>
    </row>
    <row r="78" spans="1:3" s="312" customFormat="1" ht="15.75" customHeight="1">
      <c r="A78" s="312" t="s">
        <v>9038</v>
      </c>
      <c r="B78" s="763"/>
      <c r="C78" s="766"/>
    </row>
    <row r="79" spans="1:3" s="312" customFormat="1" ht="15.75" customHeight="1">
      <c r="A79" s="312" t="s">
        <v>9038</v>
      </c>
      <c r="B79" s="763"/>
      <c r="C79" s="766"/>
    </row>
    <row r="80" spans="1:3" s="312" customFormat="1" ht="15.75" customHeight="1">
      <c r="A80" s="312" t="s">
        <v>9038</v>
      </c>
      <c r="B80" s="763"/>
      <c r="C80" s="766"/>
    </row>
    <row r="81" spans="1:11" ht="15.6">
      <c r="A81" s="312"/>
      <c r="B81" s="312"/>
      <c r="C81" s="177"/>
      <c r="D81" s="312"/>
      <c r="E81" s="312"/>
      <c r="F81" s="312"/>
      <c r="G81" s="312"/>
      <c r="H81" s="312"/>
      <c r="I81" s="312"/>
      <c r="J81" s="312"/>
      <c r="K81" s="312"/>
    </row>
    <row r="82" spans="1:11" s="312" customFormat="1" ht="15.6">
      <c r="C82" s="177"/>
      <c r="H82" s="324"/>
      <c r="I82" s="324"/>
    </row>
    <row r="83" spans="1:11" s="312" customFormat="1" ht="15.6">
      <c r="C83" s="177"/>
    </row>
    <row r="85" spans="1:11">
      <c r="A85" s="181" t="s">
        <v>8479</v>
      </c>
      <c r="B85" s="312"/>
      <c r="C85" s="312"/>
      <c r="D85" s="312"/>
      <c r="E85" s="312"/>
      <c r="F85" s="312"/>
      <c r="G85" s="312"/>
      <c r="H85" s="312"/>
      <c r="I85" s="312"/>
      <c r="J85" s="312"/>
      <c r="K85" s="312"/>
    </row>
    <row r="86" spans="1:11" ht="18">
      <c r="A86" s="177" t="s">
        <v>9039</v>
      </c>
      <c r="B86" s="312"/>
      <c r="C86" s="312"/>
      <c r="D86" s="312"/>
      <c r="E86" s="312"/>
      <c r="F86" s="312"/>
      <c r="G86" s="312"/>
      <c r="H86" s="312"/>
      <c r="I86" s="312"/>
      <c r="J86" s="312"/>
      <c r="K86" s="312"/>
    </row>
    <row r="87" spans="1:11" ht="15" thickBot="1">
      <c r="A87" s="97" t="s">
        <v>9040</v>
      </c>
      <c r="B87" s="312"/>
      <c r="C87" s="312"/>
      <c r="D87" s="312"/>
      <c r="E87" s="312"/>
      <c r="F87" s="312"/>
      <c r="G87" s="312"/>
      <c r="H87" s="312"/>
      <c r="I87" s="312"/>
      <c r="J87" s="312"/>
      <c r="K87" s="312"/>
    </row>
    <row r="88" spans="1:11" ht="33.6">
      <c r="A88" s="186" t="s">
        <v>10935</v>
      </c>
      <c r="B88" s="211" t="e">
        <f>(1000/B89)*(35000/B90)</f>
        <v>#DIV/0!</v>
      </c>
      <c r="C88" s="312"/>
      <c r="D88" s="312"/>
      <c r="E88" s="312"/>
      <c r="F88" s="312"/>
      <c r="G88" s="312"/>
      <c r="H88" s="312"/>
      <c r="I88" s="312"/>
      <c r="J88" s="312"/>
      <c r="K88" s="312"/>
    </row>
    <row r="89" spans="1:11" ht="32.4">
      <c r="A89" s="186" t="s">
        <v>9041</v>
      </c>
      <c r="B89" s="436">
        <f>GEN_EPD!C61</f>
        <v>0</v>
      </c>
      <c r="C89" s="312"/>
      <c r="D89" s="312"/>
      <c r="E89" s="312"/>
      <c r="F89" s="312"/>
      <c r="G89" s="312"/>
      <c r="H89" s="312"/>
      <c r="I89" s="312"/>
      <c r="J89" s="312"/>
      <c r="K89" s="312"/>
    </row>
    <row r="90" spans="1:11" ht="16.2" thickBot="1">
      <c r="A90" s="318" t="s">
        <v>9042</v>
      </c>
      <c r="B90" s="437">
        <f>GEN_EPD!F68</f>
        <v>0</v>
      </c>
      <c r="C90" s="312"/>
      <c r="D90" s="312"/>
      <c r="E90" s="312"/>
      <c r="F90" s="312"/>
      <c r="G90" s="312"/>
      <c r="H90" s="312"/>
      <c r="I90" s="312"/>
      <c r="J90" s="312"/>
      <c r="K90" s="312"/>
    </row>
    <row r="92" spans="1:11" ht="15" thickBot="1">
      <c r="A92" s="318"/>
      <c r="B92" s="312"/>
      <c r="C92" s="312"/>
      <c r="D92" s="312"/>
      <c r="E92" s="312"/>
      <c r="F92" s="312"/>
      <c r="G92" s="312"/>
      <c r="H92" s="312"/>
      <c r="I92" s="312"/>
      <c r="J92" s="312"/>
      <c r="K92" s="312"/>
    </row>
    <row r="93" spans="1:11" s="352" customFormat="1" ht="26.55" customHeight="1" thickBot="1">
      <c r="A93" s="353" t="s">
        <v>9043</v>
      </c>
      <c r="B93" s="579"/>
      <c r="C93" s="579"/>
      <c r="D93" s="579"/>
      <c r="E93" s="579"/>
      <c r="F93" s="579"/>
      <c r="G93" s="353"/>
      <c r="H93" s="353"/>
      <c r="I93" s="353"/>
      <c r="J93" s="353"/>
      <c r="K93" s="353"/>
    </row>
    <row r="94" spans="1:11" s="312" customFormat="1">
      <c r="A94" s="318" t="s">
        <v>9044</v>
      </c>
    </row>
    <row r="95" spans="1:11" s="312" customFormat="1">
      <c r="A95" s="318" t="s">
        <v>9045</v>
      </c>
    </row>
    <row r="96" spans="1:11" s="312" customFormat="1">
      <c r="A96" s="318" t="s">
        <v>9046</v>
      </c>
    </row>
    <row r="97" spans="1:1">
      <c r="A97" s="318" t="s">
        <v>9047</v>
      </c>
    </row>
    <row r="98" spans="1:1">
      <c r="A98" s="318"/>
    </row>
  </sheetData>
  <sheetProtection algorithmName="SHA-512" hashValue="0nElDgfjA5ZGHeP9Wstau4tXoZXqllS0MNtGxIueqSj9H/s3GvwTjur1YLZx0ErXdepGfmg1W3AZoVPPBXaSrw==" saltValue="Vm5N4jrv0EcmfwdWjRv2rA==" spinCount="100000" sheet="1" objects="1" scenarios="1" selectLockedCells="1"/>
  <mergeCells count="4">
    <mergeCell ref="B24:J24"/>
    <mergeCell ref="A2:C3"/>
    <mergeCell ref="C64:C65"/>
    <mergeCell ref="A63:C63"/>
  </mergeCells>
  <dataValidations xWindow="834" yWindow="302" count="8">
    <dataValidation type="list" allowBlank="1" showInputMessage="1" showErrorMessage="1" sqref="B35:B39 B66:B70" xr:uid="{F0CA6A50-A418-4C56-B983-CF25528A85D1}">
      <formula1>Material_Input_Name</formula1>
    </dataValidation>
    <dataValidation type="list" allowBlank="1" showInputMessage="1" showErrorMessage="1" sqref="B44:B49" xr:uid="{6FF367CB-9FB5-4D09-BDAD-35AF5F118A93}">
      <formula1>ancillary</formula1>
    </dataValidation>
    <dataValidation type="decimal" operator="greaterThanOrEqual" allowBlank="1" showInputMessage="1" showErrorMessage="1" errorTitle="cleaning events" error="Please enter number of cleaning events per luminaire lifetime (enter a value equal to or greater than zero)" promptTitle="cleaning events per lifetime" prompt="Enter number of cleaning events per luminaire lifetime (enter a value greater than zero)" sqref="B23" xr:uid="{B5E90B39-D9B5-45F8-AE04-17D95BFD665E}">
      <formula1>0</formula1>
    </dataValidation>
    <dataValidation allowBlank="1" showInputMessage="1" showErrorMessage="1" errorTitle="Planned services description" error="Please describe planned services frequency per luminaire lifetime, if applicable. If no planned services during lifetime, enter &quot;None&quot;._x000a_" promptTitle="Planned services description" prompt="Describe planned services frequency per luminaire lifetime" sqref="B24:J24" xr:uid="{916752C5-F1E3-4B1A-A161-B71694C5C1B3}"/>
    <dataValidation type="decimal" operator="greaterThanOrEqual" allowBlank="1" showInputMessage="1" showErrorMessage="1" errorTitle="Maintenance energy" error="This element is important to figuring the energy consumption footprint of Module B" promptTitle="Energy consumed maintenance" prompt="Electricity consumed for maintenance activities (per event)" sqref="B58" xr:uid="{5E2C7B5F-1B07-4BB8-9192-D376388492D1}">
      <formula1>0</formula1>
    </dataValidation>
    <dataValidation type="decimal" operator="greaterThanOrEqual" allowBlank="1" showInputMessage="1" showErrorMessage="1" errorTitle="Water use in maintenance" error="This element is important to figuring the water consumption footprint of Module B" promptTitle="Water consumption maintenance" prompt="Water consumed for maintenance activities (per event)" sqref="B59" xr:uid="{7EC6026D-B5F1-499C-9E96-85BCDF666009}">
      <formula1>0</formula1>
    </dataValidation>
    <dataValidation allowBlank="1" showInputMessage="1" showErrorMessage="1" promptTitle="Scenario 1 - EU" prompt="These are values appropriate for EU markets, standards, product requirements, and background data appropriate to the EU geographic scope" sqref="B7" xr:uid="{047A47FE-F9F4-4BFF-952C-24F42AB75249}"/>
    <dataValidation allowBlank="1" showInputMessage="1" showErrorMessage="1" promptTitle="Scenario 2 - US/North America" prompt="These are values appropriate for US/North American markets, standards, product requirements, and background data appropriate to the US/North American geographic scope" sqref="C7" xr:uid="{D6384491-9A3B-4FB6-9D5E-29292DFBDE8F}"/>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34" yWindow="302" count="7">
        <x14:dataValidation type="list" allowBlank="1" showInputMessage="1" showErrorMessage="1" xr:uid="{0A592F1B-72B2-4C34-AAF7-D6A29E766438}">
          <x14:formula1>
            <xm:f>master_list_menus!$C$5:$C$7</xm:f>
          </x14:formula1>
          <xm:sqref>B28 B75</xm:sqref>
        </x14:dataValidation>
        <x14:dataValidation type="list" allowBlank="1" showInputMessage="1" showErrorMessage="1" xr:uid="{1F34DAEF-65D6-4F97-A985-DBEA4D230923}">
          <x14:formula1>
            <xm:f>master_list_menus!$K$18:$K$21</xm:f>
          </x14:formula1>
          <xm:sqref>B50:B55 B76:B80</xm:sqref>
        </x14:dataValidation>
        <x14:dataValidation type="list" allowBlank="1" showInputMessage="1" showErrorMessage="1" promptTitle="Replaceable Drivers" xr:uid="{EA2FE55C-6034-43D5-B0F1-902389021DBD}">
          <x14:formula1>
            <xm:f>_xlfn._xlws.FILTER(BOM!C15:C214,BOM!J15:J214="Driver","")</xm:f>
          </x14:formula1>
          <xm:sqref>B34</xm:sqref>
        </x14:dataValidation>
        <x14:dataValidation type="list" allowBlank="1" showInputMessage="1" showErrorMessage="1" promptTitle="Replaceable Drivers" xr:uid="{2C1B865D-D7BA-4B79-B595-20A5D7E108A0}">
          <x14:formula1>
            <xm:f>_xlfn._xlws.FILTER(BOM!C15:C214,BOM!J15:J214="Driver","")</xm:f>
          </x14:formula1>
          <xm:sqref>B33</xm:sqref>
        </x14:dataValidation>
        <x14:dataValidation type="list" allowBlank="1" showInputMessage="1" showErrorMessage="1" promptTitle="Replaceable Drivers" xr:uid="{A2A21F76-191E-4EC7-B20A-795C5C1BD7F6}">
          <x14:formula1>
            <xm:f>_xlfn._xlws.FILTER(BOM!C15:C214,BOM!J15:J214="Driver","")</xm:f>
          </x14:formula1>
          <xm:sqref>B32</xm:sqref>
        </x14:dataValidation>
        <x14:dataValidation type="list" allowBlank="1" showInputMessage="1" showErrorMessage="1" promptTitle="Replaceable Drivers" xr:uid="{6590DDC3-AFD9-4620-828A-50DCB23EA0C8}">
          <x14:formula1>
            <xm:f>_xlfn._xlws.FILTER(BOM!C15:C214,BOM!J15:J214="Driver","")</xm:f>
          </x14:formula1>
          <xm:sqref>B30</xm:sqref>
        </x14:dataValidation>
        <x14:dataValidation type="list" allowBlank="1" showInputMessage="1" showErrorMessage="1" promptTitle="Replaceable Drivers" xr:uid="{81DCE6D4-EDCE-41A8-9590-F3BA84DB2A1E}">
          <x14:formula1>
            <xm:f>_xlfn._xlws.FILTER(BOM!C15:C214,BOM!J15:J214="Driver","")</xm:f>
          </x14:formula1>
          <xm:sqref>B31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5C232-08CC-4678-BAC1-0DB1D73E922A}">
  <sheetPr codeName="Sheet13">
    <tabColor rgb="FFD6EDBD"/>
  </sheetPr>
  <dimension ref="A1:U39"/>
  <sheetViews>
    <sheetView showGridLines="0" zoomScaleNormal="100" workbookViewId="0">
      <selection sqref="A1:F1"/>
    </sheetView>
  </sheetViews>
  <sheetFormatPr defaultRowHeight="14.4"/>
  <cols>
    <col min="1" max="1" width="36.77734375" customWidth="1"/>
    <col min="2" max="2" width="30.5546875" customWidth="1"/>
    <col min="3" max="3" width="14.44140625" customWidth="1"/>
    <col min="5" max="5" width="16.77734375" customWidth="1"/>
    <col min="11" max="11" width="11.77734375" customWidth="1"/>
    <col min="12" max="12" width="8.77734375" customWidth="1"/>
    <col min="13" max="13" width="18" customWidth="1"/>
    <col min="15" max="15" width="14.77734375" customWidth="1"/>
    <col min="21" max="21" width="13.44140625" customWidth="1"/>
  </cols>
  <sheetData>
    <row r="1" spans="1:13" s="351" customFormat="1" ht="35.85" customHeight="1" thickTop="1" thickBot="1">
      <c r="A1" s="351" t="s">
        <v>9048</v>
      </c>
    </row>
    <row r="2" spans="1:13" s="210" customFormat="1" ht="24" thickTop="1">
      <c r="A2" s="867" t="s">
        <v>9049</v>
      </c>
      <c r="B2" s="867"/>
      <c r="C2" s="867"/>
      <c r="D2" s="867"/>
      <c r="E2" s="867"/>
      <c r="F2" s="867"/>
      <c r="G2" s="867"/>
      <c r="H2" s="867"/>
      <c r="I2" s="867"/>
      <c r="J2" s="867"/>
      <c r="K2" s="867"/>
      <c r="L2" s="867"/>
      <c r="M2" s="867"/>
    </row>
    <row r="3" spans="1:13" ht="44.55" customHeight="1" thickBot="1">
      <c r="A3" s="867"/>
      <c r="B3" s="867"/>
      <c r="C3" s="867"/>
      <c r="D3" s="867"/>
      <c r="E3" s="867"/>
      <c r="F3" s="867"/>
      <c r="G3" s="867"/>
      <c r="H3" s="867"/>
      <c r="I3" s="867"/>
      <c r="J3" s="867"/>
      <c r="K3" s="867"/>
      <c r="L3" s="867"/>
      <c r="M3" s="867"/>
    </row>
    <row r="4" spans="1:13" s="352" customFormat="1" ht="26.55" customHeight="1" thickBot="1">
      <c r="A4" s="353" t="s">
        <v>9050</v>
      </c>
      <c r="B4" s="579"/>
      <c r="C4" s="579"/>
      <c r="D4" s="579"/>
      <c r="E4" s="579"/>
      <c r="F4" s="579"/>
      <c r="G4" s="353"/>
      <c r="H4" s="353"/>
      <c r="I4" s="353"/>
      <c r="J4" s="353"/>
      <c r="K4" s="353"/>
      <c r="L4" s="580"/>
      <c r="M4" s="580"/>
    </row>
    <row r="5" spans="1:13" s="312" customFormat="1">
      <c r="A5" s="312" t="s">
        <v>8972</v>
      </c>
      <c r="B5" s="320"/>
    </row>
    <row r="6" spans="1:13" s="312" customFormat="1" ht="30.6" customHeight="1">
      <c r="A6" s="231" t="s">
        <v>9051</v>
      </c>
      <c r="B6" s="320"/>
    </row>
    <row r="7" spans="1:13" s="312" customFormat="1" ht="30.6" customHeight="1">
      <c r="A7" s="231"/>
      <c r="B7" s="233" t="s">
        <v>9052</v>
      </c>
      <c r="C7" s="398" t="s">
        <v>9053</v>
      </c>
      <c r="E7" s="398" t="s">
        <v>9054</v>
      </c>
    </row>
    <row r="8" spans="1:13" s="312" customFormat="1" ht="20.100000000000001" customHeight="1">
      <c r="A8" s="312" t="s">
        <v>8974</v>
      </c>
      <c r="B8" s="622"/>
      <c r="C8" s="767"/>
      <c r="D8" s="312" t="s">
        <v>9055</v>
      </c>
      <c r="E8" s="755"/>
      <c r="F8" s="315" t="s">
        <v>9056</v>
      </c>
      <c r="H8" s="315"/>
    </row>
    <row r="9" spans="1:13" s="316" customFormat="1" ht="15.6" customHeight="1">
      <c r="A9" s="312" t="s">
        <v>8974</v>
      </c>
      <c r="B9" s="622"/>
      <c r="C9" s="767"/>
      <c r="D9" s="312" t="s">
        <v>9055</v>
      </c>
      <c r="E9" s="755"/>
      <c r="F9" s="315" t="s">
        <v>9056</v>
      </c>
      <c r="G9" s="312"/>
      <c r="H9" s="368"/>
    </row>
    <row r="10" spans="1:13" s="316" customFormat="1" ht="18.600000000000001" customHeight="1">
      <c r="A10" s="312" t="s">
        <v>8974</v>
      </c>
      <c r="B10" s="622"/>
      <c r="C10" s="767"/>
      <c r="D10" s="312" t="s">
        <v>9055</v>
      </c>
      <c r="E10" s="755"/>
      <c r="F10" s="315" t="s">
        <v>9056</v>
      </c>
      <c r="G10" s="312"/>
      <c r="H10" s="368"/>
    </row>
    <row r="11" spans="1:13" s="316" customFormat="1" ht="19.05" customHeight="1">
      <c r="A11" s="312" t="s">
        <v>8974</v>
      </c>
      <c r="B11" s="622"/>
      <c r="C11" s="767"/>
      <c r="D11" s="312" t="s">
        <v>9055</v>
      </c>
      <c r="E11" s="755"/>
      <c r="F11" s="315" t="s">
        <v>9056</v>
      </c>
      <c r="G11" s="312"/>
      <c r="H11" s="368"/>
    </row>
    <row r="12" spans="1:13" s="316" customFormat="1">
      <c r="B12" s="342"/>
      <c r="C12" s="304"/>
      <c r="D12" s="304"/>
      <c r="E12" s="304"/>
      <c r="G12" s="342"/>
      <c r="H12" s="368"/>
    </row>
    <row r="13" spans="1:13" s="316" customFormat="1" ht="28.05" customHeight="1">
      <c r="B13" s="342"/>
      <c r="C13" s="401" t="s">
        <v>9057</v>
      </c>
      <c r="D13" s="304"/>
      <c r="E13" s="398" t="s">
        <v>9054</v>
      </c>
      <c r="G13" s="342"/>
      <c r="H13" s="368"/>
    </row>
    <row r="14" spans="1:13" s="312" customFormat="1" ht="20.100000000000001" customHeight="1">
      <c r="A14" s="312" t="s">
        <v>9058</v>
      </c>
      <c r="B14" s="755"/>
      <c r="C14" s="767"/>
      <c r="D14" s="304"/>
      <c r="E14" s="755"/>
      <c r="F14" s="315" t="s">
        <v>9056</v>
      </c>
      <c r="G14" s="342"/>
      <c r="H14" s="399"/>
    </row>
    <row r="15" spans="1:13" s="312" customFormat="1" ht="18">
      <c r="A15" s="231"/>
      <c r="B15" s="320"/>
      <c r="F15" s="313"/>
      <c r="G15" s="313"/>
      <c r="H15" s="313"/>
    </row>
    <row r="16" spans="1:13" s="312" customFormat="1" ht="18">
      <c r="A16" s="231" t="s">
        <v>9059</v>
      </c>
      <c r="B16" s="320"/>
    </row>
    <row r="17" spans="1:21" s="312" customFormat="1">
      <c r="A17" s="406" t="s">
        <v>9060</v>
      </c>
      <c r="B17" s="320"/>
    </row>
    <row r="18" spans="1:21" ht="30.6" customHeight="1">
      <c r="A18" s="371" t="s">
        <v>9061</v>
      </c>
      <c r="B18" s="232"/>
      <c r="C18" s="904" t="s">
        <v>8998</v>
      </c>
      <c r="D18" s="904"/>
      <c r="E18" s="904"/>
      <c r="F18" s="904"/>
      <c r="G18" s="904"/>
      <c r="H18" s="904"/>
      <c r="I18" s="904"/>
      <c r="J18" s="904"/>
      <c r="K18" s="904"/>
      <c r="L18" s="312"/>
      <c r="M18" s="904" t="s">
        <v>8999</v>
      </c>
      <c r="N18" s="904"/>
      <c r="O18" s="904"/>
      <c r="P18" s="904"/>
      <c r="Q18" s="904"/>
      <c r="R18" s="904"/>
      <c r="S18" s="904"/>
      <c r="T18" s="904"/>
      <c r="U18" s="904"/>
    </row>
    <row r="19" spans="1:21" ht="15.6" customHeight="1">
      <c r="A19" s="371" t="s">
        <v>9062</v>
      </c>
      <c r="B19" s="233"/>
      <c r="C19" s="902" t="s">
        <v>9063</v>
      </c>
      <c r="D19" s="902"/>
      <c r="E19" s="902"/>
      <c r="F19" s="902"/>
      <c r="G19" s="902"/>
      <c r="H19" s="902"/>
      <c r="I19" s="902"/>
      <c r="J19" s="902"/>
      <c r="K19" s="902"/>
      <c r="L19" s="312"/>
      <c r="M19" s="905" t="s">
        <v>9064</v>
      </c>
      <c r="N19" s="905"/>
      <c r="O19" s="905"/>
      <c r="P19" s="905"/>
      <c r="Q19" s="905"/>
      <c r="R19" s="905"/>
      <c r="S19" s="905"/>
      <c r="T19" s="905"/>
      <c r="U19" s="905"/>
    </row>
    <row r="20" spans="1:21" ht="15" thickBot="1">
      <c r="A20" s="371" t="s">
        <v>9065</v>
      </c>
      <c r="B20" s="320"/>
      <c r="C20" s="312"/>
      <c r="D20" s="312"/>
      <c r="E20" s="312"/>
      <c r="F20" s="312"/>
      <c r="G20" s="312"/>
      <c r="H20" s="312"/>
      <c r="I20" s="312"/>
      <c r="J20" s="312"/>
      <c r="K20" s="312"/>
      <c r="L20" s="312"/>
      <c r="M20" s="312"/>
      <c r="N20" s="312"/>
      <c r="O20" s="312"/>
      <c r="P20" s="312"/>
      <c r="Q20" s="312"/>
      <c r="R20" s="312"/>
      <c r="S20" s="312"/>
      <c r="T20" s="312"/>
      <c r="U20" s="312"/>
    </row>
    <row r="21" spans="1:21" ht="30.6">
      <c r="A21" s="176" t="s">
        <v>9066</v>
      </c>
      <c r="B21" s="400" t="s">
        <v>9067</v>
      </c>
      <c r="C21" s="392" t="s">
        <v>9068</v>
      </c>
      <c r="D21" s="393" t="s">
        <v>8565</v>
      </c>
      <c r="E21" s="394" t="s">
        <v>8566</v>
      </c>
      <c r="F21" s="395" t="s">
        <v>8565</v>
      </c>
      <c r="G21" s="392" t="s">
        <v>9069</v>
      </c>
      <c r="H21" s="396" t="s">
        <v>8565</v>
      </c>
      <c r="I21" s="392" t="s">
        <v>9070</v>
      </c>
      <c r="J21" s="393" t="s">
        <v>8565</v>
      </c>
      <c r="K21" s="397" t="s">
        <v>9071</v>
      </c>
      <c r="L21" s="312"/>
      <c r="M21" s="392" t="s">
        <v>9068</v>
      </c>
      <c r="N21" s="393" t="s">
        <v>8565</v>
      </c>
      <c r="O21" s="394" t="s">
        <v>8566</v>
      </c>
      <c r="P21" s="395" t="s">
        <v>8565</v>
      </c>
      <c r="Q21" s="392" t="s">
        <v>9069</v>
      </c>
      <c r="R21" s="396" t="s">
        <v>8565</v>
      </c>
      <c r="S21" s="392" t="s">
        <v>9070</v>
      </c>
      <c r="T21" s="393" t="s">
        <v>8565</v>
      </c>
      <c r="U21" s="397" t="s">
        <v>9071</v>
      </c>
    </row>
    <row r="22" spans="1:21" ht="57" customHeight="1">
      <c r="A22" s="97" t="s">
        <v>9072</v>
      </c>
      <c r="B22" s="542">
        <f>GEN_EPD!C72</f>
        <v>0</v>
      </c>
      <c r="C22" s="768"/>
      <c r="D22" s="768"/>
      <c r="E22" s="768"/>
      <c r="F22" s="768"/>
      <c r="G22" s="768"/>
      <c r="H22" s="768"/>
      <c r="I22" s="768"/>
      <c r="J22" s="768"/>
      <c r="K22" s="438">
        <f>natl_stat!J26</f>
        <v>26.5</v>
      </c>
      <c r="L22" s="10"/>
      <c r="M22" s="768"/>
      <c r="N22" s="768"/>
      <c r="O22" s="768"/>
      <c r="P22" s="768"/>
      <c r="Q22" s="768"/>
      <c r="R22" s="768"/>
      <c r="S22" s="768"/>
      <c r="T22" s="768"/>
      <c r="U22" s="438">
        <f>natl_stat!J16</f>
        <v>16.093399999999999</v>
      </c>
    </row>
    <row r="23" spans="1:21" s="104" customFormat="1" ht="41.55" customHeight="1">
      <c r="A23" s="163"/>
      <c r="B23" s="120"/>
      <c r="C23" s="439" t="str">
        <f>natl_stat!K6</f>
        <v>Landfill regional stat</v>
      </c>
      <c r="D23" s="439" t="str">
        <f>natl_stat!L6</f>
        <v>Sanitary</v>
      </c>
      <c r="E23" s="439" t="str">
        <f>natl_stat!M6</f>
        <v>Controlled</v>
      </c>
      <c r="F23" s="439" t="str">
        <f>natl_stat!N6</f>
        <v>Unspecified</v>
      </c>
      <c r="G23" s="439" t="str">
        <f>natl_stat!O6</f>
        <v>Open Dump</v>
      </c>
      <c r="H23" s="439" t="str">
        <f>natl_stat!P6</f>
        <v>Incineration</v>
      </c>
      <c r="I23" s="439" t="str">
        <f>natl_stat!Q6</f>
        <v>Recycling</v>
      </c>
      <c r="J23" s="439" t="str">
        <f>natl_stat!R6</f>
        <v>WTE Rate</v>
      </c>
      <c r="K23" s="439" t="str">
        <f>natl_stat!S6</f>
        <v>Incineration</v>
      </c>
      <c r="L23" s="316"/>
      <c r="M23" s="439" t="str">
        <f>natl_stat!K6</f>
        <v>Landfill regional stat</v>
      </c>
      <c r="N23" s="439" t="str">
        <f>natl_stat!L6</f>
        <v>Sanitary</v>
      </c>
      <c r="O23" s="439" t="str">
        <f>natl_stat!M6</f>
        <v>Controlled</v>
      </c>
      <c r="P23" s="439" t="str">
        <f>natl_stat!N6</f>
        <v>Unspecified</v>
      </c>
      <c r="Q23" s="439" t="str">
        <f>natl_stat!O6</f>
        <v>Open Dump</v>
      </c>
      <c r="R23" s="439" t="str">
        <f>natl_stat!P6</f>
        <v>Incineration</v>
      </c>
      <c r="S23" s="439" t="str">
        <f>natl_stat!Q6</f>
        <v>Recycling</v>
      </c>
      <c r="T23" s="439" t="str">
        <f>natl_stat!R6</f>
        <v>WTE Rate</v>
      </c>
      <c r="U23" s="439" t="str">
        <f>natl_stat!S6</f>
        <v>Incineration</v>
      </c>
    </row>
    <row r="24" spans="1:21" ht="18">
      <c r="A24" s="176" t="s">
        <v>9073</v>
      </c>
      <c r="B24" s="375" t="str">
        <f>"-------------&gt;&gt;&gt;&gt;"</f>
        <v>-------------&gt;&gt;&gt;&gt;</v>
      </c>
      <c r="C24" s="441">
        <f>natl_stat!K26</f>
        <v>0.46500000000000002</v>
      </c>
      <c r="D24" s="441">
        <f>natl_stat!L26</f>
        <v>4.063106796116505E-2</v>
      </c>
      <c r="E24" s="441">
        <f>natl_stat!M26</f>
        <v>1.1737864077669904E-2</v>
      </c>
      <c r="F24" s="442">
        <f>natl_stat!N26</f>
        <v>0.18148543689320393</v>
      </c>
      <c r="G24" s="442">
        <f>natl_stat!O26</f>
        <v>0.23114563106796121</v>
      </c>
      <c r="H24" s="441">
        <f>natl_stat!P26</f>
        <v>0.05</v>
      </c>
      <c r="I24" s="441">
        <f>natl_stat!$Q$26</f>
        <v>0.48499999999999999</v>
      </c>
      <c r="J24" s="441">
        <f>natl_stat!R26</f>
        <v>0.92592592592592593</v>
      </c>
      <c r="K24" s="443">
        <f>natl_stat!S26</f>
        <v>7.407407407407407E-2</v>
      </c>
      <c r="L24" s="440" t="str">
        <f>"-------------&gt;&gt;&gt;&gt;"</f>
        <v>-------------&gt;&gt;&gt;&gt;</v>
      </c>
      <c r="M24" s="583">
        <f>natl_stat!K16</f>
        <v>0.54518072289156627</v>
      </c>
      <c r="N24" s="441">
        <f>natl_stat!L16</f>
        <v>0.54518072289156627</v>
      </c>
      <c r="O24" s="441">
        <f>natl_stat!M16</f>
        <v>0</v>
      </c>
      <c r="P24" s="441">
        <f>natl_stat!N16</f>
        <v>0</v>
      </c>
      <c r="Q24" s="441">
        <f>natl_stat!O16</f>
        <v>0</v>
      </c>
      <c r="R24" s="441">
        <f>natl_stat!P16</f>
        <v>0.12048192771084337</v>
      </c>
      <c r="S24" s="441">
        <f>natl_stat!Q16</f>
        <v>0.33433734939759036</v>
      </c>
      <c r="T24" s="441">
        <f>natl_stat!R16</f>
        <v>1</v>
      </c>
      <c r="U24" s="441">
        <f>natl_stat!S16</f>
        <v>0</v>
      </c>
    </row>
    <row r="25" spans="1:21" ht="18">
      <c r="A25" s="176" t="s">
        <v>9074</v>
      </c>
      <c r="B25" s="444" t="str">
        <f>eol_lf_type_region!BO51</f>
        <v>dry</v>
      </c>
      <c r="C25" s="317"/>
      <c r="D25" s="404"/>
      <c r="E25" s="903" t="s">
        <v>9075</v>
      </c>
      <c r="F25" s="404"/>
      <c r="G25" s="404"/>
      <c r="H25" s="404"/>
      <c r="I25" s="404"/>
      <c r="J25" s="404"/>
      <c r="K25" s="404"/>
      <c r="L25" s="445" t="str">
        <f>eol_lf_type_region!BO128</f>
        <v>dry</v>
      </c>
      <c r="M25" s="404"/>
      <c r="N25" s="404"/>
      <c r="O25" s="404"/>
      <c r="P25" s="404"/>
      <c r="Q25" s="404"/>
      <c r="R25" s="404"/>
      <c r="S25" s="404"/>
      <c r="T25" s="317"/>
      <c r="U25" s="312"/>
    </row>
    <row r="26" spans="1:21" ht="120.75" customHeight="1">
      <c r="A26" s="175"/>
      <c r="B26" s="312"/>
      <c r="C26" s="317"/>
      <c r="D26" s="405" t="s">
        <v>9076</v>
      </c>
      <c r="E26" s="903"/>
      <c r="F26" s="404"/>
      <c r="G26" s="404"/>
      <c r="H26" s="405" t="s">
        <v>4392</v>
      </c>
      <c r="I26" s="405" t="s">
        <v>9077</v>
      </c>
      <c r="J26" s="404"/>
      <c r="K26" s="404"/>
      <c r="L26" s="404"/>
      <c r="M26" s="404"/>
      <c r="N26" s="405" t="s">
        <v>9076</v>
      </c>
      <c r="O26" s="405" t="s">
        <v>9075</v>
      </c>
      <c r="P26" s="404"/>
      <c r="Q26" s="404"/>
      <c r="R26" s="405" t="s">
        <v>4392</v>
      </c>
      <c r="S26" s="405" t="s">
        <v>9077</v>
      </c>
      <c r="T26" s="317"/>
      <c r="U26" s="312"/>
    </row>
    <row r="27" spans="1:21" s="312" customFormat="1" ht="18.600000000000001" customHeight="1">
      <c r="A27" s="175"/>
      <c r="D27" s="372"/>
      <c r="H27" s="372"/>
      <c r="I27" s="212"/>
      <c r="N27" s="373"/>
      <c r="O27" s="374"/>
      <c r="P27" s="86"/>
      <c r="Q27" s="86"/>
      <c r="R27" s="373"/>
      <c r="S27" s="373"/>
    </row>
    <row r="28" spans="1:21" ht="18">
      <c r="A28" s="175"/>
      <c r="B28" s="312"/>
      <c r="C28" s="312"/>
      <c r="D28" s="312"/>
      <c r="E28" s="312"/>
      <c r="F28" s="312"/>
      <c r="G28" s="312"/>
      <c r="H28" s="312"/>
      <c r="I28" s="312"/>
      <c r="J28" s="312"/>
      <c r="K28" s="312"/>
      <c r="L28" s="312"/>
      <c r="M28" s="312"/>
      <c r="N28" s="312"/>
      <c r="O28" s="312"/>
      <c r="P28" s="312"/>
      <c r="Q28" s="312"/>
      <c r="R28" s="312"/>
      <c r="S28" s="312"/>
      <c r="T28" s="312"/>
      <c r="U28" s="312"/>
    </row>
    <row r="29" spans="1:21" ht="18">
      <c r="A29" s="370" t="s">
        <v>9078</v>
      </c>
      <c r="B29" s="312"/>
      <c r="C29" s="312"/>
      <c r="D29" s="312"/>
      <c r="E29" s="312"/>
      <c r="F29" s="312"/>
      <c r="G29" s="312"/>
      <c r="H29" s="312"/>
      <c r="I29" s="312"/>
      <c r="J29" s="312"/>
      <c r="K29" s="312"/>
      <c r="L29" s="312"/>
      <c r="M29" s="312"/>
      <c r="N29" s="312"/>
      <c r="O29" s="312"/>
      <c r="P29" s="312"/>
      <c r="Q29" s="312"/>
      <c r="R29" s="312"/>
      <c r="S29" s="312"/>
      <c r="T29" s="312"/>
      <c r="U29" s="312"/>
    </row>
    <row r="30" spans="1:21">
      <c r="A30" s="312" t="s">
        <v>9079</v>
      </c>
      <c r="B30" s="312"/>
      <c r="C30" s="312"/>
      <c r="D30" s="312"/>
      <c r="E30" s="312"/>
      <c r="F30" s="312"/>
      <c r="G30" s="312"/>
      <c r="H30" s="312"/>
      <c r="I30" s="312"/>
      <c r="J30" s="312"/>
      <c r="K30" s="312"/>
      <c r="L30" s="312"/>
      <c r="M30" s="312"/>
      <c r="N30" s="312"/>
      <c r="O30" s="312"/>
      <c r="P30" s="312"/>
      <c r="Q30" s="312"/>
      <c r="R30" s="312"/>
      <c r="S30" s="312"/>
      <c r="T30" s="312"/>
      <c r="U30" s="312"/>
    </row>
    <row r="31" spans="1:21" ht="4.05" customHeight="1">
      <c r="A31" s="312"/>
      <c r="B31" s="312"/>
      <c r="C31" s="312"/>
      <c r="D31" s="312"/>
      <c r="E31" s="312"/>
      <c r="F31" s="312"/>
      <c r="G31" s="312"/>
      <c r="H31" s="312"/>
      <c r="I31" s="312"/>
      <c r="J31" s="312"/>
      <c r="K31" s="312"/>
    </row>
    <row r="32" spans="1:21">
      <c r="A32" s="312" t="s">
        <v>9080</v>
      </c>
      <c r="B32" s="312"/>
      <c r="C32" s="312"/>
      <c r="D32" s="312"/>
      <c r="E32" s="312"/>
      <c r="F32" s="312"/>
      <c r="G32" s="312"/>
      <c r="H32" s="312"/>
      <c r="I32" s="312"/>
      <c r="J32" s="312"/>
      <c r="K32" s="312"/>
    </row>
    <row r="33" spans="1:11" ht="4.05" customHeight="1">
      <c r="A33" s="312"/>
      <c r="B33" s="312"/>
      <c r="C33" s="312"/>
      <c r="D33" s="312"/>
      <c r="E33" s="312"/>
      <c r="F33" s="312"/>
      <c r="G33" s="312"/>
      <c r="H33" s="312"/>
      <c r="I33" s="312"/>
      <c r="J33" s="312"/>
      <c r="K33" s="312"/>
    </row>
    <row r="34" spans="1:11">
      <c r="A34" s="312" t="s">
        <v>9081</v>
      </c>
      <c r="B34" s="312"/>
      <c r="C34" s="312"/>
      <c r="D34" s="312"/>
      <c r="E34" s="312"/>
      <c r="F34" s="312"/>
      <c r="G34" s="312"/>
      <c r="H34" s="312"/>
      <c r="I34" s="312"/>
      <c r="J34" s="312"/>
      <c r="K34" s="312"/>
    </row>
    <row r="36" spans="1:11" ht="15" thickBot="1">
      <c r="A36" s="312"/>
      <c r="B36" s="312"/>
      <c r="C36" s="312"/>
      <c r="D36" s="312"/>
      <c r="E36" s="312"/>
      <c r="F36" s="312"/>
      <c r="G36" s="312"/>
      <c r="H36" s="312"/>
      <c r="I36" s="312"/>
      <c r="J36" s="312"/>
      <c r="K36" s="312"/>
    </row>
    <row r="37" spans="1:11" s="352" customFormat="1" ht="26.55" customHeight="1" thickBot="1">
      <c r="A37" s="353" t="s">
        <v>9043</v>
      </c>
      <c r="B37" s="579"/>
      <c r="C37" s="579"/>
      <c r="D37" s="579"/>
      <c r="E37" s="579"/>
      <c r="F37" s="579"/>
      <c r="G37" s="353"/>
      <c r="H37" s="353"/>
      <c r="I37" s="353"/>
      <c r="J37" s="353"/>
      <c r="K37" s="353"/>
    </row>
    <row r="39" spans="1:11" ht="34.5" customHeight="1">
      <c r="A39" s="901" t="s">
        <v>9082</v>
      </c>
      <c r="B39" s="901"/>
      <c r="C39" s="901"/>
      <c r="D39" s="901"/>
      <c r="E39" s="901"/>
      <c r="F39" s="901"/>
      <c r="G39" s="901"/>
      <c r="H39" s="901"/>
      <c r="I39" s="901"/>
      <c r="J39" s="901"/>
      <c r="K39" s="901"/>
    </row>
  </sheetData>
  <sheetProtection algorithmName="SHA-512" hashValue="EXmDZBGeKYrvzlOebV2eA7kzvP5gVtWQi0PE3QNAsFTGnOwSxINUWep+L4McheDmoqLJ6pfnmTkp7d+7b62kzg==" saltValue="vkU0l5tadzTjA0Fzf0DgEg==" spinCount="100000" sheet="1" objects="1" scenarios="1" selectLockedCells="1"/>
  <mergeCells count="7">
    <mergeCell ref="A39:K39"/>
    <mergeCell ref="C19:K19"/>
    <mergeCell ref="A2:M3"/>
    <mergeCell ref="E25:E26"/>
    <mergeCell ref="C18:K18"/>
    <mergeCell ref="M18:U18"/>
    <mergeCell ref="M19:U19"/>
  </mergeCells>
  <dataValidations xWindow="1221" yWindow="474" count="5">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outgoing transport for this material; total for all modes must = 1.00" sqref="J22 T22" xr:uid="{15CDA595-699F-4B70-A0BD-4D7B886B9C46}">
      <formula1>0.01</formula1>
      <formula2>1</formula2>
    </dataValidation>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collection transport for this material; total for all modes must = 1.00" sqref="H22 F22 D22 R22 P22 N22" xr:uid="{C3C45725-4538-4641-AAA1-66FB425CAA62}">
      <formula1>0.01</formula1>
      <formula2>1</formula2>
    </dataValidation>
    <dataValidation allowBlank="1" showInputMessage="1" showErrorMessage="1" promptTitle="Disposal Mode" prompt="Percent (%) Disposal Modes are default statistical rates for scenario region" sqref="C23:K23 M23:U23" xr:uid="{F5F6CFB9-89C2-41F2-AC70-D8B5AAFE1C0B}"/>
    <dataValidation type="list" allowBlank="1" showInputMessage="1" showErrorMessage="1" sqref="B8:B11" xr:uid="{A933BCFE-94DE-412A-B981-C66F90D8FDC4}">
      <formula1>Material_Input_Name</formula1>
    </dataValidation>
    <dataValidation type="list" allowBlank="1" showInputMessage="1" showErrorMessage="1" errorTitle="Please enter transport mode" error="Please choose the best match from the transport modes available" promptTitle="Transport Mode" prompt="Select transport mode and enter % by this mode in next cell_x000a_" sqref="G22 S22 C22 I22 Q22 O22 M22 E22" xr:uid="{CF6D4EF8-1F78-4A32-B1B6-D57D8980DE84}">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xWindow="1221" yWindow="474" count="2">
        <x14:dataValidation type="custom" allowBlank="1" showInputMessage="1" showErrorMessage="1" promptTitle="Avg. Distance to Disposal" prompt="Average distance from building site to disposal per national/regional statistics" xr:uid="{CFABF392-4AC7-4023-8037-0E90049285FC}">
          <x14:formula1>
            <xm:f>natl_stat!J26</xm:f>
          </x14:formula1>
          <xm:sqref>K22</xm:sqref>
        </x14:dataValidation>
        <x14:dataValidation type="custom" allowBlank="1" showInputMessage="1" showErrorMessage="1" promptTitle="Avg. Distance to Disposal" prompt="Average distance from building site to disposal per national/regional statistics" xr:uid="{F68218A6-05FD-4486-B51E-35D95D362326}">
          <x14:formula1>
            <xm:f>natl_stat!J16</xm:f>
          </x14:formula1>
          <xm:sqref>U22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5167-5B79-40C3-B2BC-18CA9E839F94}">
  <sheetPr codeName="Sheet14">
    <tabColor rgb="FF89FFBE"/>
  </sheetPr>
  <dimension ref="A1:Z34"/>
  <sheetViews>
    <sheetView showGridLines="0" zoomScaleNormal="100" workbookViewId="0">
      <selection sqref="A1:F1"/>
    </sheetView>
  </sheetViews>
  <sheetFormatPr defaultRowHeight="14.4"/>
  <cols>
    <col min="1" max="1" width="38.44140625" customWidth="1"/>
    <col min="2" max="2" width="13.44140625" customWidth="1"/>
    <col min="3" max="4" width="16.44140625" style="312" customWidth="1"/>
    <col min="7" max="7" width="11.21875" customWidth="1"/>
    <col min="15" max="15" width="8.5546875" style="312"/>
    <col min="16" max="16" width="20.44140625" customWidth="1"/>
    <col min="17" max="17" width="20.44140625" style="312" customWidth="1"/>
    <col min="20" max="20" width="11.5546875" customWidth="1"/>
  </cols>
  <sheetData>
    <row r="1" spans="1:26" s="351" customFormat="1" ht="35.85" customHeight="1" thickTop="1" thickBot="1">
      <c r="A1" s="351" t="s">
        <v>9083</v>
      </c>
    </row>
    <row r="2" spans="1:26" s="210" customFormat="1" ht="24" customHeight="1" thickTop="1">
      <c r="A2" s="891" t="str">
        <f>Contents!D25</f>
        <v xml:space="preserve">D: Optional supplementary information declaring potential impacts and benefits of secondary material, secondary fuel or recovered energy leaving the product system based on scenarios. These scenario results are always presented separately from Modules A-C for transparency. </v>
      </c>
      <c r="B2" s="891"/>
      <c r="C2" s="891"/>
      <c r="D2" s="891"/>
      <c r="E2" s="891"/>
      <c r="F2" s="891"/>
      <c r="G2" s="891"/>
      <c r="H2" s="891"/>
      <c r="I2" s="891"/>
      <c r="J2" s="891"/>
      <c r="K2" s="891"/>
      <c r="L2" s="343"/>
      <c r="M2" s="343"/>
      <c r="N2" s="343"/>
      <c r="O2" s="343"/>
      <c r="P2" s="343"/>
      <c r="Q2" s="239"/>
    </row>
    <row r="3" spans="1:26" ht="29.55" customHeight="1" thickBot="1">
      <c r="A3" s="906"/>
      <c r="B3" s="906"/>
      <c r="C3" s="906"/>
      <c r="D3" s="906"/>
      <c r="E3" s="906"/>
      <c r="F3" s="906"/>
      <c r="G3" s="906"/>
      <c r="H3" s="906"/>
      <c r="I3" s="906"/>
      <c r="J3" s="906"/>
      <c r="K3" s="906"/>
      <c r="L3" s="343"/>
      <c r="M3" s="343"/>
      <c r="N3" s="343"/>
      <c r="O3" s="343"/>
      <c r="P3" s="343"/>
      <c r="Q3" s="239"/>
      <c r="R3" s="312"/>
      <c r="S3" s="312"/>
      <c r="T3" s="312"/>
      <c r="U3" s="312"/>
      <c r="V3" s="312"/>
      <c r="W3" s="312"/>
      <c r="X3" s="312"/>
      <c r="Y3" s="312"/>
      <c r="Z3" s="312"/>
    </row>
    <row r="4" spans="1:26" s="352" customFormat="1" ht="26.55" customHeight="1" thickBot="1">
      <c r="A4" s="353" t="s">
        <v>9084</v>
      </c>
      <c r="B4" s="579"/>
      <c r="C4" s="579"/>
      <c r="D4" s="579"/>
      <c r="E4" s="579"/>
      <c r="F4" s="579"/>
      <c r="G4" s="353"/>
      <c r="H4" s="353"/>
      <c r="I4" s="353"/>
      <c r="J4" s="353"/>
      <c r="K4" s="353"/>
      <c r="L4" s="580"/>
      <c r="M4" s="580"/>
      <c r="N4" s="580"/>
      <c r="O4" s="580"/>
      <c r="P4" s="580"/>
      <c r="Q4" s="580"/>
      <c r="R4" s="580"/>
      <c r="S4" s="580"/>
      <c r="T4" s="580"/>
      <c r="U4" s="580"/>
      <c r="V4" s="580"/>
      <c r="W4" s="580"/>
      <c r="X4" s="580"/>
      <c r="Y4" s="580"/>
      <c r="Z4" s="580"/>
    </row>
    <row r="5" spans="1:26" ht="18">
      <c r="A5" s="202" t="s">
        <v>9085</v>
      </c>
      <c r="B5" s="312"/>
      <c r="E5" s="312"/>
      <c r="F5" s="312"/>
      <c r="G5" s="312"/>
      <c r="H5" s="312"/>
      <c r="I5" s="312"/>
      <c r="J5" s="312"/>
      <c r="K5" s="312"/>
      <c r="L5" s="312"/>
      <c r="M5" s="312"/>
      <c r="N5" s="312"/>
      <c r="P5" s="312"/>
      <c r="R5" s="312"/>
      <c r="S5" s="312"/>
      <c r="T5" s="312"/>
      <c r="U5" s="312"/>
      <c r="V5" s="312"/>
      <c r="W5" s="312"/>
      <c r="X5" s="312"/>
      <c r="Y5" s="312"/>
      <c r="Z5" s="312"/>
    </row>
    <row r="6" spans="1:26" s="312" customFormat="1" ht="18">
      <c r="A6" s="202" t="s">
        <v>9086</v>
      </c>
    </row>
    <row r="7" spans="1:26" ht="18">
      <c r="A7" s="202"/>
      <c r="B7" s="312"/>
      <c r="E7" s="107" t="s">
        <v>8998</v>
      </c>
      <c r="F7" s="312"/>
      <c r="G7" s="312"/>
      <c r="H7" s="312"/>
      <c r="I7" s="312"/>
      <c r="J7" s="312"/>
      <c r="K7" s="312"/>
      <c r="L7" s="312"/>
      <c r="M7" s="312"/>
      <c r="N7" s="312"/>
      <c r="P7" s="107" t="s">
        <v>8999</v>
      </c>
      <c r="Q7" s="107"/>
      <c r="R7" s="312"/>
      <c r="S7" s="312"/>
      <c r="T7" s="312"/>
      <c r="U7" s="312"/>
      <c r="V7" s="312"/>
      <c r="W7" s="312"/>
      <c r="X7" s="312"/>
      <c r="Y7" s="312"/>
      <c r="Z7" s="312"/>
    </row>
    <row r="8" spans="1:26" ht="18">
      <c r="A8" s="175"/>
      <c r="B8" s="312"/>
      <c r="E8" s="902" t="s">
        <v>9063</v>
      </c>
      <c r="F8" s="902"/>
      <c r="G8" s="902"/>
      <c r="H8" s="902"/>
      <c r="I8" s="902"/>
      <c r="J8" s="902"/>
      <c r="K8" s="902"/>
      <c r="L8" s="902"/>
      <c r="M8" s="902"/>
      <c r="N8" s="312"/>
      <c r="P8" s="902" t="s">
        <v>9064</v>
      </c>
      <c r="Q8" s="902"/>
      <c r="R8" s="902"/>
      <c r="S8" s="902"/>
      <c r="T8" s="902"/>
      <c r="U8" s="902"/>
      <c r="V8" s="902"/>
      <c r="W8" s="902"/>
      <c r="X8" s="902"/>
      <c r="Y8" s="902"/>
      <c r="Z8" s="312"/>
    </row>
    <row r="9" spans="1:26" ht="18.600000000000001" thickBot="1">
      <c r="A9" s="175"/>
      <c r="B9" s="312"/>
      <c r="E9" s="312"/>
      <c r="F9" s="312"/>
      <c r="G9" s="312"/>
      <c r="H9" s="312"/>
      <c r="I9" s="312"/>
      <c r="J9" s="312"/>
      <c r="K9" s="312"/>
      <c r="L9" s="312"/>
      <c r="M9" s="312"/>
      <c r="N9" s="312"/>
      <c r="P9" s="312"/>
      <c r="R9" s="312"/>
      <c r="S9" s="312"/>
      <c r="T9" s="312"/>
      <c r="U9" s="312"/>
      <c r="V9" s="312"/>
      <c r="W9" s="312"/>
      <c r="X9" s="312"/>
      <c r="Y9" s="312"/>
      <c r="Z9" s="312"/>
    </row>
    <row r="10" spans="1:26" ht="61.2">
      <c r="A10" s="176" t="s">
        <v>9087</v>
      </c>
      <c r="B10" s="346" t="s">
        <v>9067</v>
      </c>
      <c r="C10" s="346" t="s">
        <v>9088</v>
      </c>
      <c r="D10" s="439" t="s">
        <v>9089</v>
      </c>
      <c r="E10" s="204" t="s">
        <v>9090</v>
      </c>
      <c r="F10" s="205" t="s">
        <v>8565</v>
      </c>
      <c r="G10" s="206" t="s">
        <v>9090</v>
      </c>
      <c r="H10" s="207" t="s">
        <v>8565</v>
      </c>
      <c r="I10" s="204" t="s">
        <v>9090</v>
      </c>
      <c r="J10" s="208" t="s">
        <v>8565</v>
      </c>
      <c r="K10" s="204" t="s">
        <v>9090</v>
      </c>
      <c r="L10" s="205" t="s">
        <v>8565</v>
      </c>
      <c r="M10" s="209" t="s">
        <v>10933</v>
      </c>
      <c r="N10" s="312"/>
      <c r="O10" s="347" t="s">
        <v>9067</v>
      </c>
      <c r="P10" s="347" t="s">
        <v>9088</v>
      </c>
      <c r="Q10" s="439" t="s">
        <v>9089</v>
      </c>
      <c r="R10" s="204" t="s">
        <v>9090</v>
      </c>
      <c r="S10" s="205" t="s">
        <v>8565</v>
      </c>
      <c r="T10" s="206" t="s">
        <v>9090</v>
      </c>
      <c r="U10" s="207" t="s">
        <v>8565</v>
      </c>
      <c r="V10" s="204" t="s">
        <v>9090</v>
      </c>
      <c r="W10" s="208" t="s">
        <v>8565</v>
      </c>
      <c r="X10" s="204" t="s">
        <v>9090</v>
      </c>
      <c r="Y10" s="205" t="s">
        <v>8565</v>
      </c>
      <c r="Z10" s="209" t="s">
        <v>8970</v>
      </c>
    </row>
    <row r="11" spans="1:26" ht="40.5" customHeight="1" thickBot="1">
      <c r="A11" s="97" t="s">
        <v>9072</v>
      </c>
      <c r="B11" s="543">
        <f>GEN_EPD!C72</f>
        <v>0</v>
      </c>
      <c r="C11" s="543">
        <f>B11*D11</f>
        <v>0</v>
      </c>
      <c r="D11" s="446">
        <f>natl_stat!$Q$26</f>
        <v>0.48499999999999999</v>
      </c>
      <c r="E11" s="769"/>
      <c r="F11" s="770"/>
      <c r="G11" s="771"/>
      <c r="H11" s="770"/>
      <c r="I11" s="769"/>
      <c r="J11" s="772"/>
      <c r="K11" s="769"/>
      <c r="L11" s="772"/>
      <c r="M11" s="773"/>
      <c r="N11" s="312"/>
      <c r="O11" s="543">
        <f>B11</f>
        <v>0</v>
      </c>
      <c r="P11" s="543">
        <f>O11*Q11</f>
        <v>0</v>
      </c>
      <c r="Q11" s="446">
        <f>'C1-C4 Disposal'!S24</f>
        <v>0.33433734939759036</v>
      </c>
      <c r="R11" s="769"/>
      <c r="S11" s="770"/>
      <c r="T11" s="771"/>
      <c r="U11" s="770"/>
      <c r="V11" s="769"/>
      <c r="W11" s="772"/>
      <c r="X11" s="769"/>
      <c r="Y11" s="772"/>
      <c r="Z11" s="772"/>
    </row>
    <row r="12" spans="1:26" ht="18">
      <c r="A12" s="176" t="s">
        <v>9091</v>
      </c>
      <c r="B12" s="543">
        <f>B11</f>
        <v>0</v>
      </c>
      <c r="C12" s="543">
        <f>B12*D12</f>
        <v>0</v>
      </c>
      <c r="D12" s="446">
        <f>natl_stat!$Q$26</f>
        <v>0.48499999999999999</v>
      </c>
      <c r="E12" s="312"/>
      <c r="F12" s="312"/>
      <c r="G12" s="312"/>
      <c r="H12" s="312"/>
      <c r="I12" s="312"/>
      <c r="J12" s="312"/>
      <c r="K12" s="312"/>
      <c r="L12" s="312"/>
      <c r="M12" s="312"/>
      <c r="N12" s="312"/>
      <c r="O12" s="543">
        <f>O11</f>
        <v>0</v>
      </c>
      <c r="P12" s="543">
        <f>O12*Q12</f>
        <v>0</v>
      </c>
      <c r="Q12" s="446">
        <f>Q11</f>
        <v>0.33433734939759036</v>
      </c>
      <c r="R12" s="312"/>
      <c r="S12" s="312"/>
      <c r="T12" s="312"/>
      <c r="U12" s="312"/>
      <c r="V12" s="312"/>
      <c r="W12" s="312"/>
      <c r="X12" s="312"/>
      <c r="Y12" s="312"/>
      <c r="Z12" s="312"/>
    </row>
    <row r="13" spans="1:26" ht="18">
      <c r="A13" s="547"/>
      <c r="B13" s="548"/>
      <c r="C13" s="548"/>
      <c r="D13" s="120"/>
      <c r="E13" s="312"/>
      <c r="F13" s="544">
        <f>($C$11/1000)*$M11*F$11</f>
        <v>0</v>
      </c>
      <c r="G13" s="316" t="s">
        <v>9195</v>
      </c>
      <c r="H13" s="544">
        <f>($C$11/1000)*$M11*H$11</f>
        <v>0</v>
      </c>
      <c r="I13" s="316" t="s">
        <v>9195</v>
      </c>
      <c r="J13" s="544">
        <f>($C$11/1000)*$M11*J$11</f>
        <v>0</v>
      </c>
      <c r="K13" s="603" t="s">
        <v>9195</v>
      </c>
      <c r="L13" s="544">
        <f>($C$11/1000)*$M11*L$11</f>
        <v>0</v>
      </c>
      <c r="M13" s="603" t="s">
        <v>9195</v>
      </c>
      <c r="N13" s="312"/>
      <c r="O13" s="548"/>
      <c r="P13" s="548"/>
      <c r="Q13" s="120"/>
      <c r="R13" s="312"/>
      <c r="S13" s="545">
        <f>($P$11/1000)*$Z$11*S$11</f>
        <v>0</v>
      </c>
      <c r="T13" s="603" t="s">
        <v>9195</v>
      </c>
      <c r="U13" s="545">
        <f>($P$11/1000)*$Z$11*U$11</f>
        <v>0</v>
      </c>
      <c r="V13" s="603" t="s">
        <v>9195</v>
      </c>
      <c r="W13" s="545">
        <f>($P$11/1000)*$Z$11*W$11</f>
        <v>0</v>
      </c>
      <c r="X13" s="603" t="s">
        <v>9195</v>
      </c>
      <c r="Y13" s="545">
        <f>($P$11/1000)*$Z$11*Y$11</f>
        <v>0</v>
      </c>
      <c r="Z13" s="603" t="s">
        <v>9195</v>
      </c>
    </row>
    <row r="14" spans="1:26" ht="18">
      <c r="A14" s="176" t="s">
        <v>9092</v>
      </c>
      <c r="B14" s="543">
        <f>C12</f>
        <v>0</v>
      </c>
      <c r="C14" s="543">
        <f>B14</f>
        <v>0</v>
      </c>
      <c r="D14" s="433" t="s">
        <v>9093</v>
      </c>
      <c r="E14" s="312"/>
      <c r="F14" s="312"/>
      <c r="G14" s="312"/>
      <c r="H14" s="312"/>
      <c r="I14" s="312"/>
      <c r="J14" s="312"/>
      <c r="K14" s="312"/>
      <c r="L14" s="312"/>
      <c r="M14" s="312"/>
      <c r="N14" s="312"/>
      <c r="O14" s="543">
        <f>P12</f>
        <v>0</v>
      </c>
      <c r="P14" s="543">
        <f>O14</f>
        <v>0</v>
      </c>
      <c r="Q14" s="433" t="s">
        <v>9093</v>
      </c>
      <c r="R14" s="312"/>
      <c r="S14" s="312"/>
      <c r="T14" s="312"/>
      <c r="U14" s="312"/>
      <c r="V14" s="312"/>
      <c r="W14" s="312"/>
      <c r="X14" s="312"/>
      <c r="Y14" s="312"/>
      <c r="Z14" s="312"/>
    </row>
    <row r="15" spans="1:26" ht="18">
      <c r="A15" s="546" t="s">
        <v>9094</v>
      </c>
      <c r="B15" s="543" t="e">
        <f>B14/B11</f>
        <v>#DIV/0!</v>
      </c>
      <c r="E15" s="312"/>
      <c r="F15" s="312"/>
      <c r="G15" s="312"/>
      <c r="H15" s="312"/>
      <c r="I15" s="312"/>
      <c r="J15" s="312"/>
      <c r="K15" s="312"/>
      <c r="L15" s="312"/>
      <c r="M15" s="312"/>
      <c r="N15" s="312"/>
      <c r="O15" s="543" t="e">
        <f>O14/O11</f>
        <v>#DIV/0!</v>
      </c>
      <c r="P15" s="312"/>
      <c r="R15" s="312"/>
      <c r="S15" s="312"/>
      <c r="T15" s="312"/>
      <c r="U15" s="312"/>
      <c r="V15" s="312"/>
      <c r="W15" s="312"/>
      <c r="X15" s="312"/>
      <c r="Y15" s="312"/>
      <c r="Z15" s="312"/>
    </row>
    <row r="16" spans="1:26" s="312" customFormat="1" ht="18">
      <c r="A16" s="175"/>
    </row>
    <row r="17" spans="1:11" s="312" customFormat="1" ht="18">
      <c r="A17" s="175" t="s">
        <v>9095</v>
      </c>
    </row>
    <row r="18" spans="1:11" s="312" customFormat="1">
      <c r="A18" s="345" t="s">
        <v>9096</v>
      </c>
    </row>
    <row r="19" spans="1:11" s="312" customFormat="1">
      <c r="A19" s="345" t="s">
        <v>9097</v>
      </c>
    </row>
    <row r="20" spans="1:11" s="312" customFormat="1">
      <c r="A20" s="345" t="s">
        <v>9098</v>
      </c>
    </row>
    <row r="21" spans="1:11" s="312" customFormat="1">
      <c r="A21" s="345" t="s">
        <v>9099</v>
      </c>
    </row>
    <row r="22" spans="1:11" s="312" customFormat="1" ht="18.600000000000001" thickBot="1">
      <c r="A22" s="175"/>
    </row>
    <row r="23" spans="1:11" s="352" customFormat="1" ht="26.55" customHeight="1" thickBot="1">
      <c r="A23" s="353" t="s">
        <v>9100</v>
      </c>
      <c r="B23" s="579"/>
      <c r="C23" s="579"/>
      <c r="D23" s="579"/>
      <c r="E23" s="579"/>
      <c r="F23" s="579"/>
      <c r="G23" s="353"/>
      <c r="H23" s="353"/>
      <c r="I23" s="353"/>
      <c r="J23" s="353"/>
      <c r="K23" s="353"/>
    </row>
    <row r="24" spans="1:11" s="312" customFormat="1">
      <c r="A24" s="376" t="s">
        <v>9101</v>
      </c>
      <c r="B24" s="235"/>
      <c r="C24" s="235"/>
      <c r="D24" s="235"/>
    </row>
    <row r="25" spans="1:11">
      <c r="A25" s="447" t="s">
        <v>9102</v>
      </c>
      <c r="B25" s="448">
        <v>0.89200000000000002</v>
      </c>
      <c r="C25" s="86" t="s">
        <v>9103</v>
      </c>
      <c r="D25" s="344"/>
      <c r="E25" s="86"/>
      <c r="F25" s="312"/>
      <c r="G25" s="312"/>
      <c r="H25" s="312"/>
      <c r="I25" s="312"/>
      <c r="J25" s="312"/>
      <c r="K25" s="312"/>
    </row>
    <row r="26" spans="1:11">
      <c r="A26" s="447" t="s">
        <v>9104</v>
      </c>
      <c r="B26" s="448">
        <f>5.3708/6.84</f>
        <v>0.78520467836257313</v>
      </c>
      <c r="C26" s="86" t="s">
        <v>9105</v>
      </c>
      <c r="D26" s="344"/>
      <c r="E26" s="86"/>
      <c r="F26" s="312"/>
      <c r="G26" s="312"/>
      <c r="H26" s="312"/>
      <c r="I26" s="312"/>
      <c r="J26" s="312"/>
      <c r="K26" s="312"/>
    </row>
    <row r="27" spans="1:11">
      <c r="A27" s="573" t="s">
        <v>9106</v>
      </c>
      <c r="B27" s="574">
        <f>(0.331/0.3894)*(0.251/0.331)</f>
        <v>0.64458140729327162</v>
      </c>
      <c r="C27" s="310" t="s">
        <v>9105</v>
      </c>
      <c r="D27" s="575"/>
      <c r="E27" s="86"/>
      <c r="F27" s="312"/>
      <c r="G27" s="312"/>
      <c r="H27" s="312"/>
      <c r="I27" s="312"/>
      <c r="J27" s="312"/>
      <c r="K27" s="312"/>
    </row>
    <row r="28" spans="1:11">
      <c r="A28" s="573" t="s">
        <v>9107</v>
      </c>
      <c r="B28" s="574">
        <v>5.061548548840826E-2</v>
      </c>
      <c r="C28" s="310" t="s">
        <v>9108</v>
      </c>
      <c r="D28" s="575"/>
      <c r="E28" s="86"/>
      <c r="F28" s="312"/>
      <c r="G28" s="312"/>
      <c r="H28" s="312"/>
      <c r="I28" s="312"/>
      <c r="J28" s="312"/>
      <c r="K28" s="312"/>
    </row>
    <row r="29" spans="1:11">
      <c r="A29" s="573" t="s">
        <v>9109</v>
      </c>
      <c r="B29" s="574">
        <f>((1.49/1.62)+(7.96/8.16)+(8.48/8.68)+(5.45/6.05))/4</f>
        <v>0.94325706353119965</v>
      </c>
      <c r="C29" s="310" t="s">
        <v>9110</v>
      </c>
      <c r="D29" s="575"/>
      <c r="E29" s="86"/>
      <c r="F29" s="312"/>
      <c r="G29" s="312"/>
      <c r="H29" s="312"/>
      <c r="I29" s="312"/>
      <c r="J29" s="312"/>
      <c r="K29" s="312"/>
    </row>
    <row r="30" spans="1:11">
      <c r="A30" s="447" t="s">
        <v>9111</v>
      </c>
      <c r="B30" s="448">
        <f>1.68/2.05</f>
        <v>0.81951219512195128</v>
      </c>
      <c r="C30" s="86" t="s">
        <v>9112</v>
      </c>
      <c r="D30" s="344"/>
      <c r="E30" s="86"/>
      <c r="F30" s="312"/>
      <c r="G30" s="312"/>
      <c r="H30" s="312"/>
      <c r="I30" s="312"/>
      <c r="J30" s="312"/>
      <c r="K30" s="312"/>
    </row>
    <row r="31" spans="1:11">
      <c r="A31" s="447" t="s">
        <v>9113</v>
      </c>
      <c r="B31" s="448">
        <f>6.05/7.16</f>
        <v>0.8449720670391061</v>
      </c>
      <c r="C31" s="86" t="s">
        <v>9114</v>
      </c>
      <c r="D31" s="344"/>
      <c r="E31" s="86"/>
      <c r="F31" s="312"/>
      <c r="G31" s="312"/>
      <c r="H31" s="312"/>
      <c r="I31" s="312"/>
      <c r="J31" s="312"/>
      <c r="K31" s="312"/>
    </row>
    <row r="32" spans="1:11">
      <c r="A32" s="447" t="s">
        <v>9115</v>
      </c>
      <c r="B32" s="448">
        <f>(0.74/1.1)</f>
        <v>0.67272727272727262</v>
      </c>
      <c r="C32" s="86" t="s">
        <v>9105</v>
      </c>
      <c r="D32" s="344"/>
      <c r="E32" s="86"/>
      <c r="F32" s="312"/>
      <c r="G32" s="312"/>
      <c r="H32" s="312"/>
      <c r="I32" s="312"/>
      <c r="J32" s="312"/>
      <c r="K32" s="312"/>
    </row>
    <row r="33" spans="2:4">
      <c r="B33" s="234"/>
      <c r="C33" s="234"/>
      <c r="D33" s="234"/>
    </row>
    <row r="34" spans="2:4">
      <c r="B34" s="319"/>
      <c r="C34" s="319"/>
      <c r="D34" s="319"/>
    </row>
  </sheetData>
  <sheetProtection algorithmName="SHA-512" hashValue="dQ9G60Mr/HXUC3+0OO0n6CUuGgAt6Y9mf/WIchNJGwk9ySc48nFcwYygGjZ1hWCxY9kzEwK8F2XvYKZJGd2HUA==" saltValue="WOI182N+E75rGZnqY0QTLA==" spinCount="100000" sheet="1" objects="1" scenarios="1" selectLockedCells="1"/>
  <mergeCells count="3">
    <mergeCell ref="E8:M8"/>
    <mergeCell ref="P8:Y8"/>
    <mergeCell ref="A2:K3"/>
  </mergeCells>
  <dataValidations count="5">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collection transport for this material; total for all modes must = 1.00" sqref="F11 H11 J11 W11 S11 U11" xr:uid="{B8FA7071-F96C-4C90-82F4-64C6918933C7}">
      <formula1>0.01</formula1>
      <formula2>1</formula2>
    </dataValidation>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outgoing transport for this material; total for all modes must = 1.00" sqref="L11 Y11" xr:uid="{4AA29C36-E603-4C05-A7B1-5246C1A368AF}">
      <formula1>0.01</formula1>
      <formula2>1</formula2>
    </dataValidation>
    <dataValidation allowBlank="1" showInputMessage="1" showErrorMessage="1" errorTitle="Please enter distance" error="Please enter distance in km" promptTitle="Average collection distance" prompt="Collection distance average for e-waste in this geographic region" sqref="M11 Z11" xr:uid="{F50AA4C0-B8B9-4B03-9473-48E1BFC5DAB7}"/>
    <dataValidation allowBlank="1" showInputMessage="1" showErrorMessage="1" promptTitle="Disposal Mode" prompt="Percent (%) Disposal Modes are default statistical rates for scenario region" sqref="D10 Q10" xr:uid="{EFA6D7A4-7D46-4B44-AD4C-B3A16CDE9660}"/>
    <dataValidation type="list" allowBlank="1" showInputMessage="1" showErrorMessage="1" errorTitle="Please enter transport mode" error="Please choose the best match from the transport modes available" promptTitle="Transport Mode" prompt="Select transport mode and enter % by this mode in next cell_x000a_" sqref="E11 G11 I11 K11 R11 T11 V11 X11" xr:uid="{F2B1334F-F22B-4EAF-BA74-DA9F3B0F654F}">
      <formula1>#REF!</formula1>
    </dataValidation>
  </dataValidation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679CC-0F40-42CD-A920-CDD29580E76D}">
  <sheetPr>
    <tabColor theme="8" tint="0.79998168889431442"/>
  </sheetPr>
  <dimension ref="A1:Y368"/>
  <sheetViews>
    <sheetView zoomScaleNormal="100" workbookViewId="0">
      <pane xSplit="8" ySplit="2" topLeftCell="I16" activePane="bottomRight" state="frozen"/>
      <selection activeCell="G32" sqref="G32"/>
      <selection pane="topRight" activeCell="G32" sqref="G32"/>
      <selection pane="bottomLeft" activeCell="G32" sqref="G32"/>
      <selection pane="bottomRight" sqref="A1:F1"/>
    </sheetView>
  </sheetViews>
  <sheetFormatPr defaultRowHeight="14.4"/>
  <cols>
    <col min="1" max="1" width="15" style="273" customWidth="1"/>
    <col min="2" max="2" width="13.44140625" style="99" customWidth="1"/>
    <col min="3" max="3" width="8.5546875" style="99"/>
    <col min="4" max="4" width="10" style="99" customWidth="1"/>
    <col min="5" max="5" width="8" style="99" customWidth="1"/>
    <col min="6" max="6" width="8.21875" style="273" customWidth="1"/>
    <col min="7" max="7" width="8" style="99" customWidth="1"/>
    <col min="8" max="8" width="8" style="314" customWidth="1"/>
    <col min="9" max="9" width="64.5546875" customWidth="1"/>
    <col min="10" max="10" width="11.77734375" customWidth="1"/>
    <col min="11" max="11" width="7.21875" customWidth="1"/>
    <col min="12" max="12" width="12.5546875" style="99" customWidth="1"/>
    <col min="13" max="13" width="26.5546875" customWidth="1"/>
    <col min="14" max="14" width="9.44140625" customWidth="1"/>
    <col min="15" max="15" width="9.44140625" hidden="1" customWidth="1"/>
    <col min="16" max="16" width="9.77734375" hidden="1" customWidth="1"/>
    <col min="17" max="17" width="10.21875" hidden="1" customWidth="1"/>
    <col min="18" max="18" width="12.5546875" customWidth="1"/>
    <col min="19" max="19" width="43.5546875" customWidth="1"/>
    <col min="20" max="20" width="10.5546875" customWidth="1"/>
    <col min="21" max="21" width="15.44140625" style="270" customWidth="1"/>
    <col min="22" max="22" width="104.5546875" style="277" customWidth="1"/>
    <col min="23" max="23" width="10.5546875" style="101" customWidth="1"/>
    <col min="24" max="24" width="40.21875" customWidth="1"/>
    <col min="25" max="25" width="36" customWidth="1"/>
  </cols>
  <sheetData>
    <row r="1" spans="1:25" ht="43.5" customHeight="1" thickBot="1">
      <c r="A1" s="909" t="s">
        <v>9744</v>
      </c>
      <c r="B1" s="909"/>
      <c r="C1" s="909"/>
      <c r="D1" s="909"/>
      <c r="E1" s="909"/>
      <c r="F1" s="909"/>
      <c r="G1" s="910" t="s">
        <v>9745</v>
      </c>
      <c r="H1" s="911"/>
      <c r="I1" s="911"/>
      <c r="J1" s="911"/>
      <c r="K1" s="911"/>
      <c r="L1" s="911"/>
      <c r="M1" s="911"/>
      <c r="N1" s="912"/>
      <c r="O1" s="312"/>
      <c r="P1" s="312"/>
      <c r="Q1" s="312"/>
      <c r="R1" s="913" t="s">
        <v>9746</v>
      </c>
      <c r="S1" s="914"/>
      <c r="T1" s="914"/>
      <c r="U1" s="914"/>
      <c r="V1" s="914"/>
      <c r="X1" s="306" t="s">
        <v>9747</v>
      </c>
      <c r="Y1" s="114"/>
    </row>
    <row r="2" spans="1:25" s="254" customFormat="1" ht="30.6">
      <c r="A2" s="183" t="s">
        <v>8551</v>
      </c>
      <c r="B2" s="183" t="s">
        <v>8552</v>
      </c>
      <c r="C2" s="183" t="s">
        <v>8553</v>
      </c>
      <c r="D2" s="183" t="s">
        <v>8554</v>
      </c>
      <c r="E2" s="183" t="s">
        <v>8555</v>
      </c>
      <c r="F2" s="183" t="s">
        <v>8556</v>
      </c>
      <c r="G2" s="183" t="s">
        <v>9748</v>
      </c>
      <c r="H2" s="183" t="s">
        <v>9749</v>
      </c>
      <c r="I2" s="255" t="s">
        <v>9750</v>
      </c>
      <c r="J2" s="255" t="s">
        <v>9751</v>
      </c>
      <c r="K2" s="255" t="s">
        <v>9752</v>
      </c>
      <c r="L2" s="256" t="s">
        <v>9753</v>
      </c>
      <c r="M2" s="255" t="s">
        <v>9754</v>
      </c>
      <c r="N2" s="255" t="s">
        <v>9755</v>
      </c>
      <c r="O2" s="255" t="s">
        <v>9756</v>
      </c>
      <c r="P2" s="255" t="s">
        <v>9757</v>
      </c>
      <c r="Q2" s="255" t="s">
        <v>9758</v>
      </c>
      <c r="R2" s="255" t="s">
        <v>9759</v>
      </c>
      <c r="S2" s="255" t="s">
        <v>9760</v>
      </c>
      <c r="T2" s="255" t="s">
        <v>9761</v>
      </c>
      <c r="U2" s="269" t="s">
        <v>9762</v>
      </c>
      <c r="V2" s="278" t="s">
        <v>9763</v>
      </c>
      <c r="W2" s="305"/>
      <c r="X2" s="254" t="s">
        <v>9764</v>
      </c>
    </row>
    <row r="3" spans="1:25" s="327" customFormat="1" ht="26.1" customHeight="1">
      <c r="A3" s="328" t="s">
        <v>9765</v>
      </c>
      <c r="B3" s="326"/>
      <c r="C3" s="326"/>
      <c r="D3" s="326"/>
      <c r="E3" s="326"/>
      <c r="F3" s="325"/>
      <c r="G3" s="326"/>
      <c r="H3" s="326"/>
      <c r="L3" s="326"/>
    </row>
    <row r="4" spans="1:25" s="534" customFormat="1" ht="26.1" customHeight="1">
      <c r="A4" s="531" t="s">
        <v>9766</v>
      </c>
      <c r="B4" s="532"/>
      <c r="C4" s="532"/>
      <c r="D4" s="532"/>
      <c r="E4" s="532"/>
      <c r="F4" s="533"/>
      <c r="G4" s="532"/>
      <c r="H4" s="532"/>
      <c r="J4" s="534" t="s">
        <v>109</v>
      </c>
      <c r="K4" s="534" t="s">
        <v>107</v>
      </c>
      <c r="L4" s="539">
        <f>GEN_EPD!C72</f>
        <v>0</v>
      </c>
      <c r="M4" s="534" t="s">
        <v>9585</v>
      </c>
      <c r="R4" s="540">
        <f>L4</f>
        <v>0</v>
      </c>
      <c r="S4" s="534" t="str">
        <f>M4</f>
        <v>Lum_mass</v>
      </c>
      <c r="T4" s="252" t="e">
        <f>INDEX(#REF!,MATCH(S4,#REF!,0))</f>
        <v>#REF!</v>
      </c>
      <c r="U4" s="270" t="e">
        <f>CONCATENATE("update tbl_parameters set value = ",R4," where tbl_parameters.ref_id = '",T4,"';")</f>
        <v>#REF!</v>
      </c>
      <c r="V4" s="277" t="e">
        <f>_xlfn.IFNA(U4,"")</f>
        <v>#REF!</v>
      </c>
      <c r="W4" s="101"/>
      <c r="X4" s="253" t="e">
        <f>INDEX(#REF!,MATCH(I4,#REF!,0))</f>
        <v>#REF!</v>
      </c>
    </row>
    <row r="5" spans="1:25" s="534" customFormat="1" ht="26.1" customHeight="1">
      <c r="A5" s="531" t="s">
        <v>8487</v>
      </c>
      <c r="B5" s="532"/>
      <c r="C5" s="532"/>
      <c r="D5" s="532"/>
      <c r="E5" s="532"/>
      <c r="F5" s="533"/>
      <c r="G5" s="532"/>
      <c r="H5" s="532"/>
      <c r="J5" s="534" t="s">
        <v>9767</v>
      </c>
      <c r="K5" s="534" t="s">
        <v>8490</v>
      </c>
      <c r="L5" s="532">
        <f>GEN_EPD!C68</f>
        <v>0</v>
      </c>
      <c r="M5" s="534" t="s">
        <v>9583</v>
      </c>
      <c r="R5" s="540">
        <f>L5</f>
        <v>0</v>
      </c>
      <c r="S5" s="534" t="str">
        <f>M5</f>
        <v>LR90</v>
      </c>
      <c r="T5" s="252" t="e">
        <f>INDEX(#REF!,MATCH(S5,#REF!,0))</f>
        <v>#REF!</v>
      </c>
      <c r="U5" s="270" t="e">
        <f>CONCATENATE("update tbl_parameters set value = ",R5," where tbl_parameters.ref_id = '",T5,"';")</f>
        <v>#REF!</v>
      </c>
      <c r="V5" s="277" t="e">
        <f>_xlfn.IFNA(U5,"")</f>
        <v>#REF!</v>
      </c>
      <c r="W5" s="101"/>
      <c r="X5" s="253" t="e">
        <f>INDEX(#REF!,MATCH(I5,#REF!,0))</f>
        <v>#REF!</v>
      </c>
    </row>
    <row r="6" spans="1:25" s="538" customFormat="1" ht="10.199999999999999">
      <c r="A6" s="535"/>
      <c r="B6" s="535"/>
      <c r="C6" s="535"/>
      <c r="D6" s="535"/>
      <c r="E6" s="535"/>
      <c r="F6" s="535"/>
      <c r="G6" s="535"/>
      <c r="H6" s="535"/>
      <c r="I6" s="536"/>
      <c r="J6" s="536"/>
      <c r="K6" s="536"/>
      <c r="L6" s="537"/>
      <c r="M6" s="536"/>
      <c r="N6" s="536"/>
      <c r="O6" s="536"/>
      <c r="P6" s="536"/>
      <c r="Q6" s="536"/>
      <c r="R6" s="536"/>
      <c r="S6" s="536"/>
      <c r="T6" s="536"/>
      <c r="U6" s="536"/>
      <c r="V6" s="536"/>
    </row>
    <row r="7" spans="1:25" s="327" customFormat="1" ht="26.1" customHeight="1">
      <c r="A7" s="328" t="s">
        <v>9768</v>
      </c>
      <c r="B7" s="326"/>
      <c r="C7" s="326"/>
      <c r="D7" s="326"/>
      <c r="E7" s="326"/>
      <c r="F7" s="325"/>
      <c r="G7" s="326"/>
      <c r="H7" s="326"/>
      <c r="L7" s="326"/>
    </row>
    <row r="8" spans="1:25" s="253" customFormat="1" ht="20.399999999999999">
      <c r="A8" s="258" t="s">
        <v>9769</v>
      </c>
      <c r="B8" s="258" t="s">
        <v>8795</v>
      </c>
      <c r="C8" s="258" t="str">
        <f>"-"</f>
        <v>-</v>
      </c>
      <c r="D8" s="258" t="str">
        <f t="shared" ref="C8:F22" si="0">"-"</f>
        <v>-</v>
      </c>
      <c r="E8" s="258" t="str">
        <f t="shared" si="0"/>
        <v>-</v>
      </c>
      <c r="F8" s="258" t="str">
        <f t="shared" si="0"/>
        <v>-</v>
      </c>
      <c r="G8" s="258" t="e">
        <f>INDEX(BOM!$T:$T,MATCH(B8,BOM!$J:$J,0))</f>
        <v>#N/A</v>
      </c>
      <c r="H8" s="258" t="e">
        <f>INDEX(BOM!$T:$T,MATCH(C8,BOM!$K:$K,0))</f>
        <v>#N/A</v>
      </c>
      <c r="I8" s="250" t="s">
        <v>2939</v>
      </c>
      <c r="J8" s="251" t="s">
        <v>109</v>
      </c>
      <c r="K8" s="251" t="s">
        <v>107</v>
      </c>
      <c r="L8" s="257" t="e">
        <f>(SUMIF(BOM!$J$14:$J$213,"*led*",BOM!$G$14:$G$213))*#REF!</f>
        <v>#REF!</v>
      </c>
      <c r="M8" s="250" t="s">
        <v>9770</v>
      </c>
      <c r="N8" s="250" t="s">
        <v>6354</v>
      </c>
      <c r="O8" s="252"/>
      <c r="P8" s="252"/>
      <c r="Q8" s="252"/>
      <c r="R8" s="252">
        <f>(SUMIF(BOM!$J$14:$J$213,"*led*",BOM!$G$14:$G$213))</f>
        <v>0</v>
      </c>
      <c r="S8" s="252" t="s">
        <v>9587</v>
      </c>
      <c r="T8" s="252" t="e">
        <f>INDEX(#REF!,MATCH(S8,#REF!,0))</f>
        <v>#REF!</v>
      </c>
      <c r="U8" s="270" t="e">
        <f>CONCATENATE("update tbl_parameters set value = ",R8," where tbl_parameters.ref_id = '",T8,"';")</f>
        <v>#REF!</v>
      </c>
      <c r="V8" s="277" t="e">
        <f>_xlfn.IFNA(U8,"")</f>
        <v>#REF!</v>
      </c>
      <c r="W8" s="101"/>
      <c r="X8" s="253" t="e">
        <f>INDEX(#REF!,MATCH(I8,#REF!,0))</f>
        <v>#REF!</v>
      </c>
    </row>
    <row r="9" spans="1:25" s="253" customFormat="1" ht="20.399999999999999">
      <c r="A9" s="258" t="s">
        <v>9769</v>
      </c>
      <c r="B9" s="258" t="s">
        <v>8796</v>
      </c>
      <c r="C9" s="258" t="str">
        <f t="shared" ref="C9" si="1">"-"</f>
        <v>-</v>
      </c>
      <c r="D9" s="258" t="str">
        <f t="shared" si="0"/>
        <v>-</v>
      </c>
      <c r="E9" s="258" t="str">
        <f t="shared" si="0"/>
        <v>-</v>
      </c>
      <c r="F9" s="258" t="str">
        <f t="shared" si="0"/>
        <v>-</v>
      </c>
      <c r="G9" s="258" t="e">
        <f>INDEX(BOM!$T:$T,MATCH(B9,BOM!$J:$J,0))</f>
        <v>#N/A</v>
      </c>
      <c r="H9" s="258" t="e">
        <f>INDEX(BOM!$T:$T,MATCH(C9,BOM!$K:$K,0))</f>
        <v>#N/A</v>
      </c>
      <c r="I9" s="250" t="s">
        <v>1312</v>
      </c>
      <c r="J9" s="251" t="s">
        <v>169</v>
      </c>
      <c r="K9" s="251" t="s">
        <v>167</v>
      </c>
      <c r="L9" s="257" t="e">
        <f>(SUMIF(BOM!$J$14:$J$213,"*compact*",BOM!$G$14:$G$213))*#REF!</f>
        <v>#REF!</v>
      </c>
      <c r="M9" s="250" t="s">
        <v>9771</v>
      </c>
      <c r="N9" s="250" t="s">
        <v>6354</v>
      </c>
      <c r="O9" s="252"/>
      <c r="P9" s="252"/>
      <c r="Q9" s="252"/>
      <c r="R9" s="252">
        <f>(SUMIF(BOM!$J$14:$J$213,"*cfl*",BOM!$G$14:$G$213))</f>
        <v>0</v>
      </c>
      <c r="S9" s="252" t="s">
        <v>9588</v>
      </c>
      <c r="T9" s="252" t="e">
        <f>INDEX(#REF!,MATCH(S9,#REF!,0))</f>
        <v>#REF!</v>
      </c>
      <c r="U9" s="270" t="e">
        <f t="shared" ref="U9:U73" si="2">CONCATENATE("update tbl_parameters set value = ",R9," where tbl_parameters.ref_id = '",T9,"';")</f>
        <v>#REF!</v>
      </c>
      <c r="V9" s="277" t="e">
        <f>_xlfn.IFNA(U9,"")</f>
        <v>#REF!</v>
      </c>
      <c r="W9" s="101"/>
      <c r="X9" s="253" t="e">
        <f>INDEX(#REF!,MATCH(I9,#REF!,0))</f>
        <v>#REF!</v>
      </c>
    </row>
    <row r="10" spans="1:25" s="253" customFormat="1" ht="20.399999999999999">
      <c r="A10" s="258" t="s">
        <v>9769</v>
      </c>
      <c r="B10" s="258" t="s">
        <v>8797</v>
      </c>
      <c r="C10" s="258" t="s">
        <v>9772</v>
      </c>
      <c r="D10" s="258" t="str">
        <f t="shared" si="0"/>
        <v>-</v>
      </c>
      <c r="E10" s="258" t="str">
        <f t="shared" si="0"/>
        <v>-</v>
      </c>
      <c r="F10" s="258" t="str">
        <f t="shared" si="0"/>
        <v>-</v>
      </c>
      <c r="G10" s="258" t="e">
        <f>INDEX(BOM!$T:$T,MATCH(B10,BOM!$J:$J,0))</f>
        <v>#N/A</v>
      </c>
      <c r="H10" s="258" t="e">
        <f>INDEX(BOM!$T:$T,MATCH(C10,BOM!$K:$K,0))</f>
        <v>#N/A</v>
      </c>
      <c r="I10" s="250" t="s">
        <v>9773</v>
      </c>
      <c r="J10" s="249" t="str">
        <f t="shared" ref="J10:N13" si="3">"-"</f>
        <v>-</v>
      </c>
      <c r="K10" s="249" t="str">
        <f t="shared" si="3"/>
        <v>-</v>
      </c>
      <c r="L10" s="258" t="str">
        <f t="shared" si="3"/>
        <v>-</v>
      </c>
      <c r="M10" s="249" t="str">
        <f t="shared" si="3"/>
        <v>-</v>
      </c>
      <c r="N10" s="249" t="str">
        <f t="shared" si="3"/>
        <v>-</v>
      </c>
      <c r="O10" s="252"/>
      <c r="P10" s="252"/>
      <c r="Q10" s="252"/>
      <c r="R10" s="252">
        <f>(SUMIF(BOM!$K$14:$K$213,"*halide*",BOM!$G$14:$G$213))</f>
        <v>0</v>
      </c>
      <c r="S10" s="252" t="s">
        <v>9774</v>
      </c>
      <c r="T10" s="252" t="e">
        <f>INDEX(#REF!,MATCH(S10,#REF!,0))</f>
        <v>#REF!</v>
      </c>
      <c r="U10" s="270" t="e">
        <f t="shared" si="2"/>
        <v>#REF!</v>
      </c>
      <c r="V10" s="277" t="e">
        <f>_xlfn.IFNA(U10,"")</f>
        <v>#REF!</v>
      </c>
      <c r="W10" s="101"/>
      <c r="X10" s="253" t="e">
        <f>INDEX(#REF!,MATCH(I10,#REF!,0))</f>
        <v>#REF!</v>
      </c>
    </row>
    <row r="11" spans="1:25" s="253" customFormat="1" ht="30.6">
      <c r="A11" s="258" t="s">
        <v>9769</v>
      </c>
      <c r="B11" s="258" t="s">
        <v>8797</v>
      </c>
      <c r="C11" s="258" t="s">
        <v>9775</v>
      </c>
      <c r="D11" s="258" t="str">
        <f t="shared" si="0"/>
        <v>-</v>
      </c>
      <c r="E11" s="258" t="str">
        <f t="shared" si="0"/>
        <v>-</v>
      </c>
      <c r="F11" s="258" t="str">
        <f t="shared" si="0"/>
        <v>-</v>
      </c>
      <c r="G11" s="258" t="e">
        <f>INDEX(BOM!$T:$T,MATCH(B11,BOM!$J:$J,0))</f>
        <v>#N/A</v>
      </c>
      <c r="H11" s="258" t="e">
        <f>INDEX(BOM!$T:$T,MATCH(C11,BOM!$K:$K,0))</f>
        <v>#N/A</v>
      </c>
      <c r="I11" s="250" t="s">
        <v>9773</v>
      </c>
      <c r="J11" s="249" t="str">
        <f t="shared" si="3"/>
        <v>-</v>
      </c>
      <c r="K11" s="249" t="str">
        <f t="shared" si="3"/>
        <v>-</v>
      </c>
      <c r="L11" s="258" t="str">
        <f t="shared" si="3"/>
        <v>-</v>
      </c>
      <c r="M11" s="249" t="str">
        <f t="shared" si="3"/>
        <v>-</v>
      </c>
      <c r="N11" s="249" t="str">
        <f t="shared" si="3"/>
        <v>-</v>
      </c>
      <c r="O11" s="252"/>
      <c r="P11" s="252"/>
      <c r="Q11" s="252"/>
      <c r="R11" s="252">
        <f>(SUMIF(BOM!$K$14:$K$213,"*hgih pressure*",BOM!$G$14:$G$213))</f>
        <v>0</v>
      </c>
      <c r="S11" s="252" t="s">
        <v>9774</v>
      </c>
      <c r="T11" s="252" t="e">
        <f>INDEX(#REF!,MATCH(S11,#REF!,0))</f>
        <v>#REF!</v>
      </c>
      <c r="U11" s="270" t="e">
        <f t="shared" si="2"/>
        <v>#REF!</v>
      </c>
      <c r="V11" s="277" t="e">
        <f t="shared" ref="V11:V74" si="4">_xlfn.IFNA(U11,"")</f>
        <v>#REF!</v>
      </c>
      <c r="W11" s="101"/>
      <c r="X11" s="253" t="e">
        <f>INDEX(#REF!,MATCH(I11,#REF!,0))</f>
        <v>#REF!</v>
      </c>
    </row>
    <row r="12" spans="1:25" s="253" customFormat="1" ht="30.6">
      <c r="A12" s="258" t="s">
        <v>9769</v>
      </c>
      <c r="B12" s="258" t="s">
        <v>8797</v>
      </c>
      <c r="C12" s="258" t="s">
        <v>9776</v>
      </c>
      <c r="D12" s="258" t="str">
        <f t="shared" si="0"/>
        <v>-</v>
      </c>
      <c r="E12" s="258" t="str">
        <f t="shared" si="0"/>
        <v>-</v>
      </c>
      <c r="F12" s="258" t="str">
        <f t="shared" si="0"/>
        <v>-</v>
      </c>
      <c r="G12" s="258" t="e">
        <f>INDEX(BOM!$T:$T,MATCH(B12,BOM!$J:$J,0))</f>
        <v>#N/A</v>
      </c>
      <c r="H12" s="258" t="e">
        <f>INDEX(BOM!$T:$T,MATCH(C12,BOM!$K:$K,0))</f>
        <v>#N/A</v>
      </c>
      <c r="I12" s="250" t="s">
        <v>9773</v>
      </c>
      <c r="J12" s="249" t="str">
        <f t="shared" si="3"/>
        <v>-</v>
      </c>
      <c r="K12" s="249" t="str">
        <f t="shared" si="3"/>
        <v>-</v>
      </c>
      <c r="L12" s="258" t="str">
        <f t="shared" si="3"/>
        <v>-</v>
      </c>
      <c r="M12" s="249" t="str">
        <f t="shared" si="3"/>
        <v>-</v>
      </c>
      <c r="N12" s="249" t="str">
        <f t="shared" si="3"/>
        <v>-</v>
      </c>
      <c r="O12" s="252"/>
      <c r="P12" s="252"/>
      <c r="Q12" s="252"/>
      <c r="R12" s="252">
        <f>(SUMIF(BOM!$K$14:$K$213,"*low pressure*",BOM!$G$14:$G$213))</f>
        <v>0</v>
      </c>
      <c r="S12" s="252" t="s">
        <v>9774</v>
      </c>
      <c r="T12" s="252" t="e">
        <f>INDEX(#REF!,MATCH(S12,#REF!,0))</f>
        <v>#REF!</v>
      </c>
      <c r="U12" s="270" t="e">
        <f t="shared" si="2"/>
        <v>#REF!</v>
      </c>
      <c r="V12" s="277" t="e">
        <f t="shared" si="4"/>
        <v>#REF!</v>
      </c>
      <c r="W12" s="101"/>
      <c r="X12" s="253" t="e">
        <f>INDEX(#REF!,MATCH(I12,#REF!,0))</f>
        <v>#REF!</v>
      </c>
    </row>
    <row r="13" spans="1:25" s="253" customFormat="1" ht="20.399999999999999">
      <c r="A13" s="258" t="s">
        <v>9769</v>
      </c>
      <c r="B13" s="258" t="s">
        <v>8797</v>
      </c>
      <c r="C13" s="258" t="s">
        <v>9777</v>
      </c>
      <c r="D13" s="258" t="str">
        <f t="shared" si="0"/>
        <v>-</v>
      </c>
      <c r="E13" s="258" t="str">
        <f t="shared" si="0"/>
        <v>-</v>
      </c>
      <c r="F13" s="258" t="str">
        <f t="shared" si="0"/>
        <v>-</v>
      </c>
      <c r="G13" s="258" t="e">
        <f>INDEX(BOM!$T:$T,MATCH(B13,BOM!$J:$J,0))</f>
        <v>#N/A</v>
      </c>
      <c r="H13" s="258" t="e">
        <f>INDEX(BOM!$T:$T,MATCH(C13,BOM!$K:$K,0))</f>
        <v>#N/A</v>
      </c>
      <c r="I13" s="250" t="s">
        <v>9773</v>
      </c>
      <c r="J13" s="249" t="str">
        <f t="shared" si="3"/>
        <v>-</v>
      </c>
      <c r="K13" s="249" t="str">
        <f t="shared" si="3"/>
        <v>-</v>
      </c>
      <c r="L13" s="258" t="str">
        <f t="shared" si="3"/>
        <v>-</v>
      </c>
      <c r="M13" s="249" t="str">
        <f t="shared" si="3"/>
        <v>-</v>
      </c>
      <c r="N13" s="249" t="str">
        <f t="shared" si="3"/>
        <v>-</v>
      </c>
      <c r="O13" s="252"/>
      <c r="P13" s="252"/>
      <c r="Q13" s="252"/>
      <c r="R13" s="252">
        <f>(SUMIF(BOM!$K$14:$K$213,"*mercury*",BOM!$G$14:$G$213))</f>
        <v>0</v>
      </c>
      <c r="S13" s="252" t="s">
        <v>9774</v>
      </c>
      <c r="T13" s="252" t="e">
        <f>INDEX(#REF!,MATCH(S13,#REF!,0))</f>
        <v>#REF!</v>
      </c>
      <c r="U13" s="270" t="e">
        <f t="shared" si="2"/>
        <v>#REF!</v>
      </c>
      <c r="V13" s="277" t="e">
        <f t="shared" si="4"/>
        <v>#REF!</v>
      </c>
      <c r="W13" s="101"/>
      <c r="X13" s="253" t="e">
        <f>INDEX(#REF!,MATCH(I13,#REF!,0))</f>
        <v>#REF!</v>
      </c>
    </row>
    <row r="14" spans="1:25" s="253" customFormat="1" ht="20.399999999999999">
      <c r="A14" s="258" t="s">
        <v>9769</v>
      </c>
      <c r="B14" s="258" t="s">
        <v>8797</v>
      </c>
      <c r="C14" s="258" t="s">
        <v>9778</v>
      </c>
      <c r="D14" s="258" t="str">
        <f t="shared" si="0"/>
        <v>-</v>
      </c>
      <c r="E14" s="258" t="str">
        <f t="shared" si="0"/>
        <v>-</v>
      </c>
      <c r="F14" s="258" t="str">
        <f t="shared" si="0"/>
        <v>-</v>
      </c>
      <c r="G14" s="258" t="e">
        <f>INDEX(BOM!$T:$T,MATCH(B14,BOM!$J:$J,0))</f>
        <v>#N/A</v>
      </c>
      <c r="H14" s="258" t="e">
        <f>INDEX(BOM!$T:$T,MATCH(C14,BOM!$K:$K,0))</f>
        <v>#N/A</v>
      </c>
      <c r="I14" s="250" t="s">
        <v>9773</v>
      </c>
      <c r="J14" s="249" t="str">
        <f t="shared" ref="J14:N14" si="5">"-"</f>
        <v>-</v>
      </c>
      <c r="K14" s="249" t="str">
        <f t="shared" si="5"/>
        <v>-</v>
      </c>
      <c r="L14" s="258" t="str">
        <f t="shared" si="5"/>
        <v>-</v>
      </c>
      <c r="M14" s="249" t="str">
        <f t="shared" si="5"/>
        <v>-</v>
      </c>
      <c r="N14" s="249" t="str">
        <f t="shared" si="5"/>
        <v>-</v>
      </c>
      <c r="O14" s="252"/>
      <c r="P14" s="252"/>
      <c r="Q14" s="252"/>
      <c r="R14" s="252">
        <f>(SUMIF(BOM!$K$14:$K$213,"*ceramic metal*",BOM!$G$14:$G$213))</f>
        <v>0</v>
      </c>
      <c r="S14" s="252" t="s">
        <v>9774</v>
      </c>
      <c r="T14" s="252" t="e">
        <f>INDEX(#REF!,MATCH(S14,#REF!,0))</f>
        <v>#REF!</v>
      </c>
      <c r="U14" s="270" t="e">
        <f t="shared" si="2"/>
        <v>#REF!</v>
      </c>
      <c r="V14" s="277" t="e">
        <f t="shared" si="4"/>
        <v>#REF!</v>
      </c>
      <c r="W14" s="101"/>
      <c r="X14" s="253" t="e">
        <f>INDEX(#REF!,MATCH(I14,#REF!,0))</f>
        <v>#REF!</v>
      </c>
    </row>
    <row r="15" spans="1:25" s="3" customFormat="1">
      <c r="A15" s="260" t="s">
        <v>9779</v>
      </c>
      <c r="B15" s="260" t="s">
        <v>8799</v>
      </c>
      <c r="C15" s="260" t="str">
        <f t="shared" si="0"/>
        <v>-</v>
      </c>
      <c r="D15" s="260" t="str">
        <f t="shared" si="0"/>
        <v>-</v>
      </c>
      <c r="E15" s="260" t="str">
        <f t="shared" si="0"/>
        <v>-</v>
      </c>
      <c r="F15" s="260" t="str">
        <f t="shared" si="0"/>
        <v>-</v>
      </c>
      <c r="G15" s="260" t="e">
        <f>INDEX(BOM!$T:$T,MATCH(B15,BOM!$J:$J,0))</f>
        <v>#N/A</v>
      </c>
      <c r="H15" s="260" t="e">
        <f>INDEX(BOM!$T:$T,MATCH(C15,BOM!$K:$K,0))</f>
        <v>#N/A</v>
      </c>
      <c r="I15" s="241" t="s">
        <v>1706</v>
      </c>
      <c r="J15" s="241" t="s">
        <v>109</v>
      </c>
      <c r="K15" s="241" t="s">
        <v>107</v>
      </c>
      <c r="L15" s="259" t="e">
        <f>(SUMIF(BOM!$J$14:$J$213,"*connector*",BOM!$G$14:$G$213))*#REF!</f>
        <v>#REF!</v>
      </c>
      <c r="M15" s="241" t="s">
        <v>9780</v>
      </c>
      <c r="N15" s="241" t="s">
        <v>6335</v>
      </c>
      <c r="O15" s="242"/>
      <c r="P15" s="242"/>
      <c r="Q15" s="242"/>
      <c r="R15" s="242">
        <f>(SUMIF(BOM!$J$14:$J$213,"*connector*",BOM!$G$14:$G$213))</f>
        <v>0</v>
      </c>
      <c r="S15" s="242" t="s">
        <v>9591</v>
      </c>
      <c r="T15" s="242" t="e">
        <f>INDEX(#REF!,MATCH(S15,#REF!,0))</f>
        <v>#REF!</v>
      </c>
      <c r="U15" s="270" t="e">
        <f t="shared" si="2"/>
        <v>#REF!</v>
      </c>
      <c r="V15" s="277" t="e">
        <f t="shared" si="4"/>
        <v>#REF!</v>
      </c>
      <c r="W15" s="101"/>
      <c r="X15" s="253" t="e">
        <f>INDEX(#REF!,MATCH(I15,#REF!,0))</f>
        <v>#REF!</v>
      </c>
    </row>
    <row r="16" spans="1:25" s="3" customFormat="1">
      <c r="A16" s="260" t="s">
        <v>9779</v>
      </c>
      <c r="B16" s="260" t="s">
        <v>8800</v>
      </c>
      <c r="C16" s="260" t="str">
        <f t="shared" si="0"/>
        <v>-</v>
      </c>
      <c r="D16" s="260" t="str">
        <f t="shared" si="0"/>
        <v>-</v>
      </c>
      <c r="E16" s="260" t="str">
        <f t="shared" si="0"/>
        <v>-</v>
      </c>
      <c r="F16" s="260" t="str">
        <f t="shared" si="0"/>
        <v>-</v>
      </c>
      <c r="G16" s="260" t="e">
        <f>INDEX(BOM!$T:$T,MATCH(B16,BOM!$J:$J,0))</f>
        <v>#N/A</v>
      </c>
      <c r="H16" s="260" t="e">
        <f>INDEX(BOM!$T:$T,MATCH(C16,BOM!$K:$K,0))</f>
        <v>#N/A</v>
      </c>
      <c r="I16" s="241" t="s">
        <v>889</v>
      </c>
      <c r="J16" s="241" t="s">
        <v>322</v>
      </c>
      <c r="K16" s="241" t="s">
        <v>320</v>
      </c>
      <c r="L16" s="259" t="e">
        <f>((SUMIF(BOM!$J$14:$J$213,"*interconnects*",BOM!$G$14:$G$213))*#REF!)/0.065</f>
        <v>#REF!</v>
      </c>
      <c r="M16" s="241" t="s">
        <v>9781</v>
      </c>
      <c r="N16" s="241" t="s">
        <v>6335</v>
      </c>
      <c r="O16" s="242"/>
      <c r="P16" s="242"/>
      <c r="Q16" s="242"/>
      <c r="R16" s="242">
        <f>(SUMIF(BOM!$J$14:$J$213,"*Interconnects*",BOM!$G$14:$G$213))</f>
        <v>0</v>
      </c>
      <c r="S16" s="242" t="s">
        <v>9589</v>
      </c>
      <c r="T16" s="242" t="e">
        <f>INDEX(#REF!,MATCH(S16,#REF!,0))</f>
        <v>#REF!</v>
      </c>
      <c r="U16" s="270" t="e">
        <f t="shared" si="2"/>
        <v>#REF!</v>
      </c>
      <c r="V16" s="277" t="e">
        <f t="shared" si="4"/>
        <v>#REF!</v>
      </c>
      <c r="W16" s="101"/>
      <c r="X16" s="253" t="e">
        <f>INDEX(#REF!,MATCH(I16,#REF!,0))</f>
        <v>#REF!</v>
      </c>
    </row>
    <row r="17" spans="1:24" s="3" customFormat="1">
      <c r="A17" s="260" t="s">
        <v>9779</v>
      </c>
      <c r="B17" s="260" t="s">
        <v>8800</v>
      </c>
      <c r="C17" s="260" t="str">
        <f t="shared" si="0"/>
        <v>-</v>
      </c>
      <c r="D17" s="260" t="str">
        <f t="shared" si="0"/>
        <v>-</v>
      </c>
      <c r="E17" s="260" t="str">
        <f t="shared" si="0"/>
        <v>-</v>
      </c>
      <c r="F17" s="260" t="str">
        <f t="shared" si="0"/>
        <v>-</v>
      </c>
      <c r="G17" s="260" t="e">
        <f>INDEX(BOM!$T:$T,MATCH(B17,BOM!$J:$J,0))</f>
        <v>#N/A</v>
      </c>
      <c r="H17" s="260" t="e">
        <f>INDEX(BOM!$T:$T,MATCH(C17,BOM!$K:$K,0))</f>
        <v>#N/A</v>
      </c>
      <c r="I17" s="241" t="s">
        <v>903</v>
      </c>
      <c r="J17" s="241" t="s">
        <v>109</v>
      </c>
      <c r="K17" s="241" t="s">
        <v>107</v>
      </c>
      <c r="L17" s="259" t="e">
        <f>((SUMIF(BOM!$J$14:$J$213,"*interconnects*",BOM!$G$14:$G$213))*#REF!)</f>
        <v>#REF!</v>
      </c>
      <c r="M17" s="241" t="s">
        <v>9782</v>
      </c>
      <c r="N17" s="241" t="s">
        <v>6335</v>
      </c>
      <c r="O17" s="242"/>
      <c r="P17" s="242"/>
      <c r="Q17" s="242"/>
      <c r="R17" s="242"/>
      <c r="S17" s="242"/>
      <c r="T17" s="242" t="e">
        <f>INDEX(#REF!,MATCH(S17,#REF!,0))</f>
        <v>#REF!</v>
      </c>
      <c r="U17" s="270" t="e">
        <f>CONCATENATE("update tbl_parameters set value = ",R17," where tbl_parameters.ref_id = '",T17,"';")</f>
        <v>#REF!</v>
      </c>
      <c r="V17" s="277" t="e">
        <f t="shared" si="4"/>
        <v>#REF!</v>
      </c>
      <c r="W17" s="101"/>
      <c r="X17" s="253" t="e">
        <f>INDEX(#REF!,MATCH(I17,#REF!,0))</f>
        <v>#REF!</v>
      </c>
    </row>
    <row r="18" spans="1:24" s="3" customFormat="1">
      <c r="A18" s="260" t="s">
        <v>9779</v>
      </c>
      <c r="B18" s="260" t="s">
        <v>8801</v>
      </c>
      <c r="C18" s="260" t="str">
        <f t="shared" si="0"/>
        <v>-</v>
      </c>
      <c r="D18" s="260" t="str">
        <f t="shared" si="0"/>
        <v>-</v>
      </c>
      <c r="E18" s="260" t="str">
        <f t="shared" si="0"/>
        <v>-</v>
      </c>
      <c r="F18" s="260" t="str">
        <f t="shared" si="0"/>
        <v>-</v>
      </c>
      <c r="G18" s="260" t="e">
        <f>INDEX(BOM!$T:$T,MATCH(B18,BOM!$J:$J,0))</f>
        <v>#N/A</v>
      </c>
      <c r="H18" s="260" t="e">
        <f>INDEX(BOM!$T:$T,MATCH(C18,BOM!$K:$K,0))</f>
        <v>#N/A</v>
      </c>
      <c r="I18" s="241" t="s">
        <v>1706</v>
      </c>
      <c r="J18" s="241" t="s">
        <v>109</v>
      </c>
      <c r="K18" s="241" t="s">
        <v>107</v>
      </c>
      <c r="L18" s="259" t="e">
        <f>((SUMIF(BOM!$J$14:$J$213,"*harness*",BOM!$G$14:$G$213))*#REF!)</f>
        <v>#REF!</v>
      </c>
      <c r="M18" s="241" t="s">
        <v>9783</v>
      </c>
      <c r="N18" s="241" t="s">
        <v>6335</v>
      </c>
      <c r="O18" s="242"/>
      <c r="P18" s="242"/>
      <c r="Q18" s="242"/>
      <c r="R18" s="242">
        <f>(SUMIF(BOM!$J$14:$J$213,"*harness*",BOM!$G$14:$G$213))</f>
        <v>0</v>
      </c>
      <c r="S18" s="242" t="s">
        <v>9590</v>
      </c>
      <c r="T18" s="242" t="e">
        <f>INDEX(#REF!,MATCH(S18,#REF!,0))</f>
        <v>#REF!</v>
      </c>
      <c r="U18" s="270" t="e">
        <f t="shared" si="2"/>
        <v>#REF!</v>
      </c>
      <c r="V18" s="277" t="e">
        <f t="shared" si="4"/>
        <v>#REF!</v>
      </c>
      <c r="W18" s="101"/>
      <c r="X18" s="253" t="e">
        <f>INDEX(#REF!,MATCH(I18,#REF!,0))</f>
        <v>#REF!</v>
      </c>
    </row>
    <row r="19" spans="1:24" s="3" customFormat="1">
      <c r="A19" s="260" t="s">
        <v>9779</v>
      </c>
      <c r="B19" s="260" t="s">
        <v>8801</v>
      </c>
      <c r="C19" s="260" t="str">
        <f t="shared" si="0"/>
        <v>-</v>
      </c>
      <c r="D19" s="260" t="str">
        <f t="shared" si="0"/>
        <v>-</v>
      </c>
      <c r="E19" s="260" t="str">
        <f t="shared" si="0"/>
        <v>-</v>
      </c>
      <c r="F19" s="260" t="str">
        <f t="shared" si="0"/>
        <v>-</v>
      </c>
      <c r="G19" s="260" t="e">
        <f>INDEX(BOM!$T:$T,MATCH(B19,BOM!$J:$J,0))</f>
        <v>#N/A</v>
      </c>
      <c r="H19" s="260" t="e">
        <f>INDEX(BOM!$T:$T,MATCH(C19,BOM!$K:$K,0))</f>
        <v>#N/A</v>
      </c>
      <c r="I19" s="241" t="s">
        <v>903</v>
      </c>
      <c r="J19" s="241" t="s">
        <v>109</v>
      </c>
      <c r="K19" s="241" t="s">
        <v>107</v>
      </c>
      <c r="L19" s="259" t="e">
        <f>((SUMIF(BOM!$J$14:$J$213,"*harness*",BOM!$G$14:$G$213))*#REF!)</f>
        <v>#REF!</v>
      </c>
      <c r="M19" s="241" t="s">
        <v>9784</v>
      </c>
      <c r="N19" s="241" t="s">
        <v>6335</v>
      </c>
      <c r="O19" s="242"/>
      <c r="P19" s="242"/>
      <c r="Q19" s="242"/>
      <c r="R19" s="242"/>
      <c r="S19" s="242"/>
      <c r="T19" s="242" t="e">
        <f>INDEX(#REF!,MATCH(S19,#REF!,0))</f>
        <v>#REF!</v>
      </c>
      <c r="U19" s="270" t="e">
        <f t="shared" si="2"/>
        <v>#REF!</v>
      </c>
      <c r="V19" s="277" t="e">
        <f t="shared" si="4"/>
        <v>#REF!</v>
      </c>
      <c r="W19" s="101"/>
      <c r="X19" s="253" t="e">
        <f>INDEX(#REF!,MATCH(I19,#REF!,0))</f>
        <v>#REF!</v>
      </c>
    </row>
    <row r="20" spans="1:24" s="3" customFormat="1">
      <c r="A20" s="260" t="s">
        <v>9779</v>
      </c>
      <c r="B20" s="260" t="s">
        <v>8802</v>
      </c>
      <c r="C20" s="260" t="str">
        <f t="shared" si="0"/>
        <v>-</v>
      </c>
      <c r="D20" s="260" t="str">
        <f t="shared" si="0"/>
        <v>-</v>
      </c>
      <c r="E20" s="260" t="str">
        <f t="shared" si="0"/>
        <v>-</v>
      </c>
      <c r="F20" s="260" t="str">
        <f t="shared" si="0"/>
        <v>-</v>
      </c>
      <c r="G20" s="260" t="e">
        <f>INDEX(BOM!$T:$T,MATCH(B20,BOM!$J:$J,0))</f>
        <v>#N/A</v>
      </c>
      <c r="H20" s="260" t="e">
        <f>INDEX(BOM!$T:$T,MATCH(C20,BOM!$K:$K,0))</f>
        <v>#N/A</v>
      </c>
      <c r="I20" s="241" t="s">
        <v>9785</v>
      </c>
      <c r="J20" s="241" t="s">
        <v>169</v>
      </c>
      <c r="K20" s="241" t="s">
        <v>167</v>
      </c>
      <c r="L20" s="259">
        <f>(SUMIF(BOM!$J$14:$J$213,"*driver*",BOM!$G$14:$G$213))/0.205</f>
        <v>0</v>
      </c>
      <c r="M20" s="241" t="s">
        <v>9592</v>
      </c>
      <c r="N20" s="241" t="s">
        <v>6335</v>
      </c>
      <c r="O20" s="242"/>
      <c r="P20" s="242"/>
      <c r="Q20" s="242"/>
      <c r="R20" s="242">
        <f>(SUMIF(BOM!$J$14:$J$213,"*Driver*",BOM!$G$14:$G$213))</f>
        <v>0</v>
      </c>
      <c r="S20" s="242" t="s">
        <v>9592</v>
      </c>
      <c r="T20" s="242" t="e">
        <f>INDEX(#REF!,MATCH(S20,#REF!,0))</f>
        <v>#REF!</v>
      </c>
      <c r="U20" s="270" t="e">
        <f t="shared" si="2"/>
        <v>#REF!</v>
      </c>
      <c r="V20" s="277" t="e">
        <f t="shared" si="4"/>
        <v>#REF!</v>
      </c>
      <c r="W20" s="101"/>
      <c r="X20" s="253" t="e">
        <f>INDEX(#REF!,MATCH(I20,#REF!,0))</f>
        <v>#REF!</v>
      </c>
    </row>
    <row r="21" spans="1:24" s="3" customFormat="1" ht="21.6">
      <c r="A21" s="260" t="s">
        <v>9779</v>
      </c>
      <c r="B21" s="260" t="s">
        <v>8802</v>
      </c>
      <c r="C21" s="260" t="s">
        <v>9786</v>
      </c>
      <c r="D21" s="260" t="s">
        <v>9787</v>
      </c>
      <c r="E21" s="260" t="s">
        <v>9788</v>
      </c>
      <c r="F21" s="260" t="str">
        <f t="shared" si="0"/>
        <v>-</v>
      </c>
      <c r="G21" s="260" t="e">
        <f>INDEX(BOM!$T:$T,MATCH(B21,BOM!$J:$J,0))</f>
        <v>#N/A</v>
      </c>
      <c r="H21" s="260" t="e">
        <f>INDEX(BOM!$T:$T,MATCH(C21,BOM!$K:$K,0))</f>
        <v>#N/A</v>
      </c>
      <c r="I21" s="248" t="s">
        <v>9789</v>
      </c>
      <c r="J21" s="240" t="str">
        <f t="shared" ref="J21:N38" si="6">"-"</f>
        <v>-</v>
      </c>
      <c r="K21" s="240" t="str">
        <f t="shared" si="6"/>
        <v>-</v>
      </c>
      <c r="L21" s="260" t="str">
        <f t="shared" si="6"/>
        <v>-</v>
      </c>
      <c r="M21" s="240" t="str">
        <f t="shared" si="6"/>
        <v>-</v>
      </c>
      <c r="N21" s="240" t="str">
        <f t="shared" si="6"/>
        <v>-</v>
      </c>
      <c r="O21" s="242"/>
      <c r="P21" s="242"/>
      <c r="Q21" s="242"/>
      <c r="R21" s="242"/>
      <c r="S21" s="242"/>
      <c r="T21" s="242" t="e">
        <f>INDEX(#REF!,MATCH(S21,#REF!,0))</f>
        <v>#REF!</v>
      </c>
      <c r="U21" s="270" t="e">
        <f t="shared" si="2"/>
        <v>#REF!</v>
      </c>
      <c r="V21" s="277" t="e">
        <f t="shared" si="4"/>
        <v>#REF!</v>
      </c>
      <c r="W21" s="101"/>
      <c r="X21" s="253" t="e">
        <f>INDEX(#REF!,MATCH(I21,#REF!,0))</f>
        <v>#REF!</v>
      </c>
    </row>
    <row r="22" spans="1:24" s="3" customFormat="1" ht="30.6">
      <c r="A22" s="260" t="s">
        <v>9779</v>
      </c>
      <c r="B22" s="260" t="s">
        <v>8802</v>
      </c>
      <c r="C22" s="260" t="s">
        <v>9786</v>
      </c>
      <c r="D22" s="260" t="s">
        <v>9787</v>
      </c>
      <c r="E22" s="260" t="s">
        <v>9790</v>
      </c>
      <c r="F22" s="260" t="str">
        <f t="shared" si="0"/>
        <v>-</v>
      </c>
      <c r="G22" s="260" t="e">
        <f>INDEX(BOM!$T:$T,MATCH(B22,BOM!$J:$J,0))</f>
        <v>#N/A</v>
      </c>
      <c r="H22" s="260" t="e">
        <f>INDEX(BOM!$T:$T,MATCH(C22,BOM!$K:$K,0))</f>
        <v>#N/A</v>
      </c>
      <c r="I22" s="248" t="s">
        <v>9791</v>
      </c>
      <c r="J22" s="240" t="str">
        <f t="shared" si="6"/>
        <v>-</v>
      </c>
      <c r="K22" s="240" t="str">
        <f t="shared" si="6"/>
        <v>-</v>
      </c>
      <c r="L22" s="260" t="str">
        <f t="shared" si="6"/>
        <v>-</v>
      </c>
      <c r="M22" s="240" t="str">
        <f t="shared" si="6"/>
        <v>-</v>
      </c>
      <c r="N22" s="240" t="str">
        <f t="shared" si="6"/>
        <v>-</v>
      </c>
      <c r="O22" s="242"/>
      <c r="P22" s="242"/>
      <c r="Q22" s="242"/>
      <c r="R22" s="242"/>
      <c r="S22" s="242"/>
      <c r="T22" s="242" t="e">
        <f>INDEX(#REF!,MATCH(S22,#REF!,0))</f>
        <v>#REF!</v>
      </c>
      <c r="U22" s="270" t="e">
        <f t="shared" si="2"/>
        <v>#REF!</v>
      </c>
      <c r="V22" s="277" t="e">
        <f t="shared" si="4"/>
        <v>#REF!</v>
      </c>
      <c r="W22" s="101"/>
      <c r="X22" s="253" t="e">
        <f>INDEX(#REF!,MATCH(I22,#REF!,0))</f>
        <v>#REF!</v>
      </c>
    </row>
    <row r="23" spans="1:24" s="3" customFormat="1" ht="21.6">
      <c r="A23" s="260" t="s">
        <v>9779</v>
      </c>
      <c r="B23" s="260" t="s">
        <v>8802</v>
      </c>
      <c r="C23" s="260" t="s">
        <v>9786</v>
      </c>
      <c r="D23" s="260" t="s">
        <v>9787</v>
      </c>
      <c r="E23" s="260" t="s">
        <v>9792</v>
      </c>
      <c r="F23" s="260" t="str">
        <f t="shared" ref="F23:F28" si="7">"-"</f>
        <v>-</v>
      </c>
      <c r="G23" s="260" t="e">
        <f>INDEX(BOM!$T:$T,MATCH(B23,BOM!$J:$J,0))</f>
        <v>#N/A</v>
      </c>
      <c r="H23" s="260" t="e">
        <f>INDEX(BOM!$T:$T,MATCH(C23,BOM!$K:$K,0))</f>
        <v>#N/A</v>
      </c>
      <c r="I23" s="248" t="s">
        <v>9789</v>
      </c>
      <c r="J23" s="240" t="str">
        <f t="shared" si="6"/>
        <v>-</v>
      </c>
      <c r="K23" s="240" t="str">
        <f t="shared" si="6"/>
        <v>-</v>
      </c>
      <c r="L23" s="260" t="str">
        <f t="shared" si="6"/>
        <v>-</v>
      </c>
      <c r="M23" s="240" t="str">
        <f t="shared" si="6"/>
        <v>-</v>
      </c>
      <c r="N23" s="240" t="str">
        <f t="shared" si="6"/>
        <v>-</v>
      </c>
      <c r="O23" s="242"/>
      <c r="P23" s="242"/>
      <c r="Q23" s="242"/>
      <c r="R23" s="242"/>
      <c r="S23" s="242"/>
      <c r="T23" s="242" t="e">
        <f>INDEX(#REF!,MATCH(S23,#REF!,0))</f>
        <v>#REF!</v>
      </c>
      <c r="U23" s="270" t="e">
        <f t="shared" si="2"/>
        <v>#REF!</v>
      </c>
      <c r="V23" s="277" t="e">
        <f t="shared" si="4"/>
        <v>#REF!</v>
      </c>
      <c r="W23" s="101"/>
      <c r="X23" s="253" t="e">
        <f>INDEX(#REF!,MATCH(I23,#REF!,0))</f>
        <v>#REF!</v>
      </c>
    </row>
    <row r="24" spans="1:24" s="3" customFormat="1" ht="30.6">
      <c r="A24" s="260" t="s">
        <v>9779</v>
      </c>
      <c r="B24" s="260" t="s">
        <v>8802</v>
      </c>
      <c r="C24" s="260" t="s">
        <v>9786</v>
      </c>
      <c r="D24" s="260" t="s">
        <v>9787</v>
      </c>
      <c r="E24" s="260" t="s">
        <v>9793</v>
      </c>
      <c r="F24" s="260" t="str">
        <f t="shared" si="7"/>
        <v>-</v>
      </c>
      <c r="G24" s="260" t="e">
        <f>INDEX(BOM!$T:$T,MATCH(B24,BOM!$J:$J,0))</f>
        <v>#N/A</v>
      </c>
      <c r="H24" s="260" t="e">
        <f>INDEX(BOM!$T:$T,MATCH(C24,BOM!$K:$K,0))</f>
        <v>#N/A</v>
      </c>
      <c r="I24" s="248" t="s">
        <v>9791</v>
      </c>
      <c r="J24" s="240" t="str">
        <f t="shared" si="6"/>
        <v>-</v>
      </c>
      <c r="K24" s="240" t="str">
        <f t="shared" si="6"/>
        <v>-</v>
      </c>
      <c r="L24" s="260" t="str">
        <f t="shared" si="6"/>
        <v>-</v>
      </c>
      <c r="M24" s="240" t="str">
        <f t="shared" si="6"/>
        <v>-</v>
      </c>
      <c r="N24" s="240" t="str">
        <f t="shared" si="6"/>
        <v>-</v>
      </c>
      <c r="O24" s="242"/>
      <c r="P24" s="242"/>
      <c r="Q24" s="242"/>
      <c r="R24" s="242"/>
      <c r="S24" s="242"/>
      <c r="T24" s="242" t="e">
        <f>INDEX(#REF!,MATCH(S24,#REF!,0))</f>
        <v>#REF!</v>
      </c>
      <c r="U24" s="270" t="e">
        <f t="shared" si="2"/>
        <v>#REF!</v>
      </c>
      <c r="V24" s="277" t="e">
        <f t="shared" si="4"/>
        <v>#REF!</v>
      </c>
      <c r="W24" s="101"/>
      <c r="X24" s="253" t="e">
        <f>INDEX(#REF!,MATCH(I24,#REF!,0))</f>
        <v>#REF!</v>
      </c>
    </row>
    <row r="25" spans="1:24" s="3" customFormat="1" ht="21.6">
      <c r="A25" s="260" t="s">
        <v>9779</v>
      </c>
      <c r="B25" s="260" t="s">
        <v>8802</v>
      </c>
      <c r="C25" s="260" t="s">
        <v>9786</v>
      </c>
      <c r="D25" s="260" t="s">
        <v>9787</v>
      </c>
      <c r="E25" s="260" t="s">
        <v>9794</v>
      </c>
      <c r="F25" s="260" t="str">
        <f t="shared" si="7"/>
        <v>-</v>
      </c>
      <c r="G25" s="260" t="e">
        <f>INDEX(BOM!$T:$T,MATCH(B25,BOM!$J:$J,0))</f>
        <v>#N/A</v>
      </c>
      <c r="H25" s="260" t="e">
        <f>INDEX(BOM!$T:$T,MATCH(C25,BOM!$K:$K,0))</f>
        <v>#N/A</v>
      </c>
      <c r="I25" s="248" t="s">
        <v>9789</v>
      </c>
      <c r="J25" s="240" t="str">
        <f t="shared" si="6"/>
        <v>-</v>
      </c>
      <c r="K25" s="240" t="str">
        <f t="shared" si="6"/>
        <v>-</v>
      </c>
      <c r="L25" s="260" t="str">
        <f t="shared" si="6"/>
        <v>-</v>
      </c>
      <c r="M25" s="240" t="str">
        <f t="shared" si="6"/>
        <v>-</v>
      </c>
      <c r="N25" s="240" t="str">
        <f t="shared" si="6"/>
        <v>-</v>
      </c>
      <c r="O25" s="242"/>
      <c r="P25" s="242"/>
      <c r="Q25" s="242"/>
      <c r="R25" s="242"/>
      <c r="S25" s="242"/>
      <c r="T25" s="242" t="e">
        <f>INDEX(#REF!,MATCH(S25,#REF!,0))</f>
        <v>#REF!</v>
      </c>
      <c r="U25" s="270" t="e">
        <f t="shared" si="2"/>
        <v>#REF!</v>
      </c>
      <c r="V25" s="277" t="e">
        <f t="shared" si="4"/>
        <v>#REF!</v>
      </c>
      <c r="W25" s="101"/>
      <c r="X25" s="253" t="e">
        <f>INDEX(#REF!,MATCH(I25,#REF!,0))</f>
        <v>#REF!</v>
      </c>
    </row>
    <row r="26" spans="1:24" s="3" customFormat="1" ht="30.6">
      <c r="A26" s="260" t="s">
        <v>9779</v>
      </c>
      <c r="B26" s="260" t="s">
        <v>8802</v>
      </c>
      <c r="C26" s="260" t="s">
        <v>9786</v>
      </c>
      <c r="D26" s="260" t="s">
        <v>9787</v>
      </c>
      <c r="E26" s="260" t="s">
        <v>9795</v>
      </c>
      <c r="F26" s="260" t="str">
        <f t="shared" si="7"/>
        <v>-</v>
      </c>
      <c r="G26" s="260" t="e">
        <f>INDEX(BOM!$T:$T,MATCH(B26,BOM!$J:$J,0))</f>
        <v>#N/A</v>
      </c>
      <c r="H26" s="260" t="e">
        <f>INDEX(BOM!$T:$T,MATCH(C26,BOM!$K:$K,0))</f>
        <v>#N/A</v>
      </c>
      <c r="I26" s="248" t="s">
        <v>9791</v>
      </c>
      <c r="J26" s="240" t="str">
        <f t="shared" si="6"/>
        <v>-</v>
      </c>
      <c r="K26" s="240" t="str">
        <f t="shared" si="6"/>
        <v>-</v>
      </c>
      <c r="L26" s="260" t="str">
        <f t="shared" si="6"/>
        <v>-</v>
      </c>
      <c r="M26" s="240" t="str">
        <f t="shared" si="6"/>
        <v>-</v>
      </c>
      <c r="N26" s="240" t="str">
        <f t="shared" si="6"/>
        <v>-</v>
      </c>
      <c r="O26" s="242"/>
      <c r="P26" s="242"/>
      <c r="Q26" s="242"/>
      <c r="R26" s="242"/>
      <c r="S26" s="242"/>
      <c r="T26" s="242" t="e">
        <f>INDEX(#REF!,MATCH(S26,#REF!,0))</f>
        <v>#REF!</v>
      </c>
      <c r="U26" s="270" t="e">
        <f t="shared" si="2"/>
        <v>#REF!</v>
      </c>
      <c r="V26" s="277" t="e">
        <f t="shared" si="4"/>
        <v>#REF!</v>
      </c>
      <c r="W26" s="101"/>
      <c r="X26" s="253" t="e">
        <f>INDEX(#REF!,MATCH(I26,#REF!,0))</f>
        <v>#REF!</v>
      </c>
    </row>
    <row r="27" spans="1:24" s="3" customFormat="1" ht="30.6">
      <c r="A27" s="260" t="s">
        <v>9779</v>
      </c>
      <c r="B27" s="260" t="s">
        <v>8802</v>
      </c>
      <c r="C27" s="260" t="s">
        <v>9786</v>
      </c>
      <c r="D27" s="260" t="s">
        <v>9787</v>
      </c>
      <c r="E27" s="260" t="s">
        <v>9796</v>
      </c>
      <c r="F27" s="260" t="str">
        <f t="shared" si="7"/>
        <v>-</v>
      </c>
      <c r="G27" s="260" t="e">
        <f>INDEX(BOM!$T:$T,MATCH(B27,BOM!$J:$J,0))</f>
        <v>#N/A</v>
      </c>
      <c r="H27" s="260" t="e">
        <f>INDEX(BOM!$T:$T,MATCH(C27,BOM!$K:$K,0))</f>
        <v>#N/A</v>
      </c>
      <c r="I27" s="248" t="s">
        <v>9789</v>
      </c>
      <c r="J27" s="240" t="str">
        <f t="shared" si="6"/>
        <v>-</v>
      </c>
      <c r="K27" s="240" t="str">
        <f t="shared" si="6"/>
        <v>-</v>
      </c>
      <c r="L27" s="260" t="str">
        <f t="shared" si="6"/>
        <v>-</v>
      </c>
      <c r="M27" s="240" t="str">
        <f t="shared" si="6"/>
        <v>-</v>
      </c>
      <c r="N27" s="240" t="str">
        <f t="shared" si="6"/>
        <v>-</v>
      </c>
      <c r="O27" s="242"/>
      <c r="P27" s="242"/>
      <c r="Q27" s="242"/>
      <c r="R27" s="242"/>
      <c r="S27" s="242"/>
      <c r="T27" s="242" t="e">
        <f>INDEX(#REF!,MATCH(S27,#REF!,0))</f>
        <v>#REF!</v>
      </c>
      <c r="U27" s="270" t="e">
        <f t="shared" si="2"/>
        <v>#REF!</v>
      </c>
      <c r="V27" s="277" t="e">
        <f t="shared" si="4"/>
        <v>#REF!</v>
      </c>
      <c r="W27" s="101"/>
      <c r="X27" s="253" t="e">
        <f>INDEX(#REF!,MATCH(I27,#REF!,0))</f>
        <v>#REF!</v>
      </c>
    </row>
    <row r="28" spans="1:24" s="3" customFormat="1" ht="21.6">
      <c r="A28" s="260" t="s">
        <v>9779</v>
      </c>
      <c r="B28" s="260" t="s">
        <v>8802</v>
      </c>
      <c r="C28" s="260" t="s">
        <v>9786</v>
      </c>
      <c r="D28" s="260" t="s">
        <v>9787</v>
      </c>
      <c r="E28" s="260" t="s">
        <v>9797</v>
      </c>
      <c r="F28" s="260" t="str">
        <f t="shared" si="7"/>
        <v>-</v>
      </c>
      <c r="G28" s="260" t="e">
        <f>INDEX(BOM!$T:$T,MATCH(B28,BOM!$J:$J,0))</f>
        <v>#N/A</v>
      </c>
      <c r="H28" s="260" t="e">
        <f>INDEX(BOM!$T:$T,MATCH(C28,BOM!$K:$K,0))</f>
        <v>#N/A</v>
      </c>
      <c r="I28" s="248" t="s">
        <v>9791</v>
      </c>
      <c r="J28" s="240" t="str">
        <f t="shared" si="6"/>
        <v>-</v>
      </c>
      <c r="K28" s="240" t="str">
        <f t="shared" si="6"/>
        <v>-</v>
      </c>
      <c r="L28" s="260" t="str">
        <f t="shared" si="6"/>
        <v>-</v>
      </c>
      <c r="M28" s="240" t="str">
        <f t="shared" si="6"/>
        <v>-</v>
      </c>
      <c r="N28" s="240" t="str">
        <f t="shared" si="6"/>
        <v>-</v>
      </c>
      <c r="O28" s="242"/>
      <c r="P28" s="242"/>
      <c r="Q28" s="242"/>
      <c r="R28" s="242"/>
      <c r="S28" s="242"/>
      <c r="T28" s="242" t="e">
        <f>INDEX(#REF!,MATCH(S28,#REF!,0))</f>
        <v>#REF!</v>
      </c>
      <c r="U28" s="270" t="e">
        <f t="shared" si="2"/>
        <v>#REF!</v>
      </c>
      <c r="V28" s="277" t="e">
        <f t="shared" si="4"/>
        <v>#REF!</v>
      </c>
      <c r="W28" s="101"/>
      <c r="X28" s="253" t="e">
        <f>INDEX(#REF!,MATCH(I28,#REF!,0))</f>
        <v>#REF!</v>
      </c>
    </row>
    <row r="29" spans="1:24" s="3" customFormat="1" ht="30.6">
      <c r="A29" s="260" t="s">
        <v>9779</v>
      </c>
      <c r="B29" s="260" t="s">
        <v>8802</v>
      </c>
      <c r="C29" s="260" t="s">
        <v>9786</v>
      </c>
      <c r="D29" s="260" t="s">
        <v>9798</v>
      </c>
      <c r="E29" s="260" t="s">
        <v>9799</v>
      </c>
      <c r="F29" s="260"/>
      <c r="G29" s="260" t="e">
        <f>INDEX(BOM!$T:$T,MATCH(B29,BOM!$J:$J,0))</f>
        <v>#N/A</v>
      </c>
      <c r="H29" s="260" t="e">
        <f>INDEX(BOM!$T:$T,MATCH(C29,BOM!$K:$K,0))</f>
        <v>#N/A</v>
      </c>
      <c r="I29" s="248" t="s">
        <v>9789</v>
      </c>
      <c r="J29" s="240" t="str">
        <f t="shared" si="6"/>
        <v>-</v>
      </c>
      <c r="K29" s="240" t="str">
        <f t="shared" si="6"/>
        <v>-</v>
      </c>
      <c r="L29" s="260" t="str">
        <f t="shared" si="6"/>
        <v>-</v>
      </c>
      <c r="M29" s="240" t="str">
        <f t="shared" si="6"/>
        <v>-</v>
      </c>
      <c r="N29" s="240" t="str">
        <f t="shared" si="6"/>
        <v>-</v>
      </c>
      <c r="O29" s="242"/>
      <c r="P29" s="242"/>
      <c r="Q29" s="242"/>
      <c r="R29" s="242"/>
      <c r="S29" s="242"/>
      <c r="T29" s="242" t="e">
        <f>INDEX(#REF!,MATCH(S29,#REF!,0))</f>
        <v>#REF!</v>
      </c>
      <c r="U29" s="270" t="e">
        <f t="shared" si="2"/>
        <v>#REF!</v>
      </c>
      <c r="V29" s="277" t="e">
        <f t="shared" si="4"/>
        <v>#REF!</v>
      </c>
      <c r="W29" s="101"/>
      <c r="X29" s="253" t="e">
        <f>INDEX(#REF!,MATCH(I29,#REF!,0))</f>
        <v>#REF!</v>
      </c>
    </row>
    <row r="30" spans="1:24" s="3" customFormat="1" ht="71.400000000000006">
      <c r="A30" s="260" t="s">
        <v>9779</v>
      </c>
      <c r="B30" s="260" t="s">
        <v>8802</v>
      </c>
      <c r="C30" s="260" t="s">
        <v>9786</v>
      </c>
      <c r="D30" s="260" t="s">
        <v>9798</v>
      </c>
      <c r="E30" s="260" t="s">
        <v>9800</v>
      </c>
      <c r="F30" s="260"/>
      <c r="G30" s="260" t="e">
        <f>INDEX(BOM!$T:$T,MATCH(B30,BOM!$J:$J,0))</f>
        <v>#N/A</v>
      </c>
      <c r="H30" s="260" t="e">
        <f>INDEX(BOM!$T:$T,MATCH(C30,BOM!$K:$K,0))</f>
        <v>#N/A</v>
      </c>
      <c r="I30" s="248" t="s">
        <v>9791</v>
      </c>
      <c r="J30" s="240" t="str">
        <f t="shared" si="6"/>
        <v>-</v>
      </c>
      <c r="K30" s="240" t="str">
        <f t="shared" si="6"/>
        <v>-</v>
      </c>
      <c r="L30" s="260" t="str">
        <f t="shared" si="6"/>
        <v>-</v>
      </c>
      <c r="M30" s="240" t="str">
        <f t="shared" si="6"/>
        <v>-</v>
      </c>
      <c r="N30" s="240" t="str">
        <f t="shared" si="6"/>
        <v>-</v>
      </c>
      <c r="O30" s="242"/>
      <c r="P30" s="242"/>
      <c r="Q30" s="242"/>
      <c r="R30" s="242"/>
      <c r="S30" s="242"/>
      <c r="T30" s="242" t="e">
        <f>INDEX(#REF!,MATCH(S30,#REF!,0))</f>
        <v>#REF!</v>
      </c>
      <c r="U30" s="270" t="e">
        <f t="shared" si="2"/>
        <v>#REF!</v>
      </c>
      <c r="V30" s="277" t="e">
        <f t="shared" si="4"/>
        <v>#REF!</v>
      </c>
      <c r="W30" s="101"/>
      <c r="X30" s="253" t="e">
        <f>INDEX(#REF!,MATCH(I30,#REF!,0))</f>
        <v>#REF!</v>
      </c>
    </row>
    <row r="31" spans="1:24" s="3" customFormat="1" ht="20.399999999999999">
      <c r="A31" s="260" t="s">
        <v>9779</v>
      </c>
      <c r="B31" s="260" t="s">
        <v>8802</v>
      </c>
      <c r="C31" s="260" t="s">
        <v>9786</v>
      </c>
      <c r="D31" s="260" t="s">
        <v>9798</v>
      </c>
      <c r="E31" s="260" t="s">
        <v>9801</v>
      </c>
      <c r="F31" s="260" t="str">
        <f t="shared" ref="F31:I33" si="8">"-"</f>
        <v>-</v>
      </c>
      <c r="G31" s="260" t="e">
        <f>INDEX(BOM!$T:$T,MATCH(B31,BOM!$J:$J,0))</f>
        <v>#N/A</v>
      </c>
      <c r="H31" s="260" t="e">
        <f>INDEX(BOM!$T:$T,MATCH(C31,BOM!$K:$K,0))</f>
        <v>#N/A</v>
      </c>
      <c r="I31" s="248" t="str">
        <f t="shared" si="8"/>
        <v>-</v>
      </c>
      <c r="J31" s="240" t="str">
        <f t="shared" si="6"/>
        <v>-</v>
      </c>
      <c r="K31" s="240" t="str">
        <f t="shared" si="6"/>
        <v>-</v>
      </c>
      <c r="L31" s="260" t="str">
        <f t="shared" si="6"/>
        <v>-</v>
      </c>
      <c r="M31" s="240" t="str">
        <f t="shared" si="6"/>
        <v>-</v>
      </c>
      <c r="N31" s="240" t="str">
        <f t="shared" si="6"/>
        <v>-</v>
      </c>
      <c r="O31" s="242"/>
      <c r="P31" s="242"/>
      <c r="Q31" s="242"/>
      <c r="R31" s="242"/>
      <c r="S31" s="242"/>
      <c r="T31" s="242" t="e">
        <f>INDEX(#REF!,MATCH(S31,#REF!,0))</f>
        <v>#REF!</v>
      </c>
      <c r="U31" s="270" t="e">
        <f t="shared" si="2"/>
        <v>#REF!</v>
      </c>
      <c r="V31" s="277" t="e">
        <f t="shared" si="4"/>
        <v>#REF!</v>
      </c>
      <c r="W31" s="101"/>
      <c r="X31" s="253" t="e">
        <f>INDEX(#REF!,MATCH(I31,#REF!,0))</f>
        <v>#REF!</v>
      </c>
    </row>
    <row r="32" spans="1:24" s="3" customFormat="1" ht="30.6">
      <c r="A32" s="260" t="s">
        <v>9779</v>
      </c>
      <c r="B32" s="260" t="s">
        <v>8802</v>
      </c>
      <c r="C32" s="260" t="s">
        <v>9786</v>
      </c>
      <c r="D32" s="260" t="s">
        <v>9802</v>
      </c>
      <c r="E32" s="260" t="s">
        <v>9803</v>
      </c>
      <c r="F32" s="260"/>
      <c r="G32" s="260" t="e">
        <f>INDEX(BOM!$T:$T,MATCH(B32,BOM!$J:$J,0))</f>
        <v>#N/A</v>
      </c>
      <c r="H32" s="260" t="e">
        <f>INDEX(BOM!$T:$T,MATCH(C32,BOM!$K:$K,0))</f>
        <v>#N/A</v>
      </c>
      <c r="I32" s="248" t="s">
        <v>9804</v>
      </c>
      <c r="J32" s="240" t="str">
        <f t="shared" si="6"/>
        <v>-</v>
      </c>
      <c r="K32" s="240" t="str">
        <f t="shared" si="6"/>
        <v>-</v>
      </c>
      <c r="L32" s="260" t="str">
        <f t="shared" si="6"/>
        <v>-</v>
      </c>
      <c r="M32" s="240" t="str">
        <f t="shared" si="6"/>
        <v>-</v>
      </c>
      <c r="N32" s="240" t="str">
        <f t="shared" si="6"/>
        <v>-</v>
      </c>
      <c r="O32" s="242"/>
      <c r="P32" s="242"/>
      <c r="Q32" s="242"/>
      <c r="R32" s="242"/>
      <c r="S32" s="242"/>
      <c r="T32" s="242" t="e">
        <f>INDEX(#REF!,MATCH(S32,#REF!,0))</f>
        <v>#REF!</v>
      </c>
      <c r="U32" s="270" t="e">
        <f t="shared" si="2"/>
        <v>#REF!</v>
      </c>
      <c r="V32" s="277" t="e">
        <f t="shared" si="4"/>
        <v>#REF!</v>
      </c>
      <c r="W32" s="101"/>
      <c r="X32" s="253" t="e">
        <f>INDEX(#REF!,MATCH(I32,#REF!,0))</f>
        <v>#REF!</v>
      </c>
    </row>
    <row r="33" spans="1:24" s="3" customFormat="1" ht="20.399999999999999">
      <c r="A33" s="260" t="s">
        <v>9779</v>
      </c>
      <c r="B33" s="260" t="s">
        <v>8802</v>
      </c>
      <c r="C33" s="260" t="s">
        <v>9786</v>
      </c>
      <c r="D33" s="260" t="s">
        <v>9802</v>
      </c>
      <c r="E33" s="260" t="s">
        <v>9805</v>
      </c>
      <c r="F33" s="260" t="str">
        <f t="shared" si="8"/>
        <v>-</v>
      </c>
      <c r="G33" s="260" t="e">
        <f>INDEX(BOM!$T:$T,MATCH(B33,BOM!$J:$J,0))</f>
        <v>#N/A</v>
      </c>
      <c r="H33" s="260" t="e">
        <f>INDEX(BOM!$T:$T,MATCH(C33,BOM!$K:$K,0))</f>
        <v>#N/A</v>
      </c>
      <c r="I33" s="248" t="str">
        <f t="shared" si="8"/>
        <v>-</v>
      </c>
      <c r="J33" s="240" t="str">
        <f t="shared" si="6"/>
        <v>-</v>
      </c>
      <c r="K33" s="240" t="str">
        <f t="shared" si="6"/>
        <v>-</v>
      </c>
      <c r="L33" s="260" t="str">
        <f t="shared" si="6"/>
        <v>-</v>
      </c>
      <c r="M33" s="240" t="str">
        <f t="shared" si="6"/>
        <v>-</v>
      </c>
      <c r="N33" s="240" t="str">
        <f t="shared" si="6"/>
        <v>-</v>
      </c>
      <c r="O33" s="242"/>
      <c r="P33" s="242"/>
      <c r="Q33" s="242"/>
      <c r="R33" s="242"/>
      <c r="S33" s="242"/>
      <c r="T33" s="242" t="e">
        <f>INDEX(#REF!,MATCH(S33,#REF!,0))</f>
        <v>#REF!</v>
      </c>
      <c r="U33" s="270" t="e">
        <f t="shared" si="2"/>
        <v>#REF!</v>
      </c>
      <c r="V33" s="277" t="e">
        <f t="shared" si="4"/>
        <v>#REF!</v>
      </c>
      <c r="W33" s="101"/>
      <c r="X33" s="253" t="e">
        <f>INDEX(#REF!,MATCH(I33,#REF!,0))</f>
        <v>#REF!</v>
      </c>
    </row>
    <row r="34" spans="1:24" s="3" customFormat="1" ht="21.6">
      <c r="A34" s="260" t="s">
        <v>9779</v>
      </c>
      <c r="B34" s="260" t="s">
        <v>8802</v>
      </c>
      <c r="C34" s="260" t="s">
        <v>9786</v>
      </c>
      <c r="D34" s="260" t="s">
        <v>9806</v>
      </c>
      <c r="E34" s="260" t="s">
        <v>9807</v>
      </c>
      <c r="F34" s="260"/>
      <c r="G34" s="260" t="e">
        <f>INDEX(BOM!$T:$T,MATCH(B34,BOM!$J:$J,0))</f>
        <v>#N/A</v>
      </c>
      <c r="H34" s="260" t="e">
        <f>INDEX(BOM!$T:$T,MATCH(C34,BOM!$K:$K,0))</f>
        <v>#N/A</v>
      </c>
      <c r="I34" s="248" t="s">
        <v>9789</v>
      </c>
      <c r="J34" s="240" t="str">
        <f t="shared" si="6"/>
        <v>-</v>
      </c>
      <c r="K34" s="240" t="str">
        <f t="shared" si="6"/>
        <v>-</v>
      </c>
      <c r="L34" s="260" t="str">
        <f t="shared" si="6"/>
        <v>-</v>
      </c>
      <c r="M34" s="240" t="str">
        <f t="shared" si="6"/>
        <v>-</v>
      </c>
      <c r="N34" s="240" t="str">
        <f t="shared" si="6"/>
        <v>-</v>
      </c>
      <c r="O34" s="242"/>
      <c r="P34" s="242"/>
      <c r="Q34" s="242"/>
      <c r="R34" s="242"/>
      <c r="S34" s="242"/>
      <c r="T34" s="242" t="e">
        <f>INDEX(#REF!,MATCH(S34,#REF!,0))</f>
        <v>#REF!</v>
      </c>
      <c r="U34" s="270" t="e">
        <f t="shared" si="2"/>
        <v>#REF!</v>
      </c>
      <c r="V34" s="277" t="e">
        <f t="shared" si="4"/>
        <v>#REF!</v>
      </c>
      <c r="W34" s="101"/>
      <c r="X34" s="253" t="e">
        <f>INDEX(#REF!,MATCH(I34,#REF!,0))</f>
        <v>#REF!</v>
      </c>
    </row>
    <row r="35" spans="1:24" s="3" customFormat="1" ht="30.6">
      <c r="A35" s="260" t="s">
        <v>9779</v>
      </c>
      <c r="B35" s="260" t="s">
        <v>8802</v>
      </c>
      <c r="C35" s="260" t="s">
        <v>9786</v>
      </c>
      <c r="D35" s="260" t="s">
        <v>9806</v>
      </c>
      <c r="E35" s="260" t="s">
        <v>9808</v>
      </c>
      <c r="F35" s="260"/>
      <c r="G35" s="260" t="e">
        <f>INDEX(BOM!$T:$T,MATCH(B35,BOM!$J:$J,0))</f>
        <v>#N/A</v>
      </c>
      <c r="H35" s="260" t="e">
        <f>INDEX(BOM!$T:$T,MATCH(C35,BOM!$K:$K,0))</f>
        <v>#N/A</v>
      </c>
      <c r="I35" s="248" t="s">
        <v>9791</v>
      </c>
      <c r="J35" s="240" t="str">
        <f t="shared" si="6"/>
        <v>-</v>
      </c>
      <c r="K35" s="240" t="str">
        <f t="shared" si="6"/>
        <v>-</v>
      </c>
      <c r="L35" s="260" t="str">
        <f t="shared" si="6"/>
        <v>-</v>
      </c>
      <c r="M35" s="240" t="str">
        <f t="shared" si="6"/>
        <v>-</v>
      </c>
      <c r="N35" s="240" t="str">
        <f t="shared" si="6"/>
        <v>-</v>
      </c>
      <c r="O35" s="242"/>
      <c r="P35" s="242"/>
      <c r="Q35" s="242"/>
      <c r="R35" s="242"/>
      <c r="S35" s="242"/>
      <c r="T35" s="242" t="e">
        <f>INDEX(#REF!,MATCH(S35,#REF!,0))</f>
        <v>#REF!</v>
      </c>
      <c r="U35" s="270" t="e">
        <f t="shared" si="2"/>
        <v>#REF!</v>
      </c>
      <c r="V35" s="277" t="e">
        <f t="shared" si="4"/>
        <v>#REF!</v>
      </c>
      <c r="W35" s="101"/>
      <c r="X35" s="253" t="e">
        <f>INDEX(#REF!,MATCH(I35,#REF!,0))</f>
        <v>#REF!</v>
      </c>
    </row>
    <row r="36" spans="1:24" s="3" customFormat="1" ht="20.399999999999999">
      <c r="A36" s="260" t="s">
        <v>9779</v>
      </c>
      <c r="B36" s="260" t="s">
        <v>8802</v>
      </c>
      <c r="C36" s="260" t="s">
        <v>9786</v>
      </c>
      <c r="D36" s="260" t="s">
        <v>9806</v>
      </c>
      <c r="E36" s="260" t="s">
        <v>9809</v>
      </c>
      <c r="F36" s="260" t="str">
        <f t="shared" ref="F36:I36" si="9">"-"</f>
        <v>-</v>
      </c>
      <c r="G36" s="260" t="e">
        <f>INDEX(BOM!$T:$T,MATCH(B36,BOM!$J:$J,0))</f>
        <v>#N/A</v>
      </c>
      <c r="H36" s="260" t="e">
        <f>INDEX(BOM!$T:$T,MATCH(C36,BOM!$K:$K,0))</f>
        <v>#N/A</v>
      </c>
      <c r="I36" s="248" t="str">
        <f t="shared" si="9"/>
        <v>-</v>
      </c>
      <c r="J36" s="240" t="str">
        <f t="shared" si="6"/>
        <v>-</v>
      </c>
      <c r="K36" s="240" t="str">
        <f t="shared" si="6"/>
        <v>-</v>
      </c>
      <c r="L36" s="260" t="str">
        <f t="shared" si="6"/>
        <v>-</v>
      </c>
      <c r="M36" s="240" t="str">
        <f t="shared" si="6"/>
        <v>-</v>
      </c>
      <c r="N36" s="240" t="str">
        <f t="shared" si="6"/>
        <v>-</v>
      </c>
      <c r="O36" s="242"/>
      <c r="P36" s="242"/>
      <c r="Q36" s="242"/>
      <c r="R36" s="242"/>
      <c r="S36" s="242"/>
      <c r="T36" s="242" t="e">
        <f>INDEX(#REF!,MATCH(S36,#REF!,0))</f>
        <v>#REF!</v>
      </c>
      <c r="U36" s="270" t="e">
        <f t="shared" si="2"/>
        <v>#REF!</v>
      </c>
      <c r="V36" s="277" t="e">
        <f t="shared" si="4"/>
        <v>#REF!</v>
      </c>
      <c r="W36" s="101"/>
      <c r="X36" s="253" t="e">
        <f>INDEX(#REF!,MATCH(I36,#REF!,0))</f>
        <v>#REF!</v>
      </c>
    </row>
    <row r="37" spans="1:24" s="3" customFormat="1" ht="21.6">
      <c r="A37" s="260" t="s">
        <v>9779</v>
      </c>
      <c r="B37" s="260" t="s">
        <v>8802</v>
      </c>
      <c r="C37" s="260" t="s">
        <v>9786</v>
      </c>
      <c r="D37" s="260" t="s">
        <v>9810</v>
      </c>
      <c r="E37" s="260" t="s">
        <v>9811</v>
      </c>
      <c r="F37" s="260"/>
      <c r="G37" s="260" t="e">
        <f>INDEX(BOM!$T:$T,MATCH(B37,BOM!$J:$J,0))</f>
        <v>#N/A</v>
      </c>
      <c r="H37" s="260" t="e">
        <f>INDEX(BOM!$T:$T,MATCH(C37,BOM!$K:$K,0))</f>
        <v>#N/A</v>
      </c>
      <c r="I37" s="248" t="s">
        <v>9789</v>
      </c>
      <c r="J37" s="240" t="str">
        <f t="shared" si="6"/>
        <v>-</v>
      </c>
      <c r="K37" s="240" t="str">
        <f t="shared" si="6"/>
        <v>-</v>
      </c>
      <c r="L37" s="260" t="str">
        <f t="shared" si="6"/>
        <v>-</v>
      </c>
      <c r="M37" s="240" t="str">
        <f t="shared" si="6"/>
        <v>-</v>
      </c>
      <c r="N37" s="240" t="str">
        <f t="shared" si="6"/>
        <v>-</v>
      </c>
      <c r="O37" s="242"/>
      <c r="P37" s="242"/>
      <c r="Q37" s="242"/>
      <c r="R37" s="242"/>
      <c r="S37" s="242"/>
      <c r="T37" s="242" t="e">
        <f>INDEX(#REF!,MATCH(S37,#REF!,0))</f>
        <v>#REF!</v>
      </c>
      <c r="U37" s="270" t="e">
        <f t="shared" si="2"/>
        <v>#REF!</v>
      </c>
      <c r="V37" s="277" t="e">
        <f t="shared" si="4"/>
        <v>#REF!</v>
      </c>
      <c r="W37" s="101"/>
      <c r="X37" s="253" t="e">
        <f>INDEX(#REF!,MATCH(I37,#REF!,0))</f>
        <v>#REF!</v>
      </c>
    </row>
    <row r="38" spans="1:24" s="3" customFormat="1" ht="30.6">
      <c r="A38" s="260" t="s">
        <v>9779</v>
      </c>
      <c r="B38" s="260" t="s">
        <v>8802</v>
      </c>
      <c r="C38" s="260" t="s">
        <v>9786</v>
      </c>
      <c r="D38" s="260" t="s">
        <v>9810</v>
      </c>
      <c r="E38" s="260" t="s">
        <v>9812</v>
      </c>
      <c r="F38" s="260"/>
      <c r="G38" s="260" t="e">
        <f>INDEX(BOM!$T:$T,MATCH(B38,BOM!$J:$J,0))</f>
        <v>#N/A</v>
      </c>
      <c r="H38" s="260" t="e">
        <f>INDEX(BOM!$T:$T,MATCH(C38,BOM!$K:$K,0))</f>
        <v>#N/A</v>
      </c>
      <c r="I38" s="248" t="s">
        <v>9791</v>
      </c>
      <c r="J38" s="240" t="str">
        <f t="shared" si="6"/>
        <v>-</v>
      </c>
      <c r="K38" s="240" t="str">
        <f t="shared" si="6"/>
        <v>-</v>
      </c>
      <c r="L38" s="260" t="str">
        <f t="shared" si="6"/>
        <v>-</v>
      </c>
      <c r="M38" s="240" t="str">
        <f t="shared" si="6"/>
        <v>-</v>
      </c>
      <c r="N38" s="240" t="str">
        <f t="shared" si="6"/>
        <v>-</v>
      </c>
      <c r="O38" s="242"/>
      <c r="P38" s="242"/>
      <c r="Q38" s="242"/>
      <c r="R38" s="242"/>
      <c r="S38" s="242"/>
      <c r="T38" s="242" t="e">
        <f>INDEX(#REF!,MATCH(S38,#REF!,0))</f>
        <v>#REF!</v>
      </c>
      <c r="U38" s="270" t="e">
        <f t="shared" si="2"/>
        <v>#REF!</v>
      </c>
      <c r="V38" s="277" t="e">
        <f t="shared" si="4"/>
        <v>#REF!</v>
      </c>
      <c r="W38" s="101"/>
      <c r="X38" s="253" t="e">
        <f>INDEX(#REF!,MATCH(I38,#REF!,0))</f>
        <v>#REF!</v>
      </c>
    </row>
    <row r="39" spans="1:24" s="3" customFormat="1" ht="20.399999999999999">
      <c r="A39" s="260" t="s">
        <v>9779</v>
      </c>
      <c r="B39" s="260" t="s">
        <v>8802</v>
      </c>
      <c r="C39" s="260" t="s">
        <v>9786</v>
      </c>
      <c r="D39" s="260" t="s">
        <v>9810</v>
      </c>
      <c r="E39" s="260" t="s">
        <v>9813</v>
      </c>
      <c r="F39" s="260" t="str">
        <f t="shared" ref="E39:N50" si="10">"-"</f>
        <v>-</v>
      </c>
      <c r="G39" s="260" t="e">
        <f>INDEX(BOM!$T:$T,MATCH(B39,BOM!$J:$J,0))</f>
        <v>#N/A</v>
      </c>
      <c r="H39" s="260" t="e">
        <f>INDEX(BOM!$T:$T,MATCH(C39,BOM!$K:$K,0))</f>
        <v>#N/A</v>
      </c>
      <c r="I39" s="248" t="str">
        <f t="shared" si="10"/>
        <v>-</v>
      </c>
      <c r="J39" s="240" t="str">
        <f t="shared" si="10"/>
        <v>-</v>
      </c>
      <c r="K39" s="240" t="str">
        <f t="shared" si="10"/>
        <v>-</v>
      </c>
      <c r="L39" s="260" t="str">
        <f t="shared" si="10"/>
        <v>-</v>
      </c>
      <c r="M39" s="240" t="str">
        <f t="shared" si="10"/>
        <v>-</v>
      </c>
      <c r="N39" s="240" t="str">
        <f t="shared" si="10"/>
        <v>-</v>
      </c>
      <c r="O39" s="242"/>
      <c r="P39" s="242"/>
      <c r="Q39" s="242"/>
      <c r="R39" s="242"/>
      <c r="S39" s="242"/>
      <c r="T39" s="242" t="e">
        <f>INDEX(#REF!,MATCH(S39,#REF!,0))</f>
        <v>#REF!</v>
      </c>
      <c r="U39" s="270" t="e">
        <f t="shared" si="2"/>
        <v>#REF!</v>
      </c>
      <c r="V39" s="277" t="e">
        <f t="shared" si="4"/>
        <v>#REF!</v>
      </c>
      <c r="W39" s="101"/>
      <c r="X39" s="253" t="e">
        <f>INDEX(#REF!,MATCH(I39,#REF!,0))</f>
        <v>#REF!</v>
      </c>
    </row>
    <row r="40" spans="1:24" s="3" customFormat="1" ht="21.6">
      <c r="A40" s="260" t="s">
        <v>9779</v>
      </c>
      <c r="B40" s="260" t="s">
        <v>8802</v>
      </c>
      <c r="C40" s="260" t="s">
        <v>9814</v>
      </c>
      <c r="D40" s="260" t="s">
        <v>9815</v>
      </c>
      <c r="E40" s="260" t="str">
        <f t="shared" si="10"/>
        <v>-</v>
      </c>
      <c r="F40" s="260" t="str">
        <f t="shared" si="10"/>
        <v>-</v>
      </c>
      <c r="G40" s="260" t="e">
        <f>INDEX(BOM!$T:$T,MATCH(B40,BOM!$J:$J,0))</f>
        <v>#N/A</v>
      </c>
      <c r="H40" s="260" t="e">
        <f>INDEX(BOM!$T:$T,MATCH(C40,BOM!$K:$K,0))</f>
        <v>#N/A</v>
      </c>
      <c r="I40" s="248" t="s">
        <v>9789</v>
      </c>
      <c r="J40" s="240" t="str">
        <f t="shared" si="10"/>
        <v>-</v>
      </c>
      <c r="K40" s="240" t="str">
        <f t="shared" si="10"/>
        <v>-</v>
      </c>
      <c r="L40" s="260" t="str">
        <f t="shared" si="10"/>
        <v>-</v>
      </c>
      <c r="M40" s="240" t="str">
        <f t="shared" si="10"/>
        <v>-</v>
      </c>
      <c r="N40" s="240" t="str">
        <f t="shared" si="10"/>
        <v>-</v>
      </c>
      <c r="O40" s="242"/>
      <c r="P40" s="242"/>
      <c r="Q40" s="242"/>
      <c r="R40" s="242"/>
      <c r="S40" s="242"/>
      <c r="T40" s="242" t="e">
        <f>INDEX(#REF!,MATCH(S40,#REF!,0))</f>
        <v>#REF!</v>
      </c>
      <c r="U40" s="270" t="e">
        <f t="shared" si="2"/>
        <v>#REF!</v>
      </c>
      <c r="V40" s="277" t="e">
        <f t="shared" si="4"/>
        <v>#REF!</v>
      </c>
      <c r="W40" s="101"/>
      <c r="X40" s="253" t="e">
        <f>INDEX(#REF!,MATCH(I40,#REF!,0))</f>
        <v>#REF!</v>
      </c>
    </row>
    <row r="41" spans="1:24" s="3" customFormat="1" ht="61.2">
      <c r="A41" s="260" t="s">
        <v>9779</v>
      </c>
      <c r="B41" s="260" t="s">
        <v>8802</v>
      </c>
      <c r="C41" s="260" t="s">
        <v>9814</v>
      </c>
      <c r="D41" s="260" t="s">
        <v>9816</v>
      </c>
      <c r="E41" s="260" t="str">
        <f t="shared" si="10"/>
        <v>-</v>
      </c>
      <c r="F41" s="260" t="str">
        <f t="shared" si="10"/>
        <v>-</v>
      </c>
      <c r="G41" s="260" t="e">
        <f>INDEX(BOM!$T:$T,MATCH(B41,BOM!$J:$J,0))</f>
        <v>#N/A</v>
      </c>
      <c r="H41" s="260" t="e">
        <f>INDEX(BOM!$T:$T,MATCH(C41,BOM!$K:$K,0))</f>
        <v>#N/A</v>
      </c>
      <c r="I41" s="248" t="s">
        <v>9791</v>
      </c>
      <c r="J41" s="240" t="str">
        <f t="shared" si="10"/>
        <v>-</v>
      </c>
      <c r="K41" s="240" t="str">
        <f t="shared" si="10"/>
        <v>-</v>
      </c>
      <c r="L41" s="260" t="str">
        <f t="shared" si="10"/>
        <v>-</v>
      </c>
      <c r="M41" s="240" t="str">
        <f t="shared" si="10"/>
        <v>-</v>
      </c>
      <c r="N41" s="240" t="str">
        <f t="shared" si="10"/>
        <v>-</v>
      </c>
      <c r="O41" s="242"/>
      <c r="P41" s="242"/>
      <c r="Q41" s="242"/>
      <c r="R41" s="242"/>
      <c r="S41" s="242"/>
      <c r="T41" s="242" t="e">
        <f>INDEX(#REF!,MATCH(S41,#REF!,0))</f>
        <v>#REF!</v>
      </c>
      <c r="U41" s="270" t="e">
        <f t="shared" si="2"/>
        <v>#REF!</v>
      </c>
      <c r="V41" s="277" t="e">
        <f t="shared" si="4"/>
        <v>#REF!</v>
      </c>
      <c r="W41" s="101"/>
      <c r="X41" s="253" t="e">
        <f>INDEX(#REF!,MATCH(I41,#REF!,0))</f>
        <v>#REF!</v>
      </c>
    </row>
    <row r="42" spans="1:24" s="3" customFormat="1" ht="71.400000000000006">
      <c r="A42" s="260" t="s">
        <v>9779</v>
      </c>
      <c r="B42" s="260" t="s">
        <v>8802</v>
      </c>
      <c r="C42" s="260" t="s">
        <v>9814</v>
      </c>
      <c r="D42" s="260" t="s">
        <v>9817</v>
      </c>
      <c r="E42" s="260" t="str">
        <f t="shared" si="10"/>
        <v>-</v>
      </c>
      <c r="F42" s="260" t="str">
        <f t="shared" si="10"/>
        <v>-</v>
      </c>
      <c r="G42" s="260" t="e">
        <f>INDEX(BOM!$T:$T,MATCH(B42,BOM!$J:$J,0))</f>
        <v>#N/A</v>
      </c>
      <c r="H42" s="260" t="e">
        <f>INDEX(BOM!$T:$T,MATCH(C42,BOM!$K:$K,0))</f>
        <v>#N/A</v>
      </c>
      <c r="I42" s="248" t="s">
        <v>9789</v>
      </c>
      <c r="J42" s="240" t="str">
        <f t="shared" si="10"/>
        <v>-</v>
      </c>
      <c r="K42" s="240" t="str">
        <f t="shared" si="10"/>
        <v>-</v>
      </c>
      <c r="L42" s="260" t="str">
        <f t="shared" si="10"/>
        <v>-</v>
      </c>
      <c r="M42" s="240" t="str">
        <f t="shared" si="10"/>
        <v>-</v>
      </c>
      <c r="N42" s="240" t="str">
        <f t="shared" si="10"/>
        <v>-</v>
      </c>
      <c r="O42" s="242"/>
      <c r="P42" s="242"/>
      <c r="Q42" s="242"/>
      <c r="R42" s="242"/>
      <c r="S42" s="242"/>
      <c r="T42" s="242" t="e">
        <f>INDEX(#REF!,MATCH(S42,#REF!,0))</f>
        <v>#REF!</v>
      </c>
      <c r="U42" s="270" t="e">
        <f t="shared" si="2"/>
        <v>#REF!</v>
      </c>
      <c r="V42" s="277" t="e">
        <f t="shared" si="4"/>
        <v>#REF!</v>
      </c>
      <c r="W42" s="101"/>
      <c r="X42" s="253" t="e">
        <f>INDEX(#REF!,MATCH(I42,#REF!,0))</f>
        <v>#REF!</v>
      </c>
    </row>
    <row r="43" spans="1:24" s="3" customFormat="1" ht="26.1" customHeight="1">
      <c r="A43" s="260" t="s">
        <v>9779</v>
      </c>
      <c r="B43" s="260" t="s">
        <v>8802</v>
      </c>
      <c r="C43" s="260" t="s">
        <v>9814</v>
      </c>
      <c r="D43" s="260" t="s">
        <v>9818</v>
      </c>
      <c r="E43" s="260" t="str">
        <f t="shared" si="10"/>
        <v>-</v>
      </c>
      <c r="F43" s="260" t="str">
        <f t="shared" si="10"/>
        <v>-</v>
      </c>
      <c r="G43" s="260" t="e">
        <f>INDEX(BOM!$T:$T,MATCH(B43,BOM!$J:$J,0))</f>
        <v>#N/A</v>
      </c>
      <c r="H43" s="260" t="e">
        <f>INDEX(BOM!$T:$T,MATCH(C43,BOM!$K:$K,0))</f>
        <v>#N/A</v>
      </c>
      <c r="I43" s="248" t="s">
        <v>9791</v>
      </c>
      <c r="J43" s="240" t="str">
        <f t="shared" si="10"/>
        <v>-</v>
      </c>
      <c r="K43" s="240" t="str">
        <f t="shared" si="10"/>
        <v>-</v>
      </c>
      <c r="L43" s="260" t="str">
        <f t="shared" si="10"/>
        <v>-</v>
      </c>
      <c r="M43" s="240" t="str">
        <f t="shared" si="10"/>
        <v>-</v>
      </c>
      <c r="N43" s="240" t="str">
        <f t="shared" si="10"/>
        <v>-</v>
      </c>
      <c r="O43" s="242"/>
      <c r="P43" s="242"/>
      <c r="Q43" s="242"/>
      <c r="R43" s="242"/>
      <c r="S43" s="242"/>
      <c r="T43" s="242" t="e">
        <f>INDEX(#REF!,MATCH(S43,#REF!,0))</f>
        <v>#REF!</v>
      </c>
      <c r="U43" s="270" t="e">
        <f t="shared" si="2"/>
        <v>#REF!</v>
      </c>
      <c r="V43" s="277" t="e">
        <f t="shared" si="4"/>
        <v>#REF!</v>
      </c>
      <c r="W43" s="101"/>
      <c r="X43" s="253" t="e">
        <f>INDEX(#REF!,MATCH(I43,#REF!,0))</f>
        <v>#REF!</v>
      </c>
    </row>
    <row r="44" spans="1:24" s="3" customFormat="1" ht="96.6" customHeight="1">
      <c r="A44" s="260" t="s">
        <v>9779</v>
      </c>
      <c r="B44" s="260" t="s">
        <v>8802</v>
      </c>
      <c r="C44" s="260" t="s">
        <v>9814</v>
      </c>
      <c r="D44" s="260" t="s">
        <v>9819</v>
      </c>
      <c r="E44" s="260" t="str">
        <f t="shared" si="10"/>
        <v>-</v>
      </c>
      <c r="F44" s="260" t="str">
        <f t="shared" si="10"/>
        <v>-</v>
      </c>
      <c r="G44" s="260" t="e">
        <f>INDEX(BOM!$T:$T,MATCH(B44,BOM!$J:$J,0))</f>
        <v>#N/A</v>
      </c>
      <c r="H44" s="260" t="e">
        <f>INDEX(BOM!$T:$T,MATCH(C44,BOM!$K:$K,0))</f>
        <v>#N/A</v>
      </c>
      <c r="I44" s="248" t="s">
        <v>9789</v>
      </c>
      <c r="J44" s="240" t="str">
        <f t="shared" si="10"/>
        <v>-</v>
      </c>
      <c r="K44" s="240" t="str">
        <f t="shared" si="10"/>
        <v>-</v>
      </c>
      <c r="L44" s="260" t="str">
        <f t="shared" si="10"/>
        <v>-</v>
      </c>
      <c r="M44" s="240" t="str">
        <f t="shared" si="10"/>
        <v>-</v>
      </c>
      <c r="N44" s="240" t="str">
        <f t="shared" si="10"/>
        <v>-</v>
      </c>
      <c r="O44" s="242"/>
      <c r="P44" s="242"/>
      <c r="Q44" s="242"/>
      <c r="R44" s="242"/>
      <c r="S44" s="242"/>
      <c r="T44" s="242" t="e">
        <f>INDEX(#REF!,MATCH(S44,#REF!,0))</f>
        <v>#REF!</v>
      </c>
      <c r="U44" s="270" t="e">
        <f t="shared" si="2"/>
        <v>#REF!</v>
      </c>
      <c r="V44" s="277" t="e">
        <f t="shared" si="4"/>
        <v>#REF!</v>
      </c>
      <c r="W44" s="101"/>
      <c r="X44" s="253" t="e">
        <f>INDEX(#REF!,MATCH(I44,#REF!,0))</f>
        <v>#REF!</v>
      </c>
    </row>
    <row r="45" spans="1:24" s="3" customFormat="1" ht="37.049999999999997" customHeight="1">
      <c r="A45" s="260" t="s">
        <v>9779</v>
      </c>
      <c r="B45" s="260" t="s">
        <v>8802</v>
      </c>
      <c r="C45" s="260" t="s">
        <v>9814</v>
      </c>
      <c r="D45" s="260" t="s">
        <v>9820</v>
      </c>
      <c r="E45" s="260" t="str">
        <f t="shared" si="10"/>
        <v>-</v>
      </c>
      <c r="F45" s="260" t="str">
        <f t="shared" si="10"/>
        <v>-</v>
      </c>
      <c r="G45" s="260" t="e">
        <f>INDEX(BOM!$T:$T,MATCH(B45,BOM!$J:$J,0))</f>
        <v>#N/A</v>
      </c>
      <c r="H45" s="260" t="e">
        <f>INDEX(BOM!$T:$T,MATCH(C45,BOM!$K:$K,0))</f>
        <v>#N/A</v>
      </c>
      <c r="I45" s="248" t="s">
        <v>9791</v>
      </c>
      <c r="J45" s="240" t="str">
        <f t="shared" si="10"/>
        <v>-</v>
      </c>
      <c r="K45" s="240" t="str">
        <f t="shared" si="10"/>
        <v>-</v>
      </c>
      <c r="L45" s="260" t="str">
        <f t="shared" si="10"/>
        <v>-</v>
      </c>
      <c r="M45" s="240" t="str">
        <f t="shared" si="10"/>
        <v>-</v>
      </c>
      <c r="N45" s="240" t="str">
        <f t="shared" si="10"/>
        <v>-</v>
      </c>
      <c r="O45" s="242"/>
      <c r="P45" s="242"/>
      <c r="Q45" s="242"/>
      <c r="R45" s="242"/>
      <c r="S45" s="242"/>
      <c r="T45" s="242" t="e">
        <f>INDEX(#REF!,MATCH(S45,#REF!,0))</f>
        <v>#REF!</v>
      </c>
      <c r="U45" s="270" t="e">
        <f t="shared" si="2"/>
        <v>#REF!</v>
      </c>
      <c r="V45" s="277" t="e">
        <f t="shared" si="4"/>
        <v>#REF!</v>
      </c>
      <c r="W45" s="101"/>
      <c r="X45" s="253" t="e">
        <f>INDEX(#REF!,MATCH(I45,#REF!,0))</f>
        <v>#REF!</v>
      </c>
    </row>
    <row r="46" spans="1:24" s="3" customFormat="1" ht="30.6">
      <c r="A46" s="260" t="s">
        <v>9779</v>
      </c>
      <c r="B46" s="260" t="s">
        <v>8802</v>
      </c>
      <c r="C46" s="260" t="s">
        <v>9814</v>
      </c>
      <c r="D46" s="260" t="s">
        <v>9821</v>
      </c>
      <c r="E46" s="260" t="str">
        <f t="shared" si="10"/>
        <v>-</v>
      </c>
      <c r="F46" s="260" t="str">
        <f t="shared" si="10"/>
        <v>-</v>
      </c>
      <c r="G46" s="260" t="e">
        <f>INDEX(BOM!$T:$T,MATCH(B46,BOM!$J:$J,0))</f>
        <v>#N/A</v>
      </c>
      <c r="H46" s="260" t="e">
        <f>INDEX(BOM!$T:$T,MATCH(C46,BOM!$K:$K,0))</f>
        <v>#N/A</v>
      </c>
      <c r="I46" s="248" t="s">
        <v>9789</v>
      </c>
      <c r="J46" s="240" t="str">
        <f t="shared" si="10"/>
        <v>-</v>
      </c>
      <c r="K46" s="240" t="str">
        <f t="shared" si="10"/>
        <v>-</v>
      </c>
      <c r="L46" s="260" t="str">
        <f t="shared" si="10"/>
        <v>-</v>
      </c>
      <c r="M46" s="240" t="str">
        <f t="shared" si="10"/>
        <v>-</v>
      </c>
      <c r="N46" s="240" t="str">
        <f t="shared" si="10"/>
        <v>-</v>
      </c>
      <c r="O46" s="242"/>
      <c r="P46" s="242"/>
      <c r="Q46" s="242"/>
      <c r="R46" s="242"/>
      <c r="S46" s="242"/>
      <c r="T46" s="242" t="e">
        <f>INDEX(#REF!,MATCH(S46,#REF!,0))</f>
        <v>#REF!</v>
      </c>
      <c r="U46" s="270" t="e">
        <f t="shared" si="2"/>
        <v>#REF!</v>
      </c>
      <c r="V46" s="277" t="e">
        <f t="shared" si="4"/>
        <v>#REF!</v>
      </c>
      <c r="W46" s="101"/>
      <c r="X46" s="253" t="e">
        <f>INDEX(#REF!,MATCH(I46,#REF!,0))</f>
        <v>#REF!</v>
      </c>
    </row>
    <row r="47" spans="1:24" s="3" customFormat="1" ht="21.6">
      <c r="A47" s="260" t="s">
        <v>9779</v>
      </c>
      <c r="B47" s="260" t="s">
        <v>8802</v>
      </c>
      <c r="C47" s="260" t="s">
        <v>9814</v>
      </c>
      <c r="D47" s="260" t="s">
        <v>9822</v>
      </c>
      <c r="E47" s="260" t="str">
        <f t="shared" si="10"/>
        <v>-</v>
      </c>
      <c r="F47" s="260" t="str">
        <f t="shared" si="10"/>
        <v>-</v>
      </c>
      <c r="G47" s="260" t="e">
        <f>INDEX(BOM!$T:$T,MATCH(B47,BOM!$J:$J,0))</f>
        <v>#N/A</v>
      </c>
      <c r="H47" s="260" t="e">
        <f>INDEX(BOM!$T:$T,MATCH(C47,BOM!$K:$K,0))</f>
        <v>#N/A</v>
      </c>
      <c r="I47" s="248" t="s">
        <v>9791</v>
      </c>
      <c r="J47" s="240" t="str">
        <f t="shared" si="10"/>
        <v>-</v>
      </c>
      <c r="K47" s="240" t="str">
        <f t="shared" si="10"/>
        <v>-</v>
      </c>
      <c r="L47" s="260" t="str">
        <f t="shared" si="10"/>
        <v>-</v>
      </c>
      <c r="M47" s="240" t="str">
        <f t="shared" si="10"/>
        <v>-</v>
      </c>
      <c r="N47" s="240" t="str">
        <f t="shared" si="10"/>
        <v>-</v>
      </c>
      <c r="O47" s="242"/>
      <c r="P47" s="242"/>
      <c r="Q47" s="242"/>
      <c r="R47" s="242"/>
      <c r="S47" s="242"/>
      <c r="T47" s="242" t="e">
        <f>INDEX(#REF!,MATCH(S47,#REF!,0))</f>
        <v>#REF!</v>
      </c>
      <c r="U47" s="270" t="e">
        <f t="shared" si="2"/>
        <v>#REF!</v>
      </c>
      <c r="V47" s="277" t="e">
        <f t="shared" si="4"/>
        <v>#REF!</v>
      </c>
      <c r="W47" s="101"/>
      <c r="X47" s="253" t="e">
        <f>INDEX(#REF!,MATCH(I47,#REF!,0))</f>
        <v>#REF!</v>
      </c>
    </row>
    <row r="48" spans="1:24" s="3" customFormat="1" ht="50.1" customHeight="1">
      <c r="A48" s="260" t="s">
        <v>9779</v>
      </c>
      <c r="B48" s="260" t="s">
        <v>8802</v>
      </c>
      <c r="C48" s="260" t="s">
        <v>9814</v>
      </c>
      <c r="D48" s="260" t="s">
        <v>9823</v>
      </c>
      <c r="E48" s="260" t="str">
        <f t="shared" si="10"/>
        <v>-</v>
      </c>
      <c r="F48" s="260" t="str">
        <f t="shared" si="10"/>
        <v>-</v>
      </c>
      <c r="G48" s="260" t="e">
        <f>INDEX(BOM!$T:$T,MATCH(B48,BOM!$J:$J,0))</f>
        <v>#N/A</v>
      </c>
      <c r="H48" s="260" t="e">
        <f>INDEX(BOM!$T:$T,MATCH(C48,BOM!$K:$K,0))</f>
        <v>#N/A</v>
      </c>
      <c r="I48" s="248" t="s">
        <v>9789</v>
      </c>
      <c r="J48" s="240" t="str">
        <f t="shared" si="10"/>
        <v>-</v>
      </c>
      <c r="K48" s="240" t="str">
        <f t="shared" si="10"/>
        <v>-</v>
      </c>
      <c r="L48" s="260" t="str">
        <f t="shared" si="10"/>
        <v>-</v>
      </c>
      <c r="M48" s="240" t="str">
        <f t="shared" si="10"/>
        <v>-</v>
      </c>
      <c r="N48" s="240" t="str">
        <f t="shared" si="10"/>
        <v>-</v>
      </c>
      <c r="O48" s="242"/>
      <c r="P48" s="242"/>
      <c r="Q48" s="242"/>
      <c r="R48" s="242"/>
      <c r="S48" s="242"/>
      <c r="T48" s="242" t="e">
        <f>INDEX(#REF!,MATCH(S48,#REF!,0))</f>
        <v>#REF!</v>
      </c>
      <c r="U48" s="270" t="e">
        <f t="shared" si="2"/>
        <v>#REF!</v>
      </c>
      <c r="V48" s="277" t="e">
        <f t="shared" si="4"/>
        <v>#REF!</v>
      </c>
      <c r="W48" s="101"/>
      <c r="X48" s="253" t="e">
        <f>INDEX(#REF!,MATCH(I48,#REF!,0))</f>
        <v>#REF!</v>
      </c>
    </row>
    <row r="49" spans="1:24" s="3" customFormat="1" ht="22.05" customHeight="1">
      <c r="A49" s="260" t="s">
        <v>9779</v>
      </c>
      <c r="B49" s="260" t="s">
        <v>8802</v>
      </c>
      <c r="C49" s="260" t="s">
        <v>9824</v>
      </c>
      <c r="D49" s="281" t="s">
        <v>9825</v>
      </c>
      <c r="E49" s="260" t="s">
        <v>9826</v>
      </c>
      <c r="F49" s="260" t="s">
        <v>9826</v>
      </c>
      <c r="G49" s="260" t="e">
        <f>INDEX(BOM!$T:$T,MATCH(B49,BOM!$J:$J,0))</f>
        <v>#N/A</v>
      </c>
      <c r="H49" s="260" t="e">
        <f>INDEX(BOM!$T:$T,MATCH(C49,BOM!$K:$K,0))</f>
        <v>#N/A</v>
      </c>
      <c r="I49" s="241" t="s">
        <v>2741</v>
      </c>
      <c r="J49" s="241" t="s">
        <v>109</v>
      </c>
      <c r="K49" s="241" t="s">
        <v>107</v>
      </c>
      <c r="L49" s="259">
        <f>SUMIF(BOM!$K$15:$K$213,"*driver*",BOM!$G$14:$G$213)</f>
        <v>0</v>
      </c>
      <c r="M49" s="240" t="str">
        <f t="shared" si="10"/>
        <v>-</v>
      </c>
      <c r="N49" s="241" t="s">
        <v>6335</v>
      </c>
      <c r="O49" s="242"/>
      <c r="P49" s="242"/>
      <c r="Q49" s="242"/>
      <c r="R49" s="242">
        <f>SUMIF(BOM!$K$15:$K$213,"*driver*",BOM!$G$14:$G$213)</f>
        <v>0</v>
      </c>
      <c r="S49" s="242" t="s">
        <v>9826</v>
      </c>
      <c r="T49" s="242" t="e">
        <f>INDEX(#REF!,MATCH(S49,#REF!,0))</f>
        <v>#REF!</v>
      </c>
      <c r="U49" s="270" t="e">
        <f t="shared" si="2"/>
        <v>#REF!</v>
      </c>
      <c r="V49" s="277" t="e">
        <f t="shared" si="4"/>
        <v>#REF!</v>
      </c>
      <c r="W49" s="101"/>
      <c r="X49" s="253" t="e">
        <f>INDEX(#REF!,MATCH(I49,#REF!,0))</f>
        <v>#REF!</v>
      </c>
    </row>
    <row r="50" spans="1:24" s="3" customFormat="1" ht="22.05" customHeight="1">
      <c r="A50" s="260" t="s">
        <v>9779</v>
      </c>
      <c r="B50" s="260" t="s">
        <v>8802</v>
      </c>
      <c r="C50" s="260" t="s">
        <v>9824</v>
      </c>
      <c r="D50" s="281" t="s">
        <v>9825</v>
      </c>
      <c r="E50" s="260" t="s">
        <v>9826</v>
      </c>
      <c r="F50" s="260" t="s">
        <v>9826</v>
      </c>
      <c r="G50" s="260" t="e">
        <f>INDEX(BOM!$T:$T,MATCH(B50,BOM!$J:$J,0))</f>
        <v>#N/A</v>
      </c>
      <c r="H50" s="260" t="e">
        <f>INDEX(BOM!$T:$T,MATCH(C50,BOM!$K:$K,0))</f>
        <v>#N/A</v>
      </c>
      <c r="I50" s="241" t="s">
        <v>2743</v>
      </c>
      <c r="J50" s="241" t="s">
        <v>109</v>
      </c>
      <c r="K50" s="241" t="s">
        <v>107</v>
      </c>
      <c r="L50" s="259">
        <f>SUMIF(BOM!$K$15:$K$213,"*smart*",BOM!$G$14:$G$213)</f>
        <v>0</v>
      </c>
      <c r="M50" s="240" t="str">
        <f t="shared" si="10"/>
        <v>-</v>
      </c>
      <c r="N50" s="241" t="s">
        <v>6335</v>
      </c>
      <c r="O50" s="242"/>
      <c r="P50" s="242"/>
      <c r="Q50" s="242"/>
      <c r="R50" s="242">
        <f>SUMIF(BOM!$K$15:$K$213,"*smart*",BOM!$G$14:$G$213)</f>
        <v>0</v>
      </c>
      <c r="S50" s="242" t="s">
        <v>9826</v>
      </c>
      <c r="T50" s="242" t="e">
        <f>INDEX(#REF!,MATCH(S50,#REF!,0))</f>
        <v>#REF!</v>
      </c>
      <c r="U50" s="270" t="e">
        <f t="shared" si="2"/>
        <v>#REF!</v>
      </c>
      <c r="V50" s="277" t="e">
        <f t="shared" si="4"/>
        <v>#REF!</v>
      </c>
      <c r="W50" s="101"/>
      <c r="X50" s="253" t="e">
        <f>INDEX(#REF!,MATCH(I50,#REF!,0))</f>
        <v>#REF!</v>
      </c>
    </row>
    <row r="51" spans="1:24" s="3" customFormat="1" ht="22.05" customHeight="1">
      <c r="A51" s="260" t="s">
        <v>9779</v>
      </c>
      <c r="B51" s="260" t="s">
        <v>8802</v>
      </c>
      <c r="C51" s="260" t="s">
        <v>9824</v>
      </c>
      <c r="D51" s="281" t="s">
        <v>9827</v>
      </c>
      <c r="E51" s="260" t="s">
        <v>9826</v>
      </c>
      <c r="F51" s="260" t="s">
        <v>9826</v>
      </c>
      <c r="G51" s="260" t="e">
        <f>INDEX(BOM!$T:$T,MATCH(B51,BOM!$J:$J,0))</f>
        <v>#N/A</v>
      </c>
      <c r="H51" s="260" t="e">
        <f>INDEX(BOM!$T:$T,MATCH(C51,BOM!$K:$K,0))</f>
        <v>#N/A</v>
      </c>
      <c r="I51" s="241" t="s">
        <v>9828</v>
      </c>
      <c r="J51" s="241" t="s">
        <v>169</v>
      </c>
      <c r="K51" s="241" t="s">
        <v>167</v>
      </c>
      <c r="L51" s="259">
        <f ca="1">(SUMIF(BOM!$L$15:$KK$213,"*integrated*",BOM!$G$14:$G$213))/0.357</f>
        <v>0</v>
      </c>
      <c r="M51" s="241" t="s">
        <v>9829</v>
      </c>
      <c r="N51" s="241" t="s">
        <v>6335</v>
      </c>
      <c r="O51" s="242"/>
      <c r="P51" s="242"/>
      <c r="Q51" s="242"/>
      <c r="R51" s="242">
        <f ca="1">SUMIF(BOM!$L$15:$KK$213,"*integrated*",BOM!$G$14:$G$213)</f>
        <v>0</v>
      </c>
      <c r="S51" s="242" t="s">
        <v>9830</v>
      </c>
      <c r="T51" s="242" t="e">
        <f>INDEX(#REF!,MATCH(S51,#REF!,0))</f>
        <v>#REF!</v>
      </c>
      <c r="U51" s="270" t="e">
        <f t="shared" ca="1" si="2"/>
        <v>#REF!</v>
      </c>
      <c r="V51" s="277" t="e">
        <f t="shared" ca="1" si="4"/>
        <v>#REF!</v>
      </c>
      <c r="W51" s="101"/>
      <c r="X51" s="253" t="e">
        <f>INDEX(#REF!,MATCH(I51,#REF!,0))</f>
        <v>#REF!</v>
      </c>
    </row>
    <row r="52" spans="1:24" s="3" customFormat="1" ht="22.05" customHeight="1">
      <c r="A52" s="260" t="s">
        <v>9779</v>
      </c>
      <c r="B52" s="260" t="s">
        <v>8802</v>
      </c>
      <c r="C52" s="260" t="s">
        <v>9824</v>
      </c>
      <c r="D52" s="281" t="s">
        <v>9831</v>
      </c>
      <c r="E52" s="260" t="s">
        <v>9826</v>
      </c>
      <c r="F52" s="260" t="s">
        <v>9826</v>
      </c>
      <c r="G52" s="260" t="e">
        <f>INDEX(BOM!$T:$T,MATCH(B52,BOM!$J:$J,0))</f>
        <v>#N/A</v>
      </c>
      <c r="H52" s="260" t="e">
        <f>INDEX(BOM!$T:$T,MATCH(C52,BOM!$K:$K,0))</f>
        <v>#N/A</v>
      </c>
      <c r="I52" s="241" t="s">
        <v>9832</v>
      </c>
      <c r="J52" s="241" t="s">
        <v>169</v>
      </c>
      <c r="K52" s="241" t="s">
        <v>167</v>
      </c>
      <c r="L52" s="259">
        <f ca="1">(SUMIF(BOM!$L$15:$KK$213,"*non integrated*",BOM!$G$14:$G$213))/0.0597</f>
        <v>0</v>
      </c>
      <c r="M52" s="241" t="s">
        <v>9833</v>
      </c>
      <c r="N52" s="241" t="s">
        <v>6335</v>
      </c>
      <c r="O52" s="242"/>
      <c r="P52" s="242"/>
      <c r="Q52" s="242"/>
      <c r="R52" s="242">
        <f ca="1">SUMIF(BOM!$L$15:$KK$213,"*non integrated*",BOM!$G$14:$G$213)</f>
        <v>0</v>
      </c>
      <c r="S52" s="242" t="s">
        <v>9834</v>
      </c>
      <c r="T52" s="242" t="e">
        <f>INDEX(#REF!,MATCH(S52,#REF!,0))</f>
        <v>#REF!</v>
      </c>
      <c r="U52" s="270" t="e">
        <f t="shared" ca="1" si="2"/>
        <v>#REF!</v>
      </c>
      <c r="V52" s="277" t="e">
        <f t="shared" ca="1" si="4"/>
        <v>#REF!</v>
      </c>
      <c r="W52" s="101"/>
      <c r="X52" s="253" t="e">
        <f>INDEX(#REF!,MATCH(I52,#REF!,0))</f>
        <v>#REF!</v>
      </c>
    </row>
    <row r="53" spans="1:24" s="3" customFormat="1" ht="22.05" customHeight="1">
      <c r="A53" s="260" t="s">
        <v>9779</v>
      </c>
      <c r="B53" s="260" t="s">
        <v>8802</v>
      </c>
      <c r="C53" s="260" t="s">
        <v>9824</v>
      </c>
      <c r="D53" s="260" t="s">
        <v>9835</v>
      </c>
      <c r="E53" s="260" t="s">
        <v>9826</v>
      </c>
      <c r="F53" s="260" t="s">
        <v>9826</v>
      </c>
      <c r="G53" s="260" t="e">
        <f>INDEX(BOM!$T:$T,MATCH(B53,BOM!$J:$J,0))</f>
        <v>#N/A</v>
      </c>
      <c r="H53" s="260" t="e">
        <f>INDEX(BOM!$T:$T,MATCH(C53,BOM!$K:$K,0))</f>
        <v>#N/A</v>
      </c>
      <c r="I53" s="241" t="s">
        <v>9785</v>
      </c>
      <c r="J53" s="241" t="s">
        <v>169</v>
      </c>
      <c r="K53" s="241" t="s">
        <v>167</v>
      </c>
      <c r="L53" s="259">
        <f>(SUMIF(BOM!$J14:$J$213,"*driver*",BOM!$G$14:$G$213))/0.205</f>
        <v>0</v>
      </c>
      <c r="M53" s="241" t="s">
        <v>9836</v>
      </c>
      <c r="N53" s="241" t="s">
        <v>6335</v>
      </c>
      <c r="O53" s="242"/>
      <c r="P53" s="242"/>
      <c r="Q53" s="242"/>
      <c r="R53" s="242">
        <f>SUMIF(BOM!$J14:$J$213,"*driver*",BOM!$G$14:$G$213)</f>
        <v>0</v>
      </c>
      <c r="S53" s="242"/>
      <c r="T53" s="242" t="e">
        <f>INDEX(#REF!,MATCH(S53,#REF!,0))</f>
        <v>#REF!</v>
      </c>
      <c r="U53" s="270" t="e">
        <f t="shared" si="2"/>
        <v>#REF!</v>
      </c>
      <c r="V53" s="277" t="e">
        <f t="shared" si="4"/>
        <v>#REF!</v>
      </c>
      <c r="W53" s="101"/>
      <c r="X53" s="253" t="e">
        <f>INDEX(#REF!,MATCH(I53,#REF!,0))</f>
        <v>#REF!</v>
      </c>
    </row>
    <row r="54" spans="1:24" s="3" customFormat="1" ht="22.05" customHeight="1">
      <c r="A54" s="260" t="s">
        <v>9779</v>
      </c>
      <c r="B54" s="260" t="s">
        <v>8802</v>
      </c>
      <c r="C54" s="260" t="s">
        <v>9824</v>
      </c>
      <c r="D54" s="281" t="s">
        <v>9837</v>
      </c>
      <c r="E54" s="260" t="s">
        <v>9826</v>
      </c>
      <c r="F54" s="260" t="s">
        <v>9826</v>
      </c>
      <c r="G54" s="260" t="e">
        <f>INDEX(BOM!$T:$T,MATCH(B54,BOM!$J:$J,0))</f>
        <v>#N/A</v>
      </c>
      <c r="H54" s="260" t="e">
        <f>INDEX(BOM!$T:$T,MATCH(C54,BOM!$K:$K,0))</f>
        <v>#N/A</v>
      </c>
      <c r="I54" s="241" t="s">
        <v>4373</v>
      </c>
      <c r="J54" s="241" t="s">
        <v>109</v>
      </c>
      <c r="K54" s="241" t="s">
        <v>107</v>
      </c>
      <c r="L54" s="259">
        <f>SUMIF(BOM!$K$15:$K$213,"*smart*",BOM!$G$14:$G$213)</f>
        <v>0</v>
      </c>
      <c r="M54" s="240" t="str">
        <f t="shared" ref="M54:M58" si="11">"-"</f>
        <v>-</v>
      </c>
      <c r="N54" s="241" t="s">
        <v>6335</v>
      </c>
      <c r="O54" s="242"/>
      <c r="P54" s="242"/>
      <c r="Q54" s="242"/>
      <c r="R54" s="242">
        <f>SUMIF(BOM!$K$15:$K$213,"*smart*",BOM!$G$14:$G$213)</f>
        <v>0</v>
      </c>
      <c r="S54" s="242" t="s">
        <v>9826</v>
      </c>
      <c r="T54" s="242" t="e">
        <f>INDEX(#REF!,MATCH(S54,#REF!,0))</f>
        <v>#REF!</v>
      </c>
      <c r="U54" s="270" t="e">
        <f t="shared" si="2"/>
        <v>#REF!</v>
      </c>
      <c r="V54" s="277" t="e">
        <f t="shared" si="4"/>
        <v>#REF!</v>
      </c>
      <c r="W54" s="101"/>
      <c r="X54" s="253" t="e">
        <f>INDEX(#REF!,MATCH(I54,#REF!,0))</f>
        <v>#REF!</v>
      </c>
    </row>
    <row r="55" spans="1:24" s="3" customFormat="1" ht="22.05" customHeight="1">
      <c r="A55" s="260" t="s">
        <v>9779</v>
      </c>
      <c r="B55" s="260" t="s">
        <v>8802</v>
      </c>
      <c r="C55" s="260" t="s">
        <v>9824</v>
      </c>
      <c r="D55" s="281" t="s">
        <v>9837</v>
      </c>
      <c r="E55" s="260" t="s">
        <v>9826</v>
      </c>
      <c r="F55" s="260" t="s">
        <v>9826</v>
      </c>
      <c r="G55" s="260" t="e">
        <f>INDEX(BOM!$T:$T,MATCH(B55,BOM!$J:$J,0))</f>
        <v>#N/A</v>
      </c>
      <c r="H55" s="260" t="e">
        <f>INDEX(BOM!$T:$T,MATCH(C55,BOM!$K:$K,0))</f>
        <v>#N/A</v>
      </c>
      <c r="I55" s="241" t="s">
        <v>4375</v>
      </c>
      <c r="J55" s="241" t="s">
        <v>109</v>
      </c>
      <c r="K55" s="241" t="s">
        <v>107</v>
      </c>
      <c r="L55" s="259">
        <f>SUMIF(BOM!$K$15:$K$213,"*smart*",BOM!$G$14:$G$213)</f>
        <v>0</v>
      </c>
      <c r="M55" s="240" t="str">
        <f t="shared" si="11"/>
        <v>-</v>
      </c>
      <c r="N55" s="241" t="s">
        <v>6335</v>
      </c>
      <c r="O55" s="242"/>
      <c r="P55" s="242"/>
      <c r="Q55" s="242"/>
      <c r="R55" s="242">
        <f>SUMIF(BOM!$K$15:$K$213,"*smart*",BOM!$G$14:$G$213)</f>
        <v>0</v>
      </c>
      <c r="S55" s="242" t="s">
        <v>9826</v>
      </c>
      <c r="T55" s="242" t="e">
        <f>INDEX(#REF!,MATCH(S55,#REF!,0))</f>
        <v>#REF!</v>
      </c>
      <c r="U55" s="270" t="e">
        <f t="shared" si="2"/>
        <v>#REF!</v>
      </c>
      <c r="V55" s="277" t="e">
        <f t="shared" si="4"/>
        <v>#REF!</v>
      </c>
      <c r="W55" s="101"/>
      <c r="X55" s="253" t="e">
        <f>INDEX(#REF!,MATCH(I55,#REF!,0))</f>
        <v>#REF!</v>
      </c>
    </row>
    <row r="56" spans="1:24" s="3" customFormat="1" ht="22.05" customHeight="1">
      <c r="A56" s="260" t="s">
        <v>9779</v>
      </c>
      <c r="B56" s="260" t="s">
        <v>8802</v>
      </c>
      <c r="C56" s="260" t="s">
        <v>9824</v>
      </c>
      <c r="D56" s="281" t="s">
        <v>9838</v>
      </c>
      <c r="E56" s="260" t="s">
        <v>9826</v>
      </c>
      <c r="F56" s="260" t="s">
        <v>9826</v>
      </c>
      <c r="G56" s="260" t="e">
        <f>INDEX(BOM!$T:$T,MATCH(B56,BOM!$J:$J,0))</f>
        <v>#N/A</v>
      </c>
      <c r="H56" s="260" t="e">
        <f>INDEX(BOM!$T:$T,MATCH(C56,BOM!$K:$K,0))</f>
        <v>#N/A</v>
      </c>
      <c r="I56" s="241" t="s">
        <v>6243</v>
      </c>
      <c r="J56" s="241" t="s">
        <v>109</v>
      </c>
      <c r="K56" s="241" t="s">
        <v>107</v>
      </c>
      <c r="L56" s="259">
        <f>SUMIF(BOM!$L$15:$L$213,"*dimmability*",BOM!$G$14:$G$213)</f>
        <v>0</v>
      </c>
      <c r="M56" s="240" t="str">
        <f t="shared" si="11"/>
        <v>-</v>
      </c>
      <c r="N56" s="241" t="s">
        <v>6335</v>
      </c>
      <c r="O56" s="242"/>
      <c r="P56" s="242"/>
      <c r="Q56" s="242"/>
      <c r="R56" s="242">
        <f>SUMIF(BOM!$L$15:$L$213,"*dimmability*",BOM!$G$14:$G$213)</f>
        <v>0</v>
      </c>
      <c r="S56" s="242" t="s">
        <v>9826</v>
      </c>
      <c r="T56" s="242" t="e">
        <f>INDEX(#REF!,MATCH(S56,#REF!,0))</f>
        <v>#REF!</v>
      </c>
      <c r="U56" s="270" t="e">
        <f t="shared" si="2"/>
        <v>#REF!</v>
      </c>
      <c r="V56" s="277" t="e">
        <f t="shared" si="4"/>
        <v>#REF!</v>
      </c>
      <c r="W56" s="101"/>
      <c r="X56" s="253" t="e">
        <f>INDEX(#REF!,MATCH(I56,#REF!,0))</f>
        <v>#REF!</v>
      </c>
    </row>
    <row r="57" spans="1:24" s="3" customFormat="1" ht="22.05" customHeight="1">
      <c r="A57" s="260" t="s">
        <v>9779</v>
      </c>
      <c r="B57" s="260" t="s">
        <v>8802</v>
      </c>
      <c r="C57" s="260" t="s">
        <v>9824</v>
      </c>
      <c r="D57" s="281" t="s">
        <v>9839</v>
      </c>
      <c r="E57" s="260" t="s">
        <v>9826</v>
      </c>
      <c r="F57" s="260" t="s">
        <v>9826</v>
      </c>
      <c r="G57" s="260" t="e">
        <f>INDEX(BOM!$T:$T,MATCH(B57,BOM!$J:$J,0))</f>
        <v>#N/A</v>
      </c>
      <c r="H57" s="260" t="e">
        <f>INDEX(BOM!$T:$T,MATCH(C57,BOM!$K:$K,0))</f>
        <v>#N/A</v>
      </c>
      <c r="I57" s="241" t="s">
        <v>6247</v>
      </c>
      <c r="J57" s="241" t="s">
        <v>109</v>
      </c>
      <c r="K57" s="241" t="s">
        <v>107</v>
      </c>
      <c r="L57" s="259">
        <f>SUMIF(BOM!$K$15:$K$213,"*driver*",BOM!$G$14:$G$213)</f>
        <v>0</v>
      </c>
      <c r="M57" s="240" t="str">
        <f t="shared" si="11"/>
        <v>-</v>
      </c>
      <c r="N57" s="241" t="s">
        <v>6335</v>
      </c>
      <c r="O57" s="242"/>
      <c r="P57" s="242"/>
      <c r="Q57" s="242"/>
      <c r="R57" s="242">
        <f>SUMIF(BOM!$K$15:$K$213,"*driver*",BOM!$G$14:$G$213)</f>
        <v>0</v>
      </c>
      <c r="S57" s="242" t="s">
        <v>9826</v>
      </c>
      <c r="T57" s="242" t="e">
        <f>INDEX(#REF!,MATCH(S57,#REF!,0))</f>
        <v>#REF!</v>
      </c>
      <c r="U57" s="270" t="e">
        <f t="shared" si="2"/>
        <v>#REF!</v>
      </c>
      <c r="V57" s="277" t="e">
        <f t="shared" si="4"/>
        <v>#REF!</v>
      </c>
      <c r="W57" s="101"/>
      <c r="X57" s="253" t="e">
        <f>INDEX(#REF!,MATCH(I57,#REF!,0))</f>
        <v>#REF!</v>
      </c>
    </row>
    <row r="58" spans="1:24" s="3" customFormat="1" ht="22.05" customHeight="1">
      <c r="A58" s="260" t="s">
        <v>9779</v>
      </c>
      <c r="B58" s="260" t="s">
        <v>8802</v>
      </c>
      <c r="C58" s="260" t="s">
        <v>9824</v>
      </c>
      <c r="D58" s="281" t="s">
        <v>9840</v>
      </c>
      <c r="E58" s="260" t="s">
        <v>9826</v>
      </c>
      <c r="F58" s="260" t="s">
        <v>9826</v>
      </c>
      <c r="G58" s="260" t="e">
        <f>INDEX(BOM!$T:$T,MATCH(B58,BOM!$J:$J,0))</f>
        <v>#N/A</v>
      </c>
      <c r="H58" s="260" t="e">
        <f>INDEX(BOM!$T:$T,MATCH(C58,BOM!$K:$K,0))</f>
        <v>#N/A</v>
      </c>
      <c r="I58" s="241" t="s">
        <v>6244</v>
      </c>
      <c r="J58" s="241" t="s">
        <v>109</v>
      </c>
      <c r="K58" s="241" t="s">
        <v>107</v>
      </c>
      <c r="L58" s="259">
        <f>SUMIF(BOM!$K$15:$K$213,"*smart*",BOM!$G$14:$G$213)</f>
        <v>0</v>
      </c>
      <c r="M58" s="240" t="str">
        <f t="shared" si="11"/>
        <v>-</v>
      </c>
      <c r="N58" s="241" t="s">
        <v>6335</v>
      </c>
      <c r="O58" s="242"/>
      <c r="P58" s="242"/>
      <c r="Q58" s="242"/>
      <c r="R58" s="242">
        <f>SUMIF(BOM!$K$15:$K$213,"*smart*",BOM!$G$14:$G$213)</f>
        <v>0</v>
      </c>
      <c r="S58" s="242" t="s">
        <v>9826</v>
      </c>
      <c r="T58" s="242" t="e">
        <f>INDEX(#REF!,MATCH(S58,#REF!,0))</f>
        <v>#REF!</v>
      </c>
      <c r="U58" s="270" t="e">
        <f t="shared" si="2"/>
        <v>#REF!</v>
      </c>
      <c r="V58" s="277" t="e">
        <f t="shared" si="4"/>
        <v>#REF!</v>
      </c>
      <c r="W58" s="101"/>
      <c r="X58" s="253" t="e">
        <f>INDEX(#REF!,MATCH(I58,#REF!,0))</f>
        <v>#REF!</v>
      </c>
    </row>
    <row r="59" spans="1:24" s="246" customFormat="1" ht="30.6">
      <c r="A59" s="271" t="s">
        <v>8577</v>
      </c>
      <c r="B59" s="271" t="s">
        <v>9841</v>
      </c>
      <c r="C59" s="271" t="s">
        <v>8813</v>
      </c>
      <c r="D59" s="271" t="s">
        <v>1521</v>
      </c>
      <c r="E59" s="271" t="s">
        <v>9826</v>
      </c>
      <c r="F59" s="271" t="s">
        <v>9826</v>
      </c>
      <c r="G59" s="271" t="e">
        <f>INDEX(BOM!$T:$T,MATCH(B59,BOM!$J:$J,0))</f>
        <v>#N/A</v>
      </c>
      <c r="H59" s="271" t="e">
        <f>INDEX(BOM!$T:$T,MATCH(C59,BOM!$K:$K,0))</f>
        <v>#N/A</v>
      </c>
      <c r="I59" s="245" t="s">
        <v>1521</v>
      </c>
      <c r="J59" s="246" t="s">
        <v>468</v>
      </c>
      <c r="K59" s="246" t="s">
        <v>466</v>
      </c>
      <c r="L59" s="261">
        <f>SUMIF(BOM!$K$14:$K$213,"*degreaser*",BOM!$G$14:$G$213)</f>
        <v>0</v>
      </c>
      <c r="M59" s="247" t="s">
        <v>9842</v>
      </c>
      <c r="N59" s="247"/>
      <c r="O59" s="247"/>
      <c r="P59" s="247"/>
      <c r="Q59" s="247"/>
      <c r="R59" s="247">
        <f>SUMIF(BOM!$K$14:$K$213,"*degreaser*",BOM!$G$14:$G$213)</f>
        <v>0</v>
      </c>
      <c r="S59" s="247" t="s">
        <v>9598</v>
      </c>
      <c r="T59" s="247" t="e">
        <f>INDEX(#REF!,MATCH(S59,#REF!,0))</f>
        <v>#REF!</v>
      </c>
      <c r="U59" s="270" t="e">
        <f t="shared" si="2"/>
        <v>#REF!</v>
      </c>
      <c r="V59" s="277" t="e">
        <f t="shared" si="4"/>
        <v>#REF!</v>
      </c>
      <c r="W59" s="101"/>
      <c r="X59" s="253" t="e">
        <f>INDEX(#REF!,MATCH(I59,#REF!,0))</f>
        <v>#REF!</v>
      </c>
    </row>
    <row r="60" spans="1:24" s="246" customFormat="1" ht="30.6">
      <c r="A60" s="271" t="s">
        <v>8577</v>
      </c>
      <c r="B60" s="271" t="s">
        <v>9841</v>
      </c>
      <c r="C60" s="271" t="s">
        <v>8814</v>
      </c>
      <c r="D60" s="271" t="s">
        <v>3578</v>
      </c>
      <c r="E60" s="271" t="s">
        <v>9826</v>
      </c>
      <c r="F60" s="271" t="s">
        <v>9826</v>
      </c>
      <c r="G60" s="271" t="e">
        <f>INDEX(BOM!$T:$T,MATCH(B60,BOM!$J:$J,0))</f>
        <v>#N/A</v>
      </c>
      <c r="H60" s="271" t="e">
        <f>INDEX(BOM!$T:$T,MATCH(C60,BOM!$K:$K,0))</f>
        <v>#N/A</v>
      </c>
      <c r="I60" s="245" t="s">
        <v>3578</v>
      </c>
      <c r="J60" s="246" t="s">
        <v>109</v>
      </c>
      <c r="K60" s="246" t="s">
        <v>107</v>
      </c>
      <c r="L60" s="261">
        <f>SUMIF(BOM!$K$14:$K$213,"*surfactant*",BOM!$G$14:$G$213)</f>
        <v>0</v>
      </c>
      <c r="M60" s="247" t="s">
        <v>9597</v>
      </c>
      <c r="N60" s="247"/>
      <c r="O60" s="247"/>
      <c r="P60" s="247"/>
      <c r="Q60" s="247"/>
      <c r="R60" s="247">
        <f>SUMIF(BOM!$K$14:$K$213,"*surfactant*",BOM!$G$14:$G$213)</f>
        <v>0</v>
      </c>
      <c r="S60" s="247" t="s">
        <v>9597</v>
      </c>
      <c r="T60" s="247" t="e">
        <f>INDEX(#REF!,MATCH(S60,#REF!,0))</f>
        <v>#REF!</v>
      </c>
      <c r="U60" s="270" t="e">
        <f t="shared" si="2"/>
        <v>#REF!</v>
      </c>
      <c r="V60" s="277" t="e">
        <f t="shared" si="4"/>
        <v>#REF!</v>
      </c>
      <c r="W60" s="101"/>
      <c r="X60" s="253" t="e">
        <f>INDEX(#REF!,MATCH(I60,#REF!,0))</f>
        <v>#REF!</v>
      </c>
    </row>
    <row r="61" spans="1:24" s="246" customFormat="1" ht="20.399999999999999">
      <c r="A61" s="271" t="s">
        <v>8577</v>
      </c>
      <c r="B61" s="271" t="s">
        <v>9841</v>
      </c>
      <c r="C61" s="271" t="s">
        <v>8815</v>
      </c>
      <c r="D61" s="271" t="s">
        <v>1845</v>
      </c>
      <c r="E61" s="271" t="s">
        <v>9826</v>
      </c>
      <c r="F61" s="271" t="s">
        <v>9826</v>
      </c>
      <c r="G61" s="271" t="e">
        <f>INDEX(BOM!$T:$T,MATCH(B61,BOM!$J:$J,0))</f>
        <v>#N/A</v>
      </c>
      <c r="H61" s="271" t="e">
        <f>INDEX(BOM!$T:$T,MATCH(C61,BOM!$K:$K,0))</f>
        <v>#N/A</v>
      </c>
      <c r="I61" s="245" t="s">
        <v>1845</v>
      </c>
      <c r="J61" s="246" t="s">
        <v>109</v>
      </c>
      <c r="K61" s="246" t="s">
        <v>107</v>
      </c>
      <c r="L61" s="261">
        <f>SUMIF(BOM!$K$14:$K$213,"*ethoxylated alcohol*",BOM!$G$14:$G$213)</f>
        <v>0</v>
      </c>
      <c r="M61" s="247" t="s">
        <v>9596</v>
      </c>
      <c r="N61" s="247"/>
      <c r="O61" s="247"/>
      <c r="P61" s="247"/>
      <c r="Q61" s="247"/>
      <c r="R61" s="247">
        <f>SUMIF(BOM!$K$14:$K$213,"*ethoxylated alcohol*",BOM!$G$14:$G$213)</f>
        <v>0</v>
      </c>
      <c r="S61" s="247" t="s">
        <v>9596</v>
      </c>
      <c r="T61" s="247" t="e">
        <f>INDEX(#REF!,MATCH(S61,#REF!,0))</f>
        <v>#REF!</v>
      </c>
      <c r="U61" s="270" t="e">
        <f t="shared" si="2"/>
        <v>#REF!</v>
      </c>
      <c r="V61" s="277" t="e">
        <f t="shared" si="4"/>
        <v>#REF!</v>
      </c>
      <c r="W61" s="101"/>
      <c r="X61" s="253" t="e">
        <f>INDEX(#REF!,MATCH(I61,#REF!,0))</f>
        <v>#REF!</v>
      </c>
    </row>
    <row r="62" spans="1:24" s="246" customFormat="1" ht="51">
      <c r="A62" s="271" t="s">
        <v>8577</v>
      </c>
      <c r="B62" s="271" t="s">
        <v>9841</v>
      </c>
      <c r="C62" s="271" t="s">
        <v>8816</v>
      </c>
      <c r="D62" s="271" t="s">
        <v>4919</v>
      </c>
      <c r="E62" s="271" t="s">
        <v>9826</v>
      </c>
      <c r="F62" s="271" t="s">
        <v>9826</v>
      </c>
      <c r="G62" s="271" t="e">
        <f>INDEX(BOM!$T:$T,MATCH(B62,BOM!$J:$J,0))</f>
        <v>#N/A</v>
      </c>
      <c r="H62" s="271" t="e">
        <f>INDEX(BOM!$T:$T,MATCH(C62,BOM!$K:$K,0))</f>
        <v>#N/A</v>
      </c>
      <c r="I62" s="245" t="s">
        <v>4919</v>
      </c>
      <c r="J62" s="246" t="s">
        <v>109</v>
      </c>
      <c r="K62" s="246" t="s">
        <v>107</v>
      </c>
      <c r="L62" s="261">
        <f>SUMIF(BOM!$K$14:$K$213,"*caustic*",BOM!$G$14:$G$213)</f>
        <v>0</v>
      </c>
      <c r="M62" s="247" t="s">
        <v>8816</v>
      </c>
      <c r="N62" s="247"/>
      <c r="O62" s="247"/>
      <c r="P62" s="247"/>
      <c r="Q62" s="247"/>
      <c r="R62" s="247">
        <f>SUMIF(BOM!$K$14:$K$213,"*caustic*",BOM!$G$14:$G$213)</f>
        <v>0</v>
      </c>
      <c r="S62" s="247" t="s">
        <v>8816</v>
      </c>
      <c r="T62" s="247" t="e">
        <f>INDEX(#REF!,MATCH(S62,#REF!,0))</f>
        <v>#REF!</v>
      </c>
      <c r="U62" s="270" t="e">
        <f t="shared" si="2"/>
        <v>#REF!</v>
      </c>
      <c r="V62" s="277" t="e">
        <f t="shared" si="4"/>
        <v>#REF!</v>
      </c>
      <c r="W62" s="101"/>
      <c r="X62" s="253" t="e">
        <f>INDEX(#REF!,MATCH(I62,#REF!,0))</f>
        <v>#REF!</v>
      </c>
    </row>
    <row r="63" spans="1:24" s="246" customFormat="1" ht="29.55" customHeight="1">
      <c r="A63" s="271" t="s">
        <v>8577</v>
      </c>
      <c r="B63" s="271" t="s">
        <v>9841</v>
      </c>
      <c r="C63" s="271" t="s">
        <v>8817</v>
      </c>
      <c r="D63" s="271" t="s">
        <v>1933</v>
      </c>
      <c r="E63" s="271" t="s">
        <v>9826</v>
      </c>
      <c r="F63" s="271" t="s">
        <v>9826</v>
      </c>
      <c r="G63" s="271" t="e">
        <f>INDEX(BOM!$T:$T,MATCH(B63,BOM!$J:$J,0))</f>
        <v>#N/A</v>
      </c>
      <c r="H63" s="271" t="e">
        <f>INDEX(BOM!$T:$T,MATCH(C63,BOM!$K:$K,0))</f>
        <v>#N/A</v>
      </c>
      <c r="I63" s="245" t="s">
        <v>1933</v>
      </c>
      <c r="J63" s="246" t="s">
        <v>109</v>
      </c>
      <c r="K63" s="246" t="s">
        <v>107</v>
      </c>
      <c r="L63" s="261">
        <f>SUMIF(BOM!$K$14:$K$213,"*acid cleaner*",BOM!$G$14:$G$213)</f>
        <v>0</v>
      </c>
      <c r="M63" s="247" t="s">
        <v>9593</v>
      </c>
      <c r="N63" s="247"/>
      <c r="O63" s="247"/>
      <c r="P63" s="247"/>
      <c r="Q63" s="247"/>
      <c r="R63" s="247">
        <f>SUMIF(BOM!$K$14:$K$213,"*acid cleaner*",BOM!$G$14:$G$213)</f>
        <v>0</v>
      </c>
      <c r="S63" s="247" t="s">
        <v>9593</v>
      </c>
      <c r="T63" s="247" t="e">
        <f>INDEX(#REF!,MATCH(S63,#REF!,0))</f>
        <v>#REF!</v>
      </c>
      <c r="U63" s="270" t="e">
        <f t="shared" si="2"/>
        <v>#REF!</v>
      </c>
      <c r="V63" s="277" t="e">
        <f t="shared" si="4"/>
        <v>#REF!</v>
      </c>
      <c r="W63" s="101"/>
      <c r="X63" s="253" t="e">
        <f>INDEX(#REF!,MATCH(I63,#REF!,0))</f>
        <v>#REF!</v>
      </c>
    </row>
    <row r="64" spans="1:24" s="246" customFormat="1" ht="29.55" customHeight="1">
      <c r="A64" s="271" t="s">
        <v>8577</v>
      </c>
      <c r="B64" s="271" t="s">
        <v>9841</v>
      </c>
      <c r="C64" s="271" t="s">
        <v>3048</v>
      </c>
      <c r="D64" s="271" t="s">
        <v>3048</v>
      </c>
      <c r="E64" s="271" t="s">
        <v>9826</v>
      </c>
      <c r="F64" s="271" t="s">
        <v>9826</v>
      </c>
      <c r="G64" s="271" t="e">
        <f>INDEX(BOM!$T:$T,MATCH(B64,BOM!$J:$J,0))</f>
        <v>#N/A</v>
      </c>
      <c r="H64" s="271" t="e">
        <f>INDEX(BOM!$T:$T,MATCH(C64,BOM!$K:$K,0))</f>
        <v>#N/A</v>
      </c>
      <c r="I64" s="245" t="s">
        <v>3048</v>
      </c>
      <c r="J64" s="246" t="s">
        <v>109</v>
      </c>
      <c r="K64" s="246" t="s">
        <v>107</v>
      </c>
      <c r="L64" s="261">
        <f>SUMIF(BOM!$K$14:$K$213,"*lubricating oil*",BOM!$G$14:$G$213)</f>
        <v>0</v>
      </c>
      <c r="M64" s="247" t="s">
        <v>9594</v>
      </c>
      <c r="N64" s="247"/>
      <c r="O64" s="247"/>
      <c r="P64" s="247"/>
      <c r="Q64" s="247"/>
      <c r="R64" s="247">
        <f>SUMIF(BOM!$K$14:$K$213,"*lubricating oil*",BOM!$G$14:$G$213)</f>
        <v>0</v>
      </c>
      <c r="S64" s="247" t="s">
        <v>9594</v>
      </c>
      <c r="T64" s="247" t="e">
        <f>INDEX(#REF!,MATCH(S64,#REF!,0))</f>
        <v>#REF!</v>
      </c>
      <c r="U64" s="270" t="e">
        <f t="shared" si="2"/>
        <v>#REF!</v>
      </c>
      <c r="V64" s="277" t="e">
        <f t="shared" si="4"/>
        <v>#REF!</v>
      </c>
      <c r="W64" s="101"/>
      <c r="X64" s="253" t="e">
        <f>INDEX(#REF!,MATCH(I64,#REF!,0))</f>
        <v>#REF!</v>
      </c>
    </row>
    <row r="65" spans="1:24" s="246" customFormat="1" ht="29.55" customHeight="1">
      <c r="A65" s="271" t="s">
        <v>8577</v>
      </c>
      <c r="B65" s="271" t="s">
        <v>9841</v>
      </c>
      <c r="C65" s="271" t="s">
        <v>8818</v>
      </c>
      <c r="D65" s="271" t="s">
        <v>4845</v>
      </c>
      <c r="E65" s="271" t="s">
        <v>9826</v>
      </c>
      <c r="F65" s="271" t="s">
        <v>9826</v>
      </c>
      <c r="G65" s="271" t="e">
        <f>INDEX(BOM!$T:$T,MATCH(B65,BOM!$J:$J,0))</f>
        <v>#N/A</v>
      </c>
      <c r="H65" s="271" t="e">
        <f>INDEX(BOM!$T:$T,MATCH(C65,BOM!$K:$K,0))</f>
        <v>#N/A</v>
      </c>
      <c r="I65" s="245" t="s">
        <v>4845</v>
      </c>
      <c r="J65" s="246" t="s">
        <v>109</v>
      </c>
      <c r="K65" s="246" t="s">
        <v>107</v>
      </c>
      <c r="L65" s="261">
        <f>SUMIF(BOM!$K$14:$K$213,"*silicone sealant*",BOM!$G$14:$G$213)</f>
        <v>0</v>
      </c>
      <c r="M65" s="247" t="s">
        <v>9595</v>
      </c>
      <c r="N65" s="247"/>
      <c r="O65" s="247"/>
      <c r="P65" s="247"/>
      <c r="Q65" s="247"/>
      <c r="R65" s="247">
        <f>SUMIF(BOM!$K$14:$K$213,"*silicone sealant*",BOM!$G$14:$G$213)</f>
        <v>0</v>
      </c>
      <c r="S65" s="247" t="s">
        <v>9595</v>
      </c>
      <c r="T65" s="247" t="e">
        <f>INDEX(#REF!,MATCH(S65,#REF!,0))</f>
        <v>#REF!</v>
      </c>
      <c r="U65" s="270" t="e">
        <f t="shared" si="2"/>
        <v>#REF!</v>
      </c>
      <c r="V65" s="277" t="e">
        <f t="shared" si="4"/>
        <v>#REF!</v>
      </c>
      <c r="W65" s="101"/>
      <c r="X65" s="253" t="e">
        <f>INDEX(#REF!,MATCH(I65,#REF!,0))</f>
        <v>#REF!</v>
      </c>
    </row>
    <row r="66" spans="1:24" s="253" customFormat="1" ht="29.55" customHeight="1">
      <c r="A66" s="258" t="s">
        <v>8577</v>
      </c>
      <c r="B66" s="258" t="s">
        <v>8811</v>
      </c>
      <c r="C66" s="258" t="str">
        <f t="shared" ref="C66:F68" si="12">"-"</f>
        <v>-</v>
      </c>
      <c r="D66" s="258" t="str">
        <f t="shared" si="12"/>
        <v>-</v>
      </c>
      <c r="E66" s="258" t="str">
        <f t="shared" si="12"/>
        <v>-</v>
      </c>
      <c r="F66" s="258" t="str">
        <f t="shared" si="12"/>
        <v>-</v>
      </c>
      <c r="G66" s="258" t="e">
        <f>INDEX(BOM!$T:$T,MATCH(B66,BOM!$J:$J,0))</f>
        <v>#N/A</v>
      </c>
      <c r="H66" s="258" t="e">
        <f>INDEX(BOM!$T:$T,MATCH(C66,BOM!$K:$K,0))</f>
        <v>#N/A</v>
      </c>
      <c r="I66" s="250" t="s">
        <v>1129</v>
      </c>
      <c r="J66" s="253" t="s">
        <v>109</v>
      </c>
      <c r="K66" s="253" t="s">
        <v>107</v>
      </c>
      <c r="L66" s="268">
        <f>SUMIF(BOM!$J$14:$J$213,"*ceramic*",BOM!$G$14:$G$213)</f>
        <v>0</v>
      </c>
      <c r="M66" s="250" t="s">
        <v>8811</v>
      </c>
      <c r="N66" s="250"/>
      <c r="O66" s="252"/>
      <c r="P66" s="252"/>
      <c r="Q66" s="252"/>
      <c r="R66" s="252">
        <f>SUMIF(BOM!$J$14:$J$213,"*ceramic*",BOM!$G$14:$G$213)</f>
        <v>0</v>
      </c>
      <c r="S66" s="252" t="s">
        <v>8811</v>
      </c>
      <c r="T66" s="252" t="e">
        <f>INDEX(#REF!,MATCH(S66,#REF!,0))</f>
        <v>#REF!</v>
      </c>
      <c r="U66" s="270" t="e">
        <f t="shared" si="2"/>
        <v>#REF!</v>
      </c>
      <c r="V66" s="277" t="e">
        <f t="shared" si="4"/>
        <v>#REF!</v>
      </c>
      <c r="W66" s="101"/>
      <c r="X66" s="253" t="e">
        <f>INDEX(#REF!,MATCH(I66,#REF!,0))</f>
        <v>#REF!</v>
      </c>
    </row>
    <row r="67" spans="1:24" s="253" customFormat="1" ht="29.55" customHeight="1">
      <c r="A67" s="258" t="s">
        <v>8577</v>
      </c>
      <c r="B67" s="258" t="s">
        <v>8810</v>
      </c>
      <c r="C67" s="258" t="str">
        <f t="shared" si="12"/>
        <v>-</v>
      </c>
      <c r="D67" s="258" t="str">
        <f t="shared" si="12"/>
        <v>-</v>
      </c>
      <c r="E67" s="258" t="str">
        <f t="shared" si="12"/>
        <v>-</v>
      </c>
      <c r="F67" s="258" t="str">
        <f t="shared" si="12"/>
        <v>-</v>
      </c>
      <c r="G67" s="258" t="e">
        <f>INDEX(BOM!$T:$T,MATCH(B67,BOM!$J:$J,0))</f>
        <v>#N/A</v>
      </c>
      <c r="H67" s="258" t="e">
        <f>INDEX(BOM!$T:$T,MATCH(C67,BOM!$K:$K,0))</f>
        <v>#N/A</v>
      </c>
      <c r="I67" s="250" t="s">
        <v>2265</v>
      </c>
      <c r="J67" s="253" t="s">
        <v>109</v>
      </c>
      <c r="K67" s="253" t="s">
        <v>107</v>
      </c>
      <c r="L67" s="268">
        <f>(SUMIF(BOM!$J$14:$J$213,"*glass*",BOM!$G$14:$G$213))*0.25</f>
        <v>0</v>
      </c>
      <c r="M67" s="252" t="s">
        <v>9843</v>
      </c>
      <c r="N67" s="252"/>
      <c r="O67" s="252"/>
      <c r="P67" s="252"/>
      <c r="Q67" s="252"/>
      <c r="R67" s="252">
        <f>(SUMIF(BOM!$J$14:$J$213,"*glass*",BOM!$G$14:$G$213))</f>
        <v>0</v>
      </c>
      <c r="S67" s="252" t="s">
        <v>8810</v>
      </c>
      <c r="T67" s="252" t="e">
        <f>INDEX(#REF!,MATCH(S67,#REF!,0))</f>
        <v>#REF!</v>
      </c>
      <c r="U67" s="270" t="e">
        <f t="shared" si="2"/>
        <v>#REF!</v>
      </c>
      <c r="V67" s="277" t="e">
        <f t="shared" si="4"/>
        <v>#REF!</v>
      </c>
      <c r="W67" s="101"/>
      <c r="X67" s="253" t="e">
        <f>INDEX(#REF!,MATCH(I67,#REF!,0))</f>
        <v>#REF!</v>
      </c>
    </row>
    <row r="68" spans="1:24" s="253" customFormat="1" ht="29.55" customHeight="1">
      <c r="A68" s="258" t="s">
        <v>8577</v>
      </c>
      <c r="B68" s="258" t="s">
        <v>8810</v>
      </c>
      <c r="C68" s="258" t="str">
        <f t="shared" si="12"/>
        <v>-</v>
      </c>
      <c r="D68" s="258" t="str">
        <f t="shared" si="12"/>
        <v>-</v>
      </c>
      <c r="E68" s="258" t="str">
        <f t="shared" si="12"/>
        <v>-</v>
      </c>
      <c r="F68" s="258" t="str">
        <f t="shared" si="12"/>
        <v>-</v>
      </c>
      <c r="G68" s="258" t="e">
        <f>INDEX(BOM!$T:$T,MATCH(B68,BOM!$J:$J,0))</f>
        <v>#N/A</v>
      </c>
      <c r="H68" s="258" t="e">
        <f>INDEX(BOM!$T:$T,MATCH(C68,BOM!$K:$K,0))</f>
        <v>#N/A</v>
      </c>
      <c r="I68" s="250" t="s">
        <v>5270</v>
      </c>
      <c r="J68" s="253" t="s">
        <v>109</v>
      </c>
      <c r="K68" s="253" t="s">
        <v>107</v>
      </c>
      <c r="L68" s="268">
        <f>(SUMIF(BOM!$J$14:$J$213,"*glass*",BOM!$G$14:$G$213))*0.75</f>
        <v>0</v>
      </c>
      <c r="M68" s="252" t="s">
        <v>9844</v>
      </c>
      <c r="N68" s="252"/>
      <c r="O68" s="252"/>
      <c r="P68" s="252"/>
      <c r="Q68" s="252"/>
      <c r="R68" s="252"/>
      <c r="S68" s="252"/>
      <c r="T68" s="252" t="e">
        <f>INDEX(#REF!,MATCH(S68,#REF!,0))</f>
        <v>#REF!</v>
      </c>
      <c r="U68" s="270" t="e">
        <f t="shared" si="2"/>
        <v>#REF!</v>
      </c>
      <c r="V68" s="277" t="e">
        <f t="shared" si="4"/>
        <v>#REF!</v>
      </c>
      <c r="W68" s="101"/>
      <c r="X68" s="253" t="e">
        <f>INDEX(#REF!,MATCH(I68,#REF!,0))</f>
        <v>#REF!</v>
      </c>
    </row>
    <row r="69" spans="1:24" s="3" customFormat="1" ht="29.55" customHeight="1">
      <c r="A69" s="260" t="s">
        <v>8577</v>
      </c>
      <c r="B69" s="260" t="s">
        <v>8578</v>
      </c>
      <c r="C69" s="260" t="s">
        <v>8591</v>
      </c>
      <c r="D69" s="260" t="s">
        <v>9845</v>
      </c>
      <c r="E69" s="260" t="s">
        <v>9846</v>
      </c>
      <c r="F69" s="260" t="s">
        <v>9847</v>
      </c>
      <c r="G69" s="260" t="e">
        <f>INDEX(BOM!$T:$T,MATCH(B69,BOM!$J:$J,0))</f>
        <v>#N/A</v>
      </c>
      <c r="H69" s="260" t="e">
        <f>INDEX(BOM!$T:$T,MATCH(C69,BOM!$K:$K,0))</f>
        <v>#N/A</v>
      </c>
      <c r="I69" s="241" t="s">
        <v>350</v>
      </c>
      <c r="J69" s="3" t="s">
        <v>109</v>
      </c>
      <c r="K69" s="3" t="s">
        <v>107</v>
      </c>
      <c r="L69" s="259">
        <f>(SUMIFS(BOM!$G$14:$G$213,BOM!$P$14:$P$213,"*computer*", BOM!$P$14:$P$213,"*drilling*", BOM!$K$14:$K$213,"*aluminum*"))+(SUMIFS(BOM!$G$14:$G$213,BOM!$N$14:$N$213,"*computer*", BOM!$N$14:$N$213,"*drilling*", BOM!$K$14:$K$213,"*aluminum*"))</f>
        <v>0</v>
      </c>
      <c r="M69" s="241" t="s">
        <v>9848</v>
      </c>
      <c r="N69" s="241" t="s">
        <v>9849</v>
      </c>
      <c r="O69" s="242" t="s">
        <v>9849</v>
      </c>
      <c r="P69" s="242"/>
      <c r="Q69" s="242"/>
      <c r="R69" s="262">
        <f>(SUMIFS(BOM!$G$14:$G$213,BOM!$P$14:$P$213,"*computer*", BOM!$P$14:$P$213,"*drilling*", BOM!$K$14:$K$213,"*aluminum*"))+(SUMIFS(BOM!$G$14:$G$213,BOM!$N$14:$N$213,"*computer*", BOM!$N$14:$N$213,"*drilling*", BOM!$K$14:$K$213,"*aluminum*"))</f>
        <v>0</v>
      </c>
      <c r="S69" s="242" t="s">
        <v>9645</v>
      </c>
      <c r="T69" s="242" t="e">
        <f>INDEX(#REF!,MATCH(S69,#REF!,0))</f>
        <v>#REF!</v>
      </c>
      <c r="U69" s="270" t="e">
        <f t="shared" si="2"/>
        <v>#REF!</v>
      </c>
      <c r="V69" s="277" t="e">
        <f t="shared" si="4"/>
        <v>#REF!</v>
      </c>
      <c r="W69" s="101"/>
      <c r="X69" s="253" t="e">
        <f>INDEX(#REF!,MATCH(I69,#REF!,0))</f>
        <v>#REF!</v>
      </c>
    </row>
    <row r="70" spans="1:24" s="3" customFormat="1" ht="29.55" customHeight="1">
      <c r="A70" s="260" t="s">
        <v>8577</v>
      </c>
      <c r="B70" s="260" t="s">
        <v>8578</v>
      </c>
      <c r="C70" s="260" t="s">
        <v>8591</v>
      </c>
      <c r="D70" s="260" t="s">
        <v>9845</v>
      </c>
      <c r="E70" s="260" t="s">
        <v>9846</v>
      </c>
      <c r="F70" s="260" t="s">
        <v>9850</v>
      </c>
      <c r="G70" s="260" t="e">
        <f>INDEX(BOM!$T:$T,MATCH(B70,BOM!$J:$J,0))</f>
        <v>#N/A</v>
      </c>
      <c r="H70" s="260" t="e">
        <f>INDEX(BOM!$T:$T,MATCH(C70,BOM!$K:$K,0))</f>
        <v>#N/A</v>
      </c>
      <c r="I70" s="241" t="s">
        <v>353</v>
      </c>
      <c r="J70" s="3" t="s">
        <v>109</v>
      </c>
      <c r="K70" s="3" t="s">
        <v>107</v>
      </c>
      <c r="L70" s="259">
        <f>(SUMIFS(BOM!$G$14:$G$213,BOM!$P$14:$P$213,"*conventional*", BOM!$P$14:$P$213,"*drilling*", BOM!$K$14:$K$213,"*aluminum*"))+(SUMIFS(BOM!$G$14:$G$213,BOM!$N$14:$N$213,"*conventional*", BOM!$N$14:$N$213,"*drilling*", BOM!$K$14:$K$213,"*aluminum*"))</f>
        <v>0</v>
      </c>
      <c r="M70" s="241" t="s">
        <v>9851</v>
      </c>
      <c r="N70" s="241" t="s">
        <v>9849</v>
      </c>
      <c r="O70" s="242" t="s">
        <v>9849</v>
      </c>
      <c r="P70" s="242"/>
      <c r="Q70" s="242"/>
      <c r="R70" s="262">
        <f>(SUMIFS(BOM!$G$14:$G$213,BOM!$P$14:$P$213,"*conventional*", BOM!$P$14:$P$213,"*drilling*", BOM!$K$14:$K$213,"*aluminum*"))+(SUMIFS(BOM!$G$14:$G$213,BOM!$N$14:$N$213,"*conventional*", BOM!$N$14:$N$213,"*drilling*", BOM!$K$14:$K$213,"*aluminum*"))</f>
        <v>0</v>
      </c>
      <c r="S70" s="242" t="s">
        <v>9646</v>
      </c>
      <c r="T70" s="242" t="e">
        <f>INDEX(#REF!,MATCH(S70,#REF!,0))</f>
        <v>#REF!</v>
      </c>
      <c r="U70" s="270" t="e">
        <f t="shared" si="2"/>
        <v>#REF!</v>
      </c>
      <c r="V70" s="277" t="e">
        <f t="shared" si="4"/>
        <v>#REF!</v>
      </c>
      <c r="W70" s="101"/>
      <c r="X70" s="253" t="e">
        <f>INDEX(#REF!,MATCH(I70,#REF!,0))</f>
        <v>#REF!</v>
      </c>
    </row>
    <row r="71" spans="1:24" s="3" customFormat="1" ht="29.55" customHeight="1">
      <c r="A71" s="260" t="s">
        <v>8577</v>
      </c>
      <c r="B71" s="260" t="s">
        <v>8578</v>
      </c>
      <c r="C71" s="260" t="s">
        <v>8591</v>
      </c>
      <c r="D71" s="260" t="s">
        <v>9845</v>
      </c>
      <c r="E71" s="260" t="s">
        <v>9846</v>
      </c>
      <c r="F71" s="260" t="s">
        <v>9852</v>
      </c>
      <c r="G71" s="260" t="e">
        <f>INDEX(BOM!$T:$T,MATCH(B71,BOM!$J:$J,0))</f>
        <v>#N/A</v>
      </c>
      <c r="H71" s="260" t="e">
        <f>INDEX(BOM!$T:$T,MATCH(C71,BOM!$K:$K,0))</f>
        <v>#N/A</v>
      </c>
      <c r="I71" s="241" t="s">
        <v>355</v>
      </c>
      <c r="J71" s="3" t="s">
        <v>109</v>
      </c>
      <c r="K71" s="3" t="s">
        <v>107</v>
      </c>
      <c r="L71" s="259">
        <f>(SUMIFS(BOM!$G$14:$G$213,BOM!$P$14:$P$213,"*average*", BOM!$P$14:$P$213,"*milling*", BOM!$K$14:$K$213,"*aluminum*"))+(SUMIFS(BOM!$G$14:$G$213,BOM!$N$14:$N$213,"*average*", BOM!$N$14:$N$213,"*milling*", BOM!$K$14:$K$213,"*aluminum*"))</f>
        <v>0</v>
      </c>
      <c r="M71" s="241" t="s">
        <v>9853</v>
      </c>
      <c r="N71" s="241" t="s">
        <v>9849</v>
      </c>
      <c r="O71" s="242" t="s">
        <v>9849</v>
      </c>
      <c r="P71" s="242"/>
      <c r="Q71" s="242"/>
      <c r="R71" s="262">
        <f>(SUMIFS(BOM!$G$14:$G$213,BOM!$P$14:$P$213,"*average*", BOM!$P$14:$P$213,"*milling*", BOM!$K$14:$K$213,"*aluminum*"))+(SUMIFS(BOM!$G$14:$G$213,BOM!$N$14:$N$213,"*average*", BOM!$N$14:$N$213,"*milling*", BOM!$K$14:$K$213,"*aluminum*"))</f>
        <v>0</v>
      </c>
      <c r="S71" s="242" t="s">
        <v>9647</v>
      </c>
      <c r="T71" s="242" t="e">
        <f>INDEX(#REF!,MATCH(S71,#REF!,0))</f>
        <v>#REF!</v>
      </c>
      <c r="U71" s="270" t="e">
        <f t="shared" si="2"/>
        <v>#REF!</v>
      </c>
      <c r="V71" s="277" t="e">
        <f t="shared" si="4"/>
        <v>#REF!</v>
      </c>
      <c r="W71" s="101"/>
      <c r="X71" s="253" t="e">
        <f>INDEX(#REF!,MATCH(I71,#REF!,0))</f>
        <v>#REF!</v>
      </c>
    </row>
    <row r="72" spans="1:24" s="3" customFormat="1" ht="29.55" customHeight="1">
      <c r="A72" s="260" t="s">
        <v>8577</v>
      </c>
      <c r="B72" s="260" t="s">
        <v>8578</v>
      </c>
      <c r="C72" s="260" t="s">
        <v>8591</v>
      </c>
      <c r="D72" s="260" t="s">
        <v>9845</v>
      </c>
      <c r="E72" s="260" t="s">
        <v>9846</v>
      </c>
      <c r="F72" s="260" t="s">
        <v>9854</v>
      </c>
      <c r="G72" s="260" t="e">
        <f>INDEX(BOM!$T:$T,MATCH(B72,BOM!$J:$J,0))</f>
        <v>#N/A</v>
      </c>
      <c r="H72" s="260" t="e">
        <f>INDEX(BOM!$T:$T,MATCH(C72,BOM!$K:$K,0))</f>
        <v>#N/A</v>
      </c>
      <c r="I72" s="241" t="s">
        <v>357</v>
      </c>
      <c r="J72" s="3" t="s">
        <v>109</v>
      </c>
      <c r="K72" s="3" t="s">
        <v>107</v>
      </c>
      <c r="L72" s="259">
        <f>(SUMIFS(BOM!$G$14:$G$213,BOM!$P$14:$P$213,"*dressing*", BOM!$P$14:$P$213,"*milling*", BOM!$K$14:$K$213,"*aluminum*"))+(SUMIFS(BOM!$G$14:$G$213,BOM!$N$14:$N$213,"*dressing*", BOM!$N$14:$N$213,"*milling*", BOM!$K$14:$K$213,"*aluminum*"))</f>
        <v>0</v>
      </c>
      <c r="M72" s="241" t="s">
        <v>9855</v>
      </c>
      <c r="N72" s="241" t="s">
        <v>9849</v>
      </c>
      <c r="O72" s="242" t="s">
        <v>9849</v>
      </c>
      <c r="P72" s="242"/>
      <c r="Q72" s="242"/>
      <c r="R72" s="262">
        <f>(SUMIFS(BOM!$G$14:$G$213,BOM!$P$14:$P$213,"*dressing*", BOM!$P$14:$P$213,"*milling*", BOM!$K$14:$K$213,"*aluminum*"))+(SUMIFS(BOM!$G$14:$G$213,BOM!$N$14:$N$213,"*dressing*", BOM!$N$14:$N$213,"*milling*", BOM!$K$14:$K$213,"*aluminum*"))</f>
        <v>0</v>
      </c>
      <c r="S72" s="242" t="s">
        <v>9648</v>
      </c>
      <c r="T72" s="242" t="e">
        <f>INDEX(#REF!,MATCH(S72,#REF!,0))</f>
        <v>#REF!</v>
      </c>
      <c r="U72" s="270" t="e">
        <f t="shared" si="2"/>
        <v>#REF!</v>
      </c>
      <c r="V72" s="277" t="e">
        <f t="shared" si="4"/>
        <v>#REF!</v>
      </c>
      <c r="W72" s="101"/>
      <c r="X72" s="253" t="e">
        <f>INDEX(#REF!,MATCH(I72,#REF!,0))</f>
        <v>#REF!</v>
      </c>
    </row>
    <row r="73" spans="1:24" s="3" customFormat="1" ht="29.55" customHeight="1">
      <c r="A73" s="260" t="s">
        <v>8577</v>
      </c>
      <c r="B73" s="260" t="s">
        <v>8578</v>
      </c>
      <c r="C73" s="260" t="s">
        <v>8591</v>
      </c>
      <c r="D73" s="260" t="s">
        <v>9845</v>
      </c>
      <c r="E73" s="260" t="s">
        <v>9846</v>
      </c>
      <c r="F73" s="260" t="s">
        <v>8596</v>
      </c>
      <c r="G73" s="260" t="e">
        <f>INDEX(BOM!$T:$T,MATCH(B73,BOM!$J:$J,0))</f>
        <v>#N/A</v>
      </c>
      <c r="H73" s="260" t="e">
        <f>INDEX(BOM!$T:$T,MATCH(C73,BOM!$K:$K,0))</f>
        <v>#N/A</v>
      </c>
      <c r="I73" s="241" t="s">
        <v>359</v>
      </c>
      <c r="J73" s="3" t="s">
        <v>109</v>
      </c>
      <c r="K73" s="3" t="s">
        <v>107</v>
      </c>
      <c r="L73" s="259">
        <f>(SUMIFS(BOM!$G$14:$G$213,BOM!$P$14:$P$213,"*large*", BOM!$P$14:$P$213,"*milling*", BOM!$K$14:$K$213,"*aluminum*"))+(SUMIFS(BOM!$G$14:$G$213,BOM!$N$14:$N$213,"*large*", BOM!$N$14:$N$213,"*milling*", BOM!$K$14:$K$213,"*aluminum*"))</f>
        <v>0</v>
      </c>
      <c r="M73" s="241" t="s">
        <v>9856</v>
      </c>
      <c r="N73" s="241" t="s">
        <v>9849</v>
      </c>
      <c r="O73" s="242" t="s">
        <v>9849</v>
      </c>
      <c r="P73" s="242"/>
      <c r="Q73" s="242"/>
      <c r="R73" s="262">
        <f>(SUMIFS(BOM!$G$14:$G$213,BOM!$P$14:$P$213,"*large*", BOM!$P$14:$P$213,"*milling*", BOM!$K$14:$K$213,"*aluminum*"))+(SUMIFS(BOM!$G$14:$G$213,BOM!$N$14:$N$213,"*large*", BOM!$N$14:$N$213,"*milling*", BOM!$K$14:$K$213,"*aluminum*"))</f>
        <v>0</v>
      </c>
      <c r="S73" s="242" t="s">
        <v>9649</v>
      </c>
      <c r="T73" s="242" t="e">
        <f>INDEX(#REF!,MATCH(S73,#REF!,0))</f>
        <v>#REF!</v>
      </c>
      <c r="U73" s="270" t="e">
        <f t="shared" si="2"/>
        <v>#REF!</v>
      </c>
      <c r="V73" s="277" t="e">
        <f t="shared" si="4"/>
        <v>#REF!</v>
      </c>
      <c r="W73" s="101"/>
      <c r="X73" s="253" t="e">
        <f>INDEX(#REF!,MATCH(I73,#REF!,0))</f>
        <v>#REF!</v>
      </c>
    </row>
    <row r="74" spans="1:24" s="3" customFormat="1" ht="29.55" customHeight="1">
      <c r="A74" s="260" t="s">
        <v>8577</v>
      </c>
      <c r="B74" s="260" t="s">
        <v>8578</v>
      </c>
      <c r="C74" s="260" t="s">
        <v>8591</v>
      </c>
      <c r="D74" s="260" t="s">
        <v>9845</v>
      </c>
      <c r="E74" s="260" t="s">
        <v>9846</v>
      </c>
      <c r="F74" s="260" t="s">
        <v>8584</v>
      </c>
      <c r="G74" s="260" t="e">
        <f>INDEX(BOM!$T:$T,MATCH(B74,BOM!$J:$J,0))</f>
        <v>#N/A</v>
      </c>
      <c r="H74" s="260" t="e">
        <f>INDEX(BOM!$T:$T,MATCH(C74,BOM!$K:$K,0))</f>
        <v>#N/A</v>
      </c>
      <c r="I74" s="241" t="s">
        <v>361</v>
      </c>
      <c r="J74" s="3" t="s">
        <v>109</v>
      </c>
      <c r="K74" s="3" t="s">
        <v>107</v>
      </c>
      <c r="L74" s="259">
        <f>(SUMIFS(BOM!$G$14:$G$213,BOM!$P$14:$P$213,"*small*", BOM!$P$14:$P$213,"*milling*", BOM!$K$14:$K$213,"*aluminum*"))+(SUMIFS(BOM!$G$14:$G$213,BOM!$N$14:$N$213,"*small*", BOM!$N$14:$N$213,"*milling*", BOM!$K$14:$K$213,"*aluminum*"))</f>
        <v>0</v>
      </c>
      <c r="M74" s="241" t="s">
        <v>9857</v>
      </c>
      <c r="N74" s="241" t="s">
        <v>9849</v>
      </c>
      <c r="O74" s="242" t="s">
        <v>9849</v>
      </c>
      <c r="P74" s="242"/>
      <c r="Q74" s="242"/>
      <c r="R74" s="262">
        <f>(SUMIFS(BOM!$G$14:$G$213,BOM!$P$14:$P$213,"*small*", BOM!$P$14:$P$213,"*milling*", BOM!$K$14:$K$213,"*aluminum*"))+(SUMIFS(BOM!$G$14:$G$213,BOM!$N$14:$N$213,"*small*", BOM!$N$14:$N$213,"*milling*", BOM!$K$14:$K$213,"*aluminum*"))</f>
        <v>0</v>
      </c>
      <c r="S74" s="242" t="s">
        <v>9650</v>
      </c>
      <c r="T74" s="242" t="e">
        <f>INDEX(#REF!,MATCH(S74,#REF!,0))</f>
        <v>#REF!</v>
      </c>
      <c r="U74" s="270" t="e">
        <f t="shared" ref="U74:U123" si="13">CONCATENATE("update tbl_parameters set value = ",R74," where tbl_parameters.ref_id = '",T74,"';")</f>
        <v>#REF!</v>
      </c>
      <c r="V74" s="277" t="e">
        <f t="shared" si="4"/>
        <v>#REF!</v>
      </c>
      <c r="W74" s="101"/>
      <c r="X74" s="253" t="e">
        <f>INDEX(#REF!,MATCH(I74,#REF!,0))</f>
        <v>#REF!</v>
      </c>
    </row>
    <row r="75" spans="1:24" s="3" customFormat="1" ht="29.55" customHeight="1">
      <c r="A75" s="260" t="s">
        <v>8577</v>
      </c>
      <c r="B75" s="260" t="s">
        <v>8578</v>
      </c>
      <c r="C75" s="260" t="s">
        <v>8591</v>
      </c>
      <c r="D75" s="260" t="s">
        <v>9845</v>
      </c>
      <c r="E75" s="260" t="s">
        <v>9846</v>
      </c>
      <c r="F75" s="260" t="s">
        <v>9858</v>
      </c>
      <c r="G75" s="260" t="e">
        <f>INDEX(BOM!$T:$T,MATCH(B75,BOM!$J:$J,0))</f>
        <v>#N/A</v>
      </c>
      <c r="H75" s="260" t="e">
        <f>INDEX(BOM!$T:$T,MATCH(C75,BOM!$K:$K,0))</f>
        <v>#N/A</v>
      </c>
      <c r="I75" s="241" t="s">
        <v>363</v>
      </c>
      <c r="J75" s="3" t="s">
        <v>109</v>
      </c>
      <c r="K75" s="3" t="s">
        <v>107</v>
      </c>
      <c r="L75" s="259">
        <f>(SUMIFS(BOM!$G$14:$G$213,BOM!$P$14:$P$213,"*computer*", BOM!$P$14:$P$213,"*turning*", BOM!$P$14:$P$213,"*average*", BOM!$K$14:$K$213,"*aluminum*"))+(SUMIFS(BOM!$G$14:$G$213,BOM!$N$14:$N$213,"*computer*", BOM!$N$14:$N$213,"*turning*", BOM!$N$14:$N$213,"*average*", BOM!$K$14:$K$213,"*aluminum*"))</f>
        <v>0</v>
      </c>
      <c r="M75" s="241" t="s">
        <v>9859</v>
      </c>
      <c r="N75" s="241" t="s">
        <v>9849</v>
      </c>
      <c r="O75" s="242" t="s">
        <v>9849</v>
      </c>
      <c r="P75" s="242"/>
      <c r="Q75" s="242"/>
      <c r="R75" s="262">
        <f>(SUMIFS(BOM!$G$14:$G$213,BOM!$P$14:$P$213,"*computer*", BOM!$P$14:$P$213,"*turning*", BOM!$P$14:$P$213,"*average*", BOM!$K$14:$K$213,"*aluminum*"))+(SUMIFS(BOM!$G$14:$G$213,BOM!$N$14:$N$213,"*computer*", BOM!$N$14:$N$213,"*turning*", BOM!$N$14:$N$213,"*average*", BOM!$K$14:$K$213,"*aluminum*"))</f>
        <v>0</v>
      </c>
      <c r="S75" s="242" t="s">
        <v>9673</v>
      </c>
      <c r="T75" s="242" t="e">
        <f>INDEX(#REF!,MATCH(S75,#REF!,0))</f>
        <v>#REF!</v>
      </c>
      <c r="U75" s="270" t="e">
        <f t="shared" si="13"/>
        <v>#REF!</v>
      </c>
      <c r="V75" s="277" t="e">
        <f t="shared" ref="V75:V140" si="14">_xlfn.IFNA(U75,"")</f>
        <v>#REF!</v>
      </c>
      <c r="W75" s="101"/>
      <c r="X75" s="253" t="e">
        <f>INDEX(#REF!,MATCH(I75,#REF!,0))</f>
        <v>#REF!</v>
      </c>
    </row>
    <row r="76" spans="1:24" s="3" customFormat="1" ht="29.55" customHeight="1">
      <c r="A76" s="260" t="s">
        <v>8577</v>
      </c>
      <c r="B76" s="260" t="s">
        <v>8578</v>
      </c>
      <c r="C76" s="260" t="s">
        <v>8591</v>
      </c>
      <c r="D76" s="260" t="s">
        <v>9845</v>
      </c>
      <c r="E76" s="260" t="s">
        <v>9846</v>
      </c>
      <c r="F76" s="260" t="s">
        <v>9860</v>
      </c>
      <c r="G76" s="260" t="e">
        <f>INDEX(BOM!$T:$T,MATCH(B76,BOM!$J:$J,0))</f>
        <v>#N/A</v>
      </c>
      <c r="H76" s="260" t="e">
        <f>INDEX(BOM!$T:$T,MATCH(C76,BOM!$K:$K,0))</f>
        <v>#N/A</v>
      </c>
      <c r="I76" s="241" t="s">
        <v>365</v>
      </c>
      <c r="J76" s="3" t="s">
        <v>109</v>
      </c>
      <c r="K76" s="3" t="s">
        <v>107</v>
      </c>
      <c r="L76" s="259">
        <f>(SUMIFS(BOM!$G$14:$G$213,BOM!$P$14:$P$213,"*conventional*", BOM!$P$14:$P$213,"*turning*", BOM!$P$14:$P$213,"*average*", BOM!$K$14:$K$213,"*aluminum*"))+(SUMIFS(BOM!$G$14:$G$213,BOM!$N$14:$N$213,"*conventional*", BOM!$N$14:$N$213,"*turning*", BOM!$N$14:$N$213,"*average*", BOM!$K$14:$K$213,"*aluminum*"))</f>
        <v>0</v>
      </c>
      <c r="M76" s="241" t="s">
        <v>9861</v>
      </c>
      <c r="N76" s="241" t="s">
        <v>9849</v>
      </c>
      <c r="O76" s="242" t="s">
        <v>9849</v>
      </c>
      <c r="P76" s="242"/>
      <c r="Q76" s="242"/>
      <c r="R76" s="262">
        <f>(SUMIFS(BOM!$G$14:$G$213,BOM!$P$14:$P$213,"*conventional*", BOM!$P$14:$P$213,"*turning*", BOM!$P$14:$P$213,"*average*", BOM!$K$14:$K$213,"*aluminum*"))+(SUMIFS(BOM!$G$14:$G$213,BOM!$N$14:$N$213,"*conventional*", BOM!$N$14:$N$213,"*turning*", BOM!$N$14:$N$213,"*average*", BOM!$K$14:$K$213,"*aluminum*"))</f>
        <v>0</v>
      </c>
      <c r="S76" s="242" t="s">
        <v>9676</v>
      </c>
      <c r="T76" s="242" t="e">
        <f>INDEX(#REF!,MATCH(S76,#REF!,0))</f>
        <v>#REF!</v>
      </c>
      <c r="U76" s="270" t="e">
        <f t="shared" si="13"/>
        <v>#REF!</v>
      </c>
      <c r="V76" s="277" t="e">
        <f t="shared" si="14"/>
        <v>#REF!</v>
      </c>
      <c r="W76" s="101"/>
      <c r="X76" s="253" t="e">
        <f>INDEX(#REF!,MATCH(I76,#REF!,0))</f>
        <v>#REF!</v>
      </c>
    </row>
    <row r="77" spans="1:24" s="3" customFormat="1" ht="29.55" customHeight="1">
      <c r="A77" s="260" t="s">
        <v>8577</v>
      </c>
      <c r="B77" s="260" t="s">
        <v>8578</v>
      </c>
      <c r="C77" s="260" t="s">
        <v>8591</v>
      </c>
      <c r="D77" s="260" t="s">
        <v>9845</v>
      </c>
      <c r="E77" s="260" t="s">
        <v>9846</v>
      </c>
      <c r="F77" s="260" t="s">
        <v>8599</v>
      </c>
      <c r="G77" s="260" t="e">
        <f>INDEX(BOM!$T:$T,MATCH(B77,BOM!$J:$J,0))</f>
        <v>#N/A</v>
      </c>
      <c r="H77" s="260" t="e">
        <f>INDEX(BOM!$T:$T,MATCH(C77,BOM!$K:$K,0))</f>
        <v>#N/A</v>
      </c>
      <c r="I77" s="241" t="s">
        <v>367</v>
      </c>
      <c r="J77" s="3" t="s">
        <v>109</v>
      </c>
      <c r="K77" s="3" t="s">
        <v>107</v>
      </c>
      <c r="L77" s="259">
        <f>(SUMIFS(BOM!$G$14:$G$213,BOM!$P$14:$P$213,"*computer*", BOM!$P$14:$P$213,"*turning*", BOM!$P$14:$P$213,"*dressing*", BOM!$K$14:$K$213,"*aluminum*"))+(SUMIFS(BOM!$G$14:$G$213,BOM!$N$14:$N$213,"*computer*", BOM!$N$14:$N$213,"*turning*", BOM!$N$14:$N$213,"*dressing*", BOM!$K$14:$K$213,"*aluminum*"))</f>
        <v>0</v>
      </c>
      <c r="M77" s="241" t="s">
        <v>9862</v>
      </c>
      <c r="N77" s="241" t="s">
        <v>9849</v>
      </c>
      <c r="O77" s="242" t="s">
        <v>9849</v>
      </c>
      <c r="P77" s="242"/>
      <c r="Q77" s="242"/>
      <c r="R77" s="262">
        <f>(SUMIFS(BOM!$G$14:$G$213,BOM!$P$14:$P$213,"*computer*", BOM!$P$14:$P$213,"*turning*", BOM!$P$14:$P$213,"*dressing*", BOM!$K$14:$K$213,"*aluminum*"))+(SUMIFS(BOM!$G$14:$G$213,BOM!$N$14:$N$213,"*computer*", BOM!$N$14:$N$213,"*turning*", BOM!$N$14:$N$213,"*dressing*", BOM!$K$14:$K$213,"*aluminum*"))</f>
        <v>0</v>
      </c>
      <c r="S77" s="242" t="s">
        <v>9651</v>
      </c>
      <c r="T77" s="242" t="e">
        <f>INDEX(#REF!,MATCH(S77,#REF!,0))</f>
        <v>#REF!</v>
      </c>
      <c r="U77" s="270" t="e">
        <f t="shared" si="13"/>
        <v>#REF!</v>
      </c>
      <c r="V77" s="277" t="e">
        <f t="shared" si="14"/>
        <v>#REF!</v>
      </c>
      <c r="W77" s="101"/>
      <c r="X77" s="253" t="e">
        <f>INDEX(#REF!,MATCH(I77,#REF!,0))</f>
        <v>#REF!</v>
      </c>
    </row>
    <row r="78" spans="1:24" s="3" customFormat="1" ht="29.55" customHeight="1">
      <c r="A78" s="260" t="s">
        <v>8577</v>
      </c>
      <c r="B78" s="260" t="s">
        <v>8578</v>
      </c>
      <c r="C78" s="260" t="s">
        <v>8591</v>
      </c>
      <c r="D78" s="260" t="s">
        <v>9845</v>
      </c>
      <c r="E78" s="260" t="s">
        <v>9846</v>
      </c>
      <c r="F78" s="260" t="s">
        <v>9863</v>
      </c>
      <c r="G78" s="260" t="e">
        <f>INDEX(BOM!$T:$T,MATCH(B78,BOM!$J:$J,0))</f>
        <v>#N/A</v>
      </c>
      <c r="H78" s="260" t="e">
        <f>INDEX(BOM!$T:$T,MATCH(C78,BOM!$K:$K,0))</f>
        <v>#N/A</v>
      </c>
      <c r="I78" s="241" t="s">
        <v>369</v>
      </c>
      <c r="J78" s="3" t="s">
        <v>109</v>
      </c>
      <c r="K78" s="3" t="s">
        <v>107</v>
      </c>
      <c r="L78" s="259">
        <f>(SUMIFS(BOM!$G$14:$G$213,BOM!$P$14:$P$213,"*conventional*", BOM!$P$14:$P$213,"*turning*", BOM!$P$14:$P$213,"*dressing*", BOM!$K$14:$K$213,"*aluminum*"))+(SUMIFS(BOM!$G$14:$G$213,BOM!$N$14:$N$213,"*conventional*", BOM!$N$14:$N$213,"*turning*", BOM!$N$14:$N$213,"*dressing*", BOM!$K$14:$K$213,"*aluminum*"))</f>
        <v>0</v>
      </c>
      <c r="M78" s="241" t="s">
        <v>9864</v>
      </c>
      <c r="N78" s="241" t="s">
        <v>9849</v>
      </c>
      <c r="O78" s="242" t="s">
        <v>9849</v>
      </c>
      <c r="P78" s="242"/>
      <c r="Q78" s="242"/>
      <c r="R78" s="262">
        <f>(SUMIFS(BOM!$G$14:$G$213,BOM!$P$14:$P$213,"*conventional*", BOM!$P$14:$P$213,"*turning*", BOM!$P$14:$P$213,"*dressing*", BOM!$K$14:$K$213,"*aluminum*"))+(SUMIFS(BOM!$G$14:$G$213,BOM!$N$14:$N$213,"*conventional*", BOM!$N$14:$N$213,"*turning*", BOM!$N$14:$N$213,"*dressing*", BOM!$K$14:$K$213,"*aluminum*"))</f>
        <v>0</v>
      </c>
      <c r="S78" s="242" t="s">
        <v>9652</v>
      </c>
      <c r="T78" s="242" t="e">
        <f>INDEX(#REF!,MATCH(S78,#REF!,0))</f>
        <v>#REF!</v>
      </c>
      <c r="U78" s="270" t="e">
        <f t="shared" si="13"/>
        <v>#REF!</v>
      </c>
      <c r="V78" s="277" t="e">
        <f t="shared" si="14"/>
        <v>#REF!</v>
      </c>
      <c r="W78" s="101"/>
      <c r="X78" s="253" t="e">
        <f>INDEX(#REF!,MATCH(I78,#REF!,0))</f>
        <v>#REF!</v>
      </c>
    </row>
    <row r="79" spans="1:24" s="3" customFormat="1" ht="29.55" customHeight="1">
      <c r="A79" s="260" t="s">
        <v>8577</v>
      </c>
      <c r="B79" s="260" t="s">
        <v>8578</v>
      </c>
      <c r="C79" s="260" t="s">
        <v>8591</v>
      </c>
      <c r="D79" s="260" t="s">
        <v>9845</v>
      </c>
      <c r="E79" s="260" t="s">
        <v>9846</v>
      </c>
      <c r="F79" s="260" t="str">
        <f t="shared" ref="D79:F85" si="15">"-"</f>
        <v>-</v>
      </c>
      <c r="G79" s="260" t="e">
        <f>INDEX(BOM!$T:$T,MATCH(B79,BOM!$J:$J,0))</f>
        <v>#N/A</v>
      </c>
      <c r="H79" s="260" t="e">
        <f>INDEX(BOM!$T:$T,MATCH(C79,BOM!$K:$K,0))</f>
        <v>#N/A</v>
      </c>
      <c r="I79" s="241" t="s">
        <v>371</v>
      </c>
      <c r="J79" s="3" t="s">
        <v>109</v>
      </c>
      <c r="K79" s="3" t="s">
        <v>107</v>
      </c>
      <c r="L79" s="259">
        <f>(SUMIFS(BOM!$G$14:$G$213,BOM!$P$14:$P$213,"*computer*", BOM!$P$14:$P$213,"*turning*", BOM!$P$14:$P$213,"*roughing*", BOM!$K$14:$K$213,"*aluminum*"))+(SUMIFS(BOM!$G$14:$G$213,BOM!$N$14:$N$213,"*computer*", BOM!$N$14:$N$213,"*turning*", BOM!$N$14:$N$213,"*roughing*", BOM!$K$14:$K$213,"*aluminum*"))</f>
        <v>0</v>
      </c>
      <c r="M79" s="241" t="s">
        <v>9865</v>
      </c>
      <c r="N79" s="241" t="s">
        <v>9849</v>
      </c>
      <c r="O79" s="242" t="s">
        <v>9849</v>
      </c>
      <c r="P79" s="242"/>
      <c r="Q79" s="242"/>
      <c r="R79" s="262">
        <f>(SUMIFS(BOM!$G$14:$G$213,BOM!$P$14:$P$213,"*computer*", BOM!$P$14:$P$213,"*turning*", BOM!$P$14:$P$213,"*roughing*", BOM!$K$14:$K$213,"*aluminum*"))+(SUMIFS(BOM!$G$14:$G$213,BOM!$N$14:$N$213,"*computer*", BOM!$N$14:$N$213,"*turning*", BOM!$N$14:$N$213,"*roughing*", BOM!$K$14:$K$213,"*aluminum*"))</f>
        <v>0</v>
      </c>
      <c r="S79" s="242" t="s">
        <v>9653</v>
      </c>
      <c r="T79" s="242" t="e">
        <f>INDEX(#REF!,MATCH(S79,#REF!,0))</f>
        <v>#REF!</v>
      </c>
      <c r="U79" s="270" t="e">
        <f t="shared" si="13"/>
        <v>#REF!</v>
      </c>
      <c r="V79" s="277" t="e">
        <f t="shared" si="14"/>
        <v>#REF!</v>
      </c>
      <c r="W79" s="101"/>
      <c r="X79" s="253" t="e">
        <f>INDEX(#REF!,MATCH(I79,#REF!,0))</f>
        <v>#REF!</v>
      </c>
    </row>
    <row r="80" spans="1:24" s="3" customFormat="1" ht="29.55" customHeight="1">
      <c r="A80" s="260" t="s">
        <v>8577</v>
      </c>
      <c r="B80" s="260" t="s">
        <v>8578</v>
      </c>
      <c r="C80" s="260" t="s">
        <v>8591</v>
      </c>
      <c r="D80" s="260" t="s">
        <v>9845</v>
      </c>
      <c r="E80" s="260" t="s">
        <v>9846</v>
      </c>
      <c r="F80" s="260" t="str">
        <f t="shared" si="15"/>
        <v>-</v>
      </c>
      <c r="G80" s="260" t="e">
        <f>INDEX(BOM!$T:$T,MATCH(B80,BOM!$J:$J,0))</f>
        <v>#N/A</v>
      </c>
      <c r="H80" s="260" t="e">
        <f>INDEX(BOM!$T:$T,MATCH(C80,BOM!$K:$K,0))</f>
        <v>#N/A</v>
      </c>
      <c r="I80" s="241" t="s">
        <v>373</v>
      </c>
      <c r="J80" s="3" t="s">
        <v>109</v>
      </c>
      <c r="K80" s="3" t="s">
        <v>107</v>
      </c>
      <c r="L80" s="259">
        <f>(SUMIFS(BOM!$G$14:$G$213,BOM!$P$14:$P$213,"*conventional*", BOM!$P$14:$P$213,"*turning*", BOM!$P$14:$P$213,"*roughing*", BOM!$K$14:$K$213,"*aluminum*"))+(SUMIFS(BOM!$G$14:$G$213,BOM!$N$14:$N$213,"*conventional*", BOM!$N$14:$N$213,"*turning*", BOM!$N$14:$N$213,"*roughing*", BOM!$K$14:$K$213,"*aluminum*"))</f>
        <v>0</v>
      </c>
      <c r="M80" s="241" t="s">
        <v>9866</v>
      </c>
      <c r="N80" s="241" t="s">
        <v>9849</v>
      </c>
      <c r="O80" s="242" t="s">
        <v>9849</v>
      </c>
      <c r="P80" s="242"/>
      <c r="Q80" s="242"/>
      <c r="R80" s="262">
        <f>(SUMIFS(BOM!$G$14:$G$213,BOM!$P$14:$P$213,"*conventional*", BOM!$P$14:$P$213,"*turning*", BOM!$P$14:$P$213,"*roughing*", BOM!$K$14:$K$213,"*aluminum*"))+(SUMIFS(BOM!$G$14:$G$213,BOM!$N$14:$N$213,"*conventional*", BOM!$N$14:$N$213,"*turning*", BOM!$N$14:$N$213,"*roughing*", BOM!$K$14:$K$213,"*aluminum*"))</f>
        <v>0</v>
      </c>
      <c r="S80" s="242" t="s">
        <v>9654</v>
      </c>
      <c r="T80" s="242" t="e">
        <f>INDEX(#REF!,MATCH(S80,#REF!,0))</f>
        <v>#REF!</v>
      </c>
      <c r="U80" s="270" t="e">
        <f t="shared" si="13"/>
        <v>#REF!</v>
      </c>
      <c r="V80" s="277" t="e">
        <f t="shared" si="14"/>
        <v>#REF!</v>
      </c>
      <c r="W80" s="101"/>
      <c r="X80" s="253" t="e">
        <f>INDEX(#REF!,MATCH(I80,#REF!,0))</f>
        <v>#REF!</v>
      </c>
    </row>
    <row r="81" spans="1:24" s="3" customFormat="1" ht="29.55" customHeight="1">
      <c r="A81" s="260" t="s">
        <v>8577</v>
      </c>
      <c r="B81" s="260" t="s">
        <v>8578</v>
      </c>
      <c r="C81" s="260" t="s">
        <v>8591</v>
      </c>
      <c r="D81" s="260" t="s">
        <v>8597</v>
      </c>
      <c r="E81" s="260" t="str">
        <f t="shared" si="15"/>
        <v>-</v>
      </c>
      <c r="F81" s="260" t="str">
        <f t="shared" si="15"/>
        <v>-</v>
      </c>
      <c r="G81" s="260" t="e">
        <f>INDEX(BOM!$T:$T,MATCH(B81,BOM!$J:$J,0))</f>
        <v>#N/A</v>
      </c>
      <c r="H81" s="260" t="e">
        <f>INDEX(BOM!$T:$T,MATCH(C81,BOM!$K:$K,0))</f>
        <v>#N/A</v>
      </c>
      <c r="I81" s="241" t="s">
        <v>386</v>
      </c>
      <c r="J81" s="3" t="s">
        <v>109</v>
      </c>
      <c r="K81" s="3" t="s">
        <v>107</v>
      </c>
      <c r="L81" s="259">
        <f>SUMIFS(BOM!$G$14:$G$213, BOM!$L$14:$L$213,"*cast*", BOM!$K$14:$K$213,"*aluminum*")</f>
        <v>0</v>
      </c>
      <c r="M81" s="241" t="s">
        <v>9867</v>
      </c>
      <c r="N81" s="241" t="s">
        <v>9849</v>
      </c>
      <c r="O81" s="242" t="s">
        <v>9849</v>
      </c>
      <c r="P81" s="242"/>
      <c r="Q81" s="242"/>
      <c r="R81" s="242">
        <f>SUMIFS(BOM!$G$14:$G$213, BOM!$L$14:$L$213,"*cast*", BOM!$K$14:$K$213,"*aluminum*")</f>
        <v>0</v>
      </c>
      <c r="S81" s="242" t="s">
        <v>9610</v>
      </c>
      <c r="T81" s="242" t="e">
        <f>INDEX(#REF!,MATCH(S81,#REF!,0))</f>
        <v>#REF!</v>
      </c>
      <c r="U81" s="270" t="e">
        <f t="shared" si="13"/>
        <v>#REF!</v>
      </c>
      <c r="V81" s="277" t="e">
        <f t="shared" si="14"/>
        <v>#REF!</v>
      </c>
      <c r="W81" s="101"/>
      <c r="X81" s="253" t="e">
        <f>INDEX(#REF!,MATCH(I81,#REF!,0))</f>
        <v>#REF!</v>
      </c>
    </row>
    <row r="82" spans="1:24" s="3" customFormat="1" ht="29.55" customHeight="1">
      <c r="A82" s="260" t="s">
        <v>8577</v>
      </c>
      <c r="B82" s="260" t="s">
        <v>8578</v>
      </c>
      <c r="C82" s="260" t="s">
        <v>8591</v>
      </c>
      <c r="D82" s="260" t="s">
        <v>8592</v>
      </c>
      <c r="E82" s="260" t="str">
        <f t="shared" si="15"/>
        <v>-</v>
      </c>
      <c r="F82" s="260" t="str">
        <f t="shared" si="15"/>
        <v>-</v>
      </c>
      <c r="G82" s="260" t="e">
        <f>INDEX(BOM!$T:$T,MATCH(B82,BOM!$J:$J,0))</f>
        <v>#N/A</v>
      </c>
      <c r="H82" s="260" t="e">
        <f>INDEX(BOM!$T:$T,MATCH(C82,BOM!$K:$K,0))</f>
        <v>#N/A</v>
      </c>
      <c r="I82" s="241" t="s">
        <v>396</v>
      </c>
      <c r="J82" s="3" t="s">
        <v>109</v>
      </c>
      <c r="K82" s="3" t="s">
        <v>107</v>
      </c>
      <c r="L82" s="259">
        <f>SUMIFS(BOM!$G$14:$G$213, BOM!$L$14:$L$213,"*wrought*", BOM!$K$14:$K$213,"*aluminum*")</f>
        <v>0</v>
      </c>
      <c r="M82" s="241" t="s">
        <v>9868</v>
      </c>
      <c r="N82" s="241" t="s">
        <v>9849</v>
      </c>
      <c r="O82" s="242" t="s">
        <v>9849</v>
      </c>
      <c r="P82" s="242"/>
      <c r="Q82" s="242"/>
      <c r="R82" s="242">
        <f>SUMIFS(BOM!$G$14:$G$213, BOM!$L$14:$L$213,"*wrought*", BOM!$K$14:$K$213,"*aluminum*")</f>
        <v>0</v>
      </c>
      <c r="S82" s="242" t="s">
        <v>9609</v>
      </c>
      <c r="T82" s="242" t="e">
        <f>INDEX(#REF!,MATCH(S82,#REF!,0))</f>
        <v>#REF!</v>
      </c>
      <c r="U82" s="270" t="e">
        <f t="shared" si="13"/>
        <v>#REF!</v>
      </c>
      <c r="V82" s="277" t="e">
        <f t="shared" si="14"/>
        <v>#REF!</v>
      </c>
      <c r="W82" s="101"/>
      <c r="X82" s="253" t="e">
        <f>INDEX(#REF!,MATCH(I82,#REF!,0))</f>
        <v>#REF!</v>
      </c>
    </row>
    <row r="83" spans="1:24" s="3" customFormat="1" ht="30" customHeight="1">
      <c r="A83" s="260" t="s">
        <v>8577</v>
      </c>
      <c r="B83" s="260" t="s">
        <v>8578</v>
      </c>
      <c r="C83" s="260" t="s">
        <v>8588</v>
      </c>
      <c r="D83" s="260" t="s">
        <v>9869</v>
      </c>
      <c r="E83" s="260" t="str">
        <f t="shared" si="15"/>
        <v>-</v>
      </c>
      <c r="F83" s="260" t="str">
        <f t="shared" si="15"/>
        <v>-</v>
      </c>
      <c r="G83" s="260" t="e">
        <f>INDEX(BOM!$T:$T,MATCH(B83,BOM!$J:$J,0))</f>
        <v>#N/A</v>
      </c>
      <c r="H83" s="260" t="e">
        <f>INDEX(BOM!$T:$T,MATCH(C83,BOM!$K:$K,0))</f>
        <v>#N/A</v>
      </c>
      <c r="I83" s="241" t="s">
        <v>464</v>
      </c>
      <c r="J83" s="3" t="s">
        <v>468</v>
      </c>
      <c r="K83" s="3" t="s">
        <v>466</v>
      </c>
      <c r="L83" s="259">
        <f>(SUMIFS(BOM!$G$14:$G$213, BOM!$Q$14:$Q$213,"*anodizing*", BOM!$K$14:$K$213,"*aluminum*"))+(SUMIF(BOM!$L$14:$L$213,"*anodizing*", BOM!$G$14:$G$213))</f>
        <v>0</v>
      </c>
      <c r="M83" s="241" t="s">
        <v>9870</v>
      </c>
      <c r="N83" s="241" t="s">
        <v>9849</v>
      </c>
      <c r="O83" s="242" t="s">
        <v>9849</v>
      </c>
      <c r="P83" s="242"/>
      <c r="Q83" s="242"/>
      <c r="R83" s="242">
        <f>(SUMIFS(BOM!$G$14:$G$213, BOM!$Q$14:$Q$213,"*anodizing*", BOM!$K$14:$K$213,"*aluminum*"))+(SUMIF(BOM!$L$14:$L$213,"*anodizing*", BOM!$G$14:$G$213))</f>
        <v>0</v>
      </c>
      <c r="S83" s="242" t="s">
        <v>9617</v>
      </c>
      <c r="T83" s="242" t="e">
        <f>INDEX(#REF!,MATCH(S83,#REF!,0))</f>
        <v>#REF!</v>
      </c>
      <c r="U83" s="270" t="e">
        <f t="shared" si="13"/>
        <v>#REF!</v>
      </c>
      <c r="V83" s="277" t="e">
        <f t="shared" si="14"/>
        <v>#REF!</v>
      </c>
      <c r="W83" s="101"/>
      <c r="X83" s="253" t="e">
        <f>INDEX(#REF!,MATCH(I83,#REF!,0))</f>
        <v>#REF!</v>
      </c>
    </row>
    <row r="84" spans="1:24" s="3" customFormat="1" ht="29.55" customHeight="1">
      <c r="A84" s="260" t="s">
        <v>8577</v>
      </c>
      <c r="B84" s="260" t="s">
        <v>8578</v>
      </c>
      <c r="C84" s="260" t="s">
        <v>776</v>
      </c>
      <c r="D84" s="260" t="str">
        <f t="shared" si="15"/>
        <v>-</v>
      </c>
      <c r="E84" s="260" t="str">
        <f t="shared" si="15"/>
        <v>-</v>
      </c>
      <c r="F84" s="260" t="str">
        <f t="shared" si="15"/>
        <v>-</v>
      </c>
      <c r="G84" s="260" t="e">
        <f>INDEX(BOM!$T:$T,MATCH(B84,BOM!$J:$J,0))</f>
        <v>#N/A</v>
      </c>
      <c r="H84" s="260" t="e">
        <f>INDEX(BOM!$T:$T,MATCH(C84,BOM!$K:$K,0))</f>
        <v>#N/A</v>
      </c>
      <c r="I84" s="241" t="s">
        <v>776</v>
      </c>
      <c r="J84" s="3" t="s">
        <v>109</v>
      </c>
      <c r="K84" s="3" t="s">
        <v>107</v>
      </c>
      <c r="L84" s="259">
        <f>SUMIFS(BOM!$G$14:$G$213, BOM!$J$14:$J$213,"*metal*", BOM!$K$14:$K$213,"*brass*")</f>
        <v>0</v>
      </c>
      <c r="M84" s="241" t="s">
        <v>9871</v>
      </c>
      <c r="N84" s="241" t="s">
        <v>9849</v>
      </c>
      <c r="O84" s="242" t="s">
        <v>9849</v>
      </c>
      <c r="P84" s="242"/>
      <c r="Q84" s="242"/>
      <c r="R84" s="242">
        <f>SUMIFS(BOM!$G$14:$G$213, BOM!$J$14:$J$213,"*metal*", BOM!$K$14:$K$213,"*brass*")</f>
        <v>0</v>
      </c>
      <c r="S84" s="242" t="s">
        <v>776</v>
      </c>
      <c r="T84" s="242" t="e">
        <f>INDEX(#REF!,MATCH(S84,#REF!,0))</f>
        <v>#REF!</v>
      </c>
      <c r="U84" s="270" t="e">
        <f t="shared" si="13"/>
        <v>#REF!</v>
      </c>
      <c r="V84" s="277" t="e">
        <f t="shared" si="14"/>
        <v>#REF!</v>
      </c>
      <c r="W84" s="101"/>
      <c r="X84" s="253" t="e">
        <f>INDEX(#REF!,MATCH(I84,#REF!,0))</f>
        <v>#REF!</v>
      </c>
    </row>
    <row r="85" spans="1:24" s="3" customFormat="1" ht="29.55" customHeight="1">
      <c r="A85" s="260" t="s">
        <v>8577</v>
      </c>
      <c r="B85" s="260" t="s">
        <v>8578</v>
      </c>
      <c r="C85" s="260" t="s">
        <v>776</v>
      </c>
      <c r="D85" s="260" t="s">
        <v>9847</v>
      </c>
      <c r="E85" s="260" t="str">
        <f t="shared" si="15"/>
        <v>-</v>
      </c>
      <c r="F85" s="260" t="str">
        <f t="shared" si="15"/>
        <v>-</v>
      </c>
      <c r="G85" s="260" t="e">
        <f>INDEX(BOM!$T:$T,MATCH(B85,BOM!$J:$J,0))</f>
        <v>#N/A</v>
      </c>
      <c r="H85" s="260" t="e">
        <f>INDEX(BOM!$T:$T,MATCH(C85,BOM!$K:$K,0))</f>
        <v>#N/A</v>
      </c>
      <c r="I85" s="241" t="s">
        <v>778</v>
      </c>
      <c r="J85" s="3" t="s">
        <v>109</v>
      </c>
      <c r="K85" s="3" t="s">
        <v>107</v>
      </c>
      <c r="L85" s="259">
        <f>SUMIFS(BOM!$G$14:$G$213,BOM!$L$14:$L$213,"*computer*", BOM!$L$14:$L$213,"*drilling*", BOM!$K$14:$K$213,"*brass*")</f>
        <v>0</v>
      </c>
      <c r="M85" s="241" t="s">
        <v>9872</v>
      </c>
      <c r="N85" s="241" t="s">
        <v>9849</v>
      </c>
      <c r="O85" s="242" t="s">
        <v>9849</v>
      </c>
      <c r="P85" s="242"/>
      <c r="Q85" s="242"/>
      <c r="R85" s="242">
        <f>SUMIFS(BOM!$G$14:$G$213,BOM!$L$14:$L$213,"*computer*", BOM!$L$14:$L$213,"*drilling*", BOM!$K$14:$K$213,"*brass*")</f>
        <v>0</v>
      </c>
      <c r="S85" s="242" t="s">
        <v>9667</v>
      </c>
      <c r="T85" s="242" t="e">
        <f>INDEX(#REF!,MATCH(S85,#REF!,0))</f>
        <v>#REF!</v>
      </c>
      <c r="U85" s="270" t="e">
        <f t="shared" si="13"/>
        <v>#REF!</v>
      </c>
      <c r="V85" s="277" t="e">
        <f t="shared" si="14"/>
        <v>#REF!</v>
      </c>
      <c r="W85" s="101"/>
      <c r="X85" s="253" t="e">
        <f>INDEX(#REF!,MATCH(I85,#REF!,0))</f>
        <v>#REF!</v>
      </c>
    </row>
    <row r="86" spans="1:24" s="3" customFormat="1" ht="29.55" customHeight="1">
      <c r="A86" s="260" t="s">
        <v>8577</v>
      </c>
      <c r="B86" s="260" t="s">
        <v>8578</v>
      </c>
      <c r="C86" s="260" t="s">
        <v>776</v>
      </c>
      <c r="D86" s="260" t="s">
        <v>9850</v>
      </c>
      <c r="E86" s="260" t="str">
        <f t="shared" ref="D86:F102" si="16">"-"</f>
        <v>-</v>
      </c>
      <c r="F86" s="260" t="str">
        <f t="shared" si="16"/>
        <v>-</v>
      </c>
      <c r="G86" s="260" t="e">
        <f>INDEX(BOM!$T:$T,MATCH(B86,BOM!$J:$J,0))</f>
        <v>#N/A</v>
      </c>
      <c r="H86" s="260" t="e">
        <f>INDEX(BOM!$T:$T,MATCH(C86,BOM!$K:$K,0))</f>
        <v>#N/A</v>
      </c>
      <c r="I86" s="241" t="s">
        <v>780</v>
      </c>
      <c r="J86" s="3" t="s">
        <v>109</v>
      </c>
      <c r="K86" s="3" t="s">
        <v>107</v>
      </c>
      <c r="L86" s="259">
        <f>SUMIFS(BOM!$G$14:$G$213,BOM!$L$14:$L$213,"*conventional*", BOM!$L$14:$L$213,"*drilling*", BOM!$K$14:$K$213,"*brass*")</f>
        <v>0</v>
      </c>
      <c r="M86" s="241" t="s">
        <v>9873</v>
      </c>
      <c r="N86" s="241" t="s">
        <v>9849</v>
      </c>
      <c r="O86" s="242" t="s">
        <v>9849</v>
      </c>
      <c r="P86" s="242"/>
      <c r="Q86" s="242"/>
      <c r="R86" s="242">
        <f>SUMIFS(BOM!$G$14:$G$213,BOM!$L$14:$L$213,"*conventional*", BOM!$L$14:$L$213,"*drilling*", BOM!$K$14:$K$213,"*brass*")</f>
        <v>0</v>
      </c>
      <c r="S86" s="242" t="s">
        <v>9668</v>
      </c>
      <c r="T86" s="242" t="e">
        <f>INDEX(#REF!,MATCH(S86,#REF!,0))</f>
        <v>#REF!</v>
      </c>
      <c r="U86" s="270" t="e">
        <f t="shared" si="13"/>
        <v>#REF!</v>
      </c>
      <c r="V86" s="277" t="e">
        <f t="shared" si="14"/>
        <v>#REF!</v>
      </c>
      <c r="W86" s="101"/>
      <c r="X86" s="253" t="e">
        <f>INDEX(#REF!,MATCH(I86,#REF!,0))</f>
        <v>#REF!</v>
      </c>
    </row>
    <row r="87" spans="1:24" s="3" customFormat="1" ht="29.55" customHeight="1">
      <c r="A87" s="260" t="s">
        <v>8577</v>
      </c>
      <c r="B87" s="260" t="s">
        <v>8578</v>
      </c>
      <c r="C87" s="260" t="s">
        <v>776</v>
      </c>
      <c r="D87" s="260" t="s">
        <v>9874</v>
      </c>
      <c r="E87" s="260" t="str">
        <f t="shared" si="16"/>
        <v>-</v>
      </c>
      <c r="F87" s="260" t="str">
        <f t="shared" si="16"/>
        <v>-</v>
      </c>
      <c r="G87" s="260" t="e">
        <f>INDEX(BOM!$T:$T,MATCH(B87,BOM!$J:$J,0))</f>
        <v>#N/A</v>
      </c>
      <c r="H87" s="260" t="e">
        <f>INDEX(BOM!$T:$T,MATCH(C87,BOM!$K:$K,0))</f>
        <v>#N/A</v>
      </c>
      <c r="I87" s="241" t="s">
        <v>782</v>
      </c>
      <c r="J87" s="3" t="s">
        <v>109</v>
      </c>
      <c r="K87" s="3" t="s">
        <v>107</v>
      </c>
      <c r="L87" s="259">
        <f>SUMIFS(BOM!$G$14:$G$213,BOM!$L$14:$L$213,"*computer*", BOM!$L$14:$L$213,"*turning*",  BOM!$L$14:$L$213,"*average*", BOM!$K$14:$K$213,"*brass*")</f>
        <v>0</v>
      </c>
      <c r="M87" s="241" t="s">
        <v>9875</v>
      </c>
      <c r="N87" s="241" t="s">
        <v>9849</v>
      </c>
      <c r="O87" s="242" t="s">
        <v>9849</v>
      </c>
      <c r="P87" s="242"/>
      <c r="Q87" s="242"/>
      <c r="R87" s="242">
        <f>SUMIFS(BOM!$G$14:$G$213,BOM!$L$14:$L$213,"*computer*", BOM!$L$14:$L$213,"*turning*",  BOM!$L$14:$L$213,"*average*", BOM!$K$14:$K$213,"*brass*")</f>
        <v>0</v>
      </c>
      <c r="S87" s="242" t="s">
        <v>9674</v>
      </c>
      <c r="T87" s="242" t="e">
        <f>INDEX(#REF!,MATCH(S87,#REF!,0))</f>
        <v>#REF!</v>
      </c>
      <c r="U87" s="270" t="e">
        <f t="shared" si="13"/>
        <v>#REF!</v>
      </c>
      <c r="V87" s="277" t="e">
        <f t="shared" si="14"/>
        <v>#REF!</v>
      </c>
      <c r="W87" s="101"/>
      <c r="X87" s="253" t="e">
        <f>INDEX(#REF!,MATCH(I87,#REF!,0))</f>
        <v>#REF!</v>
      </c>
    </row>
    <row r="88" spans="1:24" s="3" customFormat="1" ht="29.55" customHeight="1">
      <c r="A88" s="260" t="s">
        <v>8577</v>
      </c>
      <c r="B88" s="260" t="s">
        <v>8578</v>
      </c>
      <c r="C88" s="260" t="s">
        <v>776</v>
      </c>
      <c r="D88" s="260" t="s">
        <v>9876</v>
      </c>
      <c r="E88" s="260" t="str">
        <f t="shared" si="16"/>
        <v>-</v>
      </c>
      <c r="F88" s="260" t="str">
        <f t="shared" si="16"/>
        <v>-</v>
      </c>
      <c r="G88" s="260" t="e">
        <f>INDEX(BOM!$T:$T,MATCH(B88,BOM!$J:$J,0))</f>
        <v>#N/A</v>
      </c>
      <c r="H88" s="260" t="e">
        <f>INDEX(BOM!$T:$T,MATCH(C88,BOM!$K:$K,0))</f>
        <v>#N/A</v>
      </c>
      <c r="I88" s="243" t="s">
        <v>784</v>
      </c>
      <c r="J88" s="3" t="s">
        <v>109</v>
      </c>
      <c r="K88" s="3" t="s">
        <v>107</v>
      </c>
      <c r="L88" s="259">
        <f>SUMIFS(BOM!$G$14:$G$213,BOM!$L$14:$L$213,"*conventional*", BOM!$L$14:$L$213,"*turning*",  BOM!$L$14:$L$213,"*average*", BOM!$K$14:$K$213,"*brass*")</f>
        <v>0</v>
      </c>
      <c r="M88" s="3" t="s">
        <v>9877</v>
      </c>
      <c r="N88" s="3" t="s">
        <v>9849</v>
      </c>
      <c r="O88" s="3" t="s">
        <v>9849</v>
      </c>
      <c r="R88" s="3">
        <f>SUMIFS(BOM!$G$14:$G$213,BOM!$L$14:$L$213,"*conventional*", BOM!$L$14:$L$213,"*turning*",  BOM!$L$14:$L$213,"*average*", BOM!$K$14:$K$213,"*brass*")</f>
        <v>0</v>
      </c>
      <c r="S88" s="276" t="s">
        <v>9677</v>
      </c>
      <c r="T88" s="242" t="e">
        <f>INDEX(#REF!,MATCH(S88,#REF!,0))</f>
        <v>#REF!</v>
      </c>
      <c r="U88" s="270" t="e">
        <f t="shared" si="13"/>
        <v>#REF!</v>
      </c>
      <c r="V88" s="277" t="e">
        <f t="shared" si="14"/>
        <v>#REF!</v>
      </c>
      <c r="W88" s="101"/>
      <c r="X88" s="253" t="e">
        <f>INDEX(#REF!,MATCH(I88,#REF!,0))</f>
        <v>#REF!</v>
      </c>
    </row>
    <row r="89" spans="1:24" s="3" customFormat="1" ht="29.55" customHeight="1">
      <c r="A89" s="260" t="s">
        <v>8577</v>
      </c>
      <c r="B89" s="260" t="s">
        <v>8578</v>
      </c>
      <c r="C89" s="260" t="s">
        <v>776</v>
      </c>
      <c r="D89" s="260" t="s">
        <v>9858</v>
      </c>
      <c r="E89" s="260" t="str">
        <f t="shared" si="16"/>
        <v>-</v>
      </c>
      <c r="F89" s="260" t="str">
        <f t="shared" si="16"/>
        <v>-</v>
      </c>
      <c r="G89" s="260" t="e">
        <f>INDEX(BOM!$T:$T,MATCH(B89,BOM!$J:$J,0))</f>
        <v>#N/A</v>
      </c>
      <c r="H89" s="260" t="e">
        <f>INDEX(BOM!$T:$T,MATCH(C89,BOM!$K:$K,0))</f>
        <v>#N/A</v>
      </c>
      <c r="I89" s="241" t="s">
        <v>786</v>
      </c>
      <c r="J89" s="3" t="s">
        <v>109</v>
      </c>
      <c r="K89" s="3" t="s">
        <v>107</v>
      </c>
      <c r="L89" s="259">
        <f>SUMIFS(BOM!$G$14:$G$213,BOM!$L$14:$L$213,"*computer*", BOM!$L$14:$L$213,"*turning*",  BOM!$L$14:$L$213,"*dressing*", BOM!$K$14:$K$213,"*brass*")</f>
        <v>0</v>
      </c>
      <c r="M89" s="241" t="s">
        <v>9878</v>
      </c>
      <c r="N89" s="241" t="s">
        <v>9849</v>
      </c>
      <c r="O89" s="242" t="s">
        <v>9849</v>
      </c>
      <c r="P89" s="242"/>
      <c r="Q89" s="242"/>
      <c r="R89" s="242">
        <f>SUMIFS(BOM!$G$14:$G$213,BOM!$L$14:$L$213,"*computer*", BOM!$L$14:$L$213,"*turning*",  BOM!$L$14:$L$213,"*dressing*", BOM!$K$14:$K$213,"*brass*")</f>
        <v>0</v>
      </c>
      <c r="S89" s="242" t="s">
        <v>9669</v>
      </c>
      <c r="T89" s="242" t="e">
        <f>INDEX(#REF!,MATCH(S89,#REF!,0))</f>
        <v>#REF!</v>
      </c>
      <c r="U89" s="270" t="e">
        <f t="shared" si="13"/>
        <v>#REF!</v>
      </c>
      <c r="V89" s="277" t="e">
        <f t="shared" si="14"/>
        <v>#REF!</v>
      </c>
      <c r="W89" s="101"/>
      <c r="X89" s="253" t="e">
        <f>INDEX(#REF!,MATCH(I89,#REF!,0))</f>
        <v>#REF!</v>
      </c>
    </row>
    <row r="90" spans="1:24" s="3" customFormat="1" ht="29.55" customHeight="1">
      <c r="A90" s="260" t="s">
        <v>8577</v>
      </c>
      <c r="B90" s="260" t="s">
        <v>8578</v>
      </c>
      <c r="C90" s="260" t="s">
        <v>776</v>
      </c>
      <c r="D90" s="260" t="s">
        <v>9860</v>
      </c>
      <c r="E90" s="260" t="str">
        <f t="shared" si="16"/>
        <v>-</v>
      </c>
      <c r="F90" s="260" t="str">
        <f t="shared" si="16"/>
        <v>-</v>
      </c>
      <c r="G90" s="260" t="e">
        <f>INDEX(BOM!$T:$T,MATCH(B90,BOM!$J:$J,0))</f>
        <v>#N/A</v>
      </c>
      <c r="H90" s="260" t="e">
        <f>INDEX(BOM!$T:$T,MATCH(C90,BOM!$K:$K,0))</f>
        <v>#N/A</v>
      </c>
      <c r="I90" s="241" t="s">
        <v>788</v>
      </c>
      <c r="J90" s="3" t="s">
        <v>109</v>
      </c>
      <c r="K90" s="3" t="s">
        <v>107</v>
      </c>
      <c r="L90" s="259">
        <f>SUMIFS(BOM!$G$14:$G$213,BOM!$L$14:$L$213,"*conventional*", BOM!$L$14:$L$213,"*turning*",  BOM!$L$14:$L$213,"*dressing*", BOM!$K$14:$K$213,"*brass*")</f>
        <v>0</v>
      </c>
      <c r="M90" s="241" t="s">
        <v>9879</v>
      </c>
      <c r="N90" s="241" t="s">
        <v>9849</v>
      </c>
      <c r="O90" s="242" t="s">
        <v>9849</v>
      </c>
      <c r="P90" s="242"/>
      <c r="Q90" s="242"/>
      <c r="R90" s="242">
        <f>SUMIFS(BOM!$G$14:$G$213,BOM!$L$14:$L$213,"*conventional*", BOM!$L$14:$L$213,"*turning*",  BOM!$L$14:$L$213,"*dressing*", BOM!$K$14:$K$213,"*brass*")</f>
        <v>0</v>
      </c>
      <c r="S90" s="242" t="s">
        <v>9670</v>
      </c>
      <c r="T90" s="242" t="e">
        <f>INDEX(#REF!,MATCH(S90,#REF!,0))</f>
        <v>#REF!</v>
      </c>
      <c r="U90" s="270" t="e">
        <f t="shared" si="13"/>
        <v>#REF!</v>
      </c>
      <c r="V90" s="277" t="e">
        <f t="shared" si="14"/>
        <v>#REF!</v>
      </c>
      <c r="W90" s="101"/>
      <c r="X90" s="253" t="e">
        <f>INDEX(#REF!,MATCH(I90,#REF!,0))</f>
        <v>#REF!</v>
      </c>
    </row>
    <row r="91" spans="1:24" s="3" customFormat="1" ht="29.55" customHeight="1">
      <c r="A91" s="260" t="s">
        <v>8577</v>
      </c>
      <c r="B91" s="260" t="s">
        <v>8578</v>
      </c>
      <c r="C91" s="260" t="s">
        <v>776</v>
      </c>
      <c r="D91" s="260" t="s">
        <v>8599</v>
      </c>
      <c r="E91" s="260" t="str">
        <f t="shared" si="16"/>
        <v>-</v>
      </c>
      <c r="F91" s="260" t="str">
        <f t="shared" si="16"/>
        <v>-</v>
      </c>
      <c r="G91" s="260" t="e">
        <f>INDEX(BOM!$T:$T,MATCH(B91,BOM!$J:$J,0))</f>
        <v>#N/A</v>
      </c>
      <c r="H91" s="260" t="e">
        <f>INDEX(BOM!$T:$T,MATCH(C91,BOM!$K:$K,0))</f>
        <v>#N/A</v>
      </c>
      <c r="I91" s="241" t="s">
        <v>790</v>
      </c>
      <c r="J91" s="3" t="s">
        <v>109</v>
      </c>
      <c r="K91" s="3" t="s">
        <v>107</v>
      </c>
      <c r="L91" s="259">
        <f>SUMIFS(BOM!$G$14:$G$213,BOM!$L$14:$L$213,"*computer*", BOM!$L$14:$L$213,"*turning*",  BOM!$L$14:$L$213,"*roughing*", BOM!$K$14:$K$213,"*brass*")</f>
        <v>0</v>
      </c>
      <c r="M91" s="241" t="s">
        <v>9880</v>
      </c>
      <c r="N91" s="241" t="s">
        <v>9849</v>
      </c>
      <c r="O91" s="242" t="s">
        <v>9849</v>
      </c>
      <c r="P91" s="242"/>
      <c r="Q91" s="242"/>
      <c r="R91" s="242">
        <f>SUMIFS(BOM!$G$14:$G$213,BOM!$L$14:$L$213,"*computer*", BOM!$L$14:$L$213,"*turning*",  BOM!$L$14:$L$213,"*roughing*", BOM!$K$14:$K$213,"*brass*")</f>
        <v>0</v>
      </c>
      <c r="S91" s="242" t="s">
        <v>9671</v>
      </c>
      <c r="T91" s="242" t="e">
        <f>INDEX(#REF!,MATCH(S91,#REF!,0))</f>
        <v>#REF!</v>
      </c>
      <c r="U91" s="270" t="e">
        <f t="shared" si="13"/>
        <v>#REF!</v>
      </c>
      <c r="V91" s="277" t="e">
        <f t="shared" si="14"/>
        <v>#REF!</v>
      </c>
      <c r="W91" s="101"/>
      <c r="X91" s="253" t="e">
        <f>INDEX(#REF!,MATCH(I91,#REF!,0))</f>
        <v>#REF!</v>
      </c>
    </row>
    <row r="92" spans="1:24" s="3" customFormat="1" ht="29.55" customHeight="1">
      <c r="A92" s="260" t="s">
        <v>8577</v>
      </c>
      <c r="B92" s="260" t="s">
        <v>8578</v>
      </c>
      <c r="C92" s="260" t="s">
        <v>776</v>
      </c>
      <c r="D92" s="260" t="s">
        <v>9863</v>
      </c>
      <c r="E92" s="260" t="str">
        <f t="shared" si="16"/>
        <v>-</v>
      </c>
      <c r="F92" s="260" t="str">
        <f t="shared" si="16"/>
        <v>-</v>
      </c>
      <c r="G92" s="260" t="e">
        <f>INDEX(BOM!$T:$T,MATCH(B92,BOM!$J:$J,0))</f>
        <v>#N/A</v>
      </c>
      <c r="H92" s="260" t="e">
        <f>INDEX(BOM!$T:$T,MATCH(C92,BOM!$K:$K,0))</f>
        <v>#N/A</v>
      </c>
      <c r="I92" s="241" t="s">
        <v>792</v>
      </c>
      <c r="J92" s="3" t="s">
        <v>109</v>
      </c>
      <c r="K92" s="3" t="s">
        <v>107</v>
      </c>
      <c r="L92" s="259">
        <f>SUMIFS(BOM!$G$14:$G$213,BOM!$L$14:$L$213,"*conventional*", BOM!$L$14:$L$213,"*turning*",  BOM!$L$14:$L$213,"*roughing*", BOM!$K$14:$K$213,"*brass*")</f>
        <v>0</v>
      </c>
      <c r="M92" s="241" t="s">
        <v>9881</v>
      </c>
      <c r="N92" s="241" t="s">
        <v>9849</v>
      </c>
      <c r="O92" s="242" t="s">
        <v>9849</v>
      </c>
      <c r="P92" s="242"/>
      <c r="Q92" s="242"/>
      <c r="R92" s="242">
        <f>SUMIFS(BOM!$G$14:$G$213,BOM!$L$14:$L$213,"*conventional*", BOM!$L$14:$L$213,"*turning*",  BOM!$L$14:$L$213,"*roughing*", BOM!$K$14:$K$213,"*brass*")</f>
        <v>0</v>
      </c>
      <c r="S92" s="242" t="s">
        <v>9672</v>
      </c>
      <c r="T92" s="242" t="e">
        <f>INDEX(#REF!,MATCH(S92,#REF!,0))</f>
        <v>#REF!</v>
      </c>
      <c r="U92" s="270" t="e">
        <f t="shared" si="13"/>
        <v>#REF!</v>
      </c>
      <c r="V92" s="277" t="e">
        <f t="shared" si="14"/>
        <v>#REF!</v>
      </c>
      <c r="W92" s="101"/>
      <c r="X92" s="253" t="e">
        <f>INDEX(#REF!,MATCH(I92,#REF!,0))</f>
        <v>#REF!</v>
      </c>
    </row>
    <row r="93" spans="1:24" s="3" customFormat="1" ht="29.55" customHeight="1">
      <c r="A93" s="260" t="s">
        <v>8577</v>
      </c>
      <c r="B93" s="260" t="s">
        <v>8578</v>
      </c>
      <c r="C93" s="260" t="s">
        <v>807</v>
      </c>
      <c r="D93" s="260" t="str">
        <f t="shared" si="16"/>
        <v>-</v>
      </c>
      <c r="E93" s="260" t="str">
        <f t="shared" si="16"/>
        <v>-</v>
      </c>
      <c r="F93" s="260" t="str">
        <f t="shared" si="16"/>
        <v>-</v>
      </c>
      <c r="G93" s="260" t="e">
        <f>INDEX(BOM!$T:$T,MATCH(B93,BOM!$J:$J,0))</f>
        <v>#N/A</v>
      </c>
      <c r="H93" s="260" t="e">
        <f>INDEX(BOM!$T:$T,MATCH(C93,BOM!$K:$K,0))</f>
        <v>#N/A</v>
      </c>
      <c r="I93" s="241" t="s">
        <v>807</v>
      </c>
      <c r="J93" s="3" t="s">
        <v>109</v>
      </c>
      <c r="K93" s="3" t="s">
        <v>107</v>
      </c>
      <c r="L93" s="259">
        <f>SUMIFS(BOM!$G$14:$G$213, BOM!$J$14:$J$213,"*metal*", BOM!$K$14:$K$213,"*bronze*")</f>
        <v>0</v>
      </c>
      <c r="M93" s="241" t="s">
        <v>9882</v>
      </c>
      <c r="N93" s="241"/>
      <c r="O93" s="242"/>
      <c r="P93" s="242"/>
      <c r="Q93" s="242"/>
      <c r="R93" s="242">
        <f>SUMIFS(BOM!$G$14:$G$213, BOM!$J$14:$J$213,"*metal*", BOM!$K$14:$K$213,"*bronze*")</f>
        <v>0</v>
      </c>
      <c r="S93" s="242" t="s">
        <v>807</v>
      </c>
      <c r="T93" s="242" t="e">
        <f>INDEX(#REF!,MATCH(S93,#REF!,0))</f>
        <v>#REF!</v>
      </c>
      <c r="U93" s="270" t="e">
        <f t="shared" ref="U93" si="17">CONCATENATE("update tbl_parameters set value = ",R93," where tbl_parameters.ref_id = '",T93,"';")</f>
        <v>#REF!</v>
      </c>
      <c r="V93" s="277" t="e">
        <f t="shared" si="14"/>
        <v>#REF!</v>
      </c>
      <c r="W93" s="101"/>
      <c r="X93" s="253" t="e">
        <f>INDEX(#REF!,MATCH(I93,#REF!,0))</f>
        <v>#REF!</v>
      </c>
    </row>
    <row r="94" spans="1:24" s="3" customFormat="1" ht="29.55" customHeight="1">
      <c r="A94" s="260" t="s">
        <v>8577</v>
      </c>
      <c r="B94" s="260" t="s">
        <v>8578</v>
      </c>
      <c r="C94" s="260" t="s">
        <v>984</v>
      </c>
      <c r="D94" s="260" t="s">
        <v>9847</v>
      </c>
      <c r="E94" s="260" t="str">
        <f t="shared" si="16"/>
        <v>-</v>
      </c>
      <c r="F94" s="260" t="str">
        <f t="shared" si="16"/>
        <v>-</v>
      </c>
      <c r="G94" s="260" t="e">
        <f>INDEX(BOM!$T:$T,MATCH(B94,BOM!$J:$J,0))</f>
        <v>#N/A</v>
      </c>
      <c r="H94" s="260" t="e">
        <f>INDEX(BOM!$T:$T,MATCH(C94,BOM!$K:$K,0))</f>
        <v>#N/A</v>
      </c>
      <c r="I94" s="241" t="s">
        <v>986</v>
      </c>
      <c r="J94" s="3" t="s">
        <v>109</v>
      </c>
      <c r="K94" s="3" t="s">
        <v>107</v>
      </c>
      <c r="L94" s="259">
        <f>SUMIFS(BOM!$G$14:$G$213,BOM!$L$14:$L$213,"*computer*", BOM!$L$14:$L$213,"*drilling*", BOM!$K$14:$K$213,"*cast iron*")</f>
        <v>0</v>
      </c>
      <c r="M94" s="241" t="s">
        <v>9883</v>
      </c>
      <c r="N94" s="241" t="s">
        <v>9849</v>
      </c>
      <c r="O94" s="242" t="s">
        <v>9849</v>
      </c>
      <c r="P94" s="242"/>
      <c r="Q94" s="242"/>
      <c r="R94" s="242">
        <f>SUMIFS(BOM!$G$14:$G$213,BOM!$L$14:$L$213,"*computer*", BOM!$L$14:$L$213,"*drilling*", BOM!$K$14:$K$213,"*cast iron*")</f>
        <v>0</v>
      </c>
      <c r="S94" s="242" t="s">
        <v>9679</v>
      </c>
      <c r="T94" s="242" t="e">
        <f>INDEX(#REF!,MATCH(S94,#REF!,0))</f>
        <v>#REF!</v>
      </c>
      <c r="U94" s="270" t="e">
        <f t="shared" si="13"/>
        <v>#REF!</v>
      </c>
      <c r="V94" s="277" t="e">
        <f t="shared" si="14"/>
        <v>#REF!</v>
      </c>
      <c r="W94" s="101"/>
      <c r="X94" s="253" t="e">
        <f>INDEX(#REF!,MATCH(I94,#REF!,0))</f>
        <v>#REF!</v>
      </c>
    </row>
    <row r="95" spans="1:24" s="3" customFormat="1" ht="29.55" customHeight="1">
      <c r="A95" s="260" t="s">
        <v>8577</v>
      </c>
      <c r="B95" s="260" t="s">
        <v>8578</v>
      </c>
      <c r="C95" s="260" t="s">
        <v>984</v>
      </c>
      <c r="D95" s="260" t="s">
        <v>9850</v>
      </c>
      <c r="E95" s="260" t="str">
        <f t="shared" si="16"/>
        <v>-</v>
      </c>
      <c r="F95" s="260" t="str">
        <f t="shared" si="16"/>
        <v>-</v>
      </c>
      <c r="G95" s="260" t="e">
        <f>INDEX(BOM!$T:$T,MATCH(B95,BOM!$J:$J,0))</f>
        <v>#N/A</v>
      </c>
      <c r="H95" s="260" t="e">
        <f>INDEX(BOM!$T:$T,MATCH(C95,BOM!$K:$K,0))</f>
        <v>#N/A</v>
      </c>
      <c r="I95" s="241" t="s">
        <v>988</v>
      </c>
      <c r="J95" s="3" t="s">
        <v>109</v>
      </c>
      <c r="K95" s="3" t="s">
        <v>107</v>
      </c>
      <c r="L95" s="259">
        <f>SUMIFS(BOM!$G$14:$G$213,BOM!$L$14:$L$213,"*conventional*", BOM!$L$14:$L$213,"*drilling*", BOM!$K$14:$K$213,"*cast iron*")</f>
        <v>0</v>
      </c>
      <c r="M95" s="241" t="s">
        <v>9884</v>
      </c>
      <c r="N95" s="241" t="s">
        <v>9849</v>
      </c>
      <c r="O95" s="242" t="s">
        <v>9849</v>
      </c>
      <c r="P95" s="242"/>
      <c r="Q95" s="242"/>
      <c r="R95" s="242">
        <f>SUMIFS(BOM!$G$14:$G$213,BOM!$L$14:$L$213,"*conventional*", BOM!$L$14:$L$213,"*drilling*", BOM!$K$14:$K$213,"*cast iron*")</f>
        <v>0</v>
      </c>
      <c r="S95" s="242" t="s">
        <v>9680</v>
      </c>
      <c r="T95" s="242" t="e">
        <f>INDEX(#REF!,MATCH(S95,#REF!,0))</f>
        <v>#REF!</v>
      </c>
      <c r="U95" s="270" t="e">
        <f t="shared" si="13"/>
        <v>#REF!</v>
      </c>
      <c r="V95" s="277" t="e">
        <f t="shared" si="14"/>
        <v>#REF!</v>
      </c>
      <c r="W95" s="101"/>
      <c r="X95" s="253" t="e">
        <f>INDEX(#REF!,MATCH(I95,#REF!,0))</f>
        <v>#REF!</v>
      </c>
    </row>
    <row r="96" spans="1:24" s="3" customFormat="1" ht="29.55" customHeight="1">
      <c r="A96" s="260" t="s">
        <v>8577</v>
      </c>
      <c r="B96" s="260" t="s">
        <v>8578</v>
      </c>
      <c r="C96" s="260" t="s">
        <v>984</v>
      </c>
      <c r="D96" s="260" t="s">
        <v>9852</v>
      </c>
      <c r="E96" s="260" t="str">
        <f t="shared" si="16"/>
        <v>-</v>
      </c>
      <c r="F96" s="260" t="str">
        <f t="shared" si="16"/>
        <v>-</v>
      </c>
      <c r="G96" s="260" t="e">
        <f>INDEX(BOM!$T:$T,MATCH(B96,BOM!$J:$J,0))</f>
        <v>#N/A</v>
      </c>
      <c r="H96" s="260" t="e">
        <f>INDEX(BOM!$T:$T,MATCH(C96,BOM!$K:$K,0))</f>
        <v>#N/A</v>
      </c>
      <c r="I96" s="241" t="s">
        <v>990</v>
      </c>
      <c r="J96" s="3" t="s">
        <v>109</v>
      </c>
      <c r="K96" s="3" t="s">
        <v>107</v>
      </c>
      <c r="L96" s="259">
        <f>SUMIFS(BOM!$G$14:$G$213,BOM!$L$14:$L$213,"*average*", BOM!$L$14:$L$213,"*milling*", BOM!$K$14:$K$213,"*cast iron*")</f>
        <v>0</v>
      </c>
      <c r="M96" s="241" t="s">
        <v>9885</v>
      </c>
      <c r="N96" s="241" t="s">
        <v>9849</v>
      </c>
      <c r="O96" s="242" t="s">
        <v>9849</v>
      </c>
      <c r="P96" s="242"/>
      <c r="Q96" s="242"/>
      <c r="R96" s="242">
        <f>SUMIFS(BOM!$G$14:$G$213,BOM!$L$14:$L$213,"*average*", BOM!$L$14:$L$213,"*milling*", BOM!$K$14:$K$213,"*cast iron*")</f>
        <v>0</v>
      </c>
      <c r="S96" s="242" t="s">
        <v>9681</v>
      </c>
      <c r="T96" s="242" t="e">
        <f>INDEX(#REF!,MATCH(S96,#REF!,0))</f>
        <v>#REF!</v>
      </c>
      <c r="U96" s="270" t="e">
        <f t="shared" si="13"/>
        <v>#REF!</v>
      </c>
      <c r="V96" s="277" t="e">
        <f t="shared" si="14"/>
        <v>#REF!</v>
      </c>
      <c r="W96" s="101"/>
      <c r="X96" s="253" t="e">
        <f>INDEX(#REF!,MATCH(I96,#REF!,0))</f>
        <v>#REF!</v>
      </c>
    </row>
    <row r="97" spans="1:24" s="3" customFormat="1" ht="29.55" customHeight="1">
      <c r="A97" s="260" t="s">
        <v>8577</v>
      </c>
      <c r="B97" s="260" t="s">
        <v>8578</v>
      </c>
      <c r="C97" s="260" t="s">
        <v>984</v>
      </c>
      <c r="D97" s="260" t="s">
        <v>9854</v>
      </c>
      <c r="E97" s="260" t="str">
        <f t="shared" si="16"/>
        <v>-</v>
      </c>
      <c r="F97" s="260" t="str">
        <f t="shared" si="16"/>
        <v>-</v>
      </c>
      <c r="G97" s="260" t="e">
        <f>INDEX(BOM!$T:$T,MATCH(B97,BOM!$J:$J,0))</f>
        <v>#N/A</v>
      </c>
      <c r="H97" s="260" t="e">
        <f>INDEX(BOM!$T:$T,MATCH(C97,BOM!$K:$K,0))</f>
        <v>#N/A</v>
      </c>
      <c r="I97" s="241" t="s">
        <v>992</v>
      </c>
      <c r="J97" s="3" t="s">
        <v>109</v>
      </c>
      <c r="K97" s="3" t="s">
        <v>107</v>
      </c>
      <c r="L97" s="259">
        <f>SUMIFS(BOM!$G$14:$G$213,BOM!$L$14:$L$213,"*dressing*", BOM!$L$14:$L$213,"*milling*", BOM!$K$14:$K$213,"*cast iron*")</f>
        <v>0</v>
      </c>
      <c r="M97" s="241" t="s">
        <v>9886</v>
      </c>
      <c r="N97" s="241" t="s">
        <v>9849</v>
      </c>
      <c r="O97" s="242" t="s">
        <v>9849</v>
      </c>
      <c r="P97" s="242"/>
      <c r="Q97" s="242"/>
      <c r="R97" s="242">
        <f>SUMIFS(BOM!$G$14:$G$213,BOM!$L$14:$L$213,"*dressing*", BOM!$L$14:$L$213,"*milling*", BOM!$K$14:$K$213,"*cast iron*")</f>
        <v>0</v>
      </c>
      <c r="S97" s="242" t="s">
        <v>9682</v>
      </c>
      <c r="T97" s="242" t="e">
        <f>INDEX(#REF!,MATCH(S97,#REF!,0))</f>
        <v>#REF!</v>
      </c>
      <c r="U97" s="270" t="e">
        <f t="shared" si="13"/>
        <v>#REF!</v>
      </c>
      <c r="V97" s="277" t="e">
        <f t="shared" si="14"/>
        <v>#REF!</v>
      </c>
      <c r="W97" s="101"/>
      <c r="X97" s="253" t="e">
        <f>INDEX(#REF!,MATCH(I97,#REF!,0))</f>
        <v>#REF!</v>
      </c>
    </row>
    <row r="98" spans="1:24" s="3" customFormat="1" ht="29.55" customHeight="1">
      <c r="A98" s="260" t="s">
        <v>8577</v>
      </c>
      <c r="B98" s="260" t="s">
        <v>8578</v>
      </c>
      <c r="C98" s="260" t="s">
        <v>984</v>
      </c>
      <c r="D98" s="260" t="s">
        <v>8596</v>
      </c>
      <c r="E98" s="260" t="str">
        <f t="shared" si="16"/>
        <v>-</v>
      </c>
      <c r="F98" s="260" t="str">
        <f t="shared" si="16"/>
        <v>-</v>
      </c>
      <c r="G98" s="260" t="e">
        <f>INDEX(BOM!$T:$T,MATCH(B98,BOM!$J:$J,0))</f>
        <v>#N/A</v>
      </c>
      <c r="H98" s="260" t="e">
        <f>INDEX(BOM!$T:$T,MATCH(C98,BOM!$K:$K,0))</f>
        <v>#N/A</v>
      </c>
      <c r="I98" s="241" t="s">
        <v>994</v>
      </c>
      <c r="J98" s="3" t="s">
        <v>109</v>
      </c>
      <c r="K98" s="3" t="s">
        <v>107</v>
      </c>
      <c r="L98" s="259">
        <f>SUMIFS(BOM!$G$14:$G$213,BOM!$L$14:$L$213,"*large*", BOM!$L$14:$L$213,"*milling*", BOM!$K$14:$K$213,"*cast iron*")</f>
        <v>0</v>
      </c>
      <c r="M98" s="241" t="s">
        <v>9887</v>
      </c>
      <c r="N98" s="241" t="s">
        <v>9849</v>
      </c>
      <c r="O98" s="242" t="s">
        <v>9849</v>
      </c>
      <c r="P98" s="242"/>
      <c r="Q98" s="242"/>
      <c r="R98" s="242">
        <f>SUMIFS(BOM!$G$14:$G$213,BOM!$L$14:$L$213,"*large*", BOM!$L$14:$L$213,"*milling*", BOM!$K$14:$K$213,"*cast iron*")</f>
        <v>0</v>
      </c>
      <c r="S98" s="242" t="s">
        <v>9683</v>
      </c>
      <c r="T98" s="242" t="e">
        <f>INDEX(#REF!,MATCH(S98,#REF!,0))</f>
        <v>#REF!</v>
      </c>
      <c r="U98" s="270" t="e">
        <f t="shared" si="13"/>
        <v>#REF!</v>
      </c>
      <c r="V98" s="277" t="e">
        <f t="shared" si="14"/>
        <v>#REF!</v>
      </c>
      <c r="W98" s="101"/>
      <c r="X98" s="253" t="e">
        <f>INDEX(#REF!,MATCH(I98,#REF!,0))</f>
        <v>#REF!</v>
      </c>
    </row>
    <row r="99" spans="1:24" s="3" customFormat="1" ht="29.55" customHeight="1">
      <c r="A99" s="260" t="s">
        <v>8577</v>
      </c>
      <c r="B99" s="260" t="s">
        <v>8578</v>
      </c>
      <c r="C99" s="260" t="s">
        <v>984</v>
      </c>
      <c r="D99" s="260" t="s">
        <v>8584</v>
      </c>
      <c r="E99" s="260" t="str">
        <f t="shared" si="16"/>
        <v>-</v>
      </c>
      <c r="F99" s="260" t="str">
        <f t="shared" si="16"/>
        <v>-</v>
      </c>
      <c r="G99" s="260" t="e">
        <f>INDEX(BOM!$T:$T,MATCH(B99,BOM!$J:$J,0))</f>
        <v>#N/A</v>
      </c>
      <c r="H99" s="260" t="e">
        <f>INDEX(BOM!$T:$T,MATCH(C99,BOM!$K:$K,0))</f>
        <v>#N/A</v>
      </c>
      <c r="I99" s="241" t="s">
        <v>996</v>
      </c>
      <c r="J99" s="3" t="s">
        <v>109</v>
      </c>
      <c r="K99" s="3" t="s">
        <v>107</v>
      </c>
      <c r="L99" s="259">
        <f>SUMIFS(BOM!$G$14:$G$213,BOM!$L$14:$L$213,"*small*", BOM!$L$14:$L$213,"*milling*", BOM!$K$14:$K$213,"*cast iron*")</f>
        <v>0</v>
      </c>
      <c r="M99" s="241" t="s">
        <v>9888</v>
      </c>
      <c r="N99" s="241" t="s">
        <v>9849</v>
      </c>
      <c r="O99" s="242" t="s">
        <v>9849</v>
      </c>
      <c r="P99" s="242"/>
      <c r="Q99" s="242"/>
      <c r="R99" s="242">
        <f>SUMIFS(BOM!$G$14:$G$213,BOM!$L$14:$L$213,"*small*", BOM!$L$14:$L$213,"*milling*", BOM!$K$14:$K$213,"*cast iron*")</f>
        <v>0</v>
      </c>
      <c r="S99" s="242" t="s">
        <v>9684</v>
      </c>
      <c r="T99" s="242" t="e">
        <f>INDEX(#REF!,MATCH(S99,#REF!,0))</f>
        <v>#REF!</v>
      </c>
      <c r="U99" s="270" t="e">
        <f t="shared" si="13"/>
        <v>#REF!</v>
      </c>
      <c r="V99" s="277" t="e">
        <f t="shared" si="14"/>
        <v>#REF!</v>
      </c>
      <c r="W99" s="101"/>
      <c r="X99" s="253" t="e">
        <f>INDEX(#REF!,MATCH(I99,#REF!,0))</f>
        <v>#REF!</v>
      </c>
    </row>
    <row r="100" spans="1:24" s="3" customFormat="1" ht="29.55" customHeight="1">
      <c r="A100" s="260" t="s">
        <v>8577</v>
      </c>
      <c r="B100" s="260" t="s">
        <v>8578</v>
      </c>
      <c r="C100" s="260" t="s">
        <v>984</v>
      </c>
      <c r="D100" s="260" t="s">
        <v>9874</v>
      </c>
      <c r="E100" s="260" t="str">
        <f t="shared" si="16"/>
        <v>-</v>
      </c>
      <c r="F100" s="260" t="str">
        <f t="shared" si="16"/>
        <v>-</v>
      </c>
      <c r="G100" s="260" t="e">
        <f>INDEX(BOM!$T:$T,MATCH(B100,BOM!$J:$J,0))</f>
        <v>#N/A</v>
      </c>
      <c r="H100" s="260" t="e">
        <f>INDEX(BOM!$T:$T,MATCH(C100,BOM!$K:$K,0))</f>
        <v>#N/A</v>
      </c>
      <c r="I100" s="241" t="s">
        <v>998</v>
      </c>
      <c r="J100" s="241" t="s">
        <v>109</v>
      </c>
      <c r="K100" s="241" t="s">
        <v>107</v>
      </c>
      <c r="L100" s="259">
        <f>SUMIFS(BOM!$G$14:$G$213,BOM!$L$14:$L$213,"*computer*", BOM!$L$14:$L$213,"*turning*",  BOM!$L$14:$L$213,"*average*", BOM!$K$14:$K$213,"*cast iron*")</f>
        <v>0</v>
      </c>
      <c r="M100" s="241" t="s">
        <v>9889</v>
      </c>
      <c r="N100" s="241" t="s">
        <v>9849</v>
      </c>
      <c r="O100" s="242" t="s">
        <v>9890</v>
      </c>
      <c r="P100" s="242"/>
      <c r="Q100" s="242"/>
      <c r="R100" s="242">
        <f>SUMIFS(BOM!$G$14:$G$213,BOM!$L$14:$L$213,"*computer*", BOM!$L$14:$L$213,"*turning*",  BOM!$L$14:$L$213,"*average*", BOM!$K$14:$K$213,"*cast iron*")</f>
        <v>0</v>
      </c>
      <c r="S100" s="242" t="s">
        <v>9685</v>
      </c>
      <c r="T100" s="242" t="e">
        <f>INDEX(#REF!,MATCH(S100,#REF!,0))</f>
        <v>#REF!</v>
      </c>
      <c r="U100" s="270" t="e">
        <f t="shared" si="13"/>
        <v>#REF!</v>
      </c>
      <c r="V100" s="277" t="e">
        <f t="shared" si="14"/>
        <v>#REF!</v>
      </c>
      <c r="W100" s="101"/>
      <c r="X100" s="253" t="e">
        <f>INDEX(#REF!,MATCH(I100,#REF!,0))</f>
        <v>#REF!</v>
      </c>
    </row>
    <row r="101" spans="1:24" s="3" customFormat="1" ht="29.55" customHeight="1">
      <c r="A101" s="260" t="s">
        <v>8577</v>
      </c>
      <c r="B101" s="260" t="s">
        <v>8578</v>
      </c>
      <c r="C101" s="260" t="s">
        <v>984</v>
      </c>
      <c r="D101" s="260" t="s">
        <v>9876</v>
      </c>
      <c r="E101" s="260" t="str">
        <f t="shared" si="16"/>
        <v>-</v>
      </c>
      <c r="F101" s="260" t="str">
        <f t="shared" si="16"/>
        <v>-</v>
      </c>
      <c r="G101" s="260" t="e">
        <f>INDEX(BOM!$T:$T,MATCH(B101,BOM!$J:$J,0))</f>
        <v>#N/A</v>
      </c>
      <c r="H101" s="260" t="e">
        <f>INDEX(BOM!$T:$T,MATCH(C101,BOM!$K:$K,0))</f>
        <v>#N/A</v>
      </c>
      <c r="I101" s="241" t="s">
        <v>1000</v>
      </c>
      <c r="J101" s="241" t="s">
        <v>109</v>
      </c>
      <c r="K101" s="241" t="s">
        <v>107</v>
      </c>
      <c r="L101" s="259">
        <f>SUMIFS(BOM!$G$14:$G$213,BOM!$L$14:$L$213,"*conventional*", BOM!$L$14:$L$213,"*turning*",  BOM!$L$14:$L$213,"*average*", BOM!$K$14:$K$213,"*cast iron*")</f>
        <v>0</v>
      </c>
      <c r="M101" s="241" t="s">
        <v>9891</v>
      </c>
      <c r="N101" s="241" t="s">
        <v>9849</v>
      </c>
      <c r="O101" s="242" t="s">
        <v>9849</v>
      </c>
      <c r="P101" s="242"/>
      <c r="Q101" s="242"/>
      <c r="R101" s="242">
        <f>SUMIFS(BOM!$G$14:$G$213,BOM!$L$14:$L$213,"*conventional*", BOM!$L$14:$L$213,"*turning*",  BOM!$L$14:$L$213,"*average*", BOM!$K$14:$K$213,"*cast iron*")</f>
        <v>0</v>
      </c>
      <c r="S101" s="242" t="s">
        <v>9686</v>
      </c>
      <c r="T101" s="242" t="e">
        <f>INDEX(#REF!,MATCH(S101,#REF!,0))</f>
        <v>#REF!</v>
      </c>
      <c r="U101" s="270" t="e">
        <f t="shared" si="13"/>
        <v>#REF!</v>
      </c>
      <c r="V101" s="277" t="e">
        <f t="shared" si="14"/>
        <v>#REF!</v>
      </c>
      <c r="W101" s="101"/>
      <c r="X101" s="253" t="e">
        <f>INDEX(#REF!,MATCH(I101,#REF!,0))</f>
        <v>#REF!</v>
      </c>
    </row>
    <row r="102" spans="1:24" s="3" customFormat="1" ht="29.55" customHeight="1">
      <c r="A102" s="260" t="s">
        <v>8577</v>
      </c>
      <c r="B102" s="260" t="s">
        <v>8578</v>
      </c>
      <c r="C102" s="260" t="s">
        <v>984</v>
      </c>
      <c r="D102" s="260" t="s">
        <v>9858</v>
      </c>
      <c r="E102" s="260" t="str">
        <f t="shared" si="16"/>
        <v>-</v>
      </c>
      <c r="F102" s="260" t="str">
        <f t="shared" si="16"/>
        <v>-</v>
      </c>
      <c r="G102" s="260" t="e">
        <f>INDEX(BOM!$T:$T,MATCH(B102,BOM!$J:$J,0))</f>
        <v>#N/A</v>
      </c>
      <c r="H102" s="260" t="e">
        <f>INDEX(BOM!$T:$T,MATCH(C102,BOM!$K:$K,0))</f>
        <v>#N/A</v>
      </c>
      <c r="I102" s="241" t="s">
        <v>1002</v>
      </c>
      <c r="J102" s="3" t="s">
        <v>109</v>
      </c>
      <c r="K102" s="3" t="s">
        <v>107</v>
      </c>
      <c r="L102" s="259">
        <f>SUMIFS(BOM!$G$14:$G$213,BOM!$L$14:$L$213,"*computer*", BOM!$L$14:$L$213,"*turning*",  BOM!$L$14:$L$213,"*dressing*", BOM!$K$14:$K$213,"*cast iron*")</f>
        <v>0</v>
      </c>
      <c r="M102" s="241" t="s">
        <v>9892</v>
      </c>
      <c r="N102" s="241" t="s">
        <v>9849</v>
      </c>
      <c r="O102" s="242" t="s">
        <v>9849</v>
      </c>
      <c r="P102" s="242"/>
      <c r="Q102" s="242"/>
      <c r="R102" s="242">
        <f>SUMIFS(BOM!$G$14:$G$213,BOM!$L$14:$L$213,"*computer*", BOM!$L$14:$L$213,"*turning*",  BOM!$L$14:$L$213,"*dressing*", BOM!$K$14:$K$213,"*cast iron*")</f>
        <v>0</v>
      </c>
      <c r="S102" s="242" t="s">
        <v>9687</v>
      </c>
      <c r="T102" s="242" t="e">
        <f>INDEX(#REF!,MATCH(S102,#REF!,0))</f>
        <v>#REF!</v>
      </c>
      <c r="U102" s="270" t="e">
        <f t="shared" si="13"/>
        <v>#REF!</v>
      </c>
      <c r="V102" s="277" t="e">
        <f t="shared" si="14"/>
        <v>#REF!</v>
      </c>
      <c r="W102" s="101"/>
      <c r="X102" s="253" t="e">
        <f>INDEX(#REF!,MATCH(I102,#REF!,0))</f>
        <v>#REF!</v>
      </c>
    </row>
    <row r="103" spans="1:24" s="3" customFormat="1" ht="29.55" customHeight="1">
      <c r="A103" s="260" t="s">
        <v>8577</v>
      </c>
      <c r="B103" s="260" t="s">
        <v>8578</v>
      </c>
      <c r="C103" s="260" t="s">
        <v>984</v>
      </c>
      <c r="D103" s="260" t="s">
        <v>9860</v>
      </c>
      <c r="E103" s="260" t="str">
        <f t="shared" ref="D103:F118" si="18">"-"</f>
        <v>-</v>
      </c>
      <c r="F103" s="260" t="str">
        <f t="shared" si="18"/>
        <v>-</v>
      </c>
      <c r="G103" s="260" t="e">
        <f>INDEX(BOM!$T:$T,MATCH(B103,BOM!$J:$J,0))</f>
        <v>#N/A</v>
      </c>
      <c r="H103" s="260" t="e">
        <f>INDEX(BOM!$T:$T,MATCH(C103,BOM!$K:$K,0))</f>
        <v>#N/A</v>
      </c>
      <c r="I103" s="241" t="s">
        <v>1004</v>
      </c>
      <c r="J103" s="3" t="s">
        <v>109</v>
      </c>
      <c r="K103" s="3" t="s">
        <v>107</v>
      </c>
      <c r="L103" s="259">
        <f>SUMIFS(BOM!$G$14:$G$213,BOM!$L$14:$L$213,"*conventional*", BOM!$L$14:$L$213,"*turning*",  BOM!$L$14:$L$213,"*dressing*", BOM!$K$14:$K$213,"*cast iron*")</f>
        <v>0</v>
      </c>
      <c r="M103" s="241" t="s">
        <v>9893</v>
      </c>
      <c r="N103" s="241" t="s">
        <v>9849</v>
      </c>
      <c r="O103" s="242" t="s">
        <v>9849</v>
      </c>
      <c r="P103" s="242"/>
      <c r="Q103" s="242"/>
      <c r="R103" s="242">
        <f>SUMIFS(BOM!$G$14:$G$213,BOM!$L$14:$L$213,"*conventional*", BOM!$L$14:$L$213,"*turning*",  BOM!$L$14:$L$213,"*dressing*", BOM!$K$14:$K$213,"*cast iron*")</f>
        <v>0</v>
      </c>
      <c r="S103" s="242" t="s">
        <v>9688</v>
      </c>
      <c r="T103" s="242" t="e">
        <f>INDEX(#REF!,MATCH(S103,#REF!,0))</f>
        <v>#REF!</v>
      </c>
      <c r="U103" s="270" t="e">
        <f t="shared" si="13"/>
        <v>#REF!</v>
      </c>
      <c r="V103" s="277" t="e">
        <f t="shared" si="14"/>
        <v>#REF!</v>
      </c>
      <c r="W103" s="101"/>
      <c r="X103" s="253" t="e">
        <f>INDEX(#REF!,MATCH(I103,#REF!,0))</f>
        <v>#REF!</v>
      </c>
    </row>
    <row r="104" spans="1:24" s="3" customFormat="1" ht="29.55" customHeight="1">
      <c r="A104" s="260" t="s">
        <v>8577</v>
      </c>
      <c r="B104" s="260" t="s">
        <v>8578</v>
      </c>
      <c r="C104" s="260" t="s">
        <v>984</v>
      </c>
      <c r="D104" s="260" t="s">
        <v>8599</v>
      </c>
      <c r="E104" s="260" t="str">
        <f t="shared" si="18"/>
        <v>-</v>
      </c>
      <c r="F104" s="260" t="str">
        <f t="shared" si="18"/>
        <v>-</v>
      </c>
      <c r="G104" s="260" t="e">
        <f>INDEX(BOM!$T:$T,MATCH(B104,BOM!$J:$J,0))</f>
        <v>#N/A</v>
      </c>
      <c r="H104" s="260" t="e">
        <f>INDEX(BOM!$T:$T,MATCH(C104,BOM!$K:$K,0))</f>
        <v>#N/A</v>
      </c>
      <c r="I104" s="241" t="s">
        <v>1006</v>
      </c>
      <c r="J104" s="3" t="s">
        <v>109</v>
      </c>
      <c r="K104" s="3" t="s">
        <v>107</v>
      </c>
      <c r="L104" s="259">
        <f>SUMIFS(BOM!$G$14:$G$213,BOM!$L$14:$L$213,"*computer*", BOM!$L$14:$L$213,"*turning*",  BOM!$L$14:$L$213,"*roughing*", BOM!$K$14:$K$213,"*cast iron*")</f>
        <v>0</v>
      </c>
      <c r="M104" s="241" t="s">
        <v>9894</v>
      </c>
      <c r="N104" s="241" t="s">
        <v>9849</v>
      </c>
      <c r="O104" s="242" t="s">
        <v>9849</v>
      </c>
      <c r="P104" s="242"/>
      <c r="Q104" s="242"/>
      <c r="R104" s="242">
        <f>SUMIFS(BOM!$G$14:$G$213,BOM!$L$14:$L$213,"*computer*", BOM!$L$14:$L$213,"*turning*",  BOM!$L$14:$L$213,"*roughing*", BOM!$K$14:$K$213,"*cast iron*")</f>
        <v>0</v>
      </c>
      <c r="S104" s="242" t="s">
        <v>9689</v>
      </c>
      <c r="T104" s="242" t="e">
        <f>INDEX(#REF!,MATCH(S104,#REF!,0))</f>
        <v>#REF!</v>
      </c>
      <c r="U104" s="270" t="e">
        <f t="shared" si="13"/>
        <v>#REF!</v>
      </c>
      <c r="V104" s="277" t="e">
        <f t="shared" si="14"/>
        <v>#REF!</v>
      </c>
      <c r="W104" s="101"/>
      <c r="X104" s="253" t="e">
        <f>INDEX(#REF!,MATCH(I104,#REF!,0))</f>
        <v>#REF!</v>
      </c>
    </row>
    <row r="105" spans="1:24" s="3" customFormat="1" ht="29.55" customHeight="1">
      <c r="A105" s="260" t="s">
        <v>8577</v>
      </c>
      <c r="B105" s="260" t="s">
        <v>8578</v>
      </c>
      <c r="C105" s="260" t="s">
        <v>984</v>
      </c>
      <c r="D105" s="260" t="s">
        <v>9863</v>
      </c>
      <c r="E105" s="260" t="str">
        <f t="shared" si="18"/>
        <v>-</v>
      </c>
      <c r="F105" s="260" t="str">
        <f t="shared" si="18"/>
        <v>-</v>
      </c>
      <c r="G105" s="260" t="e">
        <f>INDEX(BOM!$T:$T,MATCH(B105,BOM!$J:$J,0))</f>
        <v>#N/A</v>
      </c>
      <c r="H105" s="260" t="e">
        <f>INDEX(BOM!$T:$T,MATCH(C105,BOM!$K:$K,0))</f>
        <v>#N/A</v>
      </c>
      <c r="I105" s="241" t="s">
        <v>1008</v>
      </c>
      <c r="J105" s="3" t="s">
        <v>109</v>
      </c>
      <c r="K105" s="3" t="s">
        <v>107</v>
      </c>
      <c r="L105" s="259">
        <f>SUMIFS(BOM!$G$14:$G$213,BOM!$L$14:$L$213,"*conventional*", BOM!$L$14:$L$213,"*turning*",  BOM!$L$14:$L$213,"*roughing*", BOM!$K$14:$K$213,"*cast iron*")</f>
        <v>0</v>
      </c>
      <c r="M105" s="241" t="s">
        <v>9895</v>
      </c>
      <c r="N105" s="241" t="s">
        <v>9849</v>
      </c>
      <c r="O105" s="242" t="s">
        <v>9849</v>
      </c>
      <c r="P105" s="242"/>
      <c r="Q105" s="242"/>
      <c r="R105" s="242">
        <f>SUMIFS(BOM!$G$14:$G$213,BOM!$L$14:$L$213,"*conventional*", BOM!$L$14:$L$213,"*turning*",  BOM!$L$14:$L$213,"*roughing*", BOM!$K$14:$K$213,"*cast iron*")</f>
        <v>0</v>
      </c>
      <c r="S105" s="242" t="s">
        <v>9690</v>
      </c>
      <c r="T105" s="242" t="e">
        <f>INDEX(#REF!,MATCH(S105,#REF!,0))</f>
        <v>#REF!</v>
      </c>
      <c r="U105" s="270" t="e">
        <f t="shared" si="13"/>
        <v>#REF!</v>
      </c>
      <c r="V105" s="277" t="e">
        <f t="shared" si="14"/>
        <v>#REF!</v>
      </c>
      <c r="W105" s="101"/>
      <c r="X105" s="253" t="e">
        <f>INDEX(#REF!,MATCH(I105,#REF!,0))</f>
        <v>#REF!</v>
      </c>
    </row>
    <row r="106" spans="1:24" s="3" customFormat="1" ht="29.55" customHeight="1">
      <c r="A106" s="260" t="s">
        <v>8577</v>
      </c>
      <c r="B106" s="260" t="s">
        <v>8578</v>
      </c>
      <c r="C106" s="260" t="s">
        <v>8591</v>
      </c>
      <c r="D106" s="260" t="s">
        <v>8597</v>
      </c>
      <c r="E106" s="260" t="str">
        <f t="shared" si="18"/>
        <v>-</v>
      </c>
      <c r="F106" s="260" t="str">
        <f t="shared" si="18"/>
        <v>-</v>
      </c>
      <c r="G106" s="260" t="e">
        <f>INDEX(BOM!$T:$T,MATCH(B106,BOM!$J:$J,0))</f>
        <v>#N/A</v>
      </c>
      <c r="H106" s="260" t="e">
        <f>INDEX(BOM!$T:$T,MATCH(C106,BOM!$K:$K,0))</f>
        <v>#N/A</v>
      </c>
      <c r="I106" s="241" t="s">
        <v>1010</v>
      </c>
      <c r="J106" s="3" t="s">
        <v>109</v>
      </c>
      <c r="K106" s="3" t="s">
        <v>107</v>
      </c>
      <c r="L106" s="259">
        <f>SUMIFS(BOM!$G$14:$G$213, BOM!$L$14:$L$213,"*cast*", BOM!$K$14:$K$213,"*aluminum*")</f>
        <v>0</v>
      </c>
      <c r="M106" s="241" t="s">
        <v>9896</v>
      </c>
      <c r="N106" s="241" t="s">
        <v>9890</v>
      </c>
      <c r="O106" s="242" t="s">
        <v>9849</v>
      </c>
      <c r="P106" s="242"/>
      <c r="Q106" s="242"/>
      <c r="R106" s="242"/>
      <c r="S106" s="242"/>
      <c r="T106" s="242" t="e">
        <f>INDEX(#REF!,MATCH(S106,#REF!,0))</f>
        <v>#REF!</v>
      </c>
      <c r="U106" s="270" t="e">
        <f t="shared" si="13"/>
        <v>#REF!</v>
      </c>
      <c r="V106" s="277" t="e">
        <f t="shared" si="14"/>
        <v>#REF!</v>
      </c>
      <c r="W106" s="101"/>
      <c r="X106" s="253" t="e">
        <f>INDEX(#REF!,MATCH(I106,#REF!,0))</f>
        <v>#REF!</v>
      </c>
    </row>
    <row r="107" spans="1:24" s="3" customFormat="1" ht="29.55" customHeight="1">
      <c r="A107" s="260" t="s">
        <v>8577</v>
      </c>
      <c r="B107" s="260" t="s">
        <v>8578</v>
      </c>
      <c r="C107" s="260" t="s">
        <v>8591</v>
      </c>
      <c r="D107" s="260" t="s">
        <v>8597</v>
      </c>
      <c r="E107" s="260" t="str">
        <f t="shared" si="18"/>
        <v>-</v>
      </c>
      <c r="F107" s="260" t="str">
        <f t="shared" si="18"/>
        <v>-</v>
      </c>
      <c r="G107" s="260" t="e">
        <f>INDEX(BOM!$T:$T,MATCH(B107,BOM!$J:$J,0))</f>
        <v>#N/A</v>
      </c>
      <c r="H107" s="260" t="e">
        <f>INDEX(BOM!$T:$T,MATCH(C107,BOM!$K:$K,0))</f>
        <v>#N/A</v>
      </c>
      <c r="I107" s="241" t="s">
        <v>1010</v>
      </c>
      <c r="J107" s="3" t="s">
        <v>109</v>
      </c>
      <c r="K107" s="3" t="s">
        <v>107</v>
      </c>
      <c r="L107" s="259">
        <f>SUMIFS(BOM!$G$14:$G$213, BOM!$L$14:$L$213,"*cast*", BOM!$K$14:$K$213,"*aluminum*")</f>
        <v>0</v>
      </c>
      <c r="M107" s="241" t="s">
        <v>9897</v>
      </c>
      <c r="N107" s="241" t="s">
        <v>9898</v>
      </c>
      <c r="O107" s="242" t="s">
        <v>9849</v>
      </c>
      <c r="P107" s="242"/>
      <c r="Q107" s="242"/>
      <c r="R107" s="242"/>
      <c r="S107" s="242"/>
      <c r="T107" s="242" t="e">
        <f>INDEX(#REF!,MATCH(S107,#REF!,0))</f>
        <v>#REF!</v>
      </c>
      <c r="U107" s="270" t="e">
        <f t="shared" si="13"/>
        <v>#REF!</v>
      </c>
      <c r="V107" s="277" t="e">
        <f t="shared" si="14"/>
        <v>#REF!</v>
      </c>
      <c r="W107" s="101"/>
      <c r="X107" s="253" t="e">
        <f>INDEX(#REF!,MATCH(I107,#REF!,0))</f>
        <v>#REF!</v>
      </c>
    </row>
    <row r="108" spans="1:24" s="3" customFormat="1" ht="29.55" customHeight="1">
      <c r="A108" s="260" t="s">
        <v>8577</v>
      </c>
      <c r="B108" s="260" t="s">
        <v>8578</v>
      </c>
      <c r="C108" s="260" t="s">
        <v>776</v>
      </c>
      <c r="D108" s="260" t="str">
        <f t="shared" si="18"/>
        <v>-</v>
      </c>
      <c r="E108" s="260" t="str">
        <f t="shared" si="18"/>
        <v>-</v>
      </c>
      <c r="F108" s="260" t="str">
        <f t="shared" si="18"/>
        <v>-</v>
      </c>
      <c r="G108" s="260" t="e">
        <f>INDEX(BOM!$T:$T,MATCH(B108,BOM!$J:$J,0))</f>
        <v>#N/A</v>
      </c>
      <c r="H108" s="260" t="e">
        <f>INDEX(BOM!$T:$T,MATCH(C108,BOM!$K:$K,0))</f>
        <v>#N/A</v>
      </c>
      <c r="I108" s="241" t="s">
        <v>1013</v>
      </c>
      <c r="J108" s="3" t="s">
        <v>109</v>
      </c>
      <c r="K108" s="3" t="s">
        <v>107</v>
      </c>
      <c r="L108" s="259">
        <f>SUMIFS(BOM!$G$14:$G$213, BOM!$J$14:$J$213,"*metal*", BOM!$K$14:$K$213,"*brass*")</f>
        <v>0</v>
      </c>
      <c r="M108" s="241" t="s">
        <v>9871</v>
      </c>
      <c r="N108" s="241" t="s">
        <v>9849</v>
      </c>
      <c r="O108" s="242" t="s">
        <v>9849</v>
      </c>
      <c r="P108" s="242"/>
      <c r="Q108" s="242"/>
      <c r="R108" s="242"/>
      <c r="S108" s="242"/>
      <c r="T108" s="242" t="e">
        <f>INDEX(#REF!,MATCH(S108,#REF!,0))</f>
        <v>#REF!</v>
      </c>
      <c r="U108" s="270" t="e">
        <f t="shared" si="13"/>
        <v>#REF!</v>
      </c>
      <c r="V108" s="277" t="e">
        <f t="shared" si="14"/>
        <v>#REF!</v>
      </c>
      <c r="W108" s="101"/>
      <c r="X108" s="253" t="e">
        <f>INDEX(#REF!,MATCH(I108,#REF!,0))</f>
        <v>#REF!</v>
      </c>
    </row>
    <row r="109" spans="1:24" s="3" customFormat="1" ht="29.55" customHeight="1">
      <c r="A109" s="260" t="s">
        <v>8577</v>
      </c>
      <c r="B109" s="260" t="s">
        <v>8578</v>
      </c>
      <c r="C109" s="260" t="s">
        <v>807</v>
      </c>
      <c r="D109" s="260" t="str">
        <f t="shared" si="18"/>
        <v>-</v>
      </c>
      <c r="E109" s="260" t="str">
        <f t="shared" si="18"/>
        <v>-</v>
      </c>
      <c r="F109" s="260" t="str">
        <f t="shared" si="18"/>
        <v>-</v>
      </c>
      <c r="G109" s="260" t="e">
        <f>INDEX(BOM!$T:$T,MATCH(B109,BOM!$J:$J,0))</f>
        <v>#N/A</v>
      </c>
      <c r="H109" s="260" t="e">
        <f>INDEX(BOM!$T:$T,MATCH(C109,BOM!$K:$K,0))</f>
        <v>#N/A</v>
      </c>
      <c r="I109" s="241" t="s">
        <v>1015</v>
      </c>
      <c r="J109" s="3" t="s">
        <v>109</v>
      </c>
      <c r="K109" s="3" t="s">
        <v>107</v>
      </c>
      <c r="L109" s="259">
        <f>SUMIFS(BOM!$G$14:$G$213, BOM!$J$14:$J$213,"*metal*", BOM!$K$14:$K$213,"*bronze*")</f>
        <v>0</v>
      </c>
      <c r="M109" s="241" t="s">
        <v>9882</v>
      </c>
      <c r="N109" s="241" t="s">
        <v>9849</v>
      </c>
      <c r="O109" s="242" t="s">
        <v>9849</v>
      </c>
      <c r="P109" s="242"/>
      <c r="Q109" s="242"/>
      <c r="R109" s="242"/>
      <c r="S109" s="242"/>
      <c r="T109" s="242" t="e">
        <f>INDEX(#REF!,MATCH(S109,#REF!,0))</f>
        <v>#REF!</v>
      </c>
      <c r="U109" s="270" t="e">
        <f t="shared" si="13"/>
        <v>#REF!</v>
      </c>
      <c r="V109" s="277" t="e">
        <f t="shared" si="14"/>
        <v>#REF!</v>
      </c>
      <c r="W109" s="101"/>
      <c r="X109" s="253" t="e">
        <f>INDEX(#REF!,MATCH(I109,#REF!,0))</f>
        <v>#REF!</v>
      </c>
    </row>
    <row r="110" spans="1:24" s="3" customFormat="1" ht="29.55" customHeight="1">
      <c r="A110" s="260" t="s">
        <v>8577</v>
      </c>
      <c r="B110" s="260" t="s">
        <v>8578</v>
      </c>
      <c r="C110" s="260" t="s">
        <v>8579</v>
      </c>
      <c r="D110" s="260" t="s">
        <v>9899</v>
      </c>
      <c r="E110" s="260" t="s">
        <v>8583</v>
      </c>
      <c r="F110" s="260" t="str">
        <f t="shared" si="18"/>
        <v>-</v>
      </c>
      <c r="G110" s="260" t="e">
        <f>INDEX(BOM!$T:$T,MATCH(B110,BOM!$J:$J,0))</f>
        <v>#N/A</v>
      </c>
      <c r="H110" s="260" t="e">
        <f>INDEX(BOM!$T:$T,MATCH(C110,BOM!$K:$K,0))</f>
        <v>#N/A</v>
      </c>
      <c r="I110" s="241" t="s">
        <v>1207</v>
      </c>
      <c r="J110" s="3" t="s">
        <v>109</v>
      </c>
      <c r="K110" s="3" t="s">
        <v>107</v>
      </c>
      <c r="L110" s="259">
        <f>(SUMIFS(BOM!$G$14:$G$213,BOM!$P$14:$P$213,"*computer*", BOM!$P$14:$P$213,"*drilling*", BOM!$K$14:$K$213,"*stainless*"))+(SUMIFS(BOM!$G$14:$G$213,BOM!$N$14:$N$213,"*computer*", BOM!$N$14:$N$213,"*drilling*", BOM!$K$14:$K$213,"*stainless*"))</f>
        <v>0</v>
      </c>
      <c r="M110" s="241" t="s">
        <v>9900</v>
      </c>
      <c r="N110" s="241" t="s">
        <v>9849</v>
      </c>
      <c r="O110" s="242" t="s">
        <v>9849</v>
      </c>
      <c r="P110" s="242"/>
      <c r="Q110" s="242"/>
      <c r="R110" s="259">
        <f>(SUMIFS(BOM!$G$14:$G$213,BOM!$P$14:$P$213,"*computer*", BOM!$P$14:$P$213,"*drilling*", BOM!$K$14:$K$213,"*stainless*"))+(SUMIFS(BOM!$G$14:$G$213,BOM!$N$14:$N$213,"*computer*", BOM!$N$14:$N$213,"*drilling*", BOM!$K$14:$K$213,"*stainless*"))</f>
        <v>0</v>
      </c>
      <c r="S110" s="242" t="s">
        <v>9655</v>
      </c>
      <c r="T110" s="242" t="e">
        <f>INDEX(#REF!,MATCH(S110,#REF!,0))</f>
        <v>#REF!</v>
      </c>
      <c r="U110" s="270" t="e">
        <f t="shared" si="13"/>
        <v>#REF!</v>
      </c>
      <c r="V110" s="277" t="e">
        <f t="shared" si="14"/>
        <v>#REF!</v>
      </c>
      <c r="W110" s="101"/>
      <c r="X110" s="253" t="e">
        <f>INDEX(#REF!,MATCH(I110,#REF!,0))</f>
        <v>#REF!</v>
      </c>
    </row>
    <row r="111" spans="1:24" s="3" customFormat="1" ht="29.55" customHeight="1">
      <c r="A111" s="260" t="s">
        <v>8577</v>
      </c>
      <c r="B111" s="260" t="s">
        <v>8578</v>
      </c>
      <c r="C111" s="260" t="s">
        <v>8579</v>
      </c>
      <c r="D111" s="260" t="s">
        <v>9899</v>
      </c>
      <c r="E111" s="260" t="s">
        <v>8583</v>
      </c>
      <c r="F111" s="260" t="str">
        <f t="shared" si="18"/>
        <v>-</v>
      </c>
      <c r="G111" s="260" t="e">
        <f>INDEX(BOM!$T:$T,MATCH(B111,BOM!$J:$J,0))</f>
        <v>#N/A</v>
      </c>
      <c r="H111" s="260" t="e">
        <f>INDEX(BOM!$T:$T,MATCH(C111,BOM!$K:$K,0))</f>
        <v>#N/A</v>
      </c>
      <c r="I111" s="241" t="s">
        <v>1209</v>
      </c>
      <c r="J111" s="3" t="s">
        <v>109</v>
      </c>
      <c r="K111" s="3" t="s">
        <v>107</v>
      </c>
      <c r="L111" s="259">
        <f>(SUMIFS(BOM!$G$14:$G$213,BOM!$P$14:$P$213,"*conventional*", BOM!$P$14:$P$213,"*drilling*", BOM!$K$14:$K$213,"*stainless*"))+(SUMIFS(BOM!$G$14:$G$213,BOM!$N$14:$N$213,"*conventional*", BOM!$N$14:$N$213,"*drilling*", BOM!$K$14:$K$213,"*stainless*"))</f>
        <v>0</v>
      </c>
      <c r="M111" s="241" t="s">
        <v>9901</v>
      </c>
      <c r="N111" s="241" t="s">
        <v>9849</v>
      </c>
      <c r="O111" s="242" t="s">
        <v>9849</v>
      </c>
      <c r="P111" s="242"/>
      <c r="Q111" s="242"/>
      <c r="R111" s="259">
        <f>(SUMIFS(BOM!$G$14:$G$213,BOM!$P$14:$P$213,"*conventional*", BOM!$P$14:$P$213,"*drilling*", BOM!$K$14:$K$213,"*stainless*"))+(SUMIFS(BOM!$G$14:$G$213,BOM!$N$14:$N$213,"*conventional*", BOM!$N$14:$N$213,"*drilling*", BOM!$K$14:$K$213,"*stainless*"))</f>
        <v>0</v>
      </c>
      <c r="S111" s="242" t="s">
        <v>9656</v>
      </c>
      <c r="T111" s="242" t="e">
        <f>INDEX(#REF!,MATCH(S111,#REF!,0))</f>
        <v>#REF!</v>
      </c>
      <c r="U111" s="270" t="e">
        <f t="shared" si="13"/>
        <v>#REF!</v>
      </c>
      <c r="V111" s="277" t="e">
        <f t="shared" si="14"/>
        <v>#REF!</v>
      </c>
      <c r="W111" s="101"/>
      <c r="X111" s="253" t="e">
        <f>INDEX(#REF!,MATCH(I111,#REF!,0))</f>
        <v>#REF!</v>
      </c>
    </row>
    <row r="112" spans="1:24" s="3" customFormat="1" ht="29.55" customHeight="1">
      <c r="A112" s="260" t="s">
        <v>8577</v>
      </c>
      <c r="B112" s="260" t="s">
        <v>8578</v>
      </c>
      <c r="C112" s="260" t="s">
        <v>8579</v>
      </c>
      <c r="D112" s="260" t="s">
        <v>9899</v>
      </c>
      <c r="E112" s="260" t="s">
        <v>8583</v>
      </c>
      <c r="F112" s="260" t="str">
        <f t="shared" si="18"/>
        <v>-</v>
      </c>
      <c r="G112" s="260" t="e">
        <f>INDEX(BOM!$T:$T,MATCH(B112,BOM!$J:$J,0))</f>
        <v>#N/A</v>
      </c>
      <c r="H112" s="260" t="e">
        <f>INDEX(BOM!$T:$T,MATCH(C112,BOM!$K:$K,0))</f>
        <v>#N/A</v>
      </c>
      <c r="I112" s="241" t="s">
        <v>1211</v>
      </c>
      <c r="J112" s="3" t="s">
        <v>109</v>
      </c>
      <c r="K112" s="3" t="s">
        <v>107</v>
      </c>
      <c r="L112" s="259">
        <f>(SUMIFS(BOM!$G$14:$G$213,BOM!$P$14:$P$213,"*average*", BOM!$P$14:$P$213,"*milling*", BOM!$K$14:$K$213,"*stainless*"))+(SUMIFS(BOM!$G$14:$G$213,BOM!$N$14:$N$213,"*average*", BOM!$N$14:$N$213,"*milling*", BOM!$K$14:$K$213,"*stainless*"))</f>
        <v>0</v>
      </c>
      <c r="M112" s="241" t="s">
        <v>9902</v>
      </c>
      <c r="N112" s="241" t="s">
        <v>9849</v>
      </c>
      <c r="O112" s="242" t="s">
        <v>9849</v>
      </c>
      <c r="P112" s="242"/>
      <c r="Q112" s="242"/>
      <c r="R112" s="259">
        <f>(SUMIFS(BOM!$G$14:$G$213,BOM!$P$14:$P$213,"*average*", BOM!$P$14:$P$213,"*milling*", BOM!$K$14:$K$213,"*stainless*"))+(SUMIFS(BOM!$G$14:$G$213,BOM!$N$14:$N$213,"*average*", BOM!$N$14:$N$213,"*milling*", BOM!$K$14:$K$213,"*stainless*"))</f>
        <v>0</v>
      </c>
      <c r="S112" s="242" t="s">
        <v>9657</v>
      </c>
      <c r="T112" s="242" t="e">
        <f>INDEX(#REF!,MATCH(S112,#REF!,0))</f>
        <v>#REF!</v>
      </c>
      <c r="U112" s="270" t="e">
        <f t="shared" si="13"/>
        <v>#REF!</v>
      </c>
      <c r="V112" s="277" t="e">
        <f t="shared" si="14"/>
        <v>#REF!</v>
      </c>
      <c r="W112" s="101"/>
      <c r="X112" s="253" t="e">
        <f>INDEX(#REF!,MATCH(I112,#REF!,0))</f>
        <v>#REF!</v>
      </c>
    </row>
    <row r="113" spans="1:24" s="3" customFormat="1" ht="29.55" customHeight="1">
      <c r="A113" s="260" t="s">
        <v>8577</v>
      </c>
      <c r="B113" s="260" t="s">
        <v>8578</v>
      </c>
      <c r="C113" s="260" t="s">
        <v>8579</v>
      </c>
      <c r="D113" s="260" t="s">
        <v>9899</v>
      </c>
      <c r="E113" s="260" t="s">
        <v>8583</v>
      </c>
      <c r="F113" s="260" t="str">
        <f t="shared" si="18"/>
        <v>-</v>
      </c>
      <c r="G113" s="260" t="e">
        <f>INDEX(BOM!$T:$T,MATCH(B113,BOM!$J:$J,0))</f>
        <v>#N/A</v>
      </c>
      <c r="H113" s="260" t="e">
        <f>INDEX(BOM!$T:$T,MATCH(C113,BOM!$K:$K,0))</f>
        <v>#N/A</v>
      </c>
      <c r="I113" s="241" t="s">
        <v>1213</v>
      </c>
      <c r="J113" s="3" t="s">
        <v>109</v>
      </c>
      <c r="K113" s="3" t="s">
        <v>107</v>
      </c>
      <c r="L113" s="259">
        <f>(SUMIFS(BOM!$G$14:$G$213,BOM!$P$14:$P$213,"*dressing*", BOM!$P$14:$P$213,"*milling*", BOM!$K$14:$K$213,"*stainless*"))+(SUMIFS(BOM!$G$14:$G$213,BOM!$N$14:$N$213,"*dressing*", BOM!$N$14:$N$213,"*milling*", BOM!$K$14:$K$213,"*stainless*"))</f>
        <v>0</v>
      </c>
      <c r="M113" s="241" t="s">
        <v>9903</v>
      </c>
      <c r="N113" s="241" t="s">
        <v>9849</v>
      </c>
      <c r="O113" s="242" t="s">
        <v>9849</v>
      </c>
      <c r="P113" s="242"/>
      <c r="Q113" s="242"/>
      <c r="R113" s="259">
        <f>(SUMIFS(BOM!$G$14:$G$213,BOM!$P$14:$P$213,"*dressing*", BOM!$P$14:$P$213,"*milling*", BOM!$K$14:$K$213,"*stainless*"))+(SUMIFS(BOM!$G$14:$G$213,BOM!$N$14:$N$213,"*dressing*", BOM!$N$14:$N$213,"*milling*", BOM!$K$14:$K$213,"*stainless*"))</f>
        <v>0</v>
      </c>
      <c r="S113" s="242" t="s">
        <v>9658</v>
      </c>
      <c r="T113" s="242" t="e">
        <f>INDEX(#REF!,MATCH(S113,#REF!,0))</f>
        <v>#REF!</v>
      </c>
      <c r="U113" s="270" t="e">
        <f t="shared" si="13"/>
        <v>#REF!</v>
      </c>
      <c r="V113" s="277" t="e">
        <f t="shared" si="14"/>
        <v>#REF!</v>
      </c>
      <c r="W113" s="101"/>
      <c r="X113" s="253" t="e">
        <f>INDEX(#REF!,MATCH(I113,#REF!,0))</f>
        <v>#REF!</v>
      </c>
    </row>
    <row r="114" spans="1:24" s="3" customFormat="1" ht="29.55" customHeight="1">
      <c r="A114" s="260" t="s">
        <v>8577</v>
      </c>
      <c r="B114" s="260" t="s">
        <v>8578</v>
      </c>
      <c r="C114" s="260" t="s">
        <v>8579</v>
      </c>
      <c r="D114" s="260" t="s">
        <v>9899</v>
      </c>
      <c r="E114" s="260" t="s">
        <v>8583</v>
      </c>
      <c r="F114" s="260" t="str">
        <f t="shared" si="18"/>
        <v>-</v>
      </c>
      <c r="G114" s="260" t="e">
        <f>INDEX(BOM!$T:$T,MATCH(B114,BOM!$J:$J,0))</f>
        <v>#N/A</v>
      </c>
      <c r="H114" s="260" t="e">
        <f>INDEX(BOM!$T:$T,MATCH(C114,BOM!$K:$K,0))</f>
        <v>#N/A</v>
      </c>
      <c r="I114" s="241" t="s">
        <v>1215</v>
      </c>
      <c r="J114" s="3" t="s">
        <v>109</v>
      </c>
      <c r="K114" s="3" t="s">
        <v>107</v>
      </c>
      <c r="L114" s="259">
        <f>(SUMIFS(BOM!$G$14:$G$213,BOM!$P$14:$P$213,"*large*", BOM!$P$14:$P$213,"*milling*", BOM!$K$14:$K$213,"*stainless*"))+(SUMIFS(BOM!$G$14:$G$213,BOM!$N$14:$N$213,"*large*", BOM!$N$14:$N$213,"*milling*", BOM!$K$14:$K$213,"*stainless*"))</f>
        <v>0</v>
      </c>
      <c r="M114" s="241" t="s">
        <v>9904</v>
      </c>
      <c r="N114" s="241" t="s">
        <v>9849</v>
      </c>
      <c r="O114" s="242" t="s">
        <v>9849</v>
      </c>
      <c r="P114" s="242"/>
      <c r="Q114" s="242"/>
      <c r="R114" s="259">
        <f>(SUMIFS(BOM!$G$14:$G$213,BOM!$P$14:$P$213,"*large*", BOM!$P$14:$P$213,"*milling*", BOM!$K$14:$K$213,"*stainless*"))+(SUMIFS(BOM!$G$14:$G$213,BOM!$N$14:$N$213,"*large*", BOM!$N$14:$N$213,"*milling*", BOM!$K$14:$K$213,"*stainless*"))</f>
        <v>0</v>
      </c>
      <c r="S114" s="242" t="s">
        <v>9659</v>
      </c>
      <c r="T114" s="242" t="e">
        <f>INDEX(#REF!,MATCH(S114,#REF!,0))</f>
        <v>#REF!</v>
      </c>
      <c r="U114" s="270" t="e">
        <f t="shared" si="13"/>
        <v>#REF!</v>
      </c>
      <c r="V114" s="277" t="e">
        <f t="shared" si="14"/>
        <v>#REF!</v>
      </c>
      <c r="W114" s="101"/>
      <c r="X114" s="253" t="e">
        <f>INDEX(#REF!,MATCH(I114,#REF!,0))</f>
        <v>#REF!</v>
      </c>
    </row>
    <row r="115" spans="1:24" s="3" customFormat="1" ht="29.55" customHeight="1">
      <c r="A115" s="260" t="s">
        <v>8577</v>
      </c>
      <c r="B115" s="260" t="s">
        <v>8578</v>
      </c>
      <c r="C115" s="260" t="s">
        <v>8579</v>
      </c>
      <c r="D115" s="260" t="s">
        <v>9899</v>
      </c>
      <c r="E115" s="260" t="s">
        <v>8583</v>
      </c>
      <c r="F115" s="260" t="str">
        <f t="shared" si="18"/>
        <v>-</v>
      </c>
      <c r="G115" s="260" t="e">
        <f>INDEX(BOM!$T:$T,MATCH(B115,BOM!$J:$J,0))</f>
        <v>#N/A</v>
      </c>
      <c r="H115" s="260" t="e">
        <f>INDEX(BOM!$T:$T,MATCH(C115,BOM!$K:$K,0))</f>
        <v>#N/A</v>
      </c>
      <c r="I115" s="241" t="s">
        <v>1217</v>
      </c>
      <c r="J115" s="3" t="s">
        <v>109</v>
      </c>
      <c r="K115" s="3" t="s">
        <v>107</v>
      </c>
      <c r="L115" s="259">
        <f>(SUMIFS(BOM!$G$14:$G$213,BOM!$P$14:$P$213,"*small*", BOM!$P$14:$P$213,"*milling*", BOM!$K$14:$K$213,"*stainless*"))+(SUMIFS(BOM!$G$14:$G$213,BOM!$N$14:$N$213,"*small*", BOM!$N$14:$N$213,"*milling*", BOM!$K$14:$K$213,"*stainless*"))</f>
        <v>0</v>
      </c>
      <c r="M115" s="241" t="s">
        <v>9905</v>
      </c>
      <c r="N115" s="241" t="s">
        <v>9849</v>
      </c>
      <c r="O115" s="242" t="s">
        <v>9849</v>
      </c>
      <c r="P115" s="242"/>
      <c r="Q115" s="242"/>
      <c r="R115" s="259">
        <f>(SUMIFS(BOM!$G$14:$G$213,BOM!$P$14:$P$213,"*small*", BOM!$P$14:$P$213,"*milling*", BOM!$K$14:$K$213,"*stainless*"))+(SUMIFS(BOM!$G$14:$G$213,BOM!$N$14:$N$213,"*small*", BOM!$N$14:$N$213,"*milling*", BOM!$K$14:$K$213,"*stainless*"))</f>
        <v>0</v>
      </c>
      <c r="S115" s="242" t="s">
        <v>9660</v>
      </c>
      <c r="T115" s="242" t="e">
        <f>INDEX(#REF!,MATCH(S115,#REF!,0))</f>
        <v>#REF!</v>
      </c>
      <c r="U115" s="270" t="e">
        <f t="shared" si="13"/>
        <v>#REF!</v>
      </c>
      <c r="V115" s="277" t="e">
        <f t="shared" si="14"/>
        <v>#REF!</v>
      </c>
      <c r="W115" s="101"/>
      <c r="X115" s="253" t="e">
        <f>INDEX(#REF!,MATCH(I115,#REF!,0))</f>
        <v>#REF!</v>
      </c>
    </row>
    <row r="116" spans="1:24" s="3" customFormat="1" ht="29.55" customHeight="1">
      <c r="A116" s="260" t="s">
        <v>8577</v>
      </c>
      <c r="B116" s="260" t="s">
        <v>8578</v>
      </c>
      <c r="C116" s="260" t="s">
        <v>8579</v>
      </c>
      <c r="D116" s="260" t="s">
        <v>9899</v>
      </c>
      <c r="E116" s="260" t="s">
        <v>8583</v>
      </c>
      <c r="F116" s="260" t="str">
        <f t="shared" si="18"/>
        <v>-</v>
      </c>
      <c r="G116" s="260" t="e">
        <f>INDEX(BOM!$T:$T,MATCH(B116,BOM!$J:$J,0))</f>
        <v>#N/A</v>
      </c>
      <c r="H116" s="260" t="e">
        <f>INDEX(BOM!$T:$T,MATCH(C116,BOM!$K:$K,0))</f>
        <v>#N/A</v>
      </c>
      <c r="I116" s="241" t="s">
        <v>1219</v>
      </c>
      <c r="J116" s="3" t="s">
        <v>109</v>
      </c>
      <c r="K116" s="3" t="s">
        <v>107</v>
      </c>
      <c r="L116" s="259">
        <f>(SUMIFS(BOM!$G$14:$G$213,BOM!$P$14:$P$213,"*computer*", BOM!$P$14:$P$213,"*turning*", BOM!$P$14:$P$213,"*average*", BOM!$K$14:$K$213,"*stainless*"))+(SUMIFS(BOM!$G$14:$G$213,BOM!$N$14:$N$213,"*computer*", BOM!$N$14:$N$213,"*turning*", BOM!$N$14:$N$213,"*average*", BOM!$K$14:$K$213,"*stainless*"))</f>
        <v>0</v>
      </c>
      <c r="M116" s="241" t="s">
        <v>9906</v>
      </c>
      <c r="N116" s="241" t="s">
        <v>9849</v>
      </c>
      <c r="O116" s="242" t="s">
        <v>9849</v>
      </c>
      <c r="P116" s="242"/>
      <c r="Q116" s="242"/>
      <c r="R116" s="259">
        <f>(SUMIFS(BOM!$G$14:$G$213,BOM!$P$14:$P$213,"*computer*", BOM!$P$14:$P$213,"*turning*", BOM!$P$14:$P$213,"*average*", BOM!$K$14:$K$213,"*stainless*"))+(SUMIFS(BOM!$G$14:$G$213,BOM!$N$14:$N$213,"*computer*", BOM!$N$14:$N$213,"*turning*", BOM!$N$14:$N$213,"*average*", BOM!$K$14:$K$213,"*stainless*"))</f>
        <v>0</v>
      </c>
      <c r="S116" s="242" t="s">
        <v>9691</v>
      </c>
      <c r="T116" s="242" t="e">
        <f>INDEX(#REF!,MATCH(S116,#REF!,0))</f>
        <v>#REF!</v>
      </c>
      <c r="U116" s="270" t="e">
        <f t="shared" si="13"/>
        <v>#REF!</v>
      </c>
      <c r="V116" s="277" t="e">
        <f t="shared" si="14"/>
        <v>#REF!</v>
      </c>
      <c r="W116" s="101"/>
      <c r="X116" s="253" t="e">
        <f>INDEX(#REF!,MATCH(I116,#REF!,0))</f>
        <v>#REF!</v>
      </c>
    </row>
    <row r="117" spans="1:24" s="3" customFormat="1" ht="29.55" customHeight="1">
      <c r="A117" s="260" t="s">
        <v>8577</v>
      </c>
      <c r="B117" s="260" t="s">
        <v>8578</v>
      </c>
      <c r="C117" s="260" t="s">
        <v>8579</v>
      </c>
      <c r="D117" s="260" t="s">
        <v>9899</v>
      </c>
      <c r="E117" s="260" t="s">
        <v>8583</v>
      </c>
      <c r="F117" s="260" t="str">
        <f t="shared" si="18"/>
        <v>-</v>
      </c>
      <c r="G117" s="260" t="e">
        <f>INDEX(BOM!$T:$T,MATCH(B117,BOM!$J:$J,0))</f>
        <v>#N/A</v>
      </c>
      <c r="H117" s="260" t="e">
        <f>INDEX(BOM!$T:$T,MATCH(C117,BOM!$K:$K,0))</f>
        <v>#N/A</v>
      </c>
      <c r="I117" s="241" t="s">
        <v>1221</v>
      </c>
      <c r="J117" s="3" t="s">
        <v>109</v>
      </c>
      <c r="K117" s="3" t="s">
        <v>107</v>
      </c>
      <c r="L117" s="259">
        <f>(SUMIFS(BOM!$G$14:$G$213,BOM!$P$14:$P$213,"*conventional*", BOM!$P$14:$P$213,"*turning*", BOM!$P$14:$P$213,"*average*", BOM!$K$14:$K$213,"*stainless*"))+(SUMIFS(BOM!$G$14:$G$213,BOM!$N$14:$N$213,"*conventional*", BOM!$N$14:$N$213,"*turning*", BOM!$N$14:$N$213,"*average*", BOM!$K$14:$K$213,"*stainless*"))</f>
        <v>0</v>
      </c>
      <c r="M117" s="241" t="s">
        <v>9907</v>
      </c>
      <c r="N117" s="241" t="s">
        <v>9849</v>
      </c>
      <c r="O117" s="242" t="s">
        <v>9849</v>
      </c>
      <c r="P117" s="242"/>
      <c r="Q117" s="242"/>
      <c r="R117" s="259">
        <f>(SUMIFS(BOM!$G$14:$G$213,BOM!$P$14:$P$213,"*conventional*", BOM!$P$14:$P$213,"*turning*", BOM!$P$14:$P$213,"*average*", BOM!$K$14:$K$213,"*stainless*"))+(SUMIFS(BOM!$G$14:$G$213,BOM!$N$14:$N$213,"*conventional*", BOM!$N$14:$N$213,"*turning*", BOM!$N$14:$N$213,"*average*", BOM!$K$14:$K$213,"*stainless*"))</f>
        <v>0</v>
      </c>
      <c r="S117" s="242" t="s">
        <v>9692</v>
      </c>
      <c r="T117" s="242" t="e">
        <f>INDEX(#REF!,MATCH(S117,#REF!,0))</f>
        <v>#REF!</v>
      </c>
      <c r="U117" s="270" t="e">
        <f t="shared" si="13"/>
        <v>#REF!</v>
      </c>
      <c r="V117" s="277" t="e">
        <f t="shared" si="14"/>
        <v>#REF!</v>
      </c>
      <c r="W117" s="101"/>
      <c r="X117" s="253" t="e">
        <f>INDEX(#REF!,MATCH(I117,#REF!,0))</f>
        <v>#REF!</v>
      </c>
    </row>
    <row r="118" spans="1:24" s="3" customFormat="1" ht="29.55" customHeight="1">
      <c r="A118" s="260" t="s">
        <v>8577</v>
      </c>
      <c r="B118" s="260" t="s">
        <v>8578</v>
      </c>
      <c r="C118" s="260" t="s">
        <v>8579</v>
      </c>
      <c r="D118" s="260" t="s">
        <v>9899</v>
      </c>
      <c r="E118" s="260" t="s">
        <v>8583</v>
      </c>
      <c r="F118" s="260" t="str">
        <f t="shared" si="18"/>
        <v>-</v>
      </c>
      <c r="G118" s="260" t="e">
        <f>INDEX(BOM!$T:$T,MATCH(B118,BOM!$J:$J,0))</f>
        <v>#N/A</v>
      </c>
      <c r="H118" s="260" t="e">
        <f>INDEX(BOM!$T:$T,MATCH(C118,BOM!$K:$K,0))</f>
        <v>#N/A</v>
      </c>
      <c r="I118" s="241" t="s">
        <v>1223</v>
      </c>
      <c r="J118" s="3" t="s">
        <v>109</v>
      </c>
      <c r="K118" s="3" t="s">
        <v>107</v>
      </c>
      <c r="L118" s="259">
        <f>(SUMIFS(BOM!$G$14:$G$213,BOM!$P$14:$P$213,"*computer*", BOM!$P$14:$P$213,"*turning*", BOM!$P$14:$P$213,"*dressing*", BOM!$K$14:$K$213,"*stainless*"))+(SUMIFS(BOM!$G$14:$G$213,BOM!$N$14:$N$213,"*computer*", BOM!$N$14:$N$213,"*turning*", BOM!$N$14:$N$213,"*dressing*", BOM!$K$14:$K$213,"*stainless*"))</f>
        <v>0</v>
      </c>
      <c r="M118" s="241" t="s">
        <v>9908</v>
      </c>
      <c r="N118" s="241" t="s">
        <v>9849</v>
      </c>
      <c r="O118" s="242" t="s">
        <v>9849</v>
      </c>
      <c r="P118" s="242"/>
      <c r="Q118" s="242"/>
      <c r="R118" s="259">
        <f>(SUMIFS(BOM!$G$14:$G$213,BOM!$P$14:$P$213,"*computer*", BOM!$P$14:$P$213,"*turning*", BOM!$P$14:$P$213,"*dressing*", BOM!$K$14:$K$213,"*stainless*"))+(SUMIFS(BOM!$G$14:$G$213,BOM!$N$14:$N$213,"*computer*", BOM!$N$14:$N$213,"*turning*", BOM!$N$14:$N$213,"*dressing*", BOM!$K$14:$K$213,"*stainless*"))</f>
        <v>0</v>
      </c>
      <c r="S118" s="242" t="s">
        <v>9661</v>
      </c>
      <c r="T118" s="242" t="e">
        <f>INDEX(#REF!,MATCH(S118,#REF!,0))</f>
        <v>#REF!</v>
      </c>
      <c r="U118" s="270" t="e">
        <f t="shared" si="13"/>
        <v>#REF!</v>
      </c>
      <c r="V118" s="277" t="e">
        <f t="shared" si="14"/>
        <v>#REF!</v>
      </c>
      <c r="W118" s="101"/>
      <c r="X118" s="253" t="e">
        <f>INDEX(#REF!,MATCH(I118,#REF!,0))</f>
        <v>#REF!</v>
      </c>
    </row>
    <row r="119" spans="1:24" s="3" customFormat="1" ht="29.55" customHeight="1">
      <c r="A119" s="260" t="s">
        <v>8577</v>
      </c>
      <c r="B119" s="260" t="s">
        <v>8578</v>
      </c>
      <c r="C119" s="260" t="s">
        <v>8579</v>
      </c>
      <c r="D119" s="260" t="s">
        <v>9899</v>
      </c>
      <c r="E119" s="260" t="s">
        <v>8583</v>
      </c>
      <c r="F119" s="260" t="str">
        <f t="shared" ref="F119:F121" si="19">"-"</f>
        <v>-</v>
      </c>
      <c r="G119" s="260" t="e">
        <f>INDEX(BOM!$T:$T,MATCH(B119,BOM!$J:$J,0))</f>
        <v>#N/A</v>
      </c>
      <c r="H119" s="260" t="e">
        <f>INDEX(BOM!$T:$T,MATCH(C119,BOM!$K:$K,0))</f>
        <v>#N/A</v>
      </c>
      <c r="I119" s="241" t="s">
        <v>1225</v>
      </c>
      <c r="J119" s="3" t="s">
        <v>109</v>
      </c>
      <c r="K119" s="3" t="s">
        <v>107</v>
      </c>
      <c r="L119" s="259">
        <f>(SUMIFS(BOM!$G$14:$G$213,BOM!$P$14:$P$213,"*conventional*", BOM!$P$14:$P$213,"*turning*", BOM!$P$14:$P$213,"*dressing*", BOM!$K$14:$K$213,"*stainless*"))+(SUMIFS(BOM!$G$14:$G$213,BOM!$N$14:$N$213,"*conventional*", BOM!$N$14:$N$213,"*turning*", BOM!$N$14:$N$213,"*dressing*", BOM!$K$14:$K$213,"*stainless*"))</f>
        <v>0</v>
      </c>
      <c r="M119" s="241" t="s">
        <v>9909</v>
      </c>
      <c r="N119" s="241" t="s">
        <v>9849</v>
      </c>
      <c r="O119" s="242" t="s">
        <v>9849</v>
      </c>
      <c r="P119" s="242"/>
      <c r="Q119" s="242"/>
      <c r="R119" s="259">
        <f>(SUMIFS(BOM!$G$14:$G$213,BOM!$P$14:$P$213,"*conventional*", BOM!$P$14:$P$213,"*turning*", BOM!$P$14:$P$213,"*dressing*", BOM!$K$14:$K$213,"*stainless*"))+(SUMIFS(BOM!$G$14:$G$213,BOM!$N$14:$N$213,"*conventional*", BOM!$N$14:$N$213,"*turning*", BOM!$N$14:$N$213,"*dressing*", BOM!$K$14:$K$213,"*stainless*"))</f>
        <v>0</v>
      </c>
      <c r="S119" s="242" t="s">
        <v>9662</v>
      </c>
      <c r="T119" s="242" t="e">
        <f>INDEX(#REF!,MATCH(S119,#REF!,0))</f>
        <v>#REF!</v>
      </c>
      <c r="U119" s="270" t="e">
        <f t="shared" si="13"/>
        <v>#REF!</v>
      </c>
      <c r="V119" s="277" t="e">
        <f t="shared" si="14"/>
        <v>#REF!</v>
      </c>
      <c r="W119" s="101"/>
      <c r="X119" s="253" t="e">
        <f>INDEX(#REF!,MATCH(I119,#REF!,0))</f>
        <v>#REF!</v>
      </c>
    </row>
    <row r="120" spans="1:24" s="3" customFormat="1" ht="29.55" customHeight="1">
      <c r="A120" s="260" t="s">
        <v>8577</v>
      </c>
      <c r="B120" s="260" t="s">
        <v>8578</v>
      </c>
      <c r="C120" s="260" t="s">
        <v>8579</v>
      </c>
      <c r="D120" s="260" t="s">
        <v>9899</v>
      </c>
      <c r="E120" s="260" t="s">
        <v>8583</v>
      </c>
      <c r="F120" s="260" t="str">
        <f t="shared" si="19"/>
        <v>-</v>
      </c>
      <c r="G120" s="260" t="e">
        <f>INDEX(BOM!$T:$T,MATCH(B120,BOM!$J:$J,0))</f>
        <v>#N/A</v>
      </c>
      <c r="H120" s="260" t="e">
        <f>INDEX(BOM!$T:$T,MATCH(C120,BOM!$K:$K,0))</f>
        <v>#N/A</v>
      </c>
      <c r="I120" s="241" t="s">
        <v>1227</v>
      </c>
      <c r="J120" s="3" t="s">
        <v>109</v>
      </c>
      <c r="K120" s="3" t="s">
        <v>107</v>
      </c>
      <c r="L120" s="259">
        <f>(SUMIFS(BOM!$G$14:$G$213,BOM!$P$14:$P$213,"*computer*", BOM!$P$14:$P$213,"*turning*", BOM!$P$14:$P$213,"*roughing*", BOM!$K$14:$K$213,"*stainless*"))+(SUMIFS(BOM!$G$14:$G$213,BOM!$N$14:$N$213,"*computer*", BOM!$N$14:$N$213,"*turning*", BOM!$N$14:$N$213,"*roughing*", BOM!$K$14:$K$213,"*stainless*"))</f>
        <v>0</v>
      </c>
      <c r="M120" s="241" t="s">
        <v>9910</v>
      </c>
      <c r="N120" s="241" t="s">
        <v>9849</v>
      </c>
      <c r="O120" s="242" t="s">
        <v>9849</v>
      </c>
      <c r="P120" s="242"/>
      <c r="Q120" s="242"/>
      <c r="R120" s="259">
        <f>(SUMIFS(BOM!$G$14:$G$213,BOM!$P$14:$P$213,"*computer*", BOM!$P$14:$P$213,"*turning*", BOM!$P$14:$P$213,"*roughing*", BOM!$K$14:$K$213,"*stainless*"))+(SUMIFS(BOM!$G$14:$G$213,BOM!$N$14:$N$213,"*computer*", BOM!$N$14:$N$213,"*turning*", BOM!$N$14:$N$213,"*roughing*", BOM!$K$14:$K$213,"*stainless*"))</f>
        <v>0</v>
      </c>
      <c r="S120" s="242" t="s">
        <v>9663</v>
      </c>
      <c r="T120" s="242" t="e">
        <f>INDEX(#REF!,MATCH(S120,#REF!,0))</f>
        <v>#REF!</v>
      </c>
      <c r="U120" s="270" t="e">
        <f t="shared" si="13"/>
        <v>#REF!</v>
      </c>
      <c r="V120" s="277" t="e">
        <f t="shared" si="14"/>
        <v>#REF!</v>
      </c>
      <c r="W120" s="101"/>
      <c r="X120" s="253" t="e">
        <f>INDEX(#REF!,MATCH(I120,#REF!,0))</f>
        <v>#REF!</v>
      </c>
    </row>
    <row r="121" spans="1:24" s="3" customFormat="1" ht="29.55" customHeight="1">
      <c r="A121" s="260" t="s">
        <v>8577</v>
      </c>
      <c r="B121" s="260" t="s">
        <v>8578</v>
      </c>
      <c r="C121" s="260" t="s">
        <v>8579</v>
      </c>
      <c r="D121" s="260" t="s">
        <v>9899</v>
      </c>
      <c r="E121" s="260" t="s">
        <v>8583</v>
      </c>
      <c r="F121" s="260" t="str">
        <f t="shared" si="19"/>
        <v>-</v>
      </c>
      <c r="G121" s="260" t="e">
        <f>INDEX(BOM!$T:$T,MATCH(B121,BOM!$J:$J,0))</f>
        <v>#N/A</v>
      </c>
      <c r="H121" s="260" t="e">
        <f>INDEX(BOM!$T:$T,MATCH(C121,BOM!$K:$K,0))</f>
        <v>#N/A</v>
      </c>
      <c r="I121" s="241" t="s">
        <v>1229</v>
      </c>
      <c r="J121" s="3" t="s">
        <v>109</v>
      </c>
      <c r="K121" s="3" t="s">
        <v>107</v>
      </c>
      <c r="L121" s="259">
        <f>(SUMIFS(BOM!$G$14:$G$213,BOM!$P$14:$P$213,"*conventional*", BOM!$P$14:$P$213,"*turning*", BOM!$P$14:$P$213,"*roughing*", BOM!$K$14:$K$213,"*stainless*"))+(SUMIFS(BOM!$G$14:$G$213,BOM!$N$14:$N$213,"*conventional*", BOM!$N$14:$N$213,"*turning*", BOM!$N$14:$N$213,"*roughing*", BOM!$K$14:$K$213,"*stainless*"))</f>
        <v>0</v>
      </c>
      <c r="M121" s="241" t="s">
        <v>9911</v>
      </c>
      <c r="N121" s="241" t="s">
        <v>9849</v>
      </c>
      <c r="O121" s="242" t="s">
        <v>9849</v>
      </c>
      <c r="P121" s="242"/>
      <c r="Q121" s="242"/>
      <c r="R121" s="259">
        <f>(SUMIFS(BOM!$G$14:$G$213,BOM!$P$14:$P$213,"*conventional*", BOM!$P$14:$P$213,"*turning*", BOM!$P$14:$P$213,"*roughing*", BOM!$K$14:$K$213,"*stainless*"))+(SUMIFS(BOM!$G$14:$G$213,BOM!$N$14:$N$213,"*conventional*", BOM!$N$14:$N$213,"*turning*", BOM!$N$14:$N$213,"*roughing*", BOM!$K$14:$K$213,"*stainless*"))</f>
        <v>0</v>
      </c>
      <c r="S121" s="242" t="s">
        <v>9664</v>
      </c>
      <c r="T121" s="242" t="e">
        <f>INDEX(#REF!,MATCH(S121,#REF!,0))</f>
        <v>#REF!</v>
      </c>
      <c r="U121" s="270" t="e">
        <f t="shared" si="13"/>
        <v>#REF!</v>
      </c>
      <c r="V121" s="277" t="e">
        <f t="shared" si="14"/>
        <v>#REF!</v>
      </c>
      <c r="W121" s="101"/>
      <c r="X121" s="253" t="e">
        <f>INDEX(#REF!,MATCH(I121,#REF!,0))</f>
        <v>#REF!</v>
      </c>
    </row>
    <row r="122" spans="1:24" s="3" customFormat="1" ht="29.55" customHeight="1">
      <c r="A122" s="260" t="s">
        <v>8577</v>
      </c>
      <c r="B122" s="260" t="s">
        <v>8578</v>
      </c>
      <c r="C122" s="260" t="s">
        <v>776</v>
      </c>
      <c r="D122" s="260" t="str">
        <f t="shared" ref="D122:F125" si="20">"-"</f>
        <v>-</v>
      </c>
      <c r="E122" s="260" t="str">
        <f t="shared" si="20"/>
        <v>-</v>
      </c>
      <c r="F122" s="260" t="str">
        <f t="shared" si="20"/>
        <v>-</v>
      </c>
      <c r="G122" s="260" t="e">
        <f>INDEX(BOM!$T:$T,MATCH(B122,BOM!$J:$J,0))</f>
        <v>#N/A</v>
      </c>
      <c r="H122" s="260" t="e">
        <f>INDEX(BOM!$T:$T,MATCH(C122,BOM!$K:$K,0))</f>
        <v>#N/A</v>
      </c>
      <c r="I122" s="241" t="s">
        <v>1394</v>
      </c>
      <c r="J122" s="3" t="s">
        <v>109</v>
      </c>
      <c r="K122" s="3" t="s">
        <v>107</v>
      </c>
      <c r="L122" s="259">
        <f>SUMIFS(BOM!$G$14:$G$213, BOM!$J$14:$J$213,"*metal*", BOM!$K$14:$K$213,"*brass*")</f>
        <v>0</v>
      </c>
      <c r="M122" s="241" t="s">
        <v>9871</v>
      </c>
      <c r="N122" s="241" t="s">
        <v>9849</v>
      </c>
      <c r="O122" s="242" t="s">
        <v>9849</v>
      </c>
      <c r="P122" s="242"/>
      <c r="Q122" s="242"/>
      <c r="R122" s="242"/>
      <c r="S122" s="242"/>
      <c r="T122" s="242" t="e">
        <f>INDEX(#REF!,MATCH(S122,#REF!,0))</f>
        <v>#REF!</v>
      </c>
      <c r="U122" s="270" t="e">
        <f t="shared" si="13"/>
        <v>#REF!</v>
      </c>
      <c r="V122" s="277" t="e">
        <f t="shared" si="14"/>
        <v>#REF!</v>
      </c>
      <c r="W122" s="101"/>
      <c r="X122" s="253" t="e">
        <f>INDEX(#REF!,MATCH(I122,#REF!,0))</f>
        <v>#REF!</v>
      </c>
    </row>
    <row r="123" spans="1:24" s="3" customFormat="1" ht="29.55" customHeight="1">
      <c r="A123" s="260" t="s">
        <v>8577</v>
      </c>
      <c r="B123" s="260" t="s">
        <v>8578</v>
      </c>
      <c r="C123" s="260" t="s">
        <v>807</v>
      </c>
      <c r="D123" s="260" t="str">
        <f t="shared" si="20"/>
        <v>-</v>
      </c>
      <c r="E123" s="260" t="str">
        <f t="shared" si="20"/>
        <v>-</v>
      </c>
      <c r="F123" s="260" t="str">
        <f t="shared" si="20"/>
        <v>-</v>
      </c>
      <c r="G123" s="260" t="e">
        <f>INDEX(BOM!$T:$T,MATCH(B123,BOM!$J:$J,0))</f>
        <v>#N/A</v>
      </c>
      <c r="H123" s="260" t="e">
        <f>INDEX(BOM!$T:$T,MATCH(C123,BOM!$K:$K,0))</f>
        <v>#N/A</v>
      </c>
      <c r="I123" s="241" t="s">
        <v>1396</v>
      </c>
      <c r="J123" s="3" t="s">
        <v>109</v>
      </c>
      <c r="K123" s="3" t="s">
        <v>107</v>
      </c>
      <c r="L123" s="259">
        <f>SUMIFS(BOM!$G$14:$G$213, BOM!$J$14:$J$213,"*metal*", BOM!$K$14:$K$213,"*bronze*")</f>
        <v>0</v>
      </c>
      <c r="M123" s="241" t="s">
        <v>9882</v>
      </c>
      <c r="N123" s="241" t="s">
        <v>9849</v>
      </c>
      <c r="O123" s="242" t="s">
        <v>9849</v>
      </c>
      <c r="P123" s="242"/>
      <c r="Q123" s="242"/>
      <c r="R123" s="242"/>
      <c r="S123" s="242"/>
      <c r="T123" s="242" t="e">
        <f>INDEX(#REF!,MATCH(S123,#REF!,0))</f>
        <v>#REF!</v>
      </c>
      <c r="U123" s="270" t="e">
        <f t="shared" si="13"/>
        <v>#REF!</v>
      </c>
      <c r="V123" s="277" t="e">
        <f t="shared" si="14"/>
        <v>#REF!</v>
      </c>
      <c r="W123" s="101"/>
      <c r="X123" s="253" t="e">
        <f>INDEX(#REF!,MATCH(I123,#REF!,0))</f>
        <v>#REF!</v>
      </c>
    </row>
    <row r="124" spans="1:24" s="3" customFormat="1" ht="29.55" customHeight="1">
      <c r="A124" s="260" t="s">
        <v>8577</v>
      </c>
      <c r="B124" s="260" t="s">
        <v>8578</v>
      </c>
      <c r="C124" s="260" t="s">
        <v>8804</v>
      </c>
      <c r="D124" s="260" t="str">
        <f t="shared" si="20"/>
        <v>-</v>
      </c>
      <c r="E124" s="260" t="str">
        <f t="shared" si="20"/>
        <v>-</v>
      </c>
      <c r="F124" s="260" t="str">
        <f t="shared" si="20"/>
        <v>-</v>
      </c>
      <c r="G124" s="260" t="e">
        <f>INDEX(BOM!$T:$T,MATCH(B124,BOM!$J:$J,0))</f>
        <v>#N/A</v>
      </c>
      <c r="H124" s="260" t="e">
        <f>INDEX(BOM!$T:$T,MATCH(C124,BOM!$K:$K,0))</f>
        <v>#N/A</v>
      </c>
      <c r="I124" s="241" t="s">
        <v>1423</v>
      </c>
      <c r="J124" s="3" t="s">
        <v>109</v>
      </c>
      <c r="K124" s="3" t="s">
        <v>107</v>
      </c>
      <c r="L124" s="259">
        <f>SUMIFS(BOM!$G$14:$G$213, BOM!$J$14:$J$213,"*metal*", BOM!$K$14:$K$213,"*copper*")</f>
        <v>0</v>
      </c>
      <c r="M124" s="241" t="s">
        <v>9912</v>
      </c>
      <c r="N124" s="241"/>
      <c r="O124" s="242"/>
      <c r="P124" s="242"/>
      <c r="Q124" s="242"/>
      <c r="R124" s="242"/>
      <c r="S124" s="242"/>
      <c r="T124" s="242" t="e">
        <f>INDEX(#REF!,MATCH(S124,#REF!,0))</f>
        <v>#REF!</v>
      </c>
      <c r="U124" s="270" t="e">
        <f t="shared" ref="U124:U212" si="21">CONCATENATE("update tbl_parameters set value = ",R124," where tbl_parameters.ref_id = '",T124,"';")</f>
        <v>#REF!</v>
      </c>
      <c r="V124" s="277" t="e">
        <f t="shared" si="14"/>
        <v>#REF!</v>
      </c>
      <c r="W124" s="101"/>
      <c r="X124" s="253" t="e">
        <f>INDEX(#REF!,MATCH(I124,#REF!,0))</f>
        <v>#REF!</v>
      </c>
    </row>
    <row r="125" spans="1:24" s="3" customFormat="1" ht="29.55" customHeight="1">
      <c r="A125" s="260" t="s">
        <v>8577</v>
      </c>
      <c r="B125" s="260" t="s">
        <v>8578</v>
      </c>
      <c r="C125" s="260" t="s">
        <v>8804</v>
      </c>
      <c r="D125" s="260" t="str">
        <f t="shared" si="20"/>
        <v>-</v>
      </c>
      <c r="E125" s="260" t="str">
        <f t="shared" si="20"/>
        <v>-</v>
      </c>
      <c r="F125" s="260" t="str">
        <f t="shared" si="20"/>
        <v>-</v>
      </c>
      <c r="G125" s="260" t="e">
        <f>INDEX(BOM!$T:$T,MATCH(B125,BOM!$J:$J,0))</f>
        <v>#N/A</v>
      </c>
      <c r="H125" s="260" t="e">
        <f>INDEX(BOM!$T:$T,MATCH(C125,BOM!$K:$K,0))</f>
        <v>#N/A</v>
      </c>
      <c r="I125" s="241" t="s">
        <v>1431</v>
      </c>
      <c r="J125" s="3" t="s">
        <v>109</v>
      </c>
      <c r="K125" s="3" t="s">
        <v>107</v>
      </c>
      <c r="L125" s="259">
        <f>SUMIFS(BOM!$G$14:$G$213, BOM!$J$14:$J$213,"*metal*", BOM!$K$14:$K$213,"*copper*")</f>
        <v>0</v>
      </c>
      <c r="M125" s="241" t="s">
        <v>9695</v>
      </c>
      <c r="N125" s="241"/>
      <c r="O125" s="242"/>
      <c r="P125" s="242"/>
      <c r="Q125" s="242"/>
      <c r="R125" s="242"/>
      <c r="S125" s="242"/>
      <c r="T125" s="242" t="e">
        <f>INDEX(#REF!,MATCH(S125,#REF!,0))</f>
        <v>#REF!</v>
      </c>
      <c r="U125" s="270" t="e">
        <f t="shared" ref="U125" si="22">CONCATENATE("update tbl_parameters set value = ",R125," where tbl_parameters.ref_id = '",T125,"';")</f>
        <v>#REF!</v>
      </c>
      <c r="V125" s="277"/>
      <c r="W125" s="101"/>
      <c r="X125" s="253" t="e">
        <f>INDEX(#REF!,MATCH(I125,#REF!,0))</f>
        <v>#REF!</v>
      </c>
    </row>
    <row r="126" spans="1:24" s="3" customFormat="1" ht="29.55" customHeight="1">
      <c r="A126" s="260" t="s">
        <v>8577</v>
      </c>
      <c r="B126" s="260" t="s">
        <v>8578</v>
      </c>
      <c r="C126" s="260" t="s">
        <v>8579</v>
      </c>
      <c r="D126" s="260" t="s">
        <v>9913</v>
      </c>
      <c r="E126" s="260" t="s">
        <v>9914</v>
      </c>
      <c r="F126" s="260" t="s">
        <v>9915</v>
      </c>
      <c r="G126" s="260" t="e">
        <f>INDEX(BOM!$T:$T,MATCH(B126,BOM!$J:$J,0))</f>
        <v>#N/A</v>
      </c>
      <c r="H126" s="260" t="e">
        <f>INDEX(BOM!$T:$T,MATCH(C126,BOM!$K:$K,0))</f>
        <v>#N/A</v>
      </c>
      <c r="I126" s="241" t="s">
        <v>1497</v>
      </c>
      <c r="J126" s="3" t="s">
        <v>109</v>
      </c>
      <c r="K126" s="3" t="s">
        <v>107</v>
      </c>
      <c r="L126" s="259">
        <f>(SUMIFS(BOM!$G$14:$G$213, BOM!$N$14:$N$213,"*10000*",  BOM!$N$14:$N$213,"*automode*", BOM!$K$14:$K$213,"*steel*"))+(SUMIFS(BOM!$G$14:$G$213, BOM!$P$14:$P$213,"*10000*",  BOM!$P$14:$P$213,"*automode*", BOM!$K$14:$K$213,"*steel*"))</f>
        <v>0</v>
      </c>
      <c r="M126" s="241" t="s">
        <v>9916</v>
      </c>
      <c r="N126" s="241" t="s">
        <v>9849</v>
      </c>
      <c r="O126" s="242" t="s">
        <v>9849</v>
      </c>
      <c r="P126" s="242"/>
      <c r="Q126" s="242"/>
      <c r="R126" s="259">
        <f>(SUMIFS(BOM!$G$14:$G$213, BOM!$N$14:$N$213,"*10000*",  BOM!$N$14:$N$213,"*automode*", BOM!$K$14:$K$213,"*steel*"))+(SUMIFS(BOM!$G$14:$G$213, BOM!$P$14:$P$213,"*10000*",  BOM!$P$14:$P$213,"*automode*", BOM!$K$14:$K$213,"*steel*"))</f>
        <v>0</v>
      </c>
      <c r="S126" s="242" t="s">
        <v>9631</v>
      </c>
      <c r="T126" s="242" t="e">
        <f>INDEX(#REF!,MATCH(S126,#REF!,0))</f>
        <v>#REF!</v>
      </c>
      <c r="U126" s="270" t="e">
        <f t="shared" si="21"/>
        <v>#REF!</v>
      </c>
      <c r="V126" s="277" t="e">
        <f t="shared" si="14"/>
        <v>#REF!</v>
      </c>
      <c r="W126" s="101"/>
      <c r="X126" s="253" t="e">
        <f>INDEX(#REF!,MATCH(I126,#REF!,0))</f>
        <v>#REF!</v>
      </c>
    </row>
    <row r="127" spans="1:24" s="3" customFormat="1" ht="29.55" customHeight="1">
      <c r="A127" s="260" t="s">
        <v>8577</v>
      </c>
      <c r="B127" s="260" t="s">
        <v>8578</v>
      </c>
      <c r="C127" s="260" t="s">
        <v>8579</v>
      </c>
      <c r="D127" s="260" t="s">
        <v>9913</v>
      </c>
      <c r="E127" s="260" t="s">
        <v>9914</v>
      </c>
      <c r="F127" s="260" t="s">
        <v>9917</v>
      </c>
      <c r="G127" s="260" t="e">
        <f>INDEX(BOM!$T:$T,MATCH(B127,BOM!$J:$J,0))</f>
        <v>#N/A</v>
      </c>
      <c r="H127" s="260" t="e">
        <f>INDEX(BOM!$T:$T,MATCH(C127,BOM!$K:$K,0))</f>
        <v>#N/A</v>
      </c>
      <c r="I127" s="241" t="s">
        <v>1500</v>
      </c>
      <c r="J127" s="3" t="s">
        <v>109</v>
      </c>
      <c r="K127" s="3" t="s">
        <v>107</v>
      </c>
      <c r="L127" s="259">
        <f>(SUMIFS(BOM!$G$14:$G$213, BOM!$N$14:$N$213,"*10000*",  BOM!$N$14:$N$213,"*single-stroke*", BOM!$K$14:$K$213,"*steel*"))+(SUMIFS(BOM!$G$14:$G$213, BOM!$P$14:$P$213,"*10000*",  BOM!$P$14:$P$213,"*single-stroke*", BOM!$K$14:$K$213,"*steel*"))</f>
        <v>0</v>
      </c>
      <c r="M127" s="241" t="s">
        <v>9918</v>
      </c>
      <c r="N127" s="241" t="s">
        <v>9849</v>
      </c>
      <c r="O127" s="242" t="s">
        <v>9849</v>
      </c>
      <c r="P127" s="242"/>
      <c r="Q127" s="242"/>
      <c r="R127" s="259">
        <f>(SUMIFS(BOM!$G$14:$G$213, BOM!$N$14:$N$213,"*10000*",  BOM!$N$14:$N$213,"*single-stroke*", BOM!$K$14:$K$213,"*steel*"))+(SUMIFS(BOM!$G$14:$G$213, BOM!$P$14:$P$213,"*10000*",  BOM!$P$14:$P$213,"*single-stroke*", BOM!$K$14:$K$213,"*steel*"))</f>
        <v>0</v>
      </c>
      <c r="S127" s="242" t="s">
        <v>9632</v>
      </c>
      <c r="T127" s="242" t="e">
        <f>INDEX(#REF!,MATCH(S127,#REF!,0))</f>
        <v>#REF!</v>
      </c>
      <c r="U127" s="270" t="e">
        <f t="shared" si="21"/>
        <v>#REF!</v>
      </c>
      <c r="V127" s="277" t="e">
        <f t="shared" si="14"/>
        <v>#REF!</v>
      </c>
      <c r="W127" s="101"/>
      <c r="X127" s="253" t="e">
        <f>INDEX(#REF!,MATCH(I127,#REF!,0))</f>
        <v>#REF!</v>
      </c>
    </row>
    <row r="128" spans="1:24" s="3" customFormat="1" ht="29.55" customHeight="1">
      <c r="A128" s="260" t="s">
        <v>8577</v>
      </c>
      <c r="B128" s="260" t="s">
        <v>8578</v>
      </c>
      <c r="C128" s="260" t="s">
        <v>8579</v>
      </c>
      <c r="D128" s="260" t="s">
        <v>9913</v>
      </c>
      <c r="E128" s="260" t="s">
        <v>9914</v>
      </c>
      <c r="F128" s="260" t="s">
        <v>9919</v>
      </c>
      <c r="G128" s="260" t="e">
        <f>INDEX(BOM!$T:$T,MATCH(B128,BOM!$J:$J,0))</f>
        <v>#N/A</v>
      </c>
      <c r="H128" s="260" t="e">
        <f>INDEX(BOM!$T:$T,MATCH(C128,BOM!$K:$K,0))</f>
        <v>#N/A</v>
      </c>
      <c r="I128" s="241" t="s">
        <v>1502</v>
      </c>
      <c r="J128" s="3" t="s">
        <v>109</v>
      </c>
      <c r="K128" s="3" t="s">
        <v>107</v>
      </c>
      <c r="L128" s="259">
        <f>(SUMIFS(BOM!$G$14:$G$213, BOM!$N$14:$N$213,"*3500*",  BOM!$N$14:$N$213,"*automode*", BOM!$K$14:$K$213,"*steel*"))+(SUMIFS(BOM!$G$14:$G$213, BOM!$P$14:$P$213,"*3500*",  BOM!$P$14:$P$213,"*automode*", BOM!$K$14:$K$213,"*steel*"))</f>
        <v>0</v>
      </c>
      <c r="M128" s="241" t="s">
        <v>9920</v>
      </c>
      <c r="N128" s="241" t="s">
        <v>9849</v>
      </c>
      <c r="O128" s="242" t="s">
        <v>9849</v>
      </c>
      <c r="P128" s="242"/>
      <c r="Q128" s="242"/>
      <c r="R128" s="259">
        <f>(SUMIFS(BOM!$G$14:$G$213, BOM!$N$14:$N$213,"*3500*",  BOM!$N$14:$N$213,"*automode*", BOM!$K$14:$K$213,"*steel*"))+(SUMIFS(BOM!$G$14:$G$213, BOM!$P$14:$P$213,"*3500*",  BOM!$P$14:$P$213,"*automode*", BOM!$K$14:$K$213,"*steel*"))</f>
        <v>0</v>
      </c>
      <c r="S128" s="242" t="s">
        <v>9633</v>
      </c>
      <c r="T128" s="242" t="e">
        <f>INDEX(#REF!,MATCH(S128,#REF!,0))</f>
        <v>#REF!</v>
      </c>
      <c r="U128" s="270" t="e">
        <f t="shared" si="21"/>
        <v>#REF!</v>
      </c>
      <c r="V128" s="277" t="e">
        <f t="shared" si="14"/>
        <v>#REF!</v>
      </c>
      <c r="W128" s="101"/>
      <c r="X128" s="253" t="e">
        <f>INDEX(#REF!,MATCH(I128,#REF!,0))</f>
        <v>#REF!</v>
      </c>
    </row>
    <row r="129" spans="1:24" s="3" customFormat="1" ht="29.55" customHeight="1">
      <c r="A129" s="260" t="s">
        <v>8577</v>
      </c>
      <c r="B129" s="260" t="s">
        <v>8578</v>
      </c>
      <c r="C129" s="260" t="s">
        <v>8579</v>
      </c>
      <c r="D129" s="260" t="s">
        <v>9913</v>
      </c>
      <c r="E129" s="260" t="s">
        <v>9914</v>
      </c>
      <c r="F129" s="260" t="s">
        <v>9921</v>
      </c>
      <c r="G129" s="260" t="e">
        <f>INDEX(BOM!$T:$T,MATCH(B129,BOM!$J:$J,0))</f>
        <v>#N/A</v>
      </c>
      <c r="H129" s="260" t="e">
        <f>INDEX(BOM!$T:$T,MATCH(C129,BOM!$K:$K,0))</f>
        <v>#N/A</v>
      </c>
      <c r="I129" s="241" t="s">
        <v>1504</v>
      </c>
      <c r="J129" s="3" t="s">
        <v>109</v>
      </c>
      <c r="K129" s="3" t="s">
        <v>107</v>
      </c>
      <c r="L129" s="259">
        <f>(SUMIFS(BOM!$G$14:$G$213, BOM!$N$14:$N$213,"*3500*",  BOM!$N$14:$N$213,"*single-stroke*", BOM!$K$14:$K$213,"*steel*"))+(SUMIFS(BOM!$G$14:$G$213, BOM!$P$14:$P$213,"*3500*",  BOM!$P$14:$P$213,"*single-stroke*", BOM!$K$14:$K$213,"*steel*"))</f>
        <v>0</v>
      </c>
      <c r="M129" s="241" t="s">
        <v>9922</v>
      </c>
      <c r="N129" s="241" t="s">
        <v>9849</v>
      </c>
      <c r="O129" s="242" t="s">
        <v>9849</v>
      </c>
      <c r="P129" s="242"/>
      <c r="Q129" s="242"/>
      <c r="R129" s="259">
        <f>(SUMIFS(BOM!$G$14:$G$213, BOM!$N$14:$N$213,"*3500*",  BOM!$N$14:$N$213,"*single-stroke*", BOM!$K$14:$K$213,"*steel*"))+(SUMIFS(BOM!$G$14:$G$213, BOM!$P$14:$P$213,"*3500*",  BOM!$P$14:$P$213,"*single-stroke*", BOM!$K$14:$K$213,"*steel*"))</f>
        <v>0</v>
      </c>
      <c r="S129" s="242" t="s">
        <v>9665</v>
      </c>
      <c r="T129" s="242" t="e">
        <f>INDEX(#REF!,MATCH(S129,#REF!,0))</f>
        <v>#REF!</v>
      </c>
      <c r="U129" s="270" t="e">
        <f t="shared" si="21"/>
        <v>#REF!</v>
      </c>
      <c r="V129" s="277" t="e">
        <f t="shared" si="14"/>
        <v>#REF!</v>
      </c>
      <c r="W129" s="101"/>
      <c r="X129" s="253" t="e">
        <f>INDEX(#REF!,MATCH(I129,#REF!,0))</f>
        <v>#REF!</v>
      </c>
    </row>
    <row r="130" spans="1:24" s="3" customFormat="1" ht="40.799999999999997">
      <c r="A130" s="260" t="s">
        <v>8577</v>
      </c>
      <c r="B130" s="260" t="s">
        <v>8578</v>
      </c>
      <c r="C130" s="260" t="s">
        <v>8579</v>
      </c>
      <c r="D130" s="260" t="s">
        <v>9913</v>
      </c>
      <c r="E130" s="260" t="s">
        <v>9914</v>
      </c>
      <c r="F130" s="260" t="s">
        <v>9923</v>
      </c>
      <c r="G130" s="260" t="e">
        <f>INDEX(BOM!$T:$T,MATCH(B130,BOM!$J:$J,0))</f>
        <v>#N/A</v>
      </c>
      <c r="H130" s="260" t="e">
        <f>INDEX(BOM!$T:$T,MATCH(C130,BOM!$K:$K,0))</f>
        <v>#N/A</v>
      </c>
      <c r="I130" s="241" t="s">
        <v>1506</v>
      </c>
      <c r="J130" s="3" t="s">
        <v>109</v>
      </c>
      <c r="K130" s="3" t="s">
        <v>107</v>
      </c>
      <c r="L130" s="259">
        <f>(SUMIFS(BOM!$G$14:$G$213, BOM!$N$14:$N$213,"*38000*",  BOM!$N$14:$N$213,"*automode*", BOM!$K$14:$K$213,"*steel*"))+(SUMIFS(BOM!$G$14:$G$213, BOM!$P$14:$P$213,"*38000*",  BOM!$P$14:$P$213,"*automode*", BOM!$K$14:$K$213,"*steel*"))</f>
        <v>0</v>
      </c>
      <c r="M130" s="241" t="s">
        <v>9924</v>
      </c>
      <c r="N130" s="241" t="s">
        <v>9849</v>
      </c>
      <c r="O130" s="242" t="s">
        <v>9849</v>
      </c>
      <c r="P130" s="242"/>
      <c r="Q130" s="242"/>
      <c r="R130" s="259">
        <f>(SUMIFS(BOM!$G$14:$G$213, BOM!$N$14:$N$213,"*38000*",  BOM!$N$14:$N$213,"*automode*", BOM!$K$14:$K$213,"*steel*"))+(SUMIFS(BOM!$G$14:$G$213, BOM!$P$14:$P$213,"*38000*",  BOM!$P$14:$P$213,"*automode*", BOM!$K$14:$K$213,"*steel*"))</f>
        <v>0</v>
      </c>
      <c r="S130" s="242" t="s">
        <v>9634</v>
      </c>
      <c r="T130" s="242" t="e">
        <f>INDEX(#REF!,MATCH(S130,#REF!,0))</f>
        <v>#REF!</v>
      </c>
      <c r="U130" s="270" t="e">
        <f t="shared" si="21"/>
        <v>#REF!</v>
      </c>
      <c r="V130" s="277" t="e">
        <f t="shared" si="14"/>
        <v>#REF!</v>
      </c>
      <c r="W130" s="101"/>
      <c r="X130" s="253" t="e">
        <f>INDEX(#REF!,MATCH(I130,#REF!,0))</f>
        <v>#REF!</v>
      </c>
    </row>
    <row r="131" spans="1:24" s="3" customFormat="1" ht="40.799999999999997">
      <c r="A131" s="260" t="s">
        <v>8577</v>
      </c>
      <c r="B131" s="260" t="s">
        <v>8578</v>
      </c>
      <c r="C131" s="260" t="s">
        <v>8579</v>
      </c>
      <c r="D131" s="260" t="s">
        <v>9913</v>
      </c>
      <c r="E131" s="260" t="s">
        <v>9914</v>
      </c>
      <c r="F131" s="260" t="s">
        <v>9925</v>
      </c>
      <c r="G131" s="260" t="e">
        <f>INDEX(BOM!$T:$T,MATCH(B131,BOM!$J:$J,0))</f>
        <v>#N/A</v>
      </c>
      <c r="H131" s="260" t="e">
        <f>INDEX(BOM!$T:$T,MATCH(C131,BOM!$K:$K,0))</f>
        <v>#N/A</v>
      </c>
      <c r="I131" s="241" t="s">
        <v>1508</v>
      </c>
      <c r="J131" s="3" t="s">
        <v>109</v>
      </c>
      <c r="K131" s="3" t="s">
        <v>107</v>
      </c>
      <c r="L131" s="259">
        <f>(SUMIFS(BOM!$G$14:$G$213, BOM!$N$14:$N$213,"*38000*",  BOM!$N$14:$N$213,"*single-stroke*", BOM!$K$14:$K$213,"*steel*"))+(SUMIFS(BOM!$G$14:$G$213, BOM!$P$14:$P$213,"*38000*",  BOM!$P$14:$P$213,"*single-stroke*", BOM!$K$14:$K$213,"*steel*"))</f>
        <v>0</v>
      </c>
      <c r="M131" s="241" t="s">
        <v>9926</v>
      </c>
      <c r="N131" s="241" t="s">
        <v>9849</v>
      </c>
      <c r="O131" s="242" t="s">
        <v>9849</v>
      </c>
      <c r="P131" s="242"/>
      <c r="Q131" s="242"/>
      <c r="R131" s="259">
        <f>(SUMIFS(BOM!$G$14:$G$213, BOM!$N$14:$N$213,"*38000*",  BOM!$N$14:$N$213,"*single-stroke*", BOM!$K$14:$K$213,"*steel*"))+(SUMIFS(BOM!$G$14:$G$213, BOM!$P$14:$P$213,"*38000*",  BOM!$P$14:$P$213,"*single-stroke*", BOM!$K$14:$K$213,"*steel*"))</f>
        <v>0</v>
      </c>
      <c r="S131" s="242" t="s">
        <v>9666</v>
      </c>
      <c r="T131" s="242" t="e">
        <f>INDEX(#REF!,MATCH(S131,#REF!,0))</f>
        <v>#REF!</v>
      </c>
      <c r="U131" s="270" t="e">
        <f t="shared" si="21"/>
        <v>#REF!</v>
      </c>
      <c r="V131" s="277" t="e">
        <f t="shared" si="14"/>
        <v>#REF!</v>
      </c>
      <c r="W131" s="101"/>
      <c r="X131" s="253" t="e">
        <f>INDEX(#REF!,MATCH(I131,#REF!,0))</f>
        <v>#REF!</v>
      </c>
    </row>
    <row r="132" spans="1:24" s="3" customFormat="1" ht="40.799999999999997">
      <c r="A132" s="260" t="s">
        <v>8577</v>
      </c>
      <c r="B132" s="260" t="s">
        <v>8578</v>
      </c>
      <c r="C132" s="260" t="s">
        <v>8579</v>
      </c>
      <c r="D132" s="260" t="s">
        <v>9913</v>
      </c>
      <c r="E132" s="260" t="s">
        <v>9914</v>
      </c>
      <c r="F132" s="260" t="s">
        <v>8582</v>
      </c>
      <c r="G132" s="260" t="e">
        <f>INDEX(BOM!$T:$T,MATCH(B132,BOM!$J:$J,0))</f>
        <v>#N/A</v>
      </c>
      <c r="H132" s="260" t="e">
        <f>INDEX(BOM!$T:$T,MATCH(C132,BOM!$K:$K,0))</f>
        <v>#N/A</v>
      </c>
      <c r="I132" s="241" t="s">
        <v>1510</v>
      </c>
      <c r="J132" s="3" t="s">
        <v>109</v>
      </c>
      <c r="K132" s="3" t="s">
        <v>107</v>
      </c>
      <c r="L132" s="259">
        <f>(SUMIFS(BOM!$G$14:$G$213, BOM!$N$14:$N$213,"*650",  BOM!$N$14:$N$213,"*automode*", BOM!$K$14:$K$213,"*steel*"))+(SUMIFS(BOM!$G$14:$G$213, BOM!$P$14:$P$213,"*650*",  BOM!$P$14:$P$213,"*automode*", BOM!$K$14:$K$213,"*steel*"))</f>
        <v>0</v>
      </c>
      <c r="M132" s="241" t="s">
        <v>9927</v>
      </c>
      <c r="N132" s="241" t="s">
        <v>9849</v>
      </c>
      <c r="O132" s="242" t="s">
        <v>9849</v>
      </c>
      <c r="P132" s="242"/>
      <c r="Q132" s="242"/>
      <c r="R132" s="259">
        <f>(SUMIFS(BOM!$G$14:$G$213, BOM!$N$14:$N$213,"*650",  BOM!$N$14:$N$213,"*automode*", BOM!$K$14:$K$213,"*steel*"))+(SUMIFS(BOM!$G$14:$G$213, BOM!$P$14:$P$213,"*650*",  BOM!$P$14:$P$213,"*automode*", BOM!$K$14:$K$213,"*steel*"))</f>
        <v>0</v>
      </c>
      <c r="S132" s="242" t="s">
        <v>9630</v>
      </c>
      <c r="T132" s="242" t="e">
        <f>INDEX(#REF!,MATCH(S132,#REF!,0))</f>
        <v>#REF!</v>
      </c>
      <c r="U132" s="270" t="e">
        <f t="shared" si="21"/>
        <v>#REF!</v>
      </c>
      <c r="V132" s="277" t="e">
        <f t="shared" si="14"/>
        <v>#REF!</v>
      </c>
      <c r="W132" s="101"/>
      <c r="X132" s="253" t="e">
        <f>INDEX(#REF!,MATCH(I132,#REF!,0))</f>
        <v>#REF!</v>
      </c>
    </row>
    <row r="133" spans="1:24" s="3" customFormat="1" ht="29.55" customHeight="1">
      <c r="A133" s="260" t="s">
        <v>8577</v>
      </c>
      <c r="B133" s="260" t="s">
        <v>8578</v>
      </c>
      <c r="C133" s="260" t="s">
        <v>8579</v>
      </c>
      <c r="D133" s="260" t="s">
        <v>9913</v>
      </c>
      <c r="E133" s="260"/>
      <c r="F133" s="260" t="s">
        <v>8600</v>
      </c>
      <c r="G133" s="260" t="e">
        <f>INDEX(BOM!$T:$T,MATCH(B133,BOM!$J:$J,0))</f>
        <v>#N/A</v>
      </c>
      <c r="H133" s="260" t="e">
        <f>INDEX(BOM!$T:$T,MATCH(C133,BOM!$K:$K,0))</f>
        <v>#N/A</v>
      </c>
      <c r="I133" s="241" t="s">
        <v>1512</v>
      </c>
      <c r="J133" s="3" t="s">
        <v>109</v>
      </c>
      <c r="K133" s="3" t="s">
        <v>107</v>
      </c>
      <c r="L133" s="259">
        <f>(SUMIFS(BOM!$G$14:$G$213, BOM!$N$14:$N$213,"*650*",  BOM!$N$14:$N$213,"*single-stroke*", BOM!$K$14:$K$213,"*steel*"))+(SUMIFS(BOM!$G$14:$G$213, BOM!$P$14:$P$213,"*650*",  BOM!$P$14:$P$213,"*single-stroke*", BOM!$K$14:$K$213,"*steel*"))</f>
        <v>0</v>
      </c>
      <c r="M133" s="241" t="s">
        <v>9928</v>
      </c>
      <c r="N133" s="241" t="s">
        <v>9849</v>
      </c>
      <c r="O133" s="242" t="s">
        <v>9849</v>
      </c>
      <c r="P133" s="242"/>
      <c r="Q133" s="242"/>
      <c r="R133" s="259">
        <f>(SUMIFS(BOM!$G$14:$G$213, BOM!$N$14:$N$213,"*650*",  BOM!$N$14:$N$213,"*single-stroke*", BOM!$K$14:$K$213,"*steel*"))+(SUMIFS(BOM!$G$14:$G$213, BOM!$P$14:$P$213,"*650*",  BOM!$P$14:$P$213,"*single-stroke*", BOM!$K$14:$K$213,"*steel*"))</f>
        <v>0</v>
      </c>
      <c r="S133" s="242" t="s">
        <v>9629</v>
      </c>
      <c r="T133" s="242" t="e">
        <f>INDEX(#REF!,MATCH(S133,#REF!,0))</f>
        <v>#REF!</v>
      </c>
      <c r="U133" s="270" t="e">
        <f t="shared" si="21"/>
        <v>#REF!</v>
      </c>
      <c r="V133" s="277" t="e">
        <f t="shared" si="14"/>
        <v>#REF!</v>
      </c>
      <c r="W133" s="101"/>
      <c r="X133" s="253" t="e">
        <f>INDEX(#REF!,MATCH(I133,#REF!,0))</f>
        <v>#REF!</v>
      </c>
    </row>
    <row r="134" spans="1:24" s="3" customFormat="1" ht="29.55" customHeight="1">
      <c r="A134" s="260" t="s">
        <v>8577</v>
      </c>
      <c r="B134" s="260" t="s">
        <v>8578</v>
      </c>
      <c r="C134" s="260" t="s">
        <v>8588</v>
      </c>
      <c r="D134" s="260" t="s">
        <v>9929</v>
      </c>
      <c r="E134" s="260" t="str">
        <f t="shared" ref="E134:F149" si="23">"-"</f>
        <v>-</v>
      </c>
      <c r="F134" s="260" t="str">
        <f t="shared" si="23"/>
        <v>-</v>
      </c>
      <c r="G134" s="260" t="e">
        <f>INDEX(BOM!$T:$T,MATCH(B134,BOM!$J:$J,0))</f>
        <v>#N/A</v>
      </c>
      <c r="H134" s="260" t="e">
        <f>INDEX(BOM!$T:$T,MATCH(C134,BOM!$K:$K,0))</f>
        <v>#N/A</v>
      </c>
      <c r="I134" s="241" t="s">
        <v>1782</v>
      </c>
      <c r="J134" s="3" t="s">
        <v>109</v>
      </c>
      <c r="K134" s="3" t="s">
        <v>107</v>
      </c>
      <c r="L134" s="259">
        <f>(SUMIFS(BOM!$G$14:$G$213, BOM!$Q$14:$Q$213,"*Electrostatic*"))+(SUMIF(BOM!$L$14:$L$213,"*Electrostatic*", BOM!$G$14:$G$213))</f>
        <v>0</v>
      </c>
      <c r="M134" s="241" t="s">
        <v>9930</v>
      </c>
      <c r="N134" s="241" t="s">
        <v>9849</v>
      </c>
      <c r="O134" s="242" t="s">
        <v>9849</v>
      </c>
      <c r="P134" s="242"/>
      <c r="Q134" s="242"/>
      <c r="R134" s="259">
        <f>(SUMIFS(BOM!$G$14:$G$213, BOM!$Q$14:$Q$213,"*Electrostatic*"))+(SUMIF(BOM!$L$14:$L$213,"*Electrostatic*", BOM!$G$14:$G$213))</f>
        <v>0</v>
      </c>
      <c r="S134" s="242" t="s">
        <v>9614</v>
      </c>
      <c r="T134" s="242" t="e">
        <f>INDEX(#REF!,MATCH(S134,#REF!,0))</f>
        <v>#REF!</v>
      </c>
      <c r="U134" s="270" t="e">
        <f t="shared" si="21"/>
        <v>#REF!</v>
      </c>
      <c r="V134" s="277" t="e">
        <f t="shared" si="14"/>
        <v>#REF!</v>
      </c>
      <c r="W134" s="101"/>
      <c r="X134" s="253" t="e">
        <f>INDEX(#REF!,MATCH(I134,#REF!,0))</f>
        <v>#REF!</v>
      </c>
    </row>
    <row r="135" spans="1:24" s="3" customFormat="1" ht="29.55" customHeight="1">
      <c r="A135" s="260" t="s">
        <v>8577</v>
      </c>
      <c r="B135" s="260" t="s">
        <v>8578</v>
      </c>
      <c r="C135" s="260" t="s">
        <v>8588</v>
      </c>
      <c r="D135" s="260" t="s">
        <v>9931</v>
      </c>
      <c r="E135" s="260" t="str">
        <f t="shared" si="23"/>
        <v>-</v>
      </c>
      <c r="F135" s="260" t="str">
        <f t="shared" si="23"/>
        <v>-</v>
      </c>
      <c r="G135" s="260" t="e">
        <f>INDEX(BOM!$T:$T,MATCH(B135,BOM!$J:$J,0))</f>
        <v>#N/A</v>
      </c>
      <c r="H135" s="260" t="e">
        <f>INDEX(BOM!$T:$T,MATCH(C135,BOM!$K:$K,0))</f>
        <v>#N/A</v>
      </c>
      <c r="I135" s="243" t="s">
        <v>1786</v>
      </c>
      <c r="J135" s="3" t="s">
        <v>468</v>
      </c>
      <c r="K135" s="3" t="s">
        <v>466</v>
      </c>
      <c r="L135" s="259">
        <f>((SUMIFS(BOM!$G$14:$G$213, BOM!$Q$14:$Q$213,"*Enamelling*"))+(SUMIF(BOM!$L$14:$L$213,"*Enamelling*", BOM!$G$14:$G$213)))/6</f>
        <v>0</v>
      </c>
      <c r="M135" s="3" t="s">
        <v>9932</v>
      </c>
      <c r="N135" s="3" t="s">
        <v>9849</v>
      </c>
      <c r="O135" s="3" t="s">
        <v>9849</v>
      </c>
      <c r="P135" s="242"/>
      <c r="Q135" s="242"/>
      <c r="R135" s="259">
        <f>(SUMIFS(BOM!$G$14:$G$213, BOM!$Q$14:$Q$213,"*Enamelling*"))+(SUMIF(BOM!$L$14:$L$213,"*Enamelling*", BOM!$G$14:$G$213))</f>
        <v>0</v>
      </c>
      <c r="S135" s="242" t="s">
        <v>9615</v>
      </c>
      <c r="T135" s="242" t="e">
        <f>INDEX(#REF!,MATCH(S135,#REF!,0))</f>
        <v>#REF!</v>
      </c>
      <c r="U135" s="270" t="e">
        <f t="shared" si="21"/>
        <v>#REF!</v>
      </c>
      <c r="V135" s="277" t="e">
        <f t="shared" si="14"/>
        <v>#REF!</v>
      </c>
      <c r="W135" s="101"/>
      <c r="X135" s="253" t="e">
        <f>INDEX(#REF!,MATCH(I135,#REF!,0))</f>
        <v>#REF!</v>
      </c>
    </row>
    <row r="136" spans="1:24" s="3" customFormat="1" ht="29.55" customHeight="1">
      <c r="A136" s="260" t="s">
        <v>8577</v>
      </c>
      <c r="B136" s="260" t="s">
        <v>8578</v>
      </c>
      <c r="C136" s="260" t="s">
        <v>8588</v>
      </c>
      <c r="D136" s="260" t="s">
        <v>9933</v>
      </c>
      <c r="E136" s="260" t="str">
        <f t="shared" si="23"/>
        <v>-</v>
      </c>
      <c r="F136" s="260" t="str">
        <f t="shared" si="23"/>
        <v>-</v>
      </c>
      <c r="G136" s="260" t="e">
        <f>INDEX(BOM!$T:$T,MATCH(B136,BOM!$J:$J,0))</f>
        <v>#N/A</v>
      </c>
      <c r="H136" s="260" t="e">
        <f>INDEX(BOM!$T:$T,MATCH(C136,BOM!$K:$K,0))</f>
        <v>#N/A</v>
      </c>
      <c r="I136" s="243" t="s">
        <v>2384</v>
      </c>
      <c r="J136" s="3" t="s">
        <v>468</v>
      </c>
      <c r="K136" s="3" t="s">
        <v>466</v>
      </c>
      <c r="L136" s="259">
        <f>((SUMIFS(BOM!$G$14:$G$213, BOM!$Q$14:$Q$213,"*Chromium coating*"))+(SUMIF(BOM!$L$14:$L$213,"*chromium coating*", BOM!$G$14:$G$213)))/2.70537</f>
        <v>0</v>
      </c>
      <c r="M136" s="3" t="s">
        <v>9934</v>
      </c>
      <c r="N136" s="3" t="s">
        <v>9849</v>
      </c>
      <c r="O136" s="3" t="s">
        <v>9849</v>
      </c>
      <c r="P136" s="242"/>
      <c r="Q136" s="242"/>
      <c r="R136" s="259">
        <f>((SUMIFS(BOM!$G$14:$G$213, BOM!$Q$14:$Q$213,"*Chromium coating*"))+(SUMIF(BOM!$L$14:$L$213,"*chromium coating*", BOM!$G$14:$G$213)))/2.70537</f>
        <v>0</v>
      </c>
      <c r="S136" s="242" t="s">
        <v>9616</v>
      </c>
      <c r="T136" s="242" t="e">
        <f>INDEX(#REF!,MATCH(S136,#REF!,0))</f>
        <v>#REF!</v>
      </c>
      <c r="U136" s="270" t="e">
        <f t="shared" si="21"/>
        <v>#REF!</v>
      </c>
      <c r="V136" s="277" t="e">
        <f t="shared" si="14"/>
        <v>#REF!</v>
      </c>
      <c r="W136" s="101"/>
      <c r="X136" s="253" t="e">
        <f>INDEX(#REF!,MATCH(I136,#REF!,0))</f>
        <v>#REF!</v>
      </c>
    </row>
    <row r="137" spans="1:24" s="3" customFormat="1" ht="29.55" customHeight="1">
      <c r="A137" s="260" t="s">
        <v>8577</v>
      </c>
      <c r="B137" s="260" t="s">
        <v>8578</v>
      </c>
      <c r="C137" s="260" t="s">
        <v>8591</v>
      </c>
      <c r="D137" s="260" t="s">
        <v>9845</v>
      </c>
      <c r="E137" s="260" t="s">
        <v>9935</v>
      </c>
      <c r="F137" s="260" t="s">
        <v>8598</v>
      </c>
      <c r="G137" s="260" t="e">
        <f>INDEX(BOM!$T:$T,MATCH(B137,BOM!$J:$J,0))</f>
        <v>#N/A</v>
      </c>
      <c r="H137" s="260" t="e">
        <f>INDEX(BOM!$T:$T,MATCH(C137,BOM!$K:$K,0))</f>
        <v>#N/A</v>
      </c>
      <c r="I137" s="243" t="s">
        <v>2633</v>
      </c>
      <c r="J137" s="3" t="s">
        <v>109</v>
      </c>
      <c r="K137" s="3" t="s">
        <v>107</v>
      </c>
      <c r="L137" s="259">
        <f>(SUMIFS(BOM!$G$14:$G$213, BOM!$N$14:$N$213,"*1 stroke*",  BOM!$N$14:$N$213,"*impact*", BOM!$K$14:$K$213,"*aluminum*"))+(SUMIFS(BOM!$G$14:$G$213, BOM!$P$14:$P$213,"*1 stroke*",  BOM!$P$14:$P$213,"*impact*", BOM!$K$14:$K$213,"*aluminum*"))</f>
        <v>0</v>
      </c>
      <c r="M137" s="3" t="s">
        <v>9936</v>
      </c>
      <c r="N137" s="3" t="s">
        <v>9849</v>
      </c>
      <c r="O137" s="3" t="s">
        <v>9849</v>
      </c>
      <c r="P137" s="242"/>
      <c r="Q137" s="242"/>
      <c r="R137" s="259">
        <f>(SUMIFS(BOM!$G$14:$G$213, BOM!$N$14:$N$213,"*1 stroke*",  BOM!$N$14:$N$213,"*impact*", BOM!$K$14:$K$213,"*aluminum*"))+(SUMIFS(BOM!$G$14:$G$213, BOM!$P$14:$P$213,"*1 stroke*",  BOM!$P$14:$P$213,"*impact*", BOM!$K$14:$K$213,"*aluminum*"))</f>
        <v>0</v>
      </c>
      <c r="S137" s="242" t="s">
        <v>9624</v>
      </c>
      <c r="T137" s="242" t="e">
        <f>INDEX(#REF!,MATCH(S137,#REF!,0))</f>
        <v>#REF!</v>
      </c>
      <c r="U137" s="270" t="e">
        <f t="shared" si="21"/>
        <v>#REF!</v>
      </c>
      <c r="V137" s="277" t="e">
        <f t="shared" si="14"/>
        <v>#REF!</v>
      </c>
      <c r="W137" s="101"/>
      <c r="X137" s="253" t="e">
        <f>INDEX(#REF!,MATCH(I137,#REF!,0))</f>
        <v>#REF!</v>
      </c>
    </row>
    <row r="138" spans="1:24" s="3" customFormat="1" ht="30.6">
      <c r="A138" s="260" t="s">
        <v>8577</v>
      </c>
      <c r="B138" s="260" t="s">
        <v>8578</v>
      </c>
      <c r="C138" s="260" t="s">
        <v>8591</v>
      </c>
      <c r="D138" s="260" t="s">
        <v>9845</v>
      </c>
      <c r="E138" s="260" t="s">
        <v>9935</v>
      </c>
      <c r="F138" s="260" t="s">
        <v>9937</v>
      </c>
      <c r="G138" s="260" t="e">
        <f>INDEX(BOM!$T:$T,MATCH(B138,BOM!$J:$J,0))</f>
        <v>#N/A</v>
      </c>
      <c r="H138" s="260" t="e">
        <f>INDEX(BOM!$T:$T,MATCH(C138,BOM!$K:$K,0))</f>
        <v>#N/A</v>
      </c>
      <c r="I138" s="243" t="s">
        <v>2635</v>
      </c>
      <c r="J138" s="3" t="s">
        <v>109</v>
      </c>
      <c r="K138" s="3" t="s">
        <v>107</v>
      </c>
      <c r="L138" s="259">
        <f>(SUMIFS(BOM!$G$14:$G$213, BOM!$N$14:$N$213,"*2 stroke*",  BOM!$N$14:$N$213,"*impact*", BOM!$K$14:$K$213,"*aluminum*"))+(SUMIFS(BOM!$G$14:$G$213, BOM!$P$14:$P$213,"*2 stroke*",  BOM!$P$14:$P$213,"*impact*", BOM!$K$14:$K$213,"*aluminum*"))</f>
        <v>0</v>
      </c>
      <c r="M138" s="3" t="s">
        <v>9938</v>
      </c>
      <c r="N138" s="3" t="s">
        <v>9849</v>
      </c>
      <c r="O138" s="3" t="s">
        <v>9849</v>
      </c>
      <c r="P138" s="242"/>
      <c r="Q138" s="242"/>
      <c r="R138" s="259">
        <f>(SUMIFS(BOM!$G$14:$G$213, BOM!$N$14:$N$213,"*2 stroke*",  BOM!$N$14:$N$213,"*impact*", BOM!$K$14:$K$213,"*aluminum*"))+(SUMIFS(BOM!$G$14:$G$213, BOM!$P$14:$P$213,"*2 stroke*",  BOM!$P$14:$P$213,"*impact*", BOM!$K$14:$K$213,"*aluminum*"))</f>
        <v>0</v>
      </c>
      <c r="S138" s="242" t="s">
        <v>9625</v>
      </c>
      <c r="T138" s="242" t="e">
        <f>INDEX(#REF!,MATCH(S138,#REF!,0))</f>
        <v>#REF!</v>
      </c>
      <c r="U138" s="270" t="e">
        <f t="shared" si="21"/>
        <v>#REF!</v>
      </c>
      <c r="V138" s="277" t="e">
        <f t="shared" si="14"/>
        <v>#REF!</v>
      </c>
      <c r="W138" s="101"/>
      <c r="X138" s="253" t="e">
        <f>INDEX(#REF!,MATCH(I138,#REF!,0))</f>
        <v>#REF!</v>
      </c>
    </row>
    <row r="139" spans="1:24" s="3" customFormat="1" ht="30.6">
      <c r="A139" s="260" t="s">
        <v>8577</v>
      </c>
      <c r="B139" s="260" t="s">
        <v>8578</v>
      </c>
      <c r="C139" s="260" t="s">
        <v>8591</v>
      </c>
      <c r="D139" s="260" t="s">
        <v>9845</v>
      </c>
      <c r="E139" s="260" t="s">
        <v>9935</v>
      </c>
      <c r="F139" s="260" t="s">
        <v>9939</v>
      </c>
      <c r="G139" s="260" t="e">
        <f>INDEX(BOM!$T:$T,MATCH(B139,BOM!$J:$J,0))</f>
        <v>#N/A</v>
      </c>
      <c r="H139" s="260" t="e">
        <f>INDEX(BOM!$T:$T,MATCH(C139,BOM!$K:$K,0))</f>
        <v>#N/A</v>
      </c>
      <c r="I139" s="243" t="s">
        <v>2637</v>
      </c>
      <c r="J139" s="3" t="s">
        <v>109</v>
      </c>
      <c r="K139" s="3" t="s">
        <v>107</v>
      </c>
      <c r="L139" s="259">
        <f>(SUMIFS(BOM!$G$14:$G$213, BOM!$N$14:$N$213,"*3 stroke*",  BOM!$N$14:$N$213,"*impact*", BOM!$K$14:$K$213,"*aluminum*"))+(SUMIFS(BOM!$G$14:$G$213, BOM!$P$14:$P$213,"*3 stroke*",  BOM!$P$14:$P$213,"*impact*", BOM!$K$14:$K$213,"*aluminum*"))</f>
        <v>0</v>
      </c>
      <c r="M139" s="3" t="s">
        <v>9940</v>
      </c>
      <c r="N139" s="3" t="s">
        <v>9849</v>
      </c>
      <c r="O139" s="3" t="s">
        <v>9849</v>
      </c>
      <c r="R139" s="259">
        <f>(SUMIFS(BOM!$G$14:$G$213, BOM!$N$14:$N$213,"*3 stroke*",  BOM!$N$14:$N$213,"*impact*", BOM!$K$14:$K$213,"*aluminum*"))+(SUMIFS(BOM!$G$14:$G$213, BOM!$P$14:$P$213,"*3 stroke*",  BOM!$P$14:$P$213,"*impact*", BOM!$K$14:$K$213,"*aluminum*"))</f>
        <v>0</v>
      </c>
      <c r="S139" s="276" t="s">
        <v>9626</v>
      </c>
      <c r="T139" s="242" t="e">
        <f>INDEX(#REF!,MATCH(S139,#REF!,0))</f>
        <v>#REF!</v>
      </c>
      <c r="U139" s="270" t="e">
        <f t="shared" si="21"/>
        <v>#REF!</v>
      </c>
      <c r="V139" s="277" t="e">
        <f t="shared" si="14"/>
        <v>#REF!</v>
      </c>
      <c r="W139" s="101"/>
      <c r="X139" s="253" t="e">
        <f>INDEX(#REF!,MATCH(I139,#REF!,0))</f>
        <v>#REF!</v>
      </c>
    </row>
    <row r="140" spans="1:24" s="3" customFormat="1" ht="30.6">
      <c r="A140" s="260" t="s">
        <v>8577</v>
      </c>
      <c r="B140" s="260" t="s">
        <v>8578</v>
      </c>
      <c r="C140" s="260" t="s">
        <v>8591</v>
      </c>
      <c r="D140" s="260" t="s">
        <v>9845</v>
      </c>
      <c r="E140" s="260" t="s">
        <v>9935</v>
      </c>
      <c r="F140" s="260" t="s">
        <v>9941</v>
      </c>
      <c r="G140" s="260" t="e">
        <f>INDEX(BOM!$T:$T,MATCH(B140,BOM!$J:$J,0))</f>
        <v>#N/A</v>
      </c>
      <c r="H140" s="260" t="e">
        <f>INDEX(BOM!$T:$T,MATCH(C140,BOM!$K:$K,0))</f>
        <v>#N/A</v>
      </c>
      <c r="I140" s="243" t="s">
        <v>2639</v>
      </c>
      <c r="J140" s="3" t="s">
        <v>109</v>
      </c>
      <c r="K140" s="3" t="s">
        <v>107</v>
      </c>
      <c r="L140" s="259">
        <f>(SUMIFS(BOM!$G$14:$G$213, BOM!$N$14:$N$213,"*4 stroke*",  BOM!$N$14:$N$213,"*impact*", BOM!$K$14:$K$213,"*aluminum*"))+(SUMIFS(BOM!$G$14:$G$213, BOM!$P$14:$P$213,"*4 stroke*",  BOM!$P$14:$P$213,"*impact*", BOM!$K$14:$K$213,"*aluminum*"))</f>
        <v>0</v>
      </c>
      <c r="M140" s="3" t="s">
        <v>9942</v>
      </c>
      <c r="N140" s="3" t="s">
        <v>9849</v>
      </c>
      <c r="O140" s="3" t="s">
        <v>9849</v>
      </c>
      <c r="R140" s="259">
        <f>(SUMIFS(BOM!$G$14:$G$213, BOM!$N$14:$N$213,"*4 stroke*",  BOM!$N$14:$N$213,"*impact*", BOM!$K$14:$K$213,"*aluminum*"))+(SUMIFS(BOM!$G$14:$G$213, BOM!$P$14:$P$213,"*4 stroke*",  BOM!$P$14:$P$213,"*impact*", BOM!$K$14:$K$213,"*aluminum*"))</f>
        <v>0</v>
      </c>
      <c r="S140" s="276" t="s">
        <v>9627</v>
      </c>
      <c r="T140" s="242" t="e">
        <f>INDEX(#REF!,MATCH(S140,#REF!,0))</f>
        <v>#REF!</v>
      </c>
      <c r="U140" s="270" t="e">
        <f t="shared" si="21"/>
        <v>#REF!</v>
      </c>
      <c r="V140" s="277" t="e">
        <f t="shared" si="14"/>
        <v>#REF!</v>
      </c>
      <c r="W140" s="101"/>
      <c r="X140" s="253" t="e">
        <f>INDEX(#REF!,MATCH(I140,#REF!,0))</f>
        <v>#REF!</v>
      </c>
    </row>
    <row r="141" spans="1:24" s="3" customFormat="1" ht="30.6">
      <c r="A141" s="260" t="s">
        <v>8577</v>
      </c>
      <c r="B141" s="260" t="s">
        <v>8578</v>
      </c>
      <c r="C141" s="260" t="s">
        <v>8591</v>
      </c>
      <c r="D141" s="260" t="s">
        <v>9845</v>
      </c>
      <c r="E141" s="260" t="s">
        <v>9935</v>
      </c>
      <c r="F141" s="260" t="s">
        <v>8594</v>
      </c>
      <c r="G141" s="260" t="e">
        <f>INDEX(BOM!$T:$T,MATCH(B141,BOM!$J:$J,0))</f>
        <v>#N/A</v>
      </c>
      <c r="H141" s="260" t="e">
        <f>INDEX(BOM!$T:$T,MATCH(C141,BOM!$K:$K,0))</f>
        <v>#N/A</v>
      </c>
      <c r="I141" s="243" t="s">
        <v>2641</v>
      </c>
      <c r="J141" s="3" t="s">
        <v>109</v>
      </c>
      <c r="K141" s="3" t="s">
        <v>107</v>
      </c>
      <c r="L141" s="259">
        <f>(SUMIFS(BOM!$G$14:$G$213, BOM!$N$14:$N$213,"*5 stroke*",  BOM!$N$14:$N$213,"*impact*", BOM!$K$14:$K$213,"*aluminum*"))+(SUMIFS(BOM!$G$14:$G$213, BOM!$P$14:$P$213,"*5 stroke*",  BOM!$P$14:$P$213,"*impact*", BOM!$K$14:$K$213,"*aluminum*"))</f>
        <v>0</v>
      </c>
      <c r="M141" s="3" t="s">
        <v>9943</v>
      </c>
      <c r="N141" s="3" t="s">
        <v>9849</v>
      </c>
      <c r="O141" s="3" t="s">
        <v>9849</v>
      </c>
      <c r="R141" s="259">
        <f>(SUMIFS(BOM!$G$14:$G$213, BOM!$N$14:$N$213,"*5 stroke*",  BOM!$N$14:$N$213,"*impact*", BOM!$K$14:$K$213,"*aluminum*"))+(SUMIFS(BOM!$G$14:$G$213, BOM!$P$14:$P$213,"*5 stroke*",  BOM!$P$14:$P$213,"*impact*", BOM!$K$14:$K$213,"*aluminum*"))</f>
        <v>0</v>
      </c>
      <c r="S141" s="276" t="s">
        <v>9628</v>
      </c>
      <c r="T141" s="242" t="e">
        <f>INDEX(#REF!,MATCH(S141,#REF!,0))</f>
        <v>#REF!</v>
      </c>
      <c r="U141" s="270" t="e">
        <f t="shared" si="21"/>
        <v>#REF!</v>
      </c>
      <c r="V141" s="277" t="e">
        <f t="shared" ref="V141:V204" si="24">_xlfn.IFNA(U141,"")</f>
        <v>#REF!</v>
      </c>
      <c r="W141" s="101"/>
      <c r="X141" s="253" t="e">
        <f>INDEX(#REF!,MATCH(I141,#REF!,0))</f>
        <v>#REF!</v>
      </c>
    </row>
    <row r="142" spans="1:24" s="3" customFormat="1" ht="40.799999999999997">
      <c r="A142" s="260" t="s">
        <v>8577</v>
      </c>
      <c r="B142" s="260" t="s">
        <v>8578</v>
      </c>
      <c r="C142" s="260" t="s">
        <v>8591</v>
      </c>
      <c r="D142" s="260" t="s">
        <v>9845</v>
      </c>
      <c r="E142" s="260" t="s">
        <v>9935</v>
      </c>
      <c r="F142" s="260" t="s">
        <v>9944</v>
      </c>
      <c r="G142" s="260" t="e">
        <f>INDEX(BOM!$T:$T,MATCH(B142,BOM!$J:$J,0))</f>
        <v>#N/A</v>
      </c>
      <c r="H142" s="260" t="e">
        <f>INDEX(BOM!$T:$T,MATCH(C142,BOM!$K:$K,0))</f>
        <v>#N/A</v>
      </c>
      <c r="I142" s="241" t="s">
        <v>2643</v>
      </c>
      <c r="J142" s="3" t="s">
        <v>109</v>
      </c>
      <c r="K142" s="3" t="s">
        <v>107</v>
      </c>
      <c r="L142" s="259"/>
      <c r="M142" s="241" t="s">
        <v>9849</v>
      </c>
      <c r="N142" s="241" t="s">
        <v>9849</v>
      </c>
      <c r="O142" s="242" t="s">
        <v>9849</v>
      </c>
      <c r="P142" s="242"/>
      <c r="Q142" s="242"/>
      <c r="R142" s="242"/>
      <c r="S142" s="242"/>
      <c r="T142" s="242" t="e">
        <f>INDEX(#REF!,MATCH(S142,#REF!,0))</f>
        <v>#REF!</v>
      </c>
      <c r="U142" s="270" t="e">
        <f t="shared" si="21"/>
        <v>#REF!</v>
      </c>
      <c r="V142" s="277" t="e">
        <f t="shared" si="24"/>
        <v>#REF!</v>
      </c>
      <c r="W142" s="101"/>
      <c r="X142" s="253" t="e">
        <f>INDEX(#REF!,MATCH(I142,#REF!,0))</f>
        <v>#REF!</v>
      </c>
    </row>
    <row r="143" spans="1:24" s="3" customFormat="1" ht="40.799999999999997">
      <c r="A143" s="260" t="s">
        <v>8577</v>
      </c>
      <c r="B143" s="260" t="s">
        <v>8578</v>
      </c>
      <c r="C143" s="260" t="s">
        <v>8591</v>
      </c>
      <c r="D143" s="260" t="s">
        <v>9845</v>
      </c>
      <c r="E143" s="260" t="s">
        <v>9935</v>
      </c>
      <c r="F143" s="260" t="s">
        <v>9944</v>
      </c>
      <c r="G143" s="260" t="e">
        <f>INDEX(BOM!$T:$T,MATCH(B143,BOM!$J:$J,0))</f>
        <v>#N/A</v>
      </c>
      <c r="H143" s="260" t="e">
        <f>INDEX(BOM!$T:$T,MATCH(C143,BOM!$K:$K,0))</f>
        <v>#N/A</v>
      </c>
      <c r="I143" s="243" t="s">
        <v>2645</v>
      </c>
      <c r="J143" s="3" t="s">
        <v>109</v>
      </c>
      <c r="K143" s="3" t="s">
        <v>107</v>
      </c>
      <c r="L143" s="263"/>
      <c r="M143" s="241" t="s">
        <v>9849</v>
      </c>
      <c r="N143" s="241" t="s">
        <v>9849</v>
      </c>
      <c r="O143" s="242" t="s">
        <v>9849</v>
      </c>
      <c r="P143" s="242"/>
      <c r="Q143" s="242"/>
      <c r="R143" s="242"/>
      <c r="S143" s="242" t="s">
        <v>9849</v>
      </c>
      <c r="T143" s="242" t="e">
        <f>INDEX(#REF!,MATCH(S143,#REF!,0))</f>
        <v>#REF!</v>
      </c>
      <c r="U143" s="270" t="e">
        <f t="shared" si="21"/>
        <v>#REF!</v>
      </c>
      <c r="V143" s="277" t="e">
        <f t="shared" si="24"/>
        <v>#REF!</v>
      </c>
      <c r="W143" s="101"/>
      <c r="X143" s="253" t="e">
        <f>INDEX(#REF!,MATCH(I143,#REF!,0))</f>
        <v>#REF!</v>
      </c>
    </row>
    <row r="144" spans="1:24" s="3" customFormat="1" ht="40.799999999999997">
      <c r="A144" s="260" t="s">
        <v>8577</v>
      </c>
      <c r="B144" s="260" t="s">
        <v>8578</v>
      </c>
      <c r="C144" s="260" t="s">
        <v>8591</v>
      </c>
      <c r="D144" s="260" t="s">
        <v>9845</v>
      </c>
      <c r="E144" s="260" t="s">
        <v>9935</v>
      </c>
      <c r="F144" s="260" t="s">
        <v>9944</v>
      </c>
      <c r="G144" s="260" t="e">
        <f>INDEX(BOM!$T:$T,MATCH(B144,BOM!$J:$J,0))</f>
        <v>#N/A</v>
      </c>
      <c r="H144" s="260" t="e">
        <f>INDEX(BOM!$T:$T,MATCH(C144,BOM!$K:$K,0))</f>
        <v>#N/A</v>
      </c>
      <c r="I144" s="241" t="s">
        <v>2647</v>
      </c>
      <c r="J144" s="241" t="s">
        <v>109</v>
      </c>
      <c r="K144" s="241" t="s">
        <v>107</v>
      </c>
      <c r="L144" s="259"/>
      <c r="M144" s="241" t="s">
        <v>9849</v>
      </c>
      <c r="N144" s="241" t="s">
        <v>9849</v>
      </c>
      <c r="O144" s="242" t="s">
        <v>9849</v>
      </c>
      <c r="P144" s="242"/>
      <c r="Q144" s="242"/>
      <c r="R144" s="242"/>
      <c r="S144" s="242" t="s">
        <v>9849</v>
      </c>
      <c r="T144" s="242" t="e">
        <f>INDEX(#REF!,MATCH(S144,#REF!,0))</f>
        <v>#REF!</v>
      </c>
      <c r="U144" s="270" t="e">
        <f t="shared" si="21"/>
        <v>#REF!</v>
      </c>
      <c r="V144" s="277" t="e">
        <f t="shared" si="24"/>
        <v>#REF!</v>
      </c>
      <c r="W144" s="101"/>
      <c r="X144" s="253" t="e">
        <f>INDEX(#REF!,MATCH(I144,#REF!,0))</f>
        <v>#REF!</v>
      </c>
    </row>
    <row r="145" spans="1:24" s="3" customFormat="1" ht="30.6">
      <c r="A145" s="260" t="s">
        <v>8577</v>
      </c>
      <c r="B145" s="260" t="s">
        <v>8578</v>
      </c>
      <c r="C145" s="260" t="s">
        <v>8579</v>
      </c>
      <c r="D145" s="260" t="s">
        <v>9913</v>
      </c>
      <c r="E145" s="260" t="s">
        <v>9914</v>
      </c>
      <c r="F145" s="260" t="str">
        <f t="shared" si="23"/>
        <v>-</v>
      </c>
      <c r="G145" s="260" t="e">
        <f>INDEX(BOM!$T:$T,MATCH(B145,BOM!$J:$J,0))</f>
        <v>#N/A</v>
      </c>
      <c r="H145" s="260" t="e">
        <f>INDEX(BOM!$T:$T,MATCH(C145,BOM!$K:$K,0))</f>
        <v>#N/A</v>
      </c>
      <c r="I145" s="241" t="s">
        <v>2649</v>
      </c>
      <c r="J145" s="241" t="s">
        <v>109</v>
      </c>
      <c r="K145" s="241" t="s">
        <v>107</v>
      </c>
      <c r="L145" s="259">
        <f>(SUMIFS(BOM!$G$14:$G$213, BOM!$N$14:$N$213,"*1 stroke*",  BOM!$N$14:$N$213,"*impact*", BOM!$K$14:$K$213,"*steel*"))+(SUMIFS(BOM!$G$14:$G$213, BOM!$P$14:$P$213,"*1 stroke*",  BOM!$P$14:$P$213,"*impact*", BOM!$K$14:$K$213,"*steel*"))</f>
        <v>0</v>
      </c>
      <c r="M145" s="241" t="s">
        <v>9945</v>
      </c>
      <c r="N145" s="241" t="s">
        <v>9849</v>
      </c>
      <c r="O145" s="242" t="s">
        <v>9849</v>
      </c>
      <c r="P145" s="242"/>
      <c r="Q145" s="242"/>
      <c r="R145" s="259">
        <f>(SUMIFS(BOM!$G$14:$G$213, BOM!$N$14:$N$213,"*1 stroke*",  BOM!$N$14:$N$213,"*impact*", BOM!$K$14:$K$213,"*steel*"))+(SUMIFS(BOM!$G$14:$G$213, BOM!$P$14:$P$213,"*1 stroke*",  BOM!$P$14:$P$213,"*impact*", BOM!$K$14:$K$213,"*steel*"))</f>
        <v>0</v>
      </c>
      <c r="S145" s="242" t="s">
        <v>9619</v>
      </c>
      <c r="T145" s="242" t="e">
        <f>INDEX(#REF!,MATCH(S145,#REF!,0))</f>
        <v>#REF!</v>
      </c>
      <c r="U145" s="270" t="e">
        <f t="shared" si="21"/>
        <v>#REF!</v>
      </c>
      <c r="V145" s="277" t="e">
        <f t="shared" si="24"/>
        <v>#REF!</v>
      </c>
      <c r="W145" s="101"/>
      <c r="X145" s="253" t="e">
        <f>INDEX(#REF!,MATCH(I145,#REF!,0))</f>
        <v>#REF!</v>
      </c>
    </row>
    <row r="146" spans="1:24" s="3" customFormat="1" ht="30.6">
      <c r="A146" s="260" t="s">
        <v>8577</v>
      </c>
      <c r="B146" s="260" t="s">
        <v>8578</v>
      </c>
      <c r="C146" s="260" t="s">
        <v>8579</v>
      </c>
      <c r="D146" s="260" t="s">
        <v>9913</v>
      </c>
      <c r="E146" s="260" t="s">
        <v>9914</v>
      </c>
      <c r="F146" s="260" t="str">
        <f t="shared" si="23"/>
        <v>-</v>
      </c>
      <c r="G146" s="260" t="e">
        <f>INDEX(BOM!$T:$T,MATCH(B146,BOM!$J:$J,0))</f>
        <v>#N/A</v>
      </c>
      <c r="H146" s="260" t="e">
        <f>INDEX(BOM!$T:$T,MATCH(C146,BOM!$K:$K,0))</f>
        <v>#N/A</v>
      </c>
      <c r="I146" s="3" t="s">
        <v>2651</v>
      </c>
      <c r="J146" s="3" t="s">
        <v>109</v>
      </c>
      <c r="K146" s="3" t="s">
        <v>107</v>
      </c>
      <c r="L146" s="259">
        <f>(SUMIFS(BOM!$G$14:$G$213, BOM!$N$14:$N$213,"*2 stroke*",  BOM!$N$14:$N$213,"*impact*", BOM!$K$14:$K$213,"*steel*"))+(SUMIFS(BOM!$G$14:$G$213, BOM!$P$14:$P$213,"*2 stroke*",  BOM!$P$14:$P$213,"*impact*", BOM!$K$14:$K$213,"*steel*"))</f>
        <v>0</v>
      </c>
      <c r="M146" s="241" t="s">
        <v>9946</v>
      </c>
      <c r="N146" s="241" t="s">
        <v>9849</v>
      </c>
      <c r="O146" s="242" t="s">
        <v>9849</v>
      </c>
      <c r="P146" s="242"/>
      <c r="Q146" s="242"/>
      <c r="R146" s="259">
        <f>(SUMIFS(BOM!$G$14:$G$213, BOM!$N$14:$N$213,"*2 stroke*",  BOM!$N$14:$N$213,"*impact*", BOM!$K$14:$K$213,"*steel*"))+(SUMIFS(BOM!$G$14:$G$213, BOM!$P$14:$P$213,"*2 stroke*",  BOM!$P$14:$P$213,"*impact*", BOM!$K$14:$K$213,"*steel*"))</f>
        <v>0</v>
      </c>
      <c r="S146" s="242" t="s">
        <v>9620</v>
      </c>
      <c r="T146" s="242" t="e">
        <f>INDEX(#REF!,MATCH(S146,#REF!,0))</f>
        <v>#REF!</v>
      </c>
      <c r="U146" s="270" t="e">
        <f t="shared" si="21"/>
        <v>#REF!</v>
      </c>
      <c r="V146" s="277" t="e">
        <f t="shared" si="24"/>
        <v>#REF!</v>
      </c>
      <c r="W146" s="101"/>
      <c r="X146" s="253" t="e">
        <f>INDEX(#REF!,MATCH(I146,#REF!,0))</f>
        <v>#REF!</v>
      </c>
    </row>
    <row r="147" spans="1:24" s="3" customFormat="1" ht="30.6">
      <c r="A147" s="260" t="s">
        <v>8577</v>
      </c>
      <c r="B147" s="260" t="s">
        <v>8578</v>
      </c>
      <c r="C147" s="260" t="s">
        <v>8579</v>
      </c>
      <c r="D147" s="260" t="s">
        <v>9913</v>
      </c>
      <c r="E147" s="260" t="s">
        <v>9914</v>
      </c>
      <c r="F147" s="260" t="str">
        <f t="shared" si="23"/>
        <v>-</v>
      </c>
      <c r="G147" s="260" t="e">
        <f>INDEX(BOM!$T:$T,MATCH(B147,BOM!$J:$J,0))</f>
        <v>#N/A</v>
      </c>
      <c r="H147" s="260" t="e">
        <f>INDEX(BOM!$T:$T,MATCH(C147,BOM!$K:$K,0))</f>
        <v>#N/A</v>
      </c>
      <c r="I147" s="3" t="s">
        <v>2653</v>
      </c>
      <c r="J147" s="3" t="s">
        <v>109</v>
      </c>
      <c r="K147" s="3" t="s">
        <v>107</v>
      </c>
      <c r="L147" s="259">
        <f>(SUMIFS(BOM!$G$14:$G$213, BOM!$N$14:$N$213,"*3 stroke*",  BOM!$N$14:$N$213,"*impact*", BOM!$K$14:$K$213,"*steel*"))+(SUMIFS(BOM!$G$14:$G$213, BOM!$P$14:$P$213,"*3 stroke*",  BOM!$P$14:$P$213,"*impact*", BOM!$K$14:$K$213,"*steel*"))</f>
        <v>0</v>
      </c>
      <c r="M147" s="241" t="s">
        <v>9947</v>
      </c>
      <c r="N147" s="241" t="s">
        <v>9849</v>
      </c>
      <c r="O147" s="242" t="s">
        <v>9849</v>
      </c>
      <c r="P147" s="242"/>
      <c r="Q147" s="242"/>
      <c r="R147" s="259">
        <f>(SUMIFS(BOM!$G$14:$G$213, BOM!$N$14:$N$213,"*3 stroke*",  BOM!$N$14:$N$213,"*impact*", BOM!$K$14:$K$213,"*steel*"))+(SUMIFS(BOM!$G$14:$G$213, BOM!$P$14:$P$213,"*3 stroke*",  BOM!$P$14:$P$213,"*impact*", BOM!$K$14:$K$213,"*steel*"))</f>
        <v>0</v>
      </c>
      <c r="S147" s="242" t="s">
        <v>9621</v>
      </c>
      <c r="T147" s="242" t="e">
        <f>INDEX(#REF!,MATCH(S147,#REF!,0))</f>
        <v>#REF!</v>
      </c>
      <c r="U147" s="270" t="e">
        <f t="shared" si="21"/>
        <v>#REF!</v>
      </c>
      <c r="V147" s="277" t="e">
        <f t="shared" si="24"/>
        <v>#REF!</v>
      </c>
      <c r="W147" s="101"/>
      <c r="X147" s="253" t="e">
        <f>INDEX(#REF!,MATCH(I147,#REF!,0))</f>
        <v>#REF!</v>
      </c>
    </row>
    <row r="148" spans="1:24" s="3" customFormat="1" ht="30.6">
      <c r="A148" s="260" t="s">
        <v>8577</v>
      </c>
      <c r="B148" s="260" t="s">
        <v>8578</v>
      </c>
      <c r="C148" s="260" t="s">
        <v>8579</v>
      </c>
      <c r="D148" s="260" t="s">
        <v>9913</v>
      </c>
      <c r="E148" s="260" t="s">
        <v>9914</v>
      </c>
      <c r="F148" s="260" t="str">
        <f t="shared" si="23"/>
        <v>-</v>
      </c>
      <c r="G148" s="260" t="e">
        <f>INDEX(BOM!$T:$T,MATCH(B148,BOM!$J:$J,0))</f>
        <v>#N/A</v>
      </c>
      <c r="H148" s="260" t="e">
        <f>INDEX(BOM!$T:$T,MATCH(C148,BOM!$K:$K,0))</f>
        <v>#N/A</v>
      </c>
      <c r="I148" s="3" t="s">
        <v>2655</v>
      </c>
      <c r="J148" s="3" t="s">
        <v>109</v>
      </c>
      <c r="K148" s="3" t="s">
        <v>107</v>
      </c>
      <c r="L148" s="259">
        <f>(SUMIFS(BOM!$G$14:$G$213, BOM!$N$14:$N$213,"*4 stroke*",  BOM!$N$14:$N$213,"*impact*", BOM!$K$14:$K$213,"*steel*"))+(SUMIFS(BOM!$G$14:$G$213, BOM!$P$14:$P$213,"*4 stroke*",  BOM!$P$14:$P$213,"*impact*", BOM!$K$14:$K$213,"*steel*"))</f>
        <v>0</v>
      </c>
      <c r="M148" s="241" t="s">
        <v>9948</v>
      </c>
      <c r="N148" s="241" t="s">
        <v>9849</v>
      </c>
      <c r="O148" s="242" t="s">
        <v>9849</v>
      </c>
      <c r="P148" s="242"/>
      <c r="Q148" s="242"/>
      <c r="R148" s="259">
        <f>(SUMIFS(BOM!$G$14:$G$213, BOM!$N$14:$N$213,"*4 stroke*",  BOM!$N$14:$N$213,"*impact*", BOM!$K$14:$K$213,"*steel*"))+(SUMIFS(BOM!$G$14:$G$213, BOM!$P$14:$P$213,"*4 stroke*",  BOM!$P$14:$P$213,"*impact*", BOM!$K$14:$K$213,"*steel*"))</f>
        <v>0</v>
      </c>
      <c r="S148" s="242" t="s">
        <v>9622</v>
      </c>
      <c r="T148" s="242" t="e">
        <f>INDEX(#REF!,MATCH(S148,#REF!,0))</f>
        <v>#REF!</v>
      </c>
      <c r="U148" s="270" t="e">
        <f t="shared" si="21"/>
        <v>#REF!</v>
      </c>
      <c r="V148" s="277" t="e">
        <f t="shared" si="24"/>
        <v>#REF!</v>
      </c>
      <c r="W148" s="101"/>
      <c r="X148" s="253" t="e">
        <f>INDEX(#REF!,MATCH(I148,#REF!,0))</f>
        <v>#REF!</v>
      </c>
    </row>
    <row r="149" spans="1:24" s="3" customFormat="1" ht="30.6">
      <c r="A149" s="260" t="s">
        <v>8577</v>
      </c>
      <c r="B149" s="260" t="s">
        <v>8578</v>
      </c>
      <c r="C149" s="260" t="s">
        <v>8579</v>
      </c>
      <c r="D149" s="260" t="s">
        <v>9913</v>
      </c>
      <c r="E149" s="260" t="s">
        <v>9914</v>
      </c>
      <c r="F149" s="260" t="str">
        <f t="shared" si="23"/>
        <v>-</v>
      </c>
      <c r="G149" s="260" t="e">
        <f>INDEX(BOM!$T:$T,MATCH(B149,BOM!$J:$J,0))</f>
        <v>#N/A</v>
      </c>
      <c r="H149" s="260" t="e">
        <f>INDEX(BOM!$T:$T,MATCH(C149,BOM!$K:$K,0))</f>
        <v>#N/A</v>
      </c>
      <c r="I149" s="3" t="s">
        <v>2657</v>
      </c>
      <c r="J149" s="3" t="s">
        <v>109</v>
      </c>
      <c r="K149" s="3" t="s">
        <v>107</v>
      </c>
      <c r="L149" s="259">
        <f>(SUMIFS(BOM!$G$14:$G$213, BOM!$N$14:$N$213,"*5 stroke*",  BOM!$N$14:$N$213,"*impact*", BOM!$K$14:$K$213,"*steel*"))+(SUMIFS(BOM!$G$14:$G$213, BOM!$P$14:$P$213,"*5 stroke*",  BOM!$P$14:$P$213,"*impact*", BOM!$K$14:$K$213,"*steel*"))</f>
        <v>0</v>
      </c>
      <c r="M149" s="241" t="s">
        <v>9949</v>
      </c>
      <c r="N149" s="241" t="s">
        <v>9849</v>
      </c>
      <c r="O149" s="242" t="s">
        <v>9849</v>
      </c>
      <c r="P149" s="242"/>
      <c r="Q149" s="242"/>
      <c r="R149" s="259">
        <f>(SUMIFS(BOM!$G$14:$G$213, BOM!$N$14:$N$213,"*5 stroke*",  BOM!$N$14:$N$213,"*impact*", BOM!$K$14:$K$213,"*steel*"))+(SUMIFS(BOM!$G$14:$G$213, BOM!$P$14:$P$213,"*5 stroke*",  BOM!$P$14:$P$213,"*impact*", BOM!$K$14:$K$213,"*steel*"))</f>
        <v>0</v>
      </c>
      <c r="S149" s="242" t="s">
        <v>9623</v>
      </c>
      <c r="T149" s="242" t="e">
        <f>INDEX(#REF!,MATCH(S149,#REF!,0))</f>
        <v>#REF!</v>
      </c>
      <c r="U149" s="270" t="e">
        <f t="shared" si="21"/>
        <v>#REF!</v>
      </c>
      <c r="V149" s="277" t="e">
        <f t="shared" si="24"/>
        <v>#REF!</v>
      </c>
      <c r="W149" s="101"/>
      <c r="X149" s="253" t="e">
        <f>INDEX(#REF!,MATCH(I149,#REF!,0))</f>
        <v>#REF!</v>
      </c>
    </row>
    <row r="150" spans="1:24" s="3" customFormat="1" ht="40.799999999999997">
      <c r="A150" s="260" t="s">
        <v>8577</v>
      </c>
      <c r="B150" s="260" t="s">
        <v>8578</v>
      </c>
      <c r="C150" s="260" t="s">
        <v>8579</v>
      </c>
      <c r="D150" s="260" t="s">
        <v>9913</v>
      </c>
      <c r="E150" s="260" t="s">
        <v>9914</v>
      </c>
      <c r="F150" s="260" t="s">
        <v>9944</v>
      </c>
      <c r="G150" s="260" t="e">
        <f>INDEX(BOM!$T:$T,MATCH(B150,BOM!$J:$J,0))</f>
        <v>#N/A</v>
      </c>
      <c r="H150" s="260" t="e">
        <f>INDEX(BOM!$T:$T,MATCH(C150,BOM!$K:$K,0))</f>
        <v>#N/A</v>
      </c>
      <c r="I150" s="3" t="s">
        <v>2659</v>
      </c>
      <c r="J150" s="3" t="s">
        <v>109</v>
      </c>
      <c r="K150" s="3" t="s">
        <v>107</v>
      </c>
      <c r="L150" s="259"/>
      <c r="M150" s="241" t="s">
        <v>9849</v>
      </c>
      <c r="N150" s="241" t="s">
        <v>9849</v>
      </c>
      <c r="O150" s="242" t="s">
        <v>9849</v>
      </c>
      <c r="P150" s="242"/>
      <c r="Q150" s="242"/>
      <c r="R150" s="242"/>
      <c r="S150" s="242"/>
      <c r="T150" s="242" t="e">
        <f>INDEX(#REF!,MATCH(S150,#REF!,0))</f>
        <v>#REF!</v>
      </c>
      <c r="U150" s="270" t="e">
        <f t="shared" si="21"/>
        <v>#REF!</v>
      </c>
      <c r="V150" s="277" t="e">
        <f t="shared" si="24"/>
        <v>#REF!</v>
      </c>
      <c r="W150" s="101"/>
      <c r="X150" s="253" t="e">
        <f>INDEX(#REF!,MATCH(I150,#REF!,0))</f>
        <v>#REF!</v>
      </c>
    </row>
    <row r="151" spans="1:24" s="3" customFormat="1" ht="40.799999999999997">
      <c r="A151" s="260" t="s">
        <v>8577</v>
      </c>
      <c r="B151" s="260" t="s">
        <v>8578</v>
      </c>
      <c r="C151" s="260" t="s">
        <v>8579</v>
      </c>
      <c r="D151" s="260" t="s">
        <v>9913</v>
      </c>
      <c r="E151" s="260" t="s">
        <v>9914</v>
      </c>
      <c r="F151" s="260" t="s">
        <v>9944</v>
      </c>
      <c r="G151" s="260" t="e">
        <f>INDEX(BOM!$T:$T,MATCH(B151,BOM!$J:$J,0))</f>
        <v>#N/A</v>
      </c>
      <c r="H151" s="260" t="e">
        <f>INDEX(BOM!$T:$T,MATCH(C151,BOM!$K:$K,0))</f>
        <v>#N/A</v>
      </c>
      <c r="I151" s="3" t="s">
        <v>2661</v>
      </c>
      <c r="J151" s="3" t="s">
        <v>109</v>
      </c>
      <c r="K151" s="3" t="s">
        <v>107</v>
      </c>
      <c r="L151" s="259"/>
      <c r="M151" s="241" t="s">
        <v>9849</v>
      </c>
      <c r="N151" s="241" t="s">
        <v>9849</v>
      </c>
      <c r="O151" s="242" t="s">
        <v>9849</v>
      </c>
      <c r="P151" s="242"/>
      <c r="Q151" s="242"/>
      <c r="R151" s="242"/>
      <c r="S151" s="242" t="s">
        <v>9849</v>
      </c>
      <c r="T151" s="242" t="e">
        <f>INDEX(#REF!,MATCH(S151,#REF!,0))</f>
        <v>#REF!</v>
      </c>
      <c r="U151" s="270" t="e">
        <f t="shared" si="21"/>
        <v>#REF!</v>
      </c>
      <c r="V151" s="277" t="e">
        <f t="shared" si="24"/>
        <v>#REF!</v>
      </c>
      <c r="W151" s="101"/>
      <c r="X151" s="253" t="e">
        <f>INDEX(#REF!,MATCH(I151,#REF!,0))</f>
        <v>#REF!</v>
      </c>
    </row>
    <row r="152" spans="1:24" s="3" customFormat="1" ht="40.799999999999997">
      <c r="A152" s="260" t="s">
        <v>8577</v>
      </c>
      <c r="B152" s="260" t="s">
        <v>8578</v>
      </c>
      <c r="C152" s="260" t="s">
        <v>8579</v>
      </c>
      <c r="D152" s="260" t="s">
        <v>9913</v>
      </c>
      <c r="E152" s="260" t="s">
        <v>9914</v>
      </c>
      <c r="F152" s="260" t="s">
        <v>9944</v>
      </c>
      <c r="G152" s="260" t="e">
        <f>INDEX(BOM!$T:$T,MATCH(B152,BOM!$J:$J,0))</f>
        <v>#N/A</v>
      </c>
      <c r="H152" s="260" t="e">
        <f>INDEX(BOM!$T:$T,MATCH(C152,BOM!$K:$K,0))</f>
        <v>#N/A</v>
      </c>
      <c r="I152" s="3" t="s">
        <v>2663</v>
      </c>
      <c r="J152" s="3" t="s">
        <v>109</v>
      </c>
      <c r="K152" s="3" t="s">
        <v>107</v>
      </c>
      <c r="L152" s="259"/>
      <c r="M152" s="241" t="s">
        <v>9849</v>
      </c>
      <c r="N152" s="241" t="s">
        <v>9849</v>
      </c>
      <c r="O152" s="242" t="s">
        <v>9849</v>
      </c>
      <c r="P152" s="242"/>
      <c r="Q152" s="242"/>
      <c r="R152" s="242"/>
      <c r="S152" s="242" t="s">
        <v>9849</v>
      </c>
      <c r="T152" s="242" t="e">
        <f>INDEX(#REF!,MATCH(S152,#REF!,0))</f>
        <v>#REF!</v>
      </c>
      <c r="U152" s="270" t="e">
        <f t="shared" si="21"/>
        <v>#REF!</v>
      </c>
      <c r="V152" s="277" t="e">
        <f t="shared" si="24"/>
        <v>#REF!</v>
      </c>
      <c r="W152" s="101"/>
      <c r="X152" s="253" t="e">
        <f>INDEX(#REF!,MATCH(I152,#REF!,0))</f>
        <v>#REF!</v>
      </c>
    </row>
    <row r="153" spans="1:24" s="3" customFormat="1" ht="40.799999999999997">
      <c r="A153" s="260" t="s">
        <v>8577</v>
      </c>
      <c r="B153" s="260" t="s">
        <v>8578</v>
      </c>
      <c r="C153" s="260" t="s">
        <v>8579</v>
      </c>
      <c r="D153" s="260" t="s">
        <v>9913</v>
      </c>
      <c r="E153" s="260" t="s">
        <v>9914</v>
      </c>
      <c r="F153" s="260" t="s">
        <v>9944</v>
      </c>
      <c r="G153" s="260" t="e">
        <f>INDEX(BOM!$T:$T,MATCH(B153,BOM!$J:$J,0))</f>
        <v>#N/A</v>
      </c>
      <c r="H153" s="260" t="e">
        <f>INDEX(BOM!$T:$T,MATCH(C153,BOM!$K:$K,0))</f>
        <v>#N/A</v>
      </c>
      <c r="I153" s="3" t="s">
        <v>2665</v>
      </c>
      <c r="J153" s="3" t="s">
        <v>109</v>
      </c>
      <c r="K153" s="3" t="s">
        <v>107</v>
      </c>
      <c r="L153" s="259"/>
      <c r="M153" s="241" t="s">
        <v>9849</v>
      </c>
      <c r="N153" s="241" t="s">
        <v>9849</v>
      </c>
      <c r="O153" s="242" t="s">
        <v>9849</v>
      </c>
      <c r="P153" s="242"/>
      <c r="Q153" s="242"/>
      <c r="R153" s="242"/>
      <c r="S153" s="242" t="s">
        <v>9849</v>
      </c>
      <c r="T153" s="242" t="e">
        <f>INDEX(#REF!,MATCH(S153,#REF!,0))</f>
        <v>#REF!</v>
      </c>
      <c r="U153" s="270" t="e">
        <f t="shared" si="21"/>
        <v>#REF!</v>
      </c>
      <c r="V153" s="277" t="e">
        <f t="shared" si="24"/>
        <v>#REF!</v>
      </c>
      <c r="W153" s="101"/>
      <c r="X153" s="253" t="e">
        <f>INDEX(#REF!,MATCH(I153,#REF!,0))</f>
        <v>#REF!</v>
      </c>
    </row>
    <row r="154" spans="1:24" s="3" customFormat="1" ht="40.799999999999997">
      <c r="A154" s="260" t="s">
        <v>8577</v>
      </c>
      <c r="B154" s="260" t="s">
        <v>8578</v>
      </c>
      <c r="C154" s="260" t="s">
        <v>8579</v>
      </c>
      <c r="D154" s="260" t="s">
        <v>9913</v>
      </c>
      <c r="E154" s="260" t="s">
        <v>9914</v>
      </c>
      <c r="F154" s="260" t="s">
        <v>9944</v>
      </c>
      <c r="G154" s="260" t="e">
        <f>INDEX(BOM!$T:$T,MATCH(B154,BOM!$J:$J,0))</f>
        <v>#N/A</v>
      </c>
      <c r="H154" s="260" t="e">
        <f>INDEX(BOM!$T:$T,MATCH(C154,BOM!$K:$K,0))</f>
        <v>#N/A</v>
      </c>
      <c r="I154" s="3" t="s">
        <v>2667</v>
      </c>
      <c r="J154" s="3" t="s">
        <v>109</v>
      </c>
      <c r="K154" s="3" t="s">
        <v>107</v>
      </c>
      <c r="L154" s="259"/>
      <c r="M154" s="241" t="s">
        <v>9849</v>
      </c>
      <c r="N154" s="241" t="s">
        <v>9849</v>
      </c>
      <c r="O154" s="242" t="s">
        <v>9849</v>
      </c>
      <c r="P154" s="242"/>
      <c r="Q154" s="242"/>
      <c r="R154" s="242"/>
      <c r="S154" s="242" t="s">
        <v>9849</v>
      </c>
      <c r="T154" s="242" t="e">
        <f>INDEX(#REF!,MATCH(S154,#REF!,0))</f>
        <v>#REF!</v>
      </c>
      <c r="U154" s="270" t="e">
        <f t="shared" si="21"/>
        <v>#REF!</v>
      </c>
      <c r="V154" s="277" t="e">
        <f t="shared" si="24"/>
        <v>#REF!</v>
      </c>
      <c r="W154" s="101"/>
      <c r="X154" s="253" t="e">
        <f>INDEX(#REF!,MATCH(I154,#REF!,0))</f>
        <v>#REF!</v>
      </c>
    </row>
    <row r="155" spans="1:24" s="3" customFormat="1" ht="40.799999999999997">
      <c r="A155" s="260" t="s">
        <v>8577</v>
      </c>
      <c r="B155" s="260" t="s">
        <v>8578</v>
      </c>
      <c r="C155" s="260" t="s">
        <v>8579</v>
      </c>
      <c r="D155" s="260" t="s">
        <v>9913</v>
      </c>
      <c r="E155" s="260" t="s">
        <v>9914</v>
      </c>
      <c r="F155" s="260" t="s">
        <v>9944</v>
      </c>
      <c r="G155" s="260" t="e">
        <f>INDEX(BOM!$T:$T,MATCH(B155,BOM!$J:$J,0))</f>
        <v>#N/A</v>
      </c>
      <c r="H155" s="260" t="e">
        <f>INDEX(BOM!$T:$T,MATCH(C155,BOM!$K:$K,0))</f>
        <v>#N/A</v>
      </c>
      <c r="I155" s="3" t="s">
        <v>2669</v>
      </c>
      <c r="J155" s="3" t="s">
        <v>109</v>
      </c>
      <c r="K155" s="3" t="s">
        <v>107</v>
      </c>
      <c r="L155" s="259"/>
      <c r="M155" s="241" t="s">
        <v>9849</v>
      </c>
      <c r="N155" s="241" t="s">
        <v>9849</v>
      </c>
      <c r="O155" s="242" t="s">
        <v>9849</v>
      </c>
      <c r="P155" s="242"/>
      <c r="Q155" s="242"/>
      <c r="R155" s="242"/>
      <c r="S155" s="242" t="s">
        <v>9849</v>
      </c>
      <c r="T155" s="242" t="e">
        <f>INDEX(#REF!,MATCH(S155,#REF!,0))</f>
        <v>#REF!</v>
      </c>
      <c r="U155" s="270" t="e">
        <f t="shared" si="21"/>
        <v>#REF!</v>
      </c>
      <c r="V155" s="277" t="e">
        <f t="shared" si="24"/>
        <v>#REF!</v>
      </c>
      <c r="W155" s="101"/>
      <c r="X155" s="253" t="e">
        <f>INDEX(#REF!,MATCH(I155,#REF!,0))</f>
        <v>#REF!</v>
      </c>
    </row>
    <row r="156" spans="1:24" s="3" customFormat="1" ht="40.799999999999997">
      <c r="A156" s="260" t="s">
        <v>8577</v>
      </c>
      <c r="B156" s="260" t="s">
        <v>8578</v>
      </c>
      <c r="C156" s="260" t="s">
        <v>8579</v>
      </c>
      <c r="D156" s="260" t="s">
        <v>9913</v>
      </c>
      <c r="E156" s="260" t="s">
        <v>9914</v>
      </c>
      <c r="F156" s="260" t="s">
        <v>9944</v>
      </c>
      <c r="G156" s="260" t="e">
        <f>INDEX(BOM!$T:$T,MATCH(B156,BOM!$J:$J,0))</f>
        <v>#N/A</v>
      </c>
      <c r="H156" s="260" t="e">
        <f>INDEX(BOM!$T:$T,MATCH(C156,BOM!$K:$K,0))</f>
        <v>#N/A</v>
      </c>
      <c r="I156" s="3" t="s">
        <v>2671</v>
      </c>
      <c r="J156" s="3" t="s">
        <v>109</v>
      </c>
      <c r="K156" s="3" t="s">
        <v>107</v>
      </c>
      <c r="L156" s="259"/>
      <c r="M156" s="241" t="s">
        <v>9849</v>
      </c>
      <c r="N156" s="241" t="s">
        <v>9849</v>
      </c>
      <c r="O156" s="242" t="s">
        <v>9849</v>
      </c>
      <c r="P156" s="242"/>
      <c r="Q156" s="242"/>
      <c r="R156" s="242"/>
      <c r="S156" s="242" t="s">
        <v>9849</v>
      </c>
      <c r="T156" s="242" t="e">
        <f>INDEX(#REF!,MATCH(S156,#REF!,0))</f>
        <v>#REF!</v>
      </c>
      <c r="U156" s="270" t="e">
        <f t="shared" si="21"/>
        <v>#REF!</v>
      </c>
      <c r="V156" s="277" t="e">
        <f t="shared" si="24"/>
        <v>#REF!</v>
      </c>
      <c r="W156" s="101"/>
      <c r="X156" s="253" t="e">
        <f>INDEX(#REF!,MATCH(I156,#REF!,0))</f>
        <v>#REF!</v>
      </c>
    </row>
    <row r="157" spans="1:24" s="3" customFormat="1" ht="40.799999999999997">
      <c r="A157" s="260" t="s">
        <v>8577</v>
      </c>
      <c r="B157" s="260" t="s">
        <v>8578</v>
      </c>
      <c r="C157" s="260" t="s">
        <v>8579</v>
      </c>
      <c r="D157" s="260" t="s">
        <v>9913</v>
      </c>
      <c r="E157" s="260" t="s">
        <v>9914</v>
      </c>
      <c r="F157" s="260" t="s">
        <v>9944</v>
      </c>
      <c r="G157" s="260" t="e">
        <f>INDEX(BOM!$T:$T,MATCH(B157,BOM!$J:$J,0))</f>
        <v>#N/A</v>
      </c>
      <c r="H157" s="260" t="e">
        <f>INDEX(BOM!$T:$T,MATCH(C157,BOM!$K:$K,0))</f>
        <v>#N/A</v>
      </c>
      <c r="I157" s="3" t="s">
        <v>2673</v>
      </c>
      <c r="J157" s="3" t="s">
        <v>109</v>
      </c>
      <c r="K157" s="3" t="s">
        <v>107</v>
      </c>
      <c r="L157" s="259"/>
      <c r="M157" s="241" t="s">
        <v>9849</v>
      </c>
      <c r="N157" s="241" t="s">
        <v>9849</v>
      </c>
      <c r="O157" s="242" t="s">
        <v>9849</v>
      </c>
      <c r="P157" s="242"/>
      <c r="Q157" s="242"/>
      <c r="R157" s="242"/>
      <c r="S157" s="242" t="s">
        <v>9849</v>
      </c>
      <c r="T157" s="242" t="e">
        <f>INDEX(#REF!,MATCH(S157,#REF!,0))</f>
        <v>#REF!</v>
      </c>
      <c r="U157" s="270" t="e">
        <f t="shared" si="21"/>
        <v>#REF!</v>
      </c>
      <c r="V157" s="277" t="e">
        <f t="shared" si="24"/>
        <v>#REF!</v>
      </c>
      <c r="W157" s="101"/>
      <c r="X157" s="253" t="e">
        <f>INDEX(#REF!,MATCH(I157,#REF!,0))</f>
        <v>#REF!</v>
      </c>
    </row>
    <row r="158" spans="1:24" s="3" customFormat="1" ht="40.799999999999997">
      <c r="A158" s="260" t="s">
        <v>8577</v>
      </c>
      <c r="B158" s="260" t="s">
        <v>8578</v>
      </c>
      <c r="C158" s="260" t="s">
        <v>8579</v>
      </c>
      <c r="D158" s="260" t="s">
        <v>9913</v>
      </c>
      <c r="E158" s="260" t="s">
        <v>9914</v>
      </c>
      <c r="F158" s="260" t="s">
        <v>9944</v>
      </c>
      <c r="G158" s="260" t="e">
        <f>INDEX(BOM!$T:$T,MATCH(B158,BOM!$J:$J,0))</f>
        <v>#N/A</v>
      </c>
      <c r="H158" s="260" t="e">
        <f>INDEX(BOM!$T:$T,MATCH(C158,BOM!$K:$K,0))</f>
        <v>#N/A</v>
      </c>
      <c r="I158" s="3" t="s">
        <v>2675</v>
      </c>
      <c r="J158" s="3" t="s">
        <v>109</v>
      </c>
      <c r="K158" s="3" t="s">
        <v>107</v>
      </c>
      <c r="L158" s="259"/>
      <c r="M158" s="241" t="s">
        <v>9849</v>
      </c>
      <c r="N158" s="241" t="s">
        <v>9849</v>
      </c>
      <c r="O158" s="242" t="s">
        <v>9849</v>
      </c>
      <c r="P158" s="242"/>
      <c r="Q158" s="242"/>
      <c r="R158" s="242"/>
      <c r="S158" s="242" t="s">
        <v>9849</v>
      </c>
      <c r="T158" s="242" t="e">
        <f>INDEX(#REF!,MATCH(S158,#REF!,0))</f>
        <v>#REF!</v>
      </c>
      <c r="U158" s="270" t="e">
        <f t="shared" si="21"/>
        <v>#REF!</v>
      </c>
      <c r="V158" s="277" t="e">
        <f t="shared" si="24"/>
        <v>#REF!</v>
      </c>
      <c r="W158" s="101"/>
      <c r="X158" s="253" t="e">
        <f>INDEX(#REF!,MATCH(I158,#REF!,0))</f>
        <v>#REF!</v>
      </c>
    </row>
    <row r="159" spans="1:24" s="3" customFormat="1" ht="40.799999999999997">
      <c r="A159" s="260" t="s">
        <v>8577</v>
      </c>
      <c r="B159" s="260" t="s">
        <v>8578</v>
      </c>
      <c r="C159" s="260" t="s">
        <v>8579</v>
      </c>
      <c r="D159" s="260" t="s">
        <v>9913</v>
      </c>
      <c r="E159" s="260" t="s">
        <v>9914</v>
      </c>
      <c r="F159" s="260" t="s">
        <v>9944</v>
      </c>
      <c r="G159" s="260" t="e">
        <f>INDEX(BOM!$T:$T,MATCH(B159,BOM!$J:$J,0))</f>
        <v>#N/A</v>
      </c>
      <c r="H159" s="260" t="e">
        <f>INDEX(BOM!$T:$T,MATCH(C159,BOM!$K:$K,0))</f>
        <v>#N/A</v>
      </c>
      <c r="I159" s="3" t="s">
        <v>2677</v>
      </c>
      <c r="J159" s="3" t="s">
        <v>109</v>
      </c>
      <c r="K159" s="3" t="s">
        <v>107</v>
      </c>
      <c r="L159" s="259"/>
      <c r="M159" s="241" t="s">
        <v>9849</v>
      </c>
      <c r="N159" s="241" t="s">
        <v>9849</v>
      </c>
      <c r="O159" s="242" t="s">
        <v>9849</v>
      </c>
      <c r="P159" s="242"/>
      <c r="Q159" s="242"/>
      <c r="R159" s="242"/>
      <c r="S159" s="242" t="s">
        <v>9849</v>
      </c>
      <c r="T159" s="242" t="e">
        <f>INDEX(#REF!,MATCH(S159,#REF!,0))</f>
        <v>#REF!</v>
      </c>
      <c r="U159" s="270" t="e">
        <f t="shared" si="21"/>
        <v>#REF!</v>
      </c>
      <c r="V159" s="277" t="e">
        <f t="shared" si="24"/>
        <v>#REF!</v>
      </c>
      <c r="W159" s="101"/>
      <c r="X159" s="253" t="e">
        <f>INDEX(#REF!,MATCH(I159,#REF!,0))</f>
        <v>#REF!</v>
      </c>
    </row>
    <row r="160" spans="1:24" s="3" customFormat="1" ht="40.799999999999997">
      <c r="A160" s="260" t="s">
        <v>8577</v>
      </c>
      <c r="B160" s="260" t="s">
        <v>8578</v>
      </c>
      <c r="C160" s="260" t="s">
        <v>8579</v>
      </c>
      <c r="D160" s="260" t="s">
        <v>9913</v>
      </c>
      <c r="E160" s="260" t="s">
        <v>9914</v>
      </c>
      <c r="F160" s="260" t="s">
        <v>9944</v>
      </c>
      <c r="G160" s="260" t="e">
        <f>INDEX(BOM!$T:$T,MATCH(B160,BOM!$J:$J,0))</f>
        <v>#N/A</v>
      </c>
      <c r="H160" s="260" t="e">
        <f>INDEX(BOM!$T:$T,MATCH(C160,BOM!$K:$K,0))</f>
        <v>#N/A</v>
      </c>
      <c r="I160" s="3" t="s">
        <v>2679</v>
      </c>
      <c r="J160" s="3" t="s">
        <v>109</v>
      </c>
      <c r="K160" s="3" t="s">
        <v>107</v>
      </c>
      <c r="L160" s="259"/>
      <c r="M160" s="241" t="s">
        <v>9849</v>
      </c>
      <c r="N160" s="241" t="s">
        <v>9849</v>
      </c>
      <c r="O160" s="242" t="s">
        <v>9849</v>
      </c>
      <c r="P160" s="242"/>
      <c r="Q160" s="242"/>
      <c r="R160" s="242"/>
      <c r="S160" s="242" t="s">
        <v>9849</v>
      </c>
      <c r="T160" s="242" t="e">
        <f>INDEX(#REF!,MATCH(S160,#REF!,0))</f>
        <v>#REF!</v>
      </c>
      <c r="U160" s="270" t="e">
        <f t="shared" si="21"/>
        <v>#REF!</v>
      </c>
      <c r="V160" s="277" t="e">
        <f t="shared" si="24"/>
        <v>#REF!</v>
      </c>
      <c r="W160" s="101"/>
      <c r="X160" s="253" t="e">
        <f>INDEX(#REF!,MATCH(I160,#REF!,0))</f>
        <v>#REF!</v>
      </c>
    </row>
    <row r="161" spans="1:24" s="3" customFormat="1" ht="40.799999999999997">
      <c r="A161" s="260" t="s">
        <v>8577</v>
      </c>
      <c r="B161" s="260" t="s">
        <v>8578</v>
      </c>
      <c r="C161" s="260" t="s">
        <v>8579</v>
      </c>
      <c r="D161" s="260" t="s">
        <v>9913</v>
      </c>
      <c r="E161" s="260" t="s">
        <v>9914</v>
      </c>
      <c r="F161" s="260" t="s">
        <v>9944</v>
      </c>
      <c r="G161" s="260" t="e">
        <f>INDEX(BOM!$T:$T,MATCH(B161,BOM!$J:$J,0))</f>
        <v>#N/A</v>
      </c>
      <c r="H161" s="260" t="e">
        <f>INDEX(BOM!$T:$T,MATCH(C161,BOM!$K:$K,0))</f>
        <v>#N/A</v>
      </c>
      <c r="I161" s="3" t="s">
        <v>2681</v>
      </c>
      <c r="J161" s="3" t="s">
        <v>109</v>
      </c>
      <c r="K161" s="3" t="s">
        <v>107</v>
      </c>
      <c r="L161" s="259"/>
      <c r="M161" s="241" t="s">
        <v>9849</v>
      </c>
      <c r="N161" s="241" t="s">
        <v>9849</v>
      </c>
      <c r="O161" s="242" t="s">
        <v>9849</v>
      </c>
      <c r="P161" s="242"/>
      <c r="Q161" s="242"/>
      <c r="R161" s="242"/>
      <c r="S161" s="242" t="s">
        <v>9849</v>
      </c>
      <c r="T161" s="242" t="e">
        <f>INDEX(#REF!,MATCH(S161,#REF!,0))</f>
        <v>#REF!</v>
      </c>
      <c r="U161" s="270" t="e">
        <f t="shared" si="21"/>
        <v>#REF!</v>
      </c>
      <c r="V161" s="277" t="e">
        <f t="shared" si="24"/>
        <v>#REF!</v>
      </c>
      <c r="W161" s="101"/>
      <c r="X161" s="253" t="e">
        <f>INDEX(#REF!,MATCH(I161,#REF!,0))</f>
        <v>#REF!</v>
      </c>
    </row>
    <row r="162" spans="1:24" s="3" customFormat="1" ht="40.799999999999997">
      <c r="A162" s="260" t="s">
        <v>8577</v>
      </c>
      <c r="B162" s="260" t="s">
        <v>8578</v>
      </c>
      <c r="C162" s="260" t="s">
        <v>8579</v>
      </c>
      <c r="D162" s="260" t="s">
        <v>9913</v>
      </c>
      <c r="E162" s="260" t="s">
        <v>9914</v>
      </c>
      <c r="F162" s="260" t="s">
        <v>9944</v>
      </c>
      <c r="G162" s="260" t="e">
        <f>INDEX(BOM!$T:$T,MATCH(B162,BOM!$J:$J,0))</f>
        <v>#N/A</v>
      </c>
      <c r="H162" s="260" t="e">
        <f>INDEX(BOM!$T:$T,MATCH(C162,BOM!$K:$K,0))</f>
        <v>#N/A</v>
      </c>
      <c r="I162" s="3" t="s">
        <v>2683</v>
      </c>
      <c r="J162" s="3" t="s">
        <v>109</v>
      </c>
      <c r="K162" s="3" t="s">
        <v>107</v>
      </c>
      <c r="L162" s="259"/>
      <c r="M162" s="241" t="s">
        <v>9849</v>
      </c>
      <c r="N162" s="241" t="s">
        <v>9849</v>
      </c>
      <c r="O162" s="242" t="s">
        <v>9849</v>
      </c>
      <c r="P162" s="242"/>
      <c r="Q162" s="242"/>
      <c r="R162" s="242"/>
      <c r="S162" s="242" t="s">
        <v>9849</v>
      </c>
      <c r="T162" s="242" t="e">
        <f>INDEX(#REF!,MATCH(S162,#REF!,0))</f>
        <v>#REF!</v>
      </c>
      <c r="U162" s="270" t="e">
        <f t="shared" si="21"/>
        <v>#REF!</v>
      </c>
      <c r="V162" s="277" t="e">
        <f t="shared" si="24"/>
        <v>#REF!</v>
      </c>
      <c r="W162" s="101"/>
      <c r="X162" s="253" t="e">
        <f>INDEX(#REF!,MATCH(I162,#REF!,0))</f>
        <v>#REF!</v>
      </c>
    </row>
    <row r="163" spans="1:24" s="3" customFormat="1" ht="40.799999999999997">
      <c r="A163" s="260" t="s">
        <v>8577</v>
      </c>
      <c r="B163" s="260" t="s">
        <v>8578</v>
      </c>
      <c r="C163" s="260" t="s">
        <v>8579</v>
      </c>
      <c r="D163" s="260" t="s">
        <v>9913</v>
      </c>
      <c r="E163" s="260" t="s">
        <v>9914</v>
      </c>
      <c r="F163" s="260" t="s">
        <v>9944</v>
      </c>
      <c r="G163" s="260" t="e">
        <f>INDEX(BOM!$T:$T,MATCH(B163,BOM!$J:$J,0))</f>
        <v>#N/A</v>
      </c>
      <c r="H163" s="260" t="e">
        <f>INDEX(BOM!$T:$T,MATCH(C163,BOM!$K:$K,0))</f>
        <v>#N/A</v>
      </c>
      <c r="I163" s="3" t="s">
        <v>2685</v>
      </c>
      <c r="J163" s="3" t="s">
        <v>109</v>
      </c>
      <c r="K163" s="3" t="s">
        <v>107</v>
      </c>
      <c r="L163" s="259"/>
      <c r="M163" s="241" t="s">
        <v>9849</v>
      </c>
      <c r="N163" s="241" t="s">
        <v>9849</v>
      </c>
      <c r="O163" s="242" t="s">
        <v>9849</v>
      </c>
      <c r="P163" s="242"/>
      <c r="Q163" s="242"/>
      <c r="R163" s="242"/>
      <c r="S163" s="242" t="s">
        <v>9849</v>
      </c>
      <c r="T163" s="242" t="e">
        <f>INDEX(#REF!,MATCH(S163,#REF!,0))</f>
        <v>#REF!</v>
      </c>
      <c r="U163" s="270" t="e">
        <f t="shared" si="21"/>
        <v>#REF!</v>
      </c>
      <c r="V163" s="277" t="e">
        <f t="shared" si="24"/>
        <v>#REF!</v>
      </c>
      <c r="W163" s="101"/>
      <c r="X163" s="253" t="e">
        <f>INDEX(#REF!,MATCH(I163,#REF!,0))</f>
        <v>#REF!</v>
      </c>
    </row>
    <row r="164" spans="1:24" s="3" customFormat="1" ht="40.799999999999997">
      <c r="A164" s="260" t="s">
        <v>8577</v>
      </c>
      <c r="B164" s="260" t="s">
        <v>8578</v>
      </c>
      <c r="C164" s="260" t="s">
        <v>8579</v>
      </c>
      <c r="D164" s="260" t="s">
        <v>9913</v>
      </c>
      <c r="E164" s="260" t="s">
        <v>9914</v>
      </c>
      <c r="F164" s="260" t="s">
        <v>9944</v>
      </c>
      <c r="G164" s="260" t="e">
        <f>INDEX(BOM!$T:$T,MATCH(B164,BOM!$J:$J,0))</f>
        <v>#N/A</v>
      </c>
      <c r="H164" s="260" t="e">
        <f>INDEX(BOM!$T:$T,MATCH(C164,BOM!$K:$K,0))</f>
        <v>#N/A</v>
      </c>
      <c r="I164" s="3" t="s">
        <v>2687</v>
      </c>
      <c r="J164" s="3" t="s">
        <v>109</v>
      </c>
      <c r="K164" s="3" t="s">
        <v>107</v>
      </c>
      <c r="L164" s="259"/>
      <c r="M164" s="241" t="s">
        <v>9849</v>
      </c>
      <c r="N164" s="241" t="s">
        <v>9849</v>
      </c>
      <c r="O164" s="242" t="s">
        <v>9849</v>
      </c>
      <c r="P164" s="242"/>
      <c r="Q164" s="242"/>
      <c r="R164" s="242"/>
      <c r="S164" s="242" t="s">
        <v>9849</v>
      </c>
      <c r="T164" s="242" t="e">
        <f>INDEX(#REF!,MATCH(S164,#REF!,0))</f>
        <v>#REF!</v>
      </c>
      <c r="U164" s="270" t="e">
        <f t="shared" si="21"/>
        <v>#REF!</v>
      </c>
      <c r="V164" s="277" t="e">
        <f t="shared" si="24"/>
        <v>#REF!</v>
      </c>
      <c r="W164" s="101"/>
      <c r="X164" s="253" t="e">
        <f>INDEX(#REF!,MATCH(I164,#REF!,0))</f>
        <v>#REF!</v>
      </c>
    </row>
    <row r="165" spans="1:24" s="3" customFormat="1" ht="40.799999999999997">
      <c r="A165" s="260" t="s">
        <v>8577</v>
      </c>
      <c r="B165" s="260" t="s">
        <v>8578</v>
      </c>
      <c r="C165" s="260" t="s">
        <v>8579</v>
      </c>
      <c r="D165" s="260" t="s">
        <v>9913</v>
      </c>
      <c r="E165" s="260" t="s">
        <v>9914</v>
      </c>
      <c r="F165" s="260" t="s">
        <v>9944</v>
      </c>
      <c r="G165" s="260" t="e">
        <f>INDEX(BOM!$T:$T,MATCH(B165,BOM!$J:$J,0))</f>
        <v>#N/A</v>
      </c>
      <c r="H165" s="260" t="e">
        <f>INDEX(BOM!$T:$T,MATCH(C165,BOM!$K:$K,0))</f>
        <v>#N/A</v>
      </c>
      <c r="I165" s="3" t="s">
        <v>2689</v>
      </c>
      <c r="J165" s="3" t="s">
        <v>109</v>
      </c>
      <c r="K165" s="3" t="s">
        <v>107</v>
      </c>
      <c r="L165" s="259"/>
      <c r="M165" s="241" t="s">
        <v>9849</v>
      </c>
      <c r="N165" s="241" t="s">
        <v>9849</v>
      </c>
      <c r="O165" s="242" t="s">
        <v>9849</v>
      </c>
      <c r="P165" s="242"/>
      <c r="Q165" s="242"/>
      <c r="R165" s="242"/>
      <c r="S165" s="242" t="s">
        <v>9849</v>
      </c>
      <c r="T165" s="242" t="e">
        <f>INDEX(#REF!,MATCH(S165,#REF!,0))</f>
        <v>#REF!</v>
      </c>
      <c r="U165" s="270" t="e">
        <f t="shared" si="21"/>
        <v>#REF!</v>
      </c>
      <c r="V165" s="277" t="e">
        <f t="shared" si="24"/>
        <v>#REF!</v>
      </c>
      <c r="W165" s="101"/>
      <c r="X165" s="253" t="e">
        <f>INDEX(#REF!,MATCH(I165,#REF!,0))</f>
        <v>#REF!</v>
      </c>
    </row>
    <row r="166" spans="1:24" s="3" customFormat="1" ht="40.799999999999997">
      <c r="A166" s="260" t="s">
        <v>8577</v>
      </c>
      <c r="B166" s="260" t="s">
        <v>8578</v>
      </c>
      <c r="C166" s="260" t="s">
        <v>8579</v>
      </c>
      <c r="D166" s="260" t="s">
        <v>9913</v>
      </c>
      <c r="E166" s="260" t="s">
        <v>9914</v>
      </c>
      <c r="F166" s="260" t="s">
        <v>9944</v>
      </c>
      <c r="G166" s="260" t="e">
        <f>INDEX(BOM!$T:$T,MATCH(B166,BOM!$J:$J,0))</f>
        <v>#N/A</v>
      </c>
      <c r="H166" s="260" t="e">
        <f>INDEX(BOM!$T:$T,MATCH(C166,BOM!$K:$K,0))</f>
        <v>#N/A</v>
      </c>
      <c r="I166" s="3" t="s">
        <v>2691</v>
      </c>
      <c r="J166" s="3" t="s">
        <v>109</v>
      </c>
      <c r="K166" s="3" t="s">
        <v>107</v>
      </c>
      <c r="L166" s="259"/>
      <c r="M166" s="241" t="s">
        <v>9849</v>
      </c>
      <c r="N166" s="241" t="s">
        <v>9849</v>
      </c>
      <c r="O166" s="242" t="s">
        <v>9849</v>
      </c>
      <c r="P166" s="242"/>
      <c r="Q166" s="242"/>
      <c r="R166" s="242"/>
      <c r="S166" s="242" t="s">
        <v>9849</v>
      </c>
      <c r="T166" s="242" t="e">
        <f>INDEX(#REF!,MATCH(S166,#REF!,0))</f>
        <v>#REF!</v>
      </c>
      <c r="U166" s="270" t="e">
        <f t="shared" si="21"/>
        <v>#REF!</v>
      </c>
      <c r="V166" s="277" t="e">
        <f t="shared" si="24"/>
        <v>#REF!</v>
      </c>
      <c r="W166" s="101"/>
      <c r="X166" s="253" t="e">
        <f>INDEX(#REF!,MATCH(I166,#REF!,0))</f>
        <v>#REF!</v>
      </c>
    </row>
    <row r="167" spans="1:24" s="3" customFormat="1" ht="40.799999999999997">
      <c r="A167" s="260" t="s">
        <v>8577</v>
      </c>
      <c r="B167" s="260" t="s">
        <v>8578</v>
      </c>
      <c r="C167" s="260" t="s">
        <v>8579</v>
      </c>
      <c r="D167" s="260" t="s">
        <v>9913</v>
      </c>
      <c r="E167" s="260" t="s">
        <v>9914</v>
      </c>
      <c r="F167" s="260" t="s">
        <v>9944</v>
      </c>
      <c r="G167" s="260" t="e">
        <f>INDEX(BOM!$T:$T,MATCH(B167,BOM!$J:$J,0))</f>
        <v>#N/A</v>
      </c>
      <c r="H167" s="260" t="e">
        <f>INDEX(BOM!$T:$T,MATCH(C167,BOM!$K:$K,0))</f>
        <v>#N/A</v>
      </c>
      <c r="I167" s="3" t="s">
        <v>2693</v>
      </c>
      <c r="J167" s="3" t="s">
        <v>109</v>
      </c>
      <c r="K167" s="3" t="s">
        <v>107</v>
      </c>
      <c r="L167" s="259"/>
      <c r="M167" s="241" t="s">
        <v>9849</v>
      </c>
      <c r="N167" s="241" t="s">
        <v>9849</v>
      </c>
      <c r="O167" s="242" t="s">
        <v>9950</v>
      </c>
      <c r="P167" s="242"/>
      <c r="Q167" s="242"/>
      <c r="R167" s="242"/>
      <c r="S167" s="242" t="s">
        <v>9849</v>
      </c>
      <c r="T167" s="242" t="e">
        <f>INDEX(#REF!,MATCH(S167,#REF!,0))</f>
        <v>#REF!</v>
      </c>
      <c r="U167" s="270" t="e">
        <f t="shared" si="21"/>
        <v>#REF!</v>
      </c>
      <c r="V167" s="277" t="e">
        <f t="shared" si="24"/>
        <v>#REF!</v>
      </c>
      <c r="W167" s="101"/>
      <c r="X167" s="253" t="e">
        <f>INDEX(#REF!,MATCH(I167,#REF!,0))</f>
        <v>#REF!</v>
      </c>
    </row>
    <row r="168" spans="1:24" s="3" customFormat="1" ht="40.799999999999997">
      <c r="A168" s="260" t="s">
        <v>8577</v>
      </c>
      <c r="B168" s="260" t="s">
        <v>8578</v>
      </c>
      <c r="C168" s="244" t="s">
        <v>8591</v>
      </c>
      <c r="D168" s="260" t="s">
        <v>9845</v>
      </c>
      <c r="E168" s="260" t="s">
        <v>9846</v>
      </c>
      <c r="F168" s="260" t="s">
        <v>9951</v>
      </c>
      <c r="G168" s="260" t="e">
        <f>INDEX(BOM!$T:$T,MATCH(B168,BOM!$J:$J,0))</f>
        <v>#N/A</v>
      </c>
      <c r="H168" s="260" t="e">
        <f>INDEX(BOM!$T:$T,MATCH(C168,BOM!$K:$K,0))</f>
        <v>#N/A</v>
      </c>
      <c r="I168" s="3" t="s">
        <v>3300</v>
      </c>
      <c r="J168" s="3" t="s">
        <v>109</v>
      </c>
      <c r="K168" s="3" t="s">
        <v>107</v>
      </c>
      <c r="L168" s="259">
        <f>(SUMIFS(BOM!$G$14:$G$213,BOM!$P$14:$P$213,"*unknown*", BOM!$K$14:$K$213,"*aluminum*"))+(SUMIFS(BOM!$G$14:$G$213,BOM!$N$14:$N$213,"*unknown*", BOM!$K$14:$K$213,"*aluminum*"))</f>
        <v>0</v>
      </c>
      <c r="M168" s="241" t="s">
        <v>9696</v>
      </c>
      <c r="N168" s="241" t="s">
        <v>9849</v>
      </c>
      <c r="O168" s="242" t="s">
        <v>9950</v>
      </c>
      <c r="P168" s="242"/>
      <c r="Q168" s="242"/>
      <c r="R168" s="259">
        <f>(SUMIFS(BOM!$G$14:$G$213,BOM!$P$14:$P$213,"*unknown*", BOM!$K$14:$K$213,"*aluminum*"))+(SUMIFS(BOM!$G$14:$G$213,BOM!$N$14:$N$213,"*unknown*", BOM!$K$14:$K$213,"*aluminum*"))</f>
        <v>0</v>
      </c>
      <c r="S168" s="242" t="s">
        <v>9696</v>
      </c>
      <c r="T168" s="242" t="e">
        <f>INDEX(#REF!,MATCH(S168,#REF!,0))</f>
        <v>#REF!</v>
      </c>
      <c r="U168" s="270" t="e">
        <f t="shared" si="21"/>
        <v>#REF!</v>
      </c>
      <c r="V168" s="277" t="e">
        <f t="shared" si="24"/>
        <v>#REF!</v>
      </c>
      <c r="W168" s="101"/>
      <c r="X168" s="253" t="e">
        <f>INDEX(#REF!,MATCH(I168,#REF!,0))</f>
        <v>#REF!</v>
      </c>
    </row>
    <row r="169" spans="1:24" s="3" customFormat="1" ht="40.799999999999997">
      <c r="A169" s="260" t="s">
        <v>8577</v>
      </c>
      <c r="B169" s="260" t="s">
        <v>8578</v>
      </c>
      <c r="C169" s="244" t="s">
        <v>8579</v>
      </c>
      <c r="D169" s="260" t="s">
        <v>9899</v>
      </c>
      <c r="E169" s="260" t="s">
        <v>8583</v>
      </c>
      <c r="F169" s="260" t="s">
        <v>9951</v>
      </c>
      <c r="G169" s="260" t="e">
        <f>INDEX(BOM!$T:$T,MATCH(B169,BOM!$J:$J,0))</f>
        <v>#N/A</v>
      </c>
      <c r="H169" s="260" t="e">
        <f>INDEX(BOM!$T:$T,MATCH(C169,BOM!$K:$K,0))</f>
        <v>#N/A</v>
      </c>
      <c r="I169" s="3" t="s">
        <v>3302</v>
      </c>
      <c r="J169" s="3" t="s">
        <v>109</v>
      </c>
      <c r="K169" s="3" t="s">
        <v>107</v>
      </c>
      <c r="L169" s="259">
        <f>(SUMIFS(BOM!$G$14:$G$213,BOM!$P$14:$P$213,"*unknown*", BOM!$K$14:$K$213,"*steel*"))+(SUMIFS(BOM!$G$14:$G$213,BOM!$N$14:$N$213,"*unknown*", BOM!$K$14:$K$213,"*steel*"))</f>
        <v>0</v>
      </c>
      <c r="M169" s="241" t="s">
        <v>9952</v>
      </c>
      <c r="N169" s="241" t="s">
        <v>9849</v>
      </c>
      <c r="O169" s="242" t="s">
        <v>9849</v>
      </c>
      <c r="P169" s="242"/>
      <c r="Q169" s="242"/>
      <c r="R169" s="259">
        <f>(SUMIFS(BOM!$G$14:$G$213,BOM!$P$14:$P$213,"*unknown*", BOM!$K$14:$K$213,"*steel*"))+(SUMIFS(BOM!$G$14:$G$213,BOM!$N$14:$N$213,"*unknown*", BOM!$K$14:$K$213,"*steel*"))</f>
        <v>0</v>
      </c>
      <c r="S169" s="242" t="s">
        <v>9694</v>
      </c>
      <c r="T169" s="242" t="e">
        <f>INDEX(#REF!,MATCH(S169,#REF!,0))</f>
        <v>#REF!</v>
      </c>
      <c r="U169" s="270" t="e">
        <f t="shared" si="21"/>
        <v>#REF!</v>
      </c>
      <c r="V169" s="277" t="e">
        <f t="shared" si="24"/>
        <v>#REF!</v>
      </c>
      <c r="W169" s="101"/>
      <c r="X169" s="253" t="e">
        <f>INDEX(#REF!,MATCH(I169,#REF!,0))</f>
        <v>#REF!</v>
      </c>
    </row>
    <row r="170" spans="1:24" s="3" customFormat="1">
      <c r="A170" s="260" t="s">
        <v>8577</v>
      </c>
      <c r="B170" s="260" t="s">
        <v>8578</v>
      </c>
      <c r="C170" s="244" t="s">
        <v>8804</v>
      </c>
      <c r="D170" s="260" t="str">
        <f t="shared" ref="C170:F185" si="25">"-"</f>
        <v>-</v>
      </c>
      <c r="E170" s="260" t="str">
        <f t="shared" si="25"/>
        <v>-</v>
      </c>
      <c r="F170" s="260" t="str">
        <f t="shared" si="25"/>
        <v>-</v>
      </c>
      <c r="G170" s="260" t="e">
        <f>INDEX(BOM!$T:$T,MATCH(B170,BOM!$J:$J,0))</f>
        <v>#N/A</v>
      </c>
      <c r="H170" s="260" t="e">
        <f>INDEX(BOM!$T:$T,MATCH(C170,BOM!$K:$K,0))</f>
        <v>#N/A</v>
      </c>
      <c r="I170" s="3" t="s">
        <v>3304</v>
      </c>
      <c r="J170" s="3" t="s">
        <v>109</v>
      </c>
      <c r="K170" s="3" t="s">
        <v>107</v>
      </c>
      <c r="L170" s="259">
        <f>SUMIFS(BOM!$G$14:$G$213, BOM!$J$14:$J$213,"*metal*", BOM!$K$14:$K$213,"*copper*")</f>
        <v>0</v>
      </c>
      <c r="M170" s="241" t="s">
        <v>9953</v>
      </c>
      <c r="N170" s="241" t="s">
        <v>9849</v>
      </c>
      <c r="O170" s="242" t="s">
        <v>9849</v>
      </c>
      <c r="P170" s="242"/>
      <c r="Q170" s="242"/>
      <c r="R170" s="259">
        <f>SUMIFS(BOM!$G$14:$G$213, BOM!$J$14:$J$213,"*metal*", BOM!$K$14:$K$213,"*copper*")</f>
        <v>0</v>
      </c>
      <c r="S170" s="242" t="s">
        <v>8804</v>
      </c>
      <c r="T170" s="242" t="e">
        <f>INDEX(#REF!,MATCH(S170,#REF!,0))</f>
        <v>#REF!</v>
      </c>
      <c r="U170" s="270" t="e">
        <f t="shared" si="21"/>
        <v>#REF!</v>
      </c>
      <c r="V170" s="277" t="e">
        <f t="shared" si="24"/>
        <v>#REF!</v>
      </c>
      <c r="W170" s="101"/>
      <c r="X170" s="253" t="e">
        <f>INDEX(#REF!,MATCH(I170,#REF!,0))</f>
        <v>#REF!</v>
      </c>
    </row>
    <row r="171" spans="1:24" s="3" customFormat="1">
      <c r="A171" s="260" t="s">
        <v>8577</v>
      </c>
      <c r="B171" s="260" t="s">
        <v>8578</v>
      </c>
      <c r="C171" s="260" t="str">
        <f t="shared" si="25"/>
        <v>-</v>
      </c>
      <c r="D171" s="260" t="str">
        <f t="shared" si="25"/>
        <v>-</v>
      </c>
      <c r="E171" s="260" t="str">
        <f t="shared" si="25"/>
        <v>-</v>
      </c>
      <c r="F171" s="260" t="str">
        <f t="shared" si="25"/>
        <v>-</v>
      </c>
      <c r="G171" s="260" t="e">
        <f>INDEX(BOM!$T:$T,MATCH(B171,BOM!$J:$J,0))</f>
        <v>#N/A</v>
      </c>
      <c r="H171" s="260" t="e">
        <f>INDEX(BOM!$T:$T,MATCH(C171,BOM!$K:$K,0))</f>
        <v>#N/A</v>
      </c>
      <c r="I171" s="3" t="s">
        <v>3306</v>
      </c>
      <c r="J171" s="3" t="s">
        <v>109</v>
      </c>
      <c r="K171" s="3" t="s">
        <v>107</v>
      </c>
      <c r="L171" s="259"/>
      <c r="M171" s="241" t="s">
        <v>9954</v>
      </c>
      <c r="N171" s="241" t="s">
        <v>9849</v>
      </c>
      <c r="O171" s="242" t="s">
        <v>9955</v>
      </c>
      <c r="P171" s="242"/>
      <c r="Q171" s="242"/>
      <c r="R171" s="242"/>
      <c r="S171" s="242"/>
      <c r="T171" s="242" t="e">
        <f>INDEX(#REF!,MATCH(S171,#REF!,0))</f>
        <v>#REF!</v>
      </c>
      <c r="U171" s="270" t="e">
        <f t="shared" si="21"/>
        <v>#REF!</v>
      </c>
      <c r="V171" s="277" t="e">
        <f t="shared" si="24"/>
        <v>#REF!</v>
      </c>
      <c r="W171" s="101"/>
      <c r="X171" s="253" t="e">
        <f>INDEX(#REF!,MATCH(I171,#REF!,0))</f>
        <v>#REF!</v>
      </c>
    </row>
    <row r="172" spans="1:24" s="3" customFormat="1" ht="30.6">
      <c r="A172" s="260" t="s">
        <v>8577</v>
      </c>
      <c r="B172" s="260" t="s">
        <v>8578</v>
      </c>
      <c r="C172" s="244" t="s">
        <v>8579</v>
      </c>
      <c r="D172" s="260" t="s">
        <v>9913</v>
      </c>
      <c r="E172" s="260" t="str">
        <f t="shared" si="25"/>
        <v>-</v>
      </c>
      <c r="F172" s="260" t="str">
        <f t="shared" si="25"/>
        <v>-</v>
      </c>
      <c r="G172" s="260" t="e">
        <f>INDEX(BOM!$T:$T,MATCH(B172,BOM!$J:$J,0))</f>
        <v>#N/A</v>
      </c>
      <c r="H172" s="260" t="e">
        <f>INDEX(BOM!$T:$T,MATCH(C172,BOM!$K:$K,0))</f>
        <v>#N/A</v>
      </c>
      <c r="I172" s="3" t="s">
        <v>3308</v>
      </c>
      <c r="J172" s="3" t="s">
        <v>109</v>
      </c>
      <c r="K172" s="3" t="s">
        <v>107</v>
      </c>
      <c r="L172" s="259">
        <f>(SUMIFS(BOM!$G$14:$G$213,BOM!$P$14:$P$213,"*unknown*", BOM!$K$14:$K$213,"*steel*"))+(SUMIFS(BOM!$G$14:$G$213,BOM!$N$14:$N$213,"*unknown*", BOM!$K$14:$K$213,"*steel*"))</f>
        <v>0</v>
      </c>
      <c r="M172" s="241" t="s">
        <v>9956</v>
      </c>
      <c r="N172" s="241" t="s">
        <v>9849</v>
      </c>
      <c r="O172" s="242" t="s">
        <v>9849</v>
      </c>
      <c r="P172" s="242"/>
      <c r="Q172" s="242"/>
      <c r="R172" s="259">
        <f>(SUMIFS(BOM!$G$14:$G$213,BOM!$P$14:$P$213,"*unknown*", BOM!$K$14:$K$213,"*steel*"))+(SUMIFS(BOM!$G$14:$G$213,BOM!$N$14:$N$213,"*unknown*", BOM!$K$14:$K$213,"*steel*"))</f>
        <v>0</v>
      </c>
      <c r="S172" s="242" t="s">
        <v>9693</v>
      </c>
      <c r="T172" s="242" t="e">
        <f>INDEX(#REF!,MATCH(S172,#REF!,0))</f>
        <v>#REF!</v>
      </c>
      <c r="U172" s="270" t="e">
        <f t="shared" si="21"/>
        <v>#REF!</v>
      </c>
      <c r="V172" s="277" t="e">
        <f t="shared" si="24"/>
        <v>#REF!</v>
      </c>
      <c r="W172" s="101"/>
      <c r="X172" s="253" t="e">
        <f>INDEX(#REF!,MATCH(I172,#REF!,0))</f>
        <v>#REF!</v>
      </c>
    </row>
    <row r="173" spans="1:24" s="3" customFormat="1" ht="30.6">
      <c r="A173" s="260" t="s">
        <v>8577</v>
      </c>
      <c r="B173" s="260" t="s">
        <v>8578</v>
      </c>
      <c r="C173" s="260" t="s">
        <v>8591</v>
      </c>
      <c r="D173" s="260" t="s">
        <v>9845</v>
      </c>
      <c r="E173" s="260" t="s">
        <v>8588</v>
      </c>
      <c r="F173" s="260" t="str">
        <f t="shared" si="25"/>
        <v>-</v>
      </c>
      <c r="G173" s="260" t="e">
        <f>INDEX(BOM!$T:$T,MATCH(B173,BOM!$J:$J,0))</f>
        <v>#N/A</v>
      </c>
      <c r="H173" s="260" t="e">
        <f>INDEX(BOM!$T:$T,MATCH(C173,BOM!$K:$K,0))</f>
        <v>#N/A</v>
      </c>
      <c r="I173" s="3" t="s">
        <v>4299</v>
      </c>
      <c r="J173" s="3" t="s">
        <v>468</v>
      </c>
      <c r="K173" s="3" t="s">
        <v>466</v>
      </c>
      <c r="L173" s="259">
        <f>((SUMIFS(BOM!$G$14:$G$213, BOM!$Q$14:$Q$213,"*powder*", BOM!$K$14:$K$213,"*aluminum*"))+(SUMIF(BOM!$L$14:$L$213,"*powder*", BOM!$G$14:$G$213)))/0.0965</f>
        <v>0</v>
      </c>
      <c r="M173" s="241" t="s">
        <v>9957</v>
      </c>
      <c r="N173" s="241" t="s">
        <v>9950</v>
      </c>
      <c r="O173" s="242" t="s">
        <v>9849</v>
      </c>
      <c r="P173" s="242"/>
      <c r="Q173" s="242"/>
      <c r="R173" s="259">
        <f>((SUMIFS(BOM!$G$14:$G$213,BOM!$Q$14:$Q$213,"*powder*",BOM!$K$14:$K$213,"*aluminum*"))+(SUMIF(BOM!$L$14:$L$213,"*powder*",BOM!$G$14:$G$213)))</f>
        <v>0</v>
      </c>
      <c r="S173" s="242" t="s">
        <v>9612</v>
      </c>
      <c r="T173" s="242" t="e">
        <f>INDEX(#REF!,MATCH(S173,#REF!,0))</f>
        <v>#REF!</v>
      </c>
      <c r="U173" s="270" t="e">
        <f t="shared" si="21"/>
        <v>#REF!</v>
      </c>
      <c r="V173" s="277" t="e">
        <f t="shared" si="24"/>
        <v>#REF!</v>
      </c>
      <c r="W173" s="101"/>
      <c r="X173" s="253" t="e">
        <f>INDEX(#REF!,MATCH(I173,#REF!,0))</f>
        <v>#REF!</v>
      </c>
    </row>
    <row r="174" spans="1:24" s="3" customFormat="1" ht="30.6">
      <c r="A174" s="260" t="s">
        <v>8577</v>
      </c>
      <c r="B174" s="260" t="s">
        <v>8578</v>
      </c>
      <c r="C174" s="244" t="s">
        <v>8579</v>
      </c>
      <c r="D174" s="260" t="s">
        <v>9913</v>
      </c>
      <c r="E174" s="260" t="s">
        <v>8588</v>
      </c>
      <c r="F174" s="260" t="str">
        <f t="shared" si="25"/>
        <v>-</v>
      </c>
      <c r="G174" s="260" t="e">
        <f>INDEX(BOM!$T:$T,MATCH(B174,BOM!$J:$J,0))</f>
        <v>#N/A</v>
      </c>
      <c r="H174" s="260" t="e">
        <f>INDEX(BOM!$T:$T,MATCH(C174,BOM!$K:$K,0))</f>
        <v>#N/A</v>
      </c>
      <c r="I174" s="3" t="s">
        <v>4301</v>
      </c>
      <c r="J174" s="3" t="s">
        <v>468</v>
      </c>
      <c r="K174" s="3" t="s">
        <v>466</v>
      </c>
      <c r="L174" s="259">
        <f>((SUMIFS(BOM!$G$14:$G$213,BOM!$Q$14:$Q$213,"*powder*",BOM!$K$14:$K$213,"*steel*")))/0.0965</f>
        <v>0</v>
      </c>
      <c r="M174" s="241" t="s">
        <v>9958</v>
      </c>
      <c r="N174" s="241" t="s">
        <v>9950</v>
      </c>
      <c r="O174" s="242" t="s">
        <v>9849</v>
      </c>
      <c r="P174" s="242"/>
      <c r="Q174" s="242"/>
      <c r="R174" s="259">
        <f>((SUMIFS(BOM!$G$14:$G$213,BOM!$Q$14:$Q$213,"*powder*",BOM!$K$14:$K$213,"*steel*")))</f>
        <v>0</v>
      </c>
      <c r="S174" s="242" t="s">
        <v>9611</v>
      </c>
      <c r="T174" s="242" t="e">
        <f>INDEX(#REF!,MATCH(S174,#REF!,0))</f>
        <v>#REF!</v>
      </c>
      <c r="U174" s="270" t="e">
        <f t="shared" si="21"/>
        <v>#REF!</v>
      </c>
      <c r="V174" s="277" t="e">
        <f t="shared" si="24"/>
        <v>#REF!</v>
      </c>
      <c r="W174" s="101"/>
      <c r="X174" s="253" t="e">
        <f>INDEX(#REF!,MATCH(I174,#REF!,0))</f>
        <v>#REF!</v>
      </c>
    </row>
    <row r="175" spans="1:24" s="3" customFormat="1">
      <c r="A175" s="260" t="s">
        <v>8577</v>
      </c>
      <c r="B175" s="260" t="s">
        <v>8578</v>
      </c>
      <c r="C175" s="260" t="s">
        <v>8591</v>
      </c>
      <c r="D175" s="260" t="s">
        <v>9845</v>
      </c>
      <c r="E175" s="260" t="str">
        <f t="shared" si="25"/>
        <v>-</v>
      </c>
      <c r="F175" s="260" t="str">
        <f t="shared" si="25"/>
        <v>-</v>
      </c>
      <c r="G175" s="260" t="e">
        <f>INDEX(BOM!$T:$T,MATCH(B175,BOM!$J:$J,0))</f>
        <v>#N/A</v>
      </c>
      <c r="H175" s="260" t="e">
        <f>INDEX(BOM!$T:$T,MATCH(C175,BOM!$K:$K,0))</f>
        <v>#N/A</v>
      </c>
      <c r="I175" s="3" t="s">
        <v>4809</v>
      </c>
      <c r="J175" s="3" t="s">
        <v>109</v>
      </c>
      <c r="K175" s="3" t="s">
        <v>107</v>
      </c>
      <c r="L175" s="259">
        <f>(SUMIFS(BOM!$G$14:$G$213, BOM!$L$14:$L$213,"*cast*", BOM!$K$14:$K$213,"*aluminum*"))+(SUMIFS(BOM!$G$14:$G$213, BOM!$L$14:$L$213,"*wrought*", BOM!$K$14:$K$213,"*aluminum*"))</f>
        <v>0</v>
      </c>
      <c r="M175" s="241" t="s">
        <v>9868</v>
      </c>
      <c r="N175" s="241" t="s">
        <v>9849</v>
      </c>
      <c r="O175" s="242" t="s">
        <v>9849</v>
      </c>
      <c r="P175" s="242"/>
      <c r="Q175" s="242"/>
      <c r="R175" s="242"/>
      <c r="S175" s="242"/>
      <c r="T175" s="242" t="e">
        <f>INDEX(#REF!,MATCH(S175,#REF!,0))</f>
        <v>#REF!</v>
      </c>
      <c r="U175" s="270" t="e">
        <f t="shared" si="21"/>
        <v>#REF!</v>
      </c>
      <c r="V175" s="277" t="e">
        <f t="shared" si="24"/>
        <v>#REF!</v>
      </c>
      <c r="W175" s="101"/>
      <c r="X175" s="253" t="e">
        <f>INDEX(#REF!,MATCH(I175,#REF!,0))</f>
        <v>#REF!</v>
      </c>
    </row>
    <row r="176" spans="1:24" s="3" customFormat="1">
      <c r="A176" s="260" t="s">
        <v>8577</v>
      </c>
      <c r="B176" s="260" t="s">
        <v>8578</v>
      </c>
      <c r="C176" s="244" t="s">
        <v>8804</v>
      </c>
      <c r="D176" s="260" t="str">
        <f t="shared" si="25"/>
        <v>-</v>
      </c>
      <c r="E176" s="260" t="str">
        <f t="shared" si="25"/>
        <v>-</v>
      </c>
      <c r="F176" s="260" t="str">
        <f t="shared" si="25"/>
        <v>-</v>
      </c>
      <c r="G176" s="260" t="e">
        <f>INDEX(BOM!$T:$T,MATCH(B176,BOM!$J:$J,0))</f>
        <v>#N/A</v>
      </c>
      <c r="H176" s="260" t="e">
        <f>INDEX(BOM!$T:$T,MATCH(C176,BOM!$K:$K,0))</f>
        <v>#N/A</v>
      </c>
      <c r="I176" s="3" t="s">
        <v>4813</v>
      </c>
      <c r="J176" s="3" t="s">
        <v>109</v>
      </c>
      <c r="K176" s="3" t="s">
        <v>107</v>
      </c>
      <c r="L176" s="259">
        <f>SUMIFS(BOM!$G$14:$G$213, BOM!$J$14:$J$213,"*metal*", BOM!$K$14:$K$213,"*copper*")</f>
        <v>0</v>
      </c>
      <c r="M176" s="241"/>
      <c r="N176" s="241" t="s">
        <v>9849</v>
      </c>
      <c r="O176" s="242" t="s">
        <v>9849</v>
      </c>
      <c r="P176" s="242"/>
      <c r="Q176" s="242"/>
      <c r="R176" s="242"/>
      <c r="S176" s="242"/>
      <c r="T176" s="242" t="e">
        <f>INDEX(#REF!,MATCH(S176,#REF!,0))</f>
        <v>#REF!</v>
      </c>
      <c r="U176" s="270" t="e">
        <f t="shared" si="21"/>
        <v>#REF!</v>
      </c>
      <c r="V176" s="277" t="e">
        <f t="shared" si="24"/>
        <v>#REF!</v>
      </c>
      <c r="W176" s="101"/>
      <c r="X176" s="253" t="e">
        <f>INDEX(#REF!,MATCH(I176,#REF!,0))</f>
        <v>#REF!</v>
      </c>
    </row>
    <row r="177" spans="1:24" s="3" customFormat="1" ht="30.6">
      <c r="A177" s="260" t="s">
        <v>8577</v>
      </c>
      <c r="B177" s="260" t="s">
        <v>8578</v>
      </c>
      <c r="C177" s="244" t="s">
        <v>8579</v>
      </c>
      <c r="D177" s="260" t="s">
        <v>9913</v>
      </c>
      <c r="E177" s="260" t="str">
        <f t="shared" si="25"/>
        <v>-</v>
      </c>
      <c r="F177" s="260" t="str">
        <f t="shared" si="25"/>
        <v>-</v>
      </c>
      <c r="G177" s="260" t="e">
        <f>INDEX(BOM!$T:$T,MATCH(B177,BOM!$J:$J,0))</f>
        <v>#N/A</v>
      </c>
      <c r="H177" s="260" t="e">
        <f>INDEX(BOM!$T:$T,MATCH(C177,BOM!$K:$K,0))</f>
        <v>#N/A</v>
      </c>
      <c r="I177" s="3" t="s">
        <v>4815</v>
      </c>
      <c r="J177" s="3" t="s">
        <v>109</v>
      </c>
      <c r="K177" s="3" t="s">
        <v>107</v>
      </c>
      <c r="L177" s="259">
        <v>0</v>
      </c>
      <c r="M177" s="241" t="s">
        <v>9959</v>
      </c>
      <c r="N177" s="241" t="s">
        <v>9955</v>
      </c>
      <c r="O177" s="242" t="s">
        <v>9849</v>
      </c>
      <c r="P177" s="242"/>
      <c r="Q177" s="242"/>
      <c r="R177" s="242"/>
      <c r="S177" s="242"/>
      <c r="T177" s="242" t="e">
        <f>INDEX(#REF!,MATCH(S177,#REF!,0))</f>
        <v>#REF!</v>
      </c>
      <c r="U177" s="270" t="e">
        <f t="shared" si="21"/>
        <v>#REF!</v>
      </c>
      <c r="V177" s="277" t="e">
        <f t="shared" si="24"/>
        <v>#REF!</v>
      </c>
      <c r="W177" s="101"/>
      <c r="X177" s="253" t="e">
        <f>INDEX(#REF!,MATCH(I177,#REF!,0))</f>
        <v>#REF!</v>
      </c>
    </row>
    <row r="178" spans="1:24" s="3" customFormat="1" ht="20.399999999999999">
      <c r="A178" s="260" t="s">
        <v>8577</v>
      </c>
      <c r="B178" s="260" t="s">
        <v>8578</v>
      </c>
      <c r="C178" s="244" t="s">
        <v>8579</v>
      </c>
      <c r="D178" s="260" t="s">
        <v>9960</v>
      </c>
      <c r="E178" s="260" t="s">
        <v>8583</v>
      </c>
      <c r="F178" s="260" t="str">
        <f t="shared" si="25"/>
        <v>-</v>
      </c>
      <c r="G178" s="260" t="e">
        <f>INDEX(BOM!$T:$T,MATCH(B178,BOM!$J:$J,0))</f>
        <v>#N/A</v>
      </c>
      <c r="H178" s="260" t="e">
        <f>INDEX(BOM!$T:$T,MATCH(C178,BOM!$K:$K,0))</f>
        <v>#N/A</v>
      </c>
      <c r="I178" s="3" t="s">
        <v>5075</v>
      </c>
      <c r="J178" s="3" t="s">
        <v>109</v>
      </c>
      <c r="K178" s="3" t="s">
        <v>107</v>
      </c>
      <c r="L178" s="259">
        <f>(SUMIFS(BOM!$G$14:$G$213,BOM!$P$14:$P$213,"*computer*", BOM!$P$14:$P$213,"*drilling*", BOM!$K$14:$K$213,"*steel*"))+(SUMIFS(BOM!$G$14:$G$213,BOM!$N$14:$N$213,"*computer*", BOM!$N$14:$N$213,"*drilling*", BOM!$K$14:$K$213,"*steel*"))</f>
        <v>0</v>
      </c>
      <c r="M178" s="241" t="s">
        <v>9961</v>
      </c>
      <c r="N178" s="241" t="s">
        <v>9849</v>
      </c>
      <c r="O178" s="242" t="s">
        <v>9849</v>
      </c>
      <c r="P178" s="242"/>
      <c r="Q178" s="242"/>
      <c r="R178" s="242">
        <f>(SUMIFS(BOM!$G$14:$G$213,BOM!$P$14:$P$213,"*computer*", BOM!$P$14:$P$213,"*drilling*", BOM!$K$14:$K$213,"*steel*"))+(SUMIFS(BOM!$G$14:$G$213,BOM!$N$14:$N$213,"*computer*", BOM!$N$14:$N$213,"*drilling*", BOM!$K$14:$K$213,"*steel*"))</f>
        <v>0</v>
      </c>
      <c r="S178" s="242" t="s">
        <v>9635</v>
      </c>
      <c r="T178" s="242" t="e">
        <f>INDEX(#REF!,MATCH(S178,#REF!,0))</f>
        <v>#REF!</v>
      </c>
      <c r="U178" s="270" t="e">
        <f t="shared" si="21"/>
        <v>#REF!</v>
      </c>
      <c r="V178" s="277" t="e">
        <f t="shared" si="24"/>
        <v>#REF!</v>
      </c>
      <c r="W178" s="101"/>
      <c r="X178" s="253" t="e">
        <f>INDEX(#REF!,MATCH(I178,#REF!,0))</f>
        <v>#REF!</v>
      </c>
    </row>
    <row r="179" spans="1:24" s="3" customFormat="1" ht="20.399999999999999">
      <c r="A179" s="260" t="s">
        <v>8577</v>
      </c>
      <c r="B179" s="260" t="s">
        <v>8578</v>
      </c>
      <c r="C179" s="244" t="s">
        <v>8579</v>
      </c>
      <c r="D179" s="260" t="s">
        <v>9960</v>
      </c>
      <c r="E179" s="260" t="s">
        <v>8583</v>
      </c>
      <c r="F179" s="260" t="str">
        <f t="shared" si="25"/>
        <v>-</v>
      </c>
      <c r="G179" s="260" t="e">
        <f>INDEX(BOM!$T:$T,MATCH(B179,BOM!$J:$J,0))</f>
        <v>#N/A</v>
      </c>
      <c r="H179" s="260" t="e">
        <f>INDEX(BOM!$T:$T,MATCH(C179,BOM!$K:$K,0))</f>
        <v>#N/A</v>
      </c>
      <c r="I179" s="3" t="s">
        <v>5077</v>
      </c>
      <c r="J179" s="3" t="s">
        <v>109</v>
      </c>
      <c r="K179" s="3" t="s">
        <v>107</v>
      </c>
      <c r="L179" s="259">
        <f>(SUMIFS(BOM!$G$14:$G$213,BOM!$P$14:$P$213,"*conventional*", BOM!$P$14:$P$213,"*drilling*", BOM!$K$14:$K$213,"*steel*"))+(SUMIFS(BOM!$G$14:$G$213,BOM!$N$14:$N$213,"*conventional*", BOM!$N$14:$N$213,"*drilling*", BOM!$K$14:$K$213,"*steel*"))</f>
        <v>0</v>
      </c>
      <c r="M179" s="241" t="s">
        <v>9962</v>
      </c>
      <c r="N179" s="241" t="s">
        <v>9849</v>
      </c>
      <c r="O179" s="242" t="s">
        <v>9849</v>
      </c>
      <c r="P179" s="242"/>
      <c r="Q179" s="242"/>
      <c r="R179" s="242">
        <f>(SUMIFS(BOM!$G$14:$G$213,BOM!$P$14:$P$213,"*conventional*", BOM!$P$14:$P$213,"*drilling*", BOM!$K$14:$K$213,"*steel*"))+(SUMIFS(BOM!$G$14:$G$213,BOM!$N$14:$N$213,"*conventional*", BOM!$N$14:$N$213,"*drilling*", BOM!$K$14:$K$213,"*steel*"))</f>
        <v>0</v>
      </c>
      <c r="S179" s="242" t="s">
        <v>9636</v>
      </c>
      <c r="T179" s="242" t="e">
        <f>INDEX(#REF!,MATCH(S179,#REF!,0))</f>
        <v>#REF!</v>
      </c>
      <c r="U179" s="270" t="e">
        <f t="shared" si="21"/>
        <v>#REF!</v>
      </c>
      <c r="V179" s="277" t="e">
        <f t="shared" si="24"/>
        <v>#REF!</v>
      </c>
      <c r="W179" s="101"/>
      <c r="X179" s="253" t="e">
        <f>INDEX(#REF!,MATCH(I179,#REF!,0))</f>
        <v>#REF!</v>
      </c>
    </row>
    <row r="180" spans="1:24" s="3" customFormat="1" ht="20.399999999999999">
      <c r="A180" s="260" t="s">
        <v>8577</v>
      </c>
      <c r="B180" s="260" t="s">
        <v>8578</v>
      </c>
      <c r="C180" s="244" t="s">
        <v>8579</v>
      </c>
      <c r="D180" s="260" t="s">
        <v>9960</v>
      </c>
      <c r="E180" s="260" t="s">
        <v>8583</v>
      </c>
      <c r="F180" s="260" t="str">
        <f t="shared" si="25"/>
        <v>-</v>
      </c>
      <c r="G180" s="260" t="e">
        <f>INDEX(BOM!$T:$T,MATCH(B180,BOM!$J:$J,0))</f>
        <v>#N/A</v>
      </c>
      <c r="H180" s="260" t="e">
        <f>INDEX(BOM!$T:$T,MATCH(C180,BOM!$K:$K,0))</f>
        <v>#N/A</v>
      </c>
      <c r="I180" s="3" t="s">
        <v>5079</v>
      </c>
      <c r="J180" s="3" t="s">
        <v>109</v>
      </c>
      <c r="K180" s="3" t="s">
        <v>107</v>
      </c>
      <c r="L180" s="259">
        <f>(SUMIFS(BOM!$G$14:$G$213,BOM!$P$14:$P$213,"*average*", BOM!$P$14:$P$213,"*milling*", BOM!$K$14:$K$213,"*steel*"))+(SUMIFS(BOM!$G$14:$G$213,BOM!$N$14:$N$213,"*average*", BOM!$N$14:$N$213,"*milling*", BOM!$K$14:$K$213,"*steel*"))</f>
        <v>0</v>
      </c>
      <c r="M180" s="241" t="s">
        <v>9963</v>
      </c>
      <c r="N180" s="241" t="s">
        <v>9849</v>
      </c>
      <c r="O180" s="242" t="s">
        <v>9849</v>
      </c>
      <c r="P180" s="242"/>
      <c r="Q180" s="242"/>
      <c r="R180" s="242">
        <f>(SUMIFS(BOM!$G$14:$G$213,BOM!$P$14:$P$213,"*average*", BOM!$P$14:$P$213,"*milling*", BOM!$K$14:$K$213,"*steel*"))+(SUMIFS(BOM!$G$14:$G$213,BOM!$N$14:$N$213,"*average*", BOM!$N$14:$N$213,"*milling*", BOM!$K$14:$K$213,"*steel*"))</f>
        <v>0</v>
      </c>
      <c r="S180" s="242" t="s">
        <v>9637</v>
      </c>
      <c r="T180" s="242" t="e">
        <f>INDEX(#REF!,MATCH(S180,#REF!,0))</f>
        <v>#REF!</v>
      </c>
      <c r="U180" s="270" t="e">
        <f t="shared" si="21"/>
        <v>#REF!</v>
      </c>
      <c r="V180" s="277" t="e">
        <f t="shared" si="24"/>
        <v>#REF!</v>
      </c>
      <c r="W180" s="101"/>
      <c r="X180" s="253" t="e">
        <f>INDEX(#REF!,MATCH(I180,#REF!,0))</f>
        <v>#REF!</v>
      </c>
    </row>
    <row r="181" spans="1:24" s="3" customFormat="1" ht="20.399999999999999">
      <c r="A181" s="260" t="s">
        <v>8577</v>
      </c>
      <c r="B181" s="260" t="s">
        <v>8578</v>
      </c>
      <c r="C181" s="244" t="s">
        <v>8579</v>
      </c>
      <c r="D181" s="260" t="s">
        <v>9960</v>
      </c>
      <c r="E181" s="260" t="s">
        <v>8583</v>
      </c>
      <c r="F181" s="260" t="str">
        <f t="shared" si="25"/>
        <v>-</v>
      </c>
      <c r="G181" s="260" t="e">
        <f>INDEX(BOM!$T:$T,MATCH(B181,BOM!$J:$J,0))</f>
        <v>#N/A</v>
      </c>
      <c r="H181" s="260" t="e">
        <f>INDEX(BOM!$T:$T,MATCH(C181,BOM!$K:$K,0))</f>
        <v>#N/A</v>
      </c>
      <c r="I181" s="3" t="s">
        <v>5081</v>
      </c>
      <c r="J181" s="3" t="s">
        <v>109</v>
      </c>
      <c r="K181" s="3" t="s">
        <v>107</v>
      </c>
      <c r="L181" s="259">
        <f>(SUMIFS(BOM!$G$14:$G$213,BOM!$P$14:$P$213,"*dressing*", BOM!$P$14:$P$213,"*milling*", BOM!$K$14:$K$213,"*steel*"))+(SUMIFS(BOM!$G$14:$G$213,BOM!$N$14:$N$213,"*dressing*", BOM!$N$14:$N$213,"*milling*", BOM!$K$14:$K$213,"*steel*"))</f>
        <v>0</v>
      </c>
      <c r="M181" s="241" t="s">
        <v>9964</v>
      </c>
      <c r="N181" s="241" t="s">
        <v>9849</v>
      </c>
      <c r="O181" s="242" t="s">
        <v>9849</v>
      </c>
      <c r="P181" s="242"/>
      <c r="Q181" s="242"/>
      <c r="R181" s="242">
        <f>(SUMIFS(BOM!$G$14:$G$213,BOM!$P$14:$P$213,"*dressing*", BOM!$P$14:$P$213,"*milling*", BOM!$K$14:$K$213,"*steel*"))+(SUMIFS(BOM!$G$14:$G$213,BOM!$N$14:$N$213,"*dressing*", BOM!$N$14:$N$213,"*milling*", BOM!$K$14:$K$213,"*steel*"))</f>
        <v>0</v>
      </c>
      <c r="S181" s="242" t="s">
        <v>9638</v>
      </c>
      <c r="T181" s="242" t="e">
        <f>INDEX(#REF!,MATCH(S181,#REF!,0))</f>
        <v>#REF!</v>
      </c>
      <c r="U181" s="270" t="e">
        <f t="shared" si="21"/>
        <v>#REF!</v>
      </c>
      <c r="V181" s="277" t="e">
        <f t="shared" si="24"/>
        <v>#REF!</v>
      </c>
      <c r="W181" s="101"/>
      <c r="X181" s="253" t="e">
        <f>INDEX(#REF!,MATCH(I181,#REF!,0))</f>
        <v>#REF!</v>
      </c>
    </row>
    <row r="182" spans="1:24" s="3" customFormat="1" ht="20.399999999999999">
      <c r="A182" s="260" t="s">
        <v>8577</v>
      </c>
      <c r="B182" s="260" t="s">
        <v>8578</v>
      </c>
      <c r="C182" s="244" t="s">
        <v>8579</v>
      </c>
      <c r="D182" s="260" t="s">
        <v>9960</v>
      </c>
      <c r="E182" s="260" t="s">
        <v>8583</v>
      </c>
      <c r="F182" s="260" t="str">
        <f t="shared" si="25"/>
        <v>-</v>
      </c>
      <c r="G182" s="260" t="e">
        <f>INDEX(BOM!$T:$T,MATCH(B182,BOM!$J:$J,0))</f>
        <v>#N/A</v>
      </c>
      <c r="H182" s="260" t="e">
        <f>INDEX(BOM!$T:$T,MATCH(C182,BOM!$K:$K,0))</f>
        <v>#N/A</v>
      </c>
      <c r="I182" s="3" t="s">
        <v>5083</v>
      </c>
      <c r="J182" s="3" t="s">
        <v>109</v>
      </c>
      <c r="K182" s="3" t="s">
        <v>107</v>
      </c>
      <c r="L182" s="259">
        <f>(SUMIFS(BOM!$G$14:$G$213,BOM!$P$14:$P$213,"*large*", BOM!$P$14:$P$213,"*milling*", BOM!$K$14:$K$213,"*steel*"))+(SUMIFS(BOM!$G$14:$G$213,BOM!$N$14:$N$213,"*large*", BOM!$N$14:$N$213,"*milling*", BOM!$K$14:$K$213,"*steel*"))</f>
        <v>0</v>
      </c>
      <c r="M182" s="241" t="s">
        <v>9965</v>
      </c>
      <c r="N182" s="241" t="s">
        <v>9849</v>
      </c>
      <c r="O182" s="242" t="s">
        <v>9849</v>
      </c>
      <c r="P182" s="242"/>
      <c r="Q182" s="242"/>
      <c r="R182" s="242">
        <f>(SUMIFS(BOM!$G$14:$G$213,BOM!$P$14:$P$213,"*large*", BOM!$P$14:$P$213,"*milling*", BOM!$K$14:$K$213,"*steel*"))+(SUMIFS(BOM!$G$14:$G$213,BOM!$N$14:$N$213,"*large*", BOM!$N$14:$N$213,"*milling*", BOM!$K$14:$K$213,"*steel*"))</f>
        <v>0</v>
      </c>
      <c r="S182" s="242" t="s">
        <v>9639</v>
      </c>
      <c r="T182" s="242" t="e">
        <f>INDEX(#REF!,MATCH(S182,#REF!,0))</f>
        <v>#REF!</v>
      </c>
      <c r="U182" s="270" t="e">
        <f t="shared" si="21"/>
        <v>#REF!</v>
      </c>
      <c r="V182" s="277" t="e">
        <f t="shared" si="24"/>
        <v>#REF!</v>
      </c>
      <c r="W182" s="101"/>
      <c r="X182" s="253" t="e">
        <f>INDEX(#REF!,MATCH(I182,#REF!,0))</f>
        <v>#REF!</v>
      </c>
    </row>
    <row r="183" spans="1:24" s="3" customFormat="1" ht="20.399999999999999">
      <c r="A183" s="260" t="s">
        <v>8577</v>
      </c>
      <c r="B183" s="260" t="s">
        <v>8578</v>
      </c>
      <c r="C183" s="244" t="s">
        <v>8579</v>
      </c>
      <c r="D183" s="260" t="s">
        <v>9960</v>
      </c>
      <c r="E183" s="260" t="s">
        <v>8583</v>
      </c>
      <c r="F183" s="260" t="str">
        <f t="shared" si="25"/>
        <v>-</v>
      </c>
      <c r="G183" s="260" t="e">
        <f>INDEX(BOM!$T:$T,MATCH(B183,BOM!$J:$J,0))</f>
        <v>#N/A</v>
      </c>
      <c r="H183" s="260" t="e">
        <f>INDEX(BOM!$T:$T,MATCH(C183,BOM!$K:$K,0))</f>
        <v>#N/A</v>
      </c>
      <c r="I183" s="3" t="s">
        <v>5085</v>
      </c>
      <c r="J183" s="3" t="s">
        <v>109</v>
      </c>
      <c r="K183" s="3" t="s">
        <v>107</v>
      </c>
      <c r="L183" s="259">
        <f>(SUMIFS(BOM!$G$14:$G$213,BOM!$P$14:$P$213,"*small*", BOM!$P$14:$P$213,"*milling*", BOM!$K$14:$K$213,"*steel*"))+(SUMIFS(BOM!$G$14:$G$213,BOM!$N$14:$N$213,"*small*", BOM!$N$14:$N$213,"*milling*", BOM!$K$14:$K$213,"*steel*"))</f>
        <v>0</v>
      </c>
      <c r="M183" s="241" t="s">
        <v>9966</v>
      </c>
      <c r="N183" s="241" t="s">
        <v>9849</v>
      </c>
      <c r="O183" s="242" t="s">
        <v>9849</v>
      </c>
      <c r="P183" s="242"/>
      <c r="Q183" s="242"/>
      <c r="R183" s="242">
        <f>(SUMIFS(BOM!$G$14:$G$213,BOM!$P$14:$P$213,"*small*", BOM!$P$14:$P$213,"*milling*", BOM!$K$14:$K$213,"*steel*"))+(SUMIFS(BOM!$G$14:$G$213,BOM!$N$14:$N$213,"*small*", BOM!$N$14:$N$213,"*milling*", BOM!$K$14:$K$213,"*steel*"))</f>
        <v>0</v>
      </c>
      <c r="S183" s="242" t="s">
        <v>9640</v>
      </c>
      <c r="T183" s="242" t="e">
        <f>INDEX(#REF!,MATCH(S183,#REF!,0))</f>
        <v>#REF!</v>
      </c>
      <c r="U183" s="270" t="e">
        <f t="shared" si="21"/>
        <v>#REF!</v>
      </c>
      <c r="V183" s="277" t="e">
        <f t="shared" si="24"/>
        <v>#REF!</v>
      </c>
      <c r="W183" s="101"/>
      <c r="X183" s="253" t="e">
        <f>INDEX(#REF!,MATCH(I183,#REF!,0))</f>
        <v>#REF!</v>
      </c>
    </row>
    <row r="184" spans="1:24" s="3" customFormat="1" ht="20.399999999999999">
      <c r="A184" s="260" t="s">
        <v>8577</v>
      </c>
      <c r="B184" s="260" t="s">
        <v>8578</v>
      </c>
      <c r="C184" s="244" t="s">
        <v>8579</v>
      </c>
      <c r="D184" s="260" t="s">
        <v>9960</v>
      </c>
      <c r="E184" s="260" t="s">
        <v>8583</v>
      </c>
      <c r="F184" s="260" t="str">
        <f t="shared" si="25"/>
        <v>-</v>
      </c>
      <c r="G184" s="260" t="e">
        <f>INDEX(BOM!$T:$T,MATCH(B184,BOM!$J:$J,0))</f>
        <v>#N/A</v>
      </c>
      <c r="H184" s="260" t="e">
        <f>INDEX(BOM!$T:$T,MATCH(C184,BOM!$K:$K,0))</f>
        <v>#N/A</v>
      </c>
      <c r="I184" s="3" t="s">
        <v>5087</v>
      </c>
      <c r="J184" s="3" t="s">
        <v>109</v>
      </c>
      <c r="K184" s="3" t="s">
        <v>107</v>
      </c>
      <c r="L184" s="259">
        <f>(SUMIFS(BOM!$G$14:$G$213,BOM!$P$14:$P$213,"*computer*", BOM!$P$14:$P$213,"*turning*", BOM!$P$14:$P$213,"*average*", BOM!$K$14:$K$213,"*steel*"))+(SUMIFS(BOM!$G$14:$G$213,BOM!$N$14:$N$213,"*computer*", BOM!$N$14:$N$213,"*turning*", BOM!$N$14:$N$213,"*average*", BOM!$K$14:$K$213,"*steel*"))</f>
        <v>0</v>
      </c>
      <c r="M184" s="241" t="s">
        <v>9967</v>
      </c>
      <c r="N184" s="241" t="s">
        <v>9849</v>
      </c>
      <c r="O184" s="242" t="s">
        <v>9849</v>
      </c>
      <c r="P184" s="242"/>
      <c r="Q184" s="242"/>
      <c r="R184" s="242">
        <f>(SUMIFS(BOM!$G$14:$G$213,BOM!$P$14:$P$213,"*computer*", BOM!$P$14:$P$213,"*turning*", BOM!$P$14:$P$213,"*average*", BOM!$K$14:$K$213,"*steel*"))+(SUMIFS(BOM!$G$14:$G$213,BOM!$N$14:$N$213,"*computer*", BOM!$N$14:$N$213,"*turning*", BOM!$N$14:$N$213,"*average*", BOM!$K$14:$K$213,"*steel*"))</f>
        <v>0</v>
      </c>
      <c r="S184" s="242" t="s">
        <v>9675</v>
      </c>
      <c r="T184" s="242" t="e">
        <f>INDEX(#REF!,MATCH(S184,#REF!,0))</f>
        <v>#REF!</v>
      </c>
      <c r="U184" s="270" t="e">
        <f t="shared" si="21"/>
        <v>#REF!</v>
      </c>
      <c r="V184" s="277" t="e">
        <f t="shared" si="24"/>
        <v>#REF!</v>
      </c>
      <c r="W184" s="101"/>
      <c r="X184" s="253" t="e">
        <f>INDEX(#REF!,MATCH(I184,#REF!,0))</f>
        <v>#REF!</v>
      </c>
    </row>
    <row r="185" spans="1:24" s="3" customFormat="1" ht="20.399999999999999">
      <c r="A185" s="260" t="s">
        <v>8577</v>
      </c>
      <c r="B185" s="260" t="s">
        <v>8578</v>
      </c>
      <c r="C185" s="244" t="s">
        <v>8579</v>
      </c>
      <c r="D185" s="260" t="s">
        <v>9960</v>
      </c>
      <c r="E185" s="260" t="s">
        <v>8583</v>
      </c>
      <c r="F185" s="260" t="str">
        <f t="shared" si="25"/>
        <v>-</v>
      </c>
      <c r="G185" s="260" t="e">
        <f>INDEX(BOM!$T:$T,MATCH(B185,BOM!$J:$J,0))</f>
        <v>#N/A</v>
      </c>
      <c r="H185" s="260" t="e">
        <f>INDEX(BOM!$T:$T,MATCH(C185,BOM!$K:$K,0))</f>
        <v>#N/A</v>
      </c>
      <c r="I185" s="3" t="s">
        <v>5089</v>
      </c>
      <c r="J185" s="3" t="s">
        <v>109</v>
      </c>
      <c r="K185" s="3" t="s">
        <v>107</v>
      </c>
      <c r="L185" s="259">
        <f>(SUMIFS(BOM!$G$14:$G$213,BOM!$P$14:$P$213,"*conventional*", BOM!$P$14:$P$213,"*turning*", BOM!$P$14:$P$213,"*average*", BOM!$K$14:$K$213,"*steel*"))+(SUMIFS(BOM!$G$14:$G$213,BOM!$N$14:$N$213,"*conventional*", BOM!$N$14:$N$213,"*turning*", BOM!$N$14:$N$213,"*average*", BOM!$K$14:$K$213,"*steel*"))</f>
        <v>0</v>
      </c>
      <c r="M185" s="241" t="s">
        <v>9968</v>
      </c>
      <c r="N185" s="241" t="s">
        <v>9849</v>
      </c>
      <c r="O185" s="242" t="s">
        <v>9969</v>
      </c>
      <c r="P185" s="242"/>
      <c r="Q185" s="242"/>
      <c r="R185" s="242">
        <f>(SUMIFS(BOM!$G$14:$G$213,BOM!$P$14:$P$213,"*conventional*", BOM!$P$14:$P$213,"*turning*", BOM!$P$14:$P$213,"*average*", BOM!$K$14:$K$213,"*steel*"))+(SUMIFS(BOM!$G$14:$G$213,BOM!$N$14:$N$213,"*conventional*", BOM!$N$14:$N$213,"*turning*", BOM!$N$14:$N$213,"*average*", BOM!$K$14:$K$213,"*steel*"))</f>
        <v>0</v>
      </c>
      <c r="S185" s="242" t="s">
        <v>9678</v>
      </c>
      <c r="T185" s="242" t="e">
        <f>INDEX(#REF!,MATCH(S185,#REF!,0))</f>
        <v>#REF!</v>
      </c>
      <c r="U185" s="270" t="e">
        <f t="shared" si="21"/>
        <v>#REF!</v>
      </c>
      <c r="V185" s="277" t="e">
        <f t="shared" si="24"/>
        <v>#REF!</v>
      </c>
      <c r="W185" s="101"/>
      <c r="X185" s="253" t="e">
        <f>INDEX(#REF!,MATCH(I185,#REF!,0))</f>
        <v>#REF!</v>
      </c>
    </row>
    <row r="186" spans="1:24" s="3" customFormat="1" ht="20.399999999999999">
      <c r="A186" s="260" t="s">
        <v>8577</v>
      </c>
      <c r="B186" s="260" t="s">
        <v>8578</v>
      </c>
      <c r="C186" s="244" t="s">
        <v>8579</v>
      </c>
      <c r="D186" s="260" t="s">
        <v>9960</v>
      </c>
      <c r="E186" s="260" t="s">
        <v>8583</v>
      </c>
      <c r="F186" s="260" t="str">
        <f t="shared" ref="D186:F196" si="26">"-"</f>
        <v>-</v>
      </c>
      <c r="G186" s="260" t="e">
        <f>INDEX(BOM!$T:$T,MATCH(B186,BOM!$J:$J,0))</f>
        <v>#N/A</v>
      </c>
      <c r="H186" s="260" t="e">
        <f>INDEX(BOM!$T:$T,MATCH(C186,BOM!$K:$K,0))</f>
        <v>#N/A</v>
      </c>
      <c r="I186" s="3" t="s">
        <v>5091</v>
      </c>
      <c r="J186" s="3" t="s">
        <v>109</v>
      </c>
      <c r="K186" s="3" t="s">
        <v>107</v>
      </c>
      <c r="L186" s="259">
        <f>(SUMIFS(BOM!$G$14:$G$213,BOM!$P$14:$P$213,"*computer*", BOM!$P$14:$P$213,"*turning*", BOM!$P$14:$P$213,"*dressing*", BOM!$K$14:$K$213,"*steel*"))+(SUMIFS(BOM!$G$14:$G$213,BOM!$N$14:$N$213,"*computer*", BOM!$N$14:$N$213,"*turning*", BOM!$N$14:$N$213,"*dressing*", BOM!$K$14:$K$213,"*steel*"))</f>
        <v>0</v>
      </c>
      <c r="M186" s="241" t="s">
        <v>9970</v>
      </c>
      <c r="N186" s="241" t="s">
        <v>9849</v>
      </c>
      <c r="O186" s="242" t="s">
        <v>9849</v>
      </c>
      <c r="P186" s="242"/>
      <c r="Q186" s="242"/>
      <c r="R186" s="242">
        <f>(SUMIFS(BOM!$G$14:$G$213,BOM!$P$14:$P$213,"*computer*", BOM!$P$14:$P$213,"*turning*", BOM!$P$14:$P$213,"*dressing*", BOM!$K$14:$K$213,"*steel*"))+(SUMIFS(BOM!$G$14:$G$213,BOM!$N$14:$N$213,"*computer*", BOM!$N$14:$N$213,"*turning*", BOM!$N$14:$N$213,"*dressing*", BOM!$K$14:$K$213,"*steel*"))</f>
        <v>0</v>
      </c>
      <c r="S186" s="242" t="s">
        <v>9641</v>
      </c>
      <c r="T186" s="242" t="e">
        <f>INDEX(#REF!,MATCH(S186,#REF!,0))</f>
        <v>#REF!</v>
      </c>
      <c r="U186" s="270" t="e">
        <f t="shared" si="21"/>
        <v>#REF!</v>
      </c>
      <c r="V186" s="277" t="e">
        <f t="shared" si="24"/>
        <v>#REF!</v>
      </c>
      <c r="W186" s="101"/>
      <c r="X186" s="253" t="e">
        <f>INDEX(#REF!,MATCH(I186,#REF!,0))</f>
        <v>#REF!</v>
      </c>
    </row>
    <row r="187" spans="1:24" s="3" customFormat="1" ht="20.399999999999999">
      <c r="A187" s="260" t="s">
        <v>8577</v>
      </c>
      <c r="B187" s="260" t="s">
        <v>8578</v>
      </c>
      <c r="C187" s="244" t="s">
        <v>8579</v>
      </c>
      <c r="D187" s="260" t="s">
        <v>9960</v>
      </c>
      <c r="E187" s="260" t="s">
        <v>8583</v>
      </c>
      <c r="F187" s="260" t="str">
        <f t="shared" si="26"/>
        <v>-</v>
      </c>
      <c r="G187" s="260" t="e">
        <f>INDEX(BOM!$T:$T,MATCH(B187,BOM!$J:$J,0))</f>
        <v>#N/A</v>
      </c>
      <c r="H187" s="260" t="e">
        <f>INDEX(BOM!$T:$T,MATCH(C187,BOM!$K:$K,0))</f>
        <v>#N/A</v>
      </c>
      <c r="I187" s="3" t="s">
        <v>5093</v>
      </c>
      <c r="J187" s="3" t="s">
        <v>109</v>
      </c>
      <c r="K187" s="3" t="s">
        <v>107</v>
      </c>
      <c r="L187" s="259">
        <f>(SUMIFS(BOM!$G$14:$G$213,BOM!$P$14:$P$213,"*conventional*", BOM!$P$14:$P$213,"*turning*", BOM!$P$14:$P$213,"*dressing*", BOM!$K$14:$K$213,"*steel*"))+(SUMIFS(BOM!$G$14:$G$213,BOM!$N$14:$N$213,"*conventional*", BOM!$N$14:$N$213,"*turning*", BOM!$N$14:$N$213,"*dressing*", BOM!$K$14:$K$213,"*steel*"))</f>
        <v>0</v>
      </c>
      <c r="M187" s="241" t="s">
        <v>9971</v>
      </c>
      <c r="N187" s="241" t="s">
        <v>9849</v>
      </c>
      <c r="O187" s="242" t="s">
        <v>9849</v>
      </c>
      <c r="P187" s="242"/>
      <c r="Q187" s="242"/>
      <c r="R187" s="242">
        <f>(SUMIFS(BOM!$G$14:$G$213,BOM!$P$14:$P$213,"*conventional*", BOM!$P$14:$P$213,"*turning*", BOM!$P$14:$P$213,"*dressing*", BOM!$K$14:$K$213,"*steel*"))+(SUMIFS(BOM!$G$14:$G$213,BOM!$N$14:$N$213,"*conventional*", BOM!$N$14:$N$213,"*turning*", BOM!$N$14:$N$213,"*dressing*", BOM!$K$14:$K$213,"*steel*"))</f>
        <v>0</v>
      </c>
      <c r="S187" s="242" t="s">
        <v>9642</v>
      </c>
      <c r="T187" s="242" t="e">
        <f>INDEX(#REF!,MATCH(S187,#REF!,0))</f>
        <v>#REF!</v>
      </c>
      <c r="U187" s="270" t="e">
        <f t="shared" si="21"/>
        <v>#REF!</v>
      </c>
      <c r="V187" s="277" t="e">
        <f t="shared" si="24"/>
        <v>#REF!</v>
      </c>
      <c r="W187" s="101"/>
      <c r="X187" s="253" t="e">
        <f>INDEX(#REF!,MATCH(I187,#REF!,0))</f>
        <v>#REF!</v>
      </c>
    </row>
    <row r="188" spans="1:24" s="3" customFormat="1" ht="20.399999999999999">
      <c r="A188" s="260" t="s">
        <v>8577</v>
      </c>
      <c r="B188" s="260" t="s">
        <v>8578</v>
      </c>
      <c r="C188" s="244" t="s">
        <v>8579</v>
      </c>
      <c r="D188" s="260" t="s">
        <v>9960</v>
      </c>
      <c r="E188" s="260" t="s">
        <v>8583</v>
      </c>
      <c r="F188" s="260" t="str">
        <f t="shared" si="26"/>
        <v>-</v>
      </c>
      <c r="G188" s="260" t="e">
        <f>INDEX(BOM!$T:$T,MATCH(B188,BOM!$J:$J,0))</f>
        <v>#N/A</v>
      </c>
      <c r="H188" s="260" t="e">
        <f>INDEX(BOM!$T:$T,MATCH(C188,BOM!$K:$K,0))</f>
        <v>#N/A</v>
      </c>
      <c r="I188" s="3" t="s">
        <v>5095</v>
      </c>
      <c r="J188" s="3" t="s">
        <v>109</v>
      </c>
      <c r="K188" s="3" t="s">
        <v>107</v>
      </c>
      <c r="L188" s="259">
        <f>(SUMIFS(BOM!$G$14:$G$213,BOM!$P$14:$P$213,"*computer*", BOM!$P$14:$P$213,"*turning*", BOM!$P$14:$P$213,"*roughing*", BOM!$K$14:$K$213,"*steel*"))+(SUMIFS(BOM!$G$14:$G$213,BOM!$N$14:$N$213,"*computer*", BOM!$N$14:$N$213,"*turning*", BOM!$N$14:$N$213,"*roughing*", BOM!$K$14:$K$213,"*steel*"))</f>
        <v>0</v>
      </c>
      <c r="M188" s="241" t="s">
        <v>9972</v>
      </c>
      <c r="N188" s="241" t="s">
        <v>9849</v>
      </c>
      <c r="O188" s="242" t="s">
        <v>9849</v>
      </c>
      <c r="P188" s="242"/>
      <c r="Q188" s="242"/>
      <c r="R188" s="242">
        <f>(SUMIFS(BOM!$G$14:$G$213,BOM!$P$14:$P$213,"*computer*", BOM!$P$14:$P$213,"*turning*", BOM!$P$14:$P$213,"*roughing*", BOM!$K$14:$K$213,"*steel*"))+(SUMIFS(BOM!$G$14:$G$213,BOM!$N$14:$N$213,"*computer*", BOM!$N$14:$N$213,"*turning*", BOM!$N$14:$N$213,"*roughing*", BOM!$K$14:$K$213,"*steel*"))</f>
        <v>0</v>
      </c>
      <c r="S188" s="242" t="s">
        <v>9643</v>
      </c>
      <c r="T188" s="242" t="e">
        <f>INDEX(#REF!,MATCH(S188,#REF!,0))</f>
        <v>#REF!</v>
      </c>
      <c r="U188" s="270" t="e">
        <f t="shared" si="21"/>
        <v>#REF!</v>
      </c>
      <c r="V188" s="277" t="e">
        <f t="shared" si="24"/>
        <v>#REF!</v>
      </c>
      <c r="W188" s="101"/>
      <c r="X188" s="253" t="e">
        <f>INDEX(#REF!,MATCH(I188,#REF!,0))</f>
        <v>#REF!</v>
      </c>
    </row>
    <row r="189" spans="1:24" s="3" customFormat="1" ht="20.399999999999999">
      <c r="A189" s="260" t="s">
        <v>8577</v>
      </c>
      <c r="B189" s="260" t="s">
        <v>8578</v>
      </c>
      <c r="C189" s="244" t="s">
        <v>8579</v>
      </c>
      <c r="D189" s="260" t="s">
        <v>9960</v>
      </c>
      <c r="E189" s="260" t="s">
        <v>8583</v>
      </c>
      <c r="F189" s="260" t="str">
        <f t="shared" si="26"/>
        <v>-</v>
      </c>
      <c r="G189" s="260" t="e">
        <f>INDEX(BOM!$T:$T,MATCH(B189,BOM!$J:$J,0))</f>
        <v>#N/A</v>
      </c>
      <c r="H189" s="260" t="e">
        <f>INDEX(BOM!$T:$T,MATCH(C189,BOM!$K:$K,0))</f>
        <v>#N/A</v>
      </c>
      <c r="I189" s="3" t="s">
        <v>5097</v>
      </c>
      <c r="J189" s="3" t="s">
        <v>109</v>
      </c>
      <c r="K189" s="3" t="s">
        <v>107</v>
      </c>
      <c r="L189" s="259">
        <f>(SUMIFS(BOM!$G$14:$G$213,BOM!$P$14:$P$213,"*conventional*", BOM!$P$14:$P$213,"*turning*", BOM!$P$14:$P$213,"*roughing*", BOM!$K$14:$K$213,"*steel*"))+(SUMIFS(BOM!$G$14:$G$213,BOM!$N$14:$N$213,"*conventional*", BOM!$N$14:$N$213,"*turning*", BOM!$N$14:$N$213,"*roughing*", BOM!$K$14:$K$213,"*steel*"))</f>
        <v>0</v>
      </c>
      <c r="M189" s="241" t="s">
        <v>9973</v>
      </c>
      <c r="N189" s="241" t="s">
        <v>9849</v>
      </c>
      <c r="O189" s="242" t="s">
        <v>9974</v>
      </c>
      <c r="P189" s="242"/>
      <c r="Q189" s="242"/>
      <c r="R189" s="242">
        <f>(SUMIFS(BOM!$G$14:$G$213,BOM!$P$14:$P$213,"*conventional*", BOM!$P$14:$P$213,"*turning*", BOM!$P$14:$P$213,"*roughing*", BOM!$K$14:$K$213,"*steel*"))+(SUMIFS(BOM!$G$14:$G$213,BOM!$N$14:$N$213,"*conventional*", BOM!$N$14:$N$213,"*turning*", BOM!$N$14:$N$213,"*roughing*", BOM!$K$14:$K$213,"*steel*"))</f>
        <v>0</v>
      </c>
      <c r="S189" s="242" t="s">
        <v>9644</v>
      </c>
      <c r="T189" s="242" t="e">
        <f>INDEX(#REF!,MATCH(S189,#REF!,0))</f>
        <v>#REF!</v>
      </c>
      <c r="U189" s="270" t="e">
        <f t="shared" si="21"/>
        <v>#REF!</v>
      </c>
      <c r="V189" s="277" t="e">
        <f t="shared" si="24"/>
        <v>#REF!</v>
      </c>
      <c r="W189" s="101"/>
      <c r="X189" s="253" t="e">
        <f>INDEX(#REF!,MATCH(I189,#REF!,0))</f>
        <v>#REF!</v>
      </c>
    </row>
    <row r="190" spans="1:24" s="3" customFormat="1">
      <c r="A190" s="260" t="s">
        <v>8577</v>
      </c>
      <c r="B190" s="260" t="s">
        <v>8578</v>
      </c>
      <c r="C190" s="244" t="s">
        <v>8579</v>
      </c>
      <c r="D190" s="260" t="s">
        <v>9975</v>
      </c>
      <c r="E190" s="260" t="str">
        <f t="shared" si="26"/>
        <v>-</v>
      </c>
      <c r="F190" s="260" t="str">
        <f t="shared" ref="F190:F196" si="27">"-"</f>
        <v>-</v>
      </c>
      <c r="G190" s="260" t="e">
        <f>INDEX(BOM!$T:$T,MATCH(B190,BOM!$J:$J,0))</f>
        <v>#N/A</v>
      </c>
      <c r="H190" s="260" t="e">
        <f>INDEX(BOM!$T:$T,MATCH(C190,BOM!$K:$K,0))</f>
        <v>#N/A</v>
      </c>
      <c r="I190" s="3" t="s">
        <v>5099</v>
      </c>
      <c r="J190" s="3" t="s">
        <v>109</v>
      </c>
      <c r="K190" s="3" t="s">
        <v>107</v>
      </c>
      <c r="L190" s="259">
        <f>SUMIFS(BOM!$G$14:$G$213, BOM!$L$14:$L$213,"*stainless*", BOM!$K$14:$K$213,"*steel*")</f>
        <v>0</v>
      </c>
      <c r="M190" s="241" t="s">
        <v>9976</v>
      </c>
      <c r="N190" s="241" t="s">
        <v>9849</v>
      </c>
      <c r="O190" s="242" t="s">
        <v>9977</v>
      </c>
      <c r="P190" s="242"/>
      <c r="Q190" s="242"/>
      <c r="R190" s="259">
        <f>SUMIFS(BOM!$G$14:$G$213, BOM!$L$14:$L$213,"*stainless*", BOM!$K$14:$K$213,"*steel*")</f>
        <v>0</v>
      </c>
      <c r="S190" s="242" t="s">
        <v>9608</v>
      </c>
      <c r="T190" s="242" t="e">
        <f>INDEX(#REF!,MATCH(S190,#REF!,0))</f>
        <v>#REF!</v>
      </c>
      <c r="U190" s="270" t="e">
        <f t="shared" si="21"/>
        <v>#REF!</v>
      </c>
      <c r="V190" s="277" t="e">
        <f t="shared" si="24"/>
        <v>#REF!</v>
      </c>
      <c r="W190" s="101"/>
      <c r="X190" s="253" t="e">
        <f>INDEX(#REF!,MATCH(I190,#REF!,0))</f>
        <v>#REF!</v>
      </c>
    </row>
    <row r="191" spans="1:24" s="3" customFormat="1">
      <c r="A191" s="260" t="s">
        <v>8577</v>
      </c>
      <c r="B191" s="260" t="s">
        <v>8578</v>
      </c>
      <c r="C191" s="244" t="s">
        <v>8579</v>
      </c>
      <c r="D191" s="260" t="s">
        <v>9978</v>
      </c>
      <c r="E191" s="260" t="str">
        <f t="shared" si="26"/>
        <v>-</v>
      </c>
      <c r="F191" s="260" t="str">
        <f t="shared" si="27"/>
        <v>-</v>
      </c>
      <c r="G191" s="260" t="e">
        <f>INDEX(BOM!$T:$T,MATCH(B191,BOM!$J:$J,0))</f>
        <v>#N/A</v>
      </c>
      <c r="H191" s="260" t="e">
        <f>INDEX(BOM!$T:$T,MATCH(C191,BOM!$K:$K,0))</f>
        <v>#N/A</v>
      </c>
      <c r="I191" s="3" t="s">
        <v>5103</v>
      </c>
      <c r="J191" s="3" t="s">
        <v>109</v>
      </c>
      <c r="K191" s="3" t="s">
        <v>107</v>
      </c>
      <c r="L191" s="259">
        <f>SUMIFS(BOM!$G$14:$G$213, BOM!$L$14:$L$213,"*low alloyed*", BOM!$K$14:$K$213,"*steel*")</f>
        <v>0</v>
      </c>
      <c r="M191" s="241" t="s">
        <v>9979</v>
      </c>
      <c r="N191" s="241" t="s">
        <v>9969</v>
      </c>
      <c r="O191" s="242"/>
      <c r="P191" s="242"/>
      <c r="Q191" s="242"/>
      <c r="R191" s="259">
        <f>SUMIFS(BOM!$G$14:$G$213, BOM!$L$14:$L$213,"*low alloyed*", BOM!$K$14:$K$213,"*steel*")</f>
        <v>0</v>
      </c>
      <c r="S191" s="242" t="s">
        <v>9606</v>
      </c>
      <c r="T191" s="242" t="e">
        <f>INDEX(#REF!,MATCH(S191,#REF!,0))</f>
        <v>#REF!</v>
      </c>
      <c r="U191" s="270" t="e">
        <f t="shared" si="21"/>
        <v>#REF!</v>
      </c>
      <c r="V191" s="277" t="e">
        <f t="shared" si="24"/>
        <v>#REF!</v>
      </c>
      <c r="W191" s="101"/>
      <c r="X191" s="253" t="e">
        <f>INDEX(#REF!,MATCH(I191,#REF!,0))</f>
        <v>#REF!</v>
      </c>
    </row>
    <row r="192" spans="1:24" s="3" customFormat="1">
      <c r="A192" s="260" t="s">
        <v>8577</v>
      </c>
      <c r="B192" s="260" t="s">
        <v>8578</v>
      </c>
      <c r="C192" s="244" t="s">
        <v>8579</v>
      </c>
      <c r="D192" s="260" t="s">
        <v>9980</v>
      </c>
      <c r="E192" s="260" t="str">
        <f t="shared" si="26"/>
        <v>-</v>
      </c>
      <c r="F192" s="260" t="str">
        <f t="shared" si="26"/>
        <v>-</v>
      </c>
      <c r="G192" s="260" t="e">
        <f>INDEX(BOM!$T:$T,MATCH(B192,BOM!$J:$J,0))</f>
        <v>#N/A</v>
      </c>
      <c r="H192" s="260" t="e">
        <f>INDEX(BOM!$T:$T,MATCH(C192,BOM!$K:$K,0))</f>
        <v>#N/A</v>
      </c>
      <c r="I192" s="3" t="s">
        <v>5107</v>
      </c>
      <c r="J192" s="3" t="s">
        <v>109</v>
      </c>
      <c r="K192" s="3" t="s">
        <v>107</v>
      </c>
      <c r="L192" s="259">
        <f>SUMIFS(BOM!$G$14:$G$213, BOM!$L$14:$L$213,"*unalloyed*", BOM!$K$14:$K$213,"*steel*")</f>
        <v>0</v>
      </c>
      <c r="M192" s="241" t="s">
        <v>9981</v>
      </c>
      <c r="N192" s="241" t="s">
        <v>9849</v>
      </c>
      <c r="O192" s="242"/>
      <c r="P192" s="242"/>
      <c r="Q192" s="242"/>
      <c r="R192" s="259">
        <f>SUMIFS(BOM!$G$14:$G$213, BOM!$L$14:$L$213,"*unalloyed*", BOM!$K$14:$K$213,"*steel*")</f>
        <v>0</v>
      </c>
      <c r="S192" s="242" t="s">
        <v>9607</v>
      </c>
      <c r="T192" s="242" t="e">
        <f>INDEX(#REF!,MATCH(S192,#REF!,0))</f>
        <v>#REF!</v>
      </c>
      <c r="U192" s="270" t="e">
        <f t="shared" si="21"/>
        <v>#REF!</v>
      </c>
      <c r="V192" s="277" t="e">
        <f t="shared" si="24"/>
        <v>#REF!</v>
      </c>
      <c r="W192" s="101"/>
      <c r="X192" s="253" t="e">
        <f>INDEX(#REF!,MATCH(I192,#REF!,0))</f>
        <v>#REF!</v>
      </c>
    </row>
    <row r="193" spans="1:24" s="3" customFormat="1" ht="30.6">
      <c r="A193" s="260" t="s">
        <v>8577</v>
      </c>
      <c r="B193" s="260" t="s">
        <v>8578</v>
      </c>
      <c r="C193" s="260" t="s">
        <v>8588</v>
      </c>
      <c r="D193" s="260" t="str">
        <f t="shared" si="26"/>
        <v>-</v>
      </c>
      <c r="E193" s="260" t="str">
        <f t="shared" si="26"/>
        <v>-</v>
      </c>
      <c r="F193" s="260" t="str">
        <f t="shared" si="27"/>
        <v>-</v>
      </c>
      <c r="G193" s="260" t="e">
        <f>INDEX(BOM!$T:$T,MATCH(B193,BOM!$J:$J,0))</f>
        <v>#N/A</v>
      </c>
      <c r="H193" s="260" t="e">
        <f>INDEX(BOM!$T:$T,MATCH(C193,BOM!$K:$K,0))</f>
        <v>#N/A</v>
      </c>
      <c r="I193" s="3" t="s">
        <v>5363</v>
      </c>
      <c r="J193" s="3" t="s">
        <v>468</v>
      </c>
      <c r="K193" s="3" t="s">
        <v>466</v>
      </c>
      <c r="L193" s="259">
        <f>((SUMIFS(BOM!$G$14:$G$213, BOM!$Q$14:$Q$213,"*plating*"))+(SUMIF(BOM!$L$14:$L$213,"*plating*", BOM!$G$14:$G$213)))/0.0365</f>
        <v>0</v>
      </c>
      <c r="M193" s="241" t="s">
        <v>9982</v>
      </c>
      <c r="N193" s="241" t="s">
        <v>9849</v>
      </c>
      <c r="O193" s="242"/>
      <c r="P193" s="242"/>
      <c r="Q193" s="242"/>
      <c r="R193" s="259">
        <f>((SUMIFS(BOM!$G$14:$G$213, BOM!$Q$14:$Q$213,"*plating*"))+(SUMIF(BOM!$L$14:$L$213,"*plating*", BOM!$G$14:$G$213)))</f>
        <v>0</v>
      </c>
      <c r="S193" s="242" t="s">
        <v>9618</v>
      </c>
      <c r="T193" s="242" t="e">
        <f>INDEX(#REF!,MATCH(S193,#REF!,0))</f>
        <v>#REF!</v>
      </c>
      <c r="U193" s="270" t="e">
        <f t="shared" si="21"/>
        <v>#REF!</v>
      </c>
      <c r="V193" s="277" t="e">
        <f t="shared" si="24"/>
        <v>#REF!</v>
      </c>
      <c r="W193" s="101"/>
      <c r="X193" s="253" t="e">
        <f>INDEX(#REF!,MATCH(I193,#REF!,0))</f>
        <v>#REF!</v>
      </c>
    </row>
    <row r="194" spans="1:24" s="3" customFormat="1" ht="30.6">
      <c r="A194" s="260" t="s">
        <v>8577</v>
      </c>
      <c r="B194" s="260" t="s">
        <v>8578</v>
      </c>
      <c r="C194" s="244" t="s">
        <v>8804</v>
      </c>
      <c r="D194" s="260" t="s">
        <v>9944</v>
      </c>
      <c r="E194" s="260"/>
      <c r="F194" s="260"/>
      <c r="G194" s="260" t="e">
        <f>INDEX(BOM!$T:$T,MATCH(B194,BOM!$J:$J,0))</f>
        <v>#N/A</v>
      </c>
      <c r="H194" s="260" t="e">
        <f>INDEX(BOM!$T:$T,MATCH(C194,BOM!$K:$K,0))</f>
        <v>#N/A</v>
      </c>
      <c r="I194" s="3" t="s">
        <v>6094</v>
      </c>
      <c r="J194" s="3" t="s">
        <v>109</v>
      </c>
      <c r="K194" s="3" t="s">
        <v>107</v>
      </c>
      <c r="L194" s="259"/>
      <c r="M194" s="241" t="s">
        <v>9849</v>
      </c>
      <c r="N194" s="241" t="s">
        <v>9849</v>
      </c>
      <c r="O194" s="242"/>
      <c r="P194" s="242"/>
      <c r="Q194" s="242"/>
      <c r="R194" s="242"/>
      <c r="S194" s="242"/>
      <c r="T194" s="242" t="e">
        <f>INDEX(#REF!,MATCH(S194,#REF!,0))</f>
        <v>#REF!</v>
      </c>
      <c r="U194" s="270" t="e">
        <f t="shared" si="21"/>
        <v>#REF!</v>
      </c>
      <c r="V194" s="277" t="e">
        <f t="shared" si="24"/>
        <v>#REF!</v>
      </c>
      <c r="W194" s="101"/>
      <c r="X194" s="253" t="e">
        <f>INDEX(#REF!,MATCH(I194,#REF!,0))</f>
        <v>#REF!</v>
      </c>
    </row>
    <row r="195" spans="1:24" s="3" customFormat="1" ht="30.6">
      <c r="A195" s="260" t="s">
        <v>8577</v>
      </c>
      <c r="B195" s="260" t="s">
        <v>8578</v>
      </c>
      <c r="C195" s="260" t="s">
        <v>8588</v>
      </c>
      <c r="D195" s="260" t="str">
        <f t="shared" si="26"/>
        <v>-</v>
      </c>
      <c r="E195" s="260" t="str">
        <f t="shared" si="26"/>
        <v>-</v>
      </c>
      <c r="F195" s="260" t="str">
        <f t="shared" si="27"/>
        <v>-</v>
      </c>
      <c r="G195" s="260" t="e">
        <f>INDEX(BOM!$T:$T,MATCH(B195,BOM!$J:$J,0))</f>
        <v>#N/A</v>
      </c>
      <c r="H195" s="260" t="e">
        <f>INDEX(BOM!$T:$T,MATCH(C195,BOM!$K:$K,0))</f>
        <v>#N/A</v>
      </c>
      <c r="I195" s="3" t="s">
        <v>6219</v>
      </c>
      <c r="J195" s="3" t="s">
        <v>468</v>
      </c>
      <c r="K195" s="3" t="s">
        <v>466</v>
      </c>
      <c r="L195" s="259">
        <f>((SUMIFS(BOM!$G$14:$G$213, BOM!$Q$14:$Q$213,"*Zinc coating*"))+(SUMIF(BOM!$L$14:$L$213,"*Zinc coating*", BOM!$G$14:$G$213)))*(60/1000)</f>
        <v>0</v>
      </c>
      <c r="M195" s="241" t="s">
        <v>9983</v>
      </c>
      <c r="N195" s="241" t="s">
        <v>9974</v>
      </c>
      <c r="O195" s="242"/>
      <c r="P195" s="242"/>
      <c r="Q195" s="242"/>
      <c r="R195" s="259">
        <f>((SUMIFS(BOM!$G$14:$G$213, BOM!$Q$14:$Q$213,"*Zinc coating*"))+(SUMIF(BOM!$L$14:$L$213,"*Zinc coating*", BOM!$G$14:$G$213)))</f>
        <v>0</v>
      </c>
      <c r="S195" s="242" t="s">
        <v>9613</v>
      </c>
      <c r="T195" s="242" t="e">
        <f>INDEX(#REF!,MATCH(S195,#REF!,0))</f>
        <v>#REF!</v>
      </c>
      <c r="U195" s="270" t="e">
        <f t="shared" si="21"/>
        <v>#REF!</v>
      </c>
      <c r="V195" s="277" t="e">
        <f t="shared" si="24"/>
        <v>#REF!</v>
      </c>
      <c r="W195" s="101"/>
      <c r="X195" s="253" t="e">
        <f>INDEX(#REF!,MATCH(I195,#REF!,0))</f>
        <v>#REF!</v>
      </c>
    </row>
    <row r="196" spans="1:24" s="3" customFormat="1" ht="30.6">
      <c r="A196" s="260" t="s">
        <v>8577</v>
      </c>
      <c r="B196" s="260" t="s">
        <v>8578</v>
      </c>
      <c r="C196" s="260" t="s">
        <v>8588</v>
      </c>
      <c r="D196" s="260" t="str">
        <f t="shared" si="26"/>
        <v>-</v>
      </c>
      <c r="E196" s="260" t="str">
        <f t="shared" si="26"/>
        <v>-</v>
      </c>
      <c r="F196" s="260" t="str">
        <f t="shared" si="27"/>
        <v>-</v>
      </c>
      <c r="G196" s="260" t="e">
        <f>INDEX(BOM!$T:$T,MATCH(B196,BOM!$J:$J,0))</f>
        <v>#N/A</v>
      </c>
      <c r="H196" s="260" t="e">
        <f>INDEX(BOM!$T:$T,MATCH(C196,BOM!$K:$K,0))</f>
        <v>#N/A</v>
      </c>
      <c r="I196" s="3" t="s">
        <v>6219</v>
      </c>
      <c r="J196" s="3" t="s">
        <v>468</v>
      </c>
      <c r="K196" s="3" t="s">
        <v>466</v>
      </c>
      <c r="L196" s="259">
        <f>((SUMIFS(BOM!$G$14:$G$213, BOM!$Q$14:$Q$213,"*Zinc coating*"))+(SUMIF(BOM!$L$14:$L$213,"*Zinc coating*", BOM!$G$14:$G$213)))*(60/1000)</f>
        <v>0</v>
      </c>
      <c r="M196" s="241" t="s">
        <v>9984</v>
      </c>
      <c r="N196" s="241" t="s">
        <v>9849</v>
      </c>
      <c r="O196" s="242"/>
      <c r="P196" s="242"/>
      <c r="Q196" s="242"/>
      <c r="R196" s="242"/>
      <c r="S196" s="242"/>
      <c r="T196" s="242" t="e">
        <f>INDEX(#REF!,MATCH(S196,#REF!,0))</f>
        <v>#REF!</v>
      </c>
      <c r="U196" s="270" t="e">
        <f t="shared" si="21"/>
        <v>#REF!</v>
      </c>
      <c r="V196" s="277" t="e">
        <f t="shared" si="24"/>
        <v>#REF!</v>
      </c>
      <c r="W196" s="101"/>
      <c r="X196" s="253" t="e">
        <f>INDEX(#REF!,MATCH(I196,#REF!,0))</f>
        <v>#REF!</v>
      </c>
    </row>
    <row r="197" spans="1:24" s="265" customFormat="1" ht="30.6">
      <c r="A197" s="272" t="s">
        <v>8577</v>
      </c>
      <c r="B197" s="272" t="s">
        <v>9985</v>
      </c>
      <c r="C197" s="272" t="s">
        <v>8820</v>
      </c>
      <c r="D197" s="272"/>
      <c r="E197" s="272"/>
      <c r="F197" s="272"/>
      <c r="G197" s="272" t="e">
        <f>INDEX(BOM!$T:$T,MATCH(B197,BOM!$J:$J,0))</f>
        <v>#N/A</v>
      </c>
      <c r="H197" s="272" t="e">
        <f>INDEX(BOM!$T:$T,MATCH(C197,BOM!$K:$K,0))</f>
        <v>#N/A</v>
      </c>
      <c r="I197" s="264" t="s">
        <v>4187</v>
      </c>
      <c r="J197" s="265" t="s">
        <v>109</v>
      </c>
      <c r="K197" s="265" t="s">
        <v>107</v>
      </c>
      <c r="L197" s="266">
        <f>SUMIF(BOM!$J$15:$J$213,"*PP*",BOM!$G$14:$G$213)</f>
        <v>0</v>
      </c>
      <c r="M197" s="267" t="s">
        <v>9599</v>
      </c>
      <c r="N197" s="267"/>
      <c r="O197" s="267"/>
      <c r="P197" s="267"/>
      <c r="Q197" s="267"/>
      <c r="R197" s="267">
        <f>SUMIF(BOM!$J$15:$J$213,"*PP*",BOM!$G$14:$G$213)</f>
        <v>0</v>
      </c>
      <c r="S197" s="267" t="s">
        <v>9599</v>
      </c>
      <c r="T197" s="267" t="e">
        <f>INDEX(#REF!,MATCH(S197,#REF!,0))</f>
        <v>#REF!</v>
      </c>
      <c r="U197" s="270" t="e">
        <f t="shared" si="21"/>
        <v>#REF!</v>
      </c>
      <c r="V197" s="277" t="e">
        <f t="shared" si="24"/>
        <v>#REF!</v>
      </c>
      <c r="W197" s="101"/>
      <c r="X197" s="253" t="e">
        <f>INDEX(#REF!,MATCH(I197,#REF!,0))</f>
        <v>#REF!</v>
      </c>
    </row>
    <row r="198" spans="1:24" s="265" customFormat="1" ht="30.6">
      <c r="A198" s="272" t="s">
        <v>8577</v>
      </c>
      <c r="B198" s="272" t="s">
        <v>9985</v>
      </c>
      <c r="C198" s="272" t="s">
        <v>8820</v>
      </c>
      <c r="D198" s="272"/>
      <c r="E198" s="272"/>
      <c r="F198" s="272"/>
      <c r="G198" s="272" t="e">
        <f>INDEX(BOM!$T:$T,MATCH(B198,BOM!$J:$J,0))</f>
        <v>#N/A</v>
      </c>
      <c r="H198" s="272" t="e">
        <f>INDEX(BOM!$T:$T,MATCH(C198,BOM!$K:$K,0))</f>
        <v>#N/A</v>
      </c>
      <c r="I198" s="264" t="s">
        <v>1921</v>
      </c>
      <c r="J198" s="265" t="s">
        <v>109</v>
      </c>
      <c r="K198" s="265" t="s">
        <v>107</v>
      </c>
      <c r="L198" s="266">
        <f>SUMIF(BOM!$J$15:$J$213,"*PP*",BOM!$G$14:$G$213)</f>
        <v>0</v>
      </c>
      <c r="M198" s="267" t="s">
        <v>9599</v>
      </c>
      <c r="N198" s="267"/>
      <c r="O198" s="267"/>
      <c r="P198" s="267"/>
      <c r="Q198" s="267"/>
      <c r="R198" s="267">
        <f>SUMIF(BOM!$J$15:$J$213,"*PP*",BOM!$G$14:$G$213)</f>
        <v>0</v>
      </c>
      <c r="S198" s="267" t="s">
        <v>9599</v>
      </c>
      <c r="T198" s="267" t="e">
        <f>INDEX(#REF!,MATCH(S198,#REF!,0))</f>
        <v>#REF!</v>
      </c>
      <c r="U198" s="270" t="e">
        <f t="shared" si="21"/>
        <v>#REF!</v>
      </c>
      <c r="V198" s="277" t="e">
        <f t="shared" si="24"/>
        <v>#REF!</v>
      </c>
      <c r="W198" s="101"/>
      <c r="X198" s="253" t="e">
        <f>INDEX(#REF!,MATCH(I198,#REF!,0))</f>
        <v>#REF!</v>
      </c>
    </row>
    <row r="199" spans="1:24" s="265" customFormat="1">
      <c r="A199" s="272" t="s">
        <v>8577</v>
      </c>
      <c r="B199" s="272" t="s">
        <v>9985</v>
      </c>
      <c r="C199" s="272" t="s">
        <v>8821</v>
      </c>
      <c r="D199" s="272"/>
      <c r="E199" s="272"/>
      <c r="F199" s="272"/>
      <c r="G199" s="272" t="e">
        <f>INDEX(BOM!$T:$T,MATCH(B199,BOM!$J:$J,0))</f>
        <v>#N/A</v>
      </c>
      <c r="H199" s="272" t="e">
        <f>INDEX(BOM!$T:$T,MATCH(C199,BOM!$K:$K,0))</f>
        <v>#N/A</v>
      </c>
      <c r="I199" s="264" t="s">
        <v>3789</v>
      </c>
      <c r="J199" s="265" t="s">
        <v>109</v>
      </c>
      <c r="K199" s="265" t="s">
        <v>107</v>
      </c>
      <c r="L199" s="266">
        <f>SUMIF(BOM!$J$15:$J$213,"*film*",BOM!$G$14:$G$213)</f>
        <v>0</v>
      </c>
      <c r="M199" s="267" t="s">
        <v>9603</v>
      </c>
      <c r="N199" s="267"/>
      <c r="O199" s="267"/>
      <c r="P199" s="267"/>
      <c r="Q199" s="267"/>
      <c r="R199" s="267">
        <f>SUMIF(BOM!$J$15:$J$213,"*film*",BOM!$G$14:$G$213)</f>
        <v>0</v>
      </c>
      <c r="S199" s="267" t="s">
        <v>9603</v>
      </c>
      <c r="T199" s="267" t="e">
        <f>INDEX(#REF!,MATCH(S199,#REF!,0))</f>
        <v>#REF!</v>
      </c>
      <c r="U199" s="270" t="e">
        <f t="shared" si="21"/>
        <v>#REF!</v>
      </c>
      <c r="V199" s="277" t="e">
        <f t="shared" si="24"/>
        <v>#REF!</v>
      </c>
      <c r="W199" s="101"/>
      <c r="X199" s="253" t="e">
        <f>INDEX(#REF!,MATCH(I199,#REF!,0))</f>
        <v>#REF!</v>
      </c>
    </row>
    <row r="200" spans="1:24" s="265" customFormat="1" ht="20.399999999999999">
      <c r="A200" s="272" t="s">
        <v>8577</v>
      </c>
      <c r="B200" s="272" t="s">
        <v>9985</v>
      </c>
      <c r="C200" s="272" t="s">
        <v>8822</v>
      </c>
      <c r="D200" s="272"/>
      <c r="E200" s="272"/>
      <c r="F200" s="272"/>
      <c r="G200" s="272" t="e">
        <f>INDEX(BOM!$T:$T,MATCH(B200,BOM!$J:$J,0))</f>
        <v>#N/A</v>
      </c>
      <c r="H200" s="272" t="e">
        <f>INDEX(BOM!$T:$T,MATCH(C200,BOM!$K:$K,0))</f>
        <v>#N/A</v>
      </c>
      <c r="I200" s="264" t="s">
        <v>1445</v>
      </c>
      <c r="J200" s="265" t="s">
        <v>109</v>
      </c>
      <c r="K200" s="265" t="s">
        <v>107</v>
      </c>
      <c r="L200" s="266">
        <f>SUMIF(BOM!$J$15:$J$213,"*box*",BOM!$G$14:$G$213)</f>
        <v>0</v>
      </c>
      <c r="M200" s="267" t="s">
        <v>9600</v>
      </c>
      <c r="N200" s="267"/>
      <c r="O200" s="267"/>
      <c r="P200" s="267"/>
      <c r="Q200" s="267"/>
      <c r="R200" s="267">
        <f>SUMIF(BOM!$J$15:$J$213,"*box*",BOM!$G$14:$G$213)</f>
        <v>0</v>
      </c>
      <c r="S200" s="267" t="s">
        <v>9600</v>
      </c>
      <c r="T200" s="267" t="e">
        <f>INDEX(#REF!,MATCH(S200,#REF!,0))</f>
        <v>#REF!</v>
      </c>
      <c r="U200" s="270" t="e">
        <f t="shared" si="21"/>
        <v>#REF!</v>
      </c>
      <c r="V200" s="277" t="e">
        <f t="shared" si="24"/>
        <v>#REF!</v>
      </c>
      <c r="W200" s="101"/>
      <c r="X200" s="253" t="e">
        <f>INDEX(#REF!,MATCH(I200,#REF!,0))</f>
        <v>#REF!</v>
      </c>
    </row>
    <row r="201" spans="1:24" s="265" customFormat="1" ht="41.55" customHeight="1">
      <c r="A201" s="272" t="s">
        <v>8577</v>
      </c>
      <c r="B201" s="272" t="s">
        <v>9985</v>
      </c>
      <c r="C201" s="272" t="s">
        <v>8823</v>
      </c>
      <c r="D201" s="272" t="s">
        <v>9986</v>
      </c>
      <c r="E201" s="272"/>
      <c r="F201" s="272"/>
      <c r="G201" s="272" t="e">
        <f>INDEX(BOM!$T:$T,MATCH(B201,BOM!$J:$J,0))</f>
        <v>#N/A</v>
      </c>
      <c r="H201" s="272" t="e">
        <f>INDEX(BOM!$T:$T,MATCH(C201,BOM!$K:$K,0))</f>
        <v>#N/A</v>
      </c>
      <c r="I201" s="264" t="s">
        <v>1883</v>
      </c>
      <c r="J201" s="265" t="s">
        <v>169</v>
      </c>
      <c r="K201" s="265" t="s">
        <v>167</v>
      </c>
      <c r="L201" s="266">
        <f>SUMIF(BOM!$L$15:$L$213,"*wood*",BOM!$G$14:$G$213)</f>
        <v>0</v>
      </c>
      <c r="M201" s="267" t="s">
        <v>9987</v>
      </c>
      <c r="N201" s="267"/>
      <c r="O201" s="267"/>
      <c r="P201" s="267"/>
      <c r="Q201" s="267"/>
      <c r="R201" s="267">
        <f>SUMIF(BOM!$L$15:$L$213,"*wood*",BOM!$G$14:$G$213)</f>
        <v>0</v>
      </c>
      <c r="S201" s="267" t="s">
        <v>9601</v>
      </c>
      <c r="T201" s="267" t="e">
        <f>INDEX(#REF!,MATCH(S201,#REF!,0))</f>
        <v>#REF!</v>
      </c>
      <c r="U201" s="270" t="e">
        <f t="shared" si="21"/>
        <v>#REF!</v>
      </c>
      <c r="V201" s="277" t="e">
        <f t="shared" si="24"/>
        <v>#REF!</v>
      </c>
      <c r="W201" s="101"/>
      <c r="X201" s="253" t="e">
        <f>INDEX(#REF!,MATCH(I201,#REF!,0))</f>
        <v>#REF!</v>
      </c>
    </row>
    <row r="202" spans="1:24" s="265" customFormat="1">
      <c r="A202" s="272" t="s">
        <v>8577</v>
      </c>
      <c r="B202" s="272" t="s">
        <v>9985</v>
      </c>
      <c r="C202" s="272" t="s">
        <v>8823</v>
      </c>
      <c r="D202" s="272" t="s">
        <v>8601</v>
      </c>
      <c r="E202" s="272"/>
      <c r="F202" s="272"/>
      <c r="G202" s="272" t="e">
        <f>INDEX(BOM!$T:$T,MATCH(B202,BOM!$J:$J,0))</f>
        <v>#N/A</v>
      </c>
      <c r="H202" s="272" t="e">
        <f>INDEX(BOM!$T:$T,MATCH(C202,BOM!$K:$K,0))</f>
        <v>#N/A</v>
      </c>
      <c r="I202" s="264" t="s">
        <v>9988</v>
      </c>
      <c r="J202" s="265" t="s">
        <v>109</v>
      </c>
      <c r="K202" s="265" t="s">
        <v>107</v>
      </c>
      <c r="L202" s="266">
        <f>SUMIF(BOM!$L$15:$L$213,"*plastic pallet*",BOM!$G$14:$G$213)</f>
        <v>0</v>
      </c>
      <c r="M202" s="267" t="s">
        <v>9602</v>
      </c>
      <c r="N202" s="267"/>
      <c r="O202" s="267"/>
      <c r="P202" s="267"/>
      <c r="Q202" s="267"/>
      <c r="R202" s="267">
        <f>SUMIF(BOM!$L$15:$L$213,"*plastic pallet*",BOM!$G$14:$G$213)</f>
        <v>0</v>
      </c>
      <c r="S202" s="267" t="s">
        <v>9602</v>
      </c>
      <c r="T202" s="267" t="e">
        <f>INDEX(#REF!,MATCH(S202,#REF!,0))</f>
        <v>#REF!</v>
      </c>
      <c r="U202" s="270" t="e">
        <f t="shared" si="21"/>
        <v>#REF!</v>
      </c>
      <c r="V202" s="277" t="e">
        <f t="shared" si="24"/>
        <v>#REF!</v>
      </c>
      <c r="W202" s="101"/>
      <c r="X202" s="253" t="e">
        <f>INDEX(#REF!,MATCH(I202,#REF!,0))</f>
        <v>#REF!</v>
      </c>
    </row>
    <row r="203" spans="1:24" s="3" customFormat="1">
      <c r="A203" s="260" t="s">
        <v>8577</v>
      </c>
      <c r="B203" s="260" t="s">
        <v>8601</v>
      </c>
      <c r="C203" s="260" t="s">
        <v>8602</v>
      </c>
      <c r="D203" s="260"/>
      <c r="E203" s="260"/>
      <c r="F203" s="260"/>
      <c r="G203" s="260" t="e">
        <f>INDEX(BOM!$T:$T,MATCH(B203,BOM!$J:$J,0))</f>
        <v>#N/A</v>
      </c>
      <c r="H203" s="260" t="e">
        <f>INDEX(BOM!$T:$T,MATCH(C203,BOM!$K:$K,0))</f>
        <v>#N/A</v>
      </c>
      <c r="I203" s="241" t="s">
        <v>210</v>
      </c>
      <c r="J203" s="3" t="s">
        <v>109</v>
      </c>
      <c r="K203" s="3" t="s">
        <v>107</v>
      </c>
      <c r="L203" s="262">
        <f>SUMIF(BOM!$K$15:$K$213,"*ABS*",BOM!$G$14:$G$213)</f>
        <v>0</v>
      </c>
      <c r="M203" s="242" t="s">
        <v>9604</v>
      </c>
      <c r="N203" s="242"/>
      <c r="O203" s="242"/>
      <c r="P203" s="242"/>
      <c r="Q203" s="242"/>
      <c r="R203" s="242">
        <f>SUMIF(BOM!$K$15:$K$213,"*ABS*",BOM!$G$14:$G$213)</f>
        <v>0</v>
      </c>
      <c r="S203" s="242" t="s">
        <v>9604</v>
      </c>
      <c r="T203" s="242" t="e">
        <f>INDEX(#REF!,MATCH(S203,#REF!,0))</f>
        <v>#REF!</v>
      </c>
      <c r="U203" s="270" t="e">
        <f t="shared" si="21"/>
        <v>#REF!</v>
      </c>
      <c r="V203" s="277" t="e">
        <f t="shared" si="24"/>
        <v>#REF!</v>
      </c>
      <c r="W203" s="101"/>
      <c r="X203" s="253" t="e">
        <f>INDEX(#REF!,MATCH(I203,#REF!,0))</f>
        <v>#REF!</v>
      </c>
    </row>
    <row r="204" spans="1:24" s="3" customFormat="1">
      <c r="A204" s="260" t="s">
        <v>8577</v>
      </c>
      <c r="B204" s="260" t="s">
        <v>8601</v>
      </c>
      <c r="C204" s="260" t="str">
        <f t="shared" ref="C204:F212" si="28">"-"</f>
        <v>-</v>
      </c>
      <c r="D204" s="260" t="str">
        <f t="shared" si="28"/>
        <v>-</v>
      </c>
      <c r="E204" s="260" t="str">
        <f t="shared" si="28"/>
        <v>-</v>
      </c>
      <c r="F204" s="260" t="str">
        <f t="shared" si="28"/>
        <v>-</v>
      </c>
      <c r="G204" s="260" t="e">
        <f>INDEX(BOM!$T:$T,MATCH(B204,BOM!$J:$J,0))</f>
        <v>#N/A</v>
      </c>
      <c r="H204" s="260" t="e">
        <f>INDEX(BOM!$T:$T,MATCH(C204,BOM!$K:$K,0))</f>
        <v>#N/A</v>
      </c>
      <c r="I204" s="241" t="s">
        <v>744</v>
      </c>
      <c r="J204" s="3" t="s">
        <v>109</v>
      </c>
      <c r="K204" s="3" t="s">
        <v>107</v>
      </c>
      <c r="L204" s="262"/>
      <c r="M204" s="242"/>
      <c r="N204" s="242"/>
      <c r="O204" s="242"/>
      <c r="P204" s="242"/>
      <c r="Q204" s="242"/>
      <c r="R204" s="242"/>
      <c r="S204" s="242"/>
      <c r="T204" s="242" t="e">
        <f>INDEX(#REF!,MATCH(S204,#REF!,0))</f>
        <v>#REF!</v>
      </c>
      <c r="U204" s="270" t="e">
        <f t="shared" si="21"/>
        <v>#REF!</v>
      </c>
      <c r="V204" s="277" t="e">
        <f t="shared" si="24"/>
        <v>#REF!</v>
      </c>
      <c r="W204" s="101"/>
      <c r="X204" s="253" t="e">
        <f>INDEX(#REF!,MATCH(I204,#REF!,0))</f>
        <v>#REF!</v>
      </c>
    </row>
    <row r="205" spans="1:24" s="3" customFormat="1">
      <c r="A205" s="260" t="s">
        <v>8577</v>
      </c>
      <c r="B205" s="260" t="s">
        <v>8601</v>
      </c>
      <c r="C205" s="260" t="str">
        <f t="shared" si="28"/>
        <v>-</v>
      </c>
      <c r="D205" s="260" t="str">
        <f t="shared" si="28"/>
        <v>-</v>
      </c>
      <c r="E205" s="260" t="str">
        <f t="shared" si="28"/>
        <v>-</v>
      </c>
      <c r="F205" s="260" t="str">
        <f t="shared" si="28"/>
        <v>-</v>
      </c>
      <c r="G205" s="260" t="e">
        <f>INDEX(BOM!$T:$T,MATCH(B205,BOM!$J:$J,0))</f>
        <v>#N/A</v>
      </c>
      <c r="H205" s="260" t="e">
        <f>INDEX(BOM!$T:$T,MATCH(C205,BOM!$K:$K,0))</f>
        <v>#N/A</v>
      </c>
      <c r="I205" s="241" t="s">
        <v>935</v>
      </c>
      <c r="J205" s="3" t="s">
        <v>109</v>
      </c>
      <c r="K205" s="3" t="s">
        <v>107</v>
      </c>
      <c r="L205" s="262"/>
      <c r="M205" s="242"/>
      <c r="N205" s="242"/>
      <c r="O205" s="242"/>
      <c r="P205" s="242"/>
      <c r="Q205" s="242"/>
      <c r="R205" s="242"/>
      <c r="S205" s="242"/>
      <c r="T205" s="242" t="e">
        <f>INDEX(#REF!,MATCH(S205,#REF!,0))</f>
        <v>#REF!</v>
      </c>
      <c r="U205" s="270" t="e">
        <f t="shared" si="21"/>
        <v>#REF!</v>
      </c>
      <c r="V205" s="277" t="e">
        <f t="shared" ref="V205:V212" si="29">_xlfn.IFNA(U205,"")</f>
        <v>#REF!</v>
      </c>
      <c r="W205" s="101"/>
      <c r="X205" s="253" t="e">
        <f>INDEX(#REF!,MATCH(I205,#REF!,0))</f>
        <v>#REF!</v>
      </c>
    </row>
    <row r="206" spans="1:24" s="3" customFormat="1">
      <c r="A206" s="260" t="s">
        <v>8577</v>
      </c>
      <c r="B206" s="260" t="s">
        <v>8601</v>
      </c>
      <c r="C206" s="260" t="str">
        <f t="shared" si="28"/>
        <v>-</v>
      </c>
      <c r="D206" s="260" t="str">
        <f t="shared" si="28"/>
        <v>-</v>
      </c>
      <c r="E206" s="260" t="str">
        <f t="shared" si="28"/>
        <v>-</v>
      </c>
      <c r="F206" s="260" t="str">
        <f t="shared" si="28"/>
        <v>-</v>
      </c>
      <c r="G206" s="260" t="e">
        <f>INDEX(BOM!$T:$T,MATCH(B206,BOM!$J:$J,0))</f>
        <v>#N/A</v>
      </c>
      <c r="H206" s="260" t="e">
        <f>INDEX(BOM!$T:$T,MATCH(C206,BOM!$K:$K,0))</f>
        <v>#N/A</v>
      </c>
      <c r="I206" s="241" t="s">
        <v>1917</v>
      </c>
      <c r="J206" s="3" t="s">
        <v>109</v>
      </c>
      <c r="K206" s="3" t="s">
        <v>107</v>
      </c>
      <c r="L206" s="262"/>
      <c r="M206" s="242"/>
      <c r="N206" s="242"/>
      <c r="O206" s="242"/>
      <c r="P206" s="242"/>
      <c r="Q206" s="242"/>
      <c r="R206" s="242"/>
      <c r="S206" s="242"/>
      <c r="T206" s="242" t="e">
        <f>INDEX(#REF!,MATCH(S206,#REF!,0))</f>
        <v>#REF!</v>
      </c>
      <c r="U206" s="270" t="e">
        <f t="shared" si="21"/>
        <v>#REF!</v>
      </c>
      <c r="V206" s="277" t="e">
        <f t="shared" si="29"/>
        <v>#REF!</v>
      </c>
      <c r="W206" s="101"/>
      <c r="X206" s="253" t="e">
        <f>INDEX(#REF!,MATCH(I206,#REF!,0))</f>
        <v>#REF!</v>
      </c>
    </row>
    <row r="207" spans="1:24" s="3" customFormat="1">
      <c r="A207" s="260" t="s">
        <v>8577</v>
      </c>
      <c r="B207" s="260" t="s">
        <v>8601</v>
      </c>
      <c r="C207" s="260" t="str">
        <f t="shared" si="28"/>
        <v>-</v>
      </c>
      <c r="D207" s="260" t="str">
        <f t="shared" si="28"/>
        <v>-</v>
      </c>
      <c r="E207" s="260" t="str">
        <f t="shared" si="28"/>
        <v>-</v>
      </c>
      <c r="F207" s="260" t="str">
        <f t="shared" si="28"/>
        <v>-</v>
      </c>
      <c r="G207" s="260" t="e">
        <f>INDEX(BOM!$T:$T,MATCH(B207,BOM!$J:$J,0))</f>
        <v>#N/A</v>
      </c>
      <c r="H207" s="260" t="e">
        <f>INDEX(BOM!$T:$T,MATCH(C207,BOM!$K:$K,0))</f>
        <v>#N/A</v>
      </c>
      <c r="I207" s="241" t="s">
        <v>1921</v>
      </c>
      <c r="J207" s="3" t="s">
        <v>109</v>
      </c>
      <c r="K207" s="3" t="s">
        <v>107</v>
      </c>
      <c r="L207" s="262"/>
      <c r="M207" s="242"/>
      <c r="N207" s="242"/>
      <c r="O207" s="242"/>
      <c r="P207" s="242"/>
      <c r="Q207" s="242"/>
      <c r="R207" s="242"/>
      <c r="S207" s="242"/>
      <c r="T207" s="242" t="e">
        <f>INDEX(#REF!,MATCH(S207,#REF!,0))</f>
        <v>#REF!</v>
      </c>
      <c r="U207" s="270" t="e">
        <f t="shared" si="21"/>
        <v>#REF!</v>
      </c>
      <c r="V207" s="277" t="e">
        <f t="shared" si="29"/>
        <v>#REF!</v>
      </c>
      <c r="W207" s="101"/>
      <c r="X207" s="253" t="e">
        <f>INDEX(#REF!,MATCH(I207,#REF!,0))</f>
        <v>#REF!</v>
      </c>
    </row>
    <row r="208" spans="1:24" s="3" customFormat="1">
      <c r="A208" s="260" t="s">
        <v>8577</v>
      </c>
      <c r="B208" s="260" t="s">
        <v>8601</v>
      </c>
      <c r="C208" s="260" t="str">
        <f t="shared" si="28"/>
        <v>-</v>
      </c>
      <c r="D208" s="260" t="str">
        <f t="shared" si="28"/>
        <v>-</v>
      </c>
      <c r="E208" s="260" t="str">
        <f t="shared" si="28"/>
        <v>-</v>
      </c>
      <c r="F208" s="260" t="str">
        <f t="shared" si="28"/>
        <v>-</v>
      </c>
      <c r="G208" s="260" t="e">
        <f>INDEX(BOM!$T:$T,MATCH(B208,BOM!$J:$J,0))</f>
        <v>#N/A</v>
      </c>
      <c r="H208" s="260" t="e">
        <f>INDEX(BOM!$T:$T,MATCH(C208,BOM!$K:$K,0))</f>
        <v>#N/A</v>
      </c>
      <c r="I208" s="241" t="s">
        <v>2727</v>
      </c>
      <c r="J208" s="3" t="s">
        <v>109</v>
      </c>
      <c r="K208" s="3" t="s">
        <v>107</v>
      </c>
      <c r="L208" s="262">
        <f>L209+L210+L211+L212</f>
        <v>0</v>
      </c>
      <c r="M208" s="242" t="s">
        <v>9989</v>
      </c>
      <c r="N208" s="242"/>
      <c r="O208" s="242"/>
      <c r="P208" s="242"/>
      <c r="Q208" s="242"/>
      <c r="R208" s="242">
        <f>R209+R210+R211+R212</f>
        <v>0</v>
      </c>
      <c r="S208" s="242"/>
      <c r="T208" s="242" t="e">
        <f>INDEX(#REF!,MATCH(S208,#REF!,0))</f>
        <v>#REF!</v>
      </c>
      <c r="U208" s="270" t="e">
        <f t="shared" si="21"/>
        <v>#REF!</v>
      </c>
      <c r="V208" s="277" t="e">
        <f t="shared" si="29"/>
        <v>#REF!</v>
      </c>
      <c r="W208" s="101"/>
      <c r="X208" s="253" t="e">
        <f>INDEX(#REF!,MATCH(I208,#REF!,0))</f>
        <v>#REF!</v>
      </c>
    </row>
    <row r="209" spans="1:24" s="3" customFormat="1" ht="26.55" customHeight="1">
      <c r="A209" s="260" t="s">
        <v>8577</v>
      </c>
      <c r="B209" s="260" t="s">
        <v>8601</v>
      </c>
      <c r="C209" s="260" t="s">
        <v>8808</v>
      </c>
      <c r="D209" s="260" t="str">
        <f t="shared" si="28"/>
        <v>-</v>
      </c>
      <c r="E209" s="260" t="str">
        <f t="shared" si="28"/>
        <v>-</v>
      </c>
      <c r="F209" s="260" t="str">
        <f t="shared" si="28"/>
        <v>-</v>
      </c>
      <c r="G209" s="260" t="e">
        <f>INDEX(BOM!$T:$T,MATCH(B209,BOM!$J:$J,0))</f>
        <v>#N/A</v>
      </c>
      <c r="H209" s="260" t="e">
        <f>INDEX(BOM!$T:$T,MATCH(C209,BOM!$K:$K,0))</f>
        <v>#N/A</v>
      </c>
      <c r="I209" s="241" t="s">
        <v>3624</v>
      </c>
      <c r="J209" s="3" t="s">
        <v>109</v>
      </c>
      <c r="K209" s="3" t="s">
        <v>107</v>
      </c>
      <c r="L209" s="262">
        <f>SUMIF(BOM!$K$15:$K$213,"*nylon*",BOM!$G$14:$G$213)</f>
        <v>0</v>
      </c>
      <c r="M209" s="242" t="s">
        <v>9990</v>
      </c>
      <c r="N209" s="242"/>
      <c r="O209" s="242"/>
      <c r="P209" s="242"/>
      <c r="Q209" s="242"/>
      <c r="R209" s="242">
        <f>SUMIF(BOM!$K$15:$K$213,"*nylon*",BOM!$G$14:$G$213)</f>
        <v>0</v>
      </c>
      <c r="S209" s="242" t="s">
        <v>9990</v>
      </c>
      <c r="T209" s="242" t="e">
        <f>INDEX(#REF!,MATCH(S209,#REF!,0))</f>
        <v>#REF!</v>
      </c>
      <c r="U209" s="270" t="e">
        <f t="shared" si="21"/>
        <v>#REF!</v>
      </c>
      <c r="V209" s="277" t="e">
        <f t="shared" si="29"/>
        <v>#REF!</v>
      </c>
      <c r="W209" s="101"/>
      <c r="X209" s="253" t="e">
        <f>INDEX(#REF!,MATCH(I209,#REF!,0))</f>
        <v>#REF!</v>
      </c>
    </row>
    <row r="210" spans="1:24" s="3" customFormat="1" ht="20.399999999999999">
      <c r="A210" s="260" t="s">
        <v>8577</v>
      </c>
      <c r="B210" s="260" t="s">
        <v>8601</v>
      </c>
      <c r="C210" s="260" t="s">
        <v>4145</v>
      </c>
      <c r="D210" s="260" t="str">
        <f t="shared" si="28"/>
        <v>-</v>
      </c>
      <c r="E210" s="260" t="str">
        <f t="shared" si="28"/>
        <v>-</v>
      </c>
      <c r="F210" s="260" t="str">
        <f t="shared" si="28"/>
        <v>-</v>
      </c>
      <c r="G210" s="260" t="e">
        <f>INDEX(BOM!$T:$T,MATCH(B210,BOM!$J:$J,0))</f>
        <v>#N/A</v>
      </c>
      <c r="H210" s="260" t="e">
        <f>INDEX(BOM!$T:$T,MATCH(C210,BOM!$K:$K,0))</f>
        <v>#N/A</v>
      </c>
      <c r="I210" s="241" t="s">
        <v>4145</v>
      </c>
      <c r="J210" s="3" t="s">
        <v>109</v>
      </c>
      <c r="K210" s="3" t="s">
        <v>107</v>
      </c>
      <c r="L210" s="262">
        <f>SUMIF(BOM!$K$15:$K$213,"*polycarbonate*",BOM!$G$14:$G$213)</f>
        <v>0</v>
      </c>
      <c r="M210" s="242" t="s">
        <v>9605</v>
      </c>
      <c r="N210" s="242" t="s">
        <v>9991</v>
      </c>
      <c r="O210" s="242"/>
      <c r="P210" s="242"/>
      <c r="Q210" s="242"/>
      <c r="R210" s="242">
        <f>SUMIF(BOM!$K$15:$K$213,"*polycarbonate*",BOM!$G$14:$G$213)</f>
        <v>0</v>
      </c>
      <c r="S210" s="242" t="s">
        <v>9605</v>
      </c>
      <c r="T210" s="242" t="e">
        <f>INDEX(#REF!,MATCH(S210,#REF!,0))</f>
        <v>#REF!</v>
      </c>
      <c r="U210" s="270" t="e">
        <f t="shared" si="21"/>
        <v>#REF!</v>
      </c>
      <c r="V210" s="277" t="e">
        <f t="shared" si="29"/>
        <v>#REF!</v>
      </c>
      <c r="W210" s="101"/>
      <c r="X210" s="253" t="e">
        <f>INDEX(#REF!,MATCH(I210,#REF!,0))</f>
        <v>#REF!</v>
      </c>
    </row>
    <row r="211" spans="1:24" s="3" customFormat="1">
      <c r="A211" s="260" t="s">
        <v>8577</v>
      </c>
      <c r="B211" s="260" t="s">
        <v>8601</v>
      </c>
      <c r="C211" s="260" t="s">
        <v>8807</v>
      </c>
      <c r="D211" s="260" t="str">
        <f t="shared" si="28"/>
        <v>-</v>
      </c>
      <c r="E211" s="260" t="str">
        <f t="shared" si="28"/>
        <v>-</v>
      </c>
      <c r="F211" s="260" t="str">
        <f t="shared" si="28"/>
        <v>-</v>
      </c>
      <c r="G211" s="260" t="e">
        <f>INDEX(BOM!$T:$T,MATCH(B211,BOM!$J:$J,0))</f>
        <v>#N/A</v>
      </c>
      <c r="H211" s="260" t="e">
        <f>INDEX(BOM!$T:$T,MATCH(C211,BOM!$K:$K,0))</f>
        <v>#N/A</v>
      </c>
      <c r="I211" s="241" t="s">
        <v>4167</v>
      </c>
      <c r="J211" s="3" t="s">
        <v>109</v>
      </c>
      <c r="K211" s="3" t="s">
        <v>107</v>
      </c>
      <c r="L211" s="262">
        <f>SUMIF(BOM!$K$15:$K$213,"*HDPE*",BOM!$G$14:$G$213)</f>
        <v>0</v>
      </c>
      <c r="M211" s="242" t="s">
        <v>9992</v>
      </c>
      <c r="N211" s="242" t="s">
        <v>9849</v>
      </c>
      <c r="O211" s="242"/>
      <c r="P211" s="242"/>
      <c r="Q211" s="242"/>
      <c r="R211" s="242">
        <f>SUMIF(BOM!$K$15:$K$213,"*HDPE*",BOM!$G$14:$G$213)</f>
        <v>0</v>
      </c>
      <c r="S211" s="242" t="s">
        <v>9992</v>
      </c>
      <c r="T211" s="242" t="e">
        <f>INDEX(#REF!,MATCH(S211,#REF!,0))</f>
        <v>#REF!</v>
      </c>
      <c r="U211" s="270" t="e">
        <f t="shared" si="21"/>
        <v>#REF!</v>
      </c>
      <c r="V211" s="277" t="e">
        <f t="shared" si="29"/>
        <v>#REF!</v>
      </c>
      <c r="W211" s="101"/>
      <c r="X211" s="253" t="e">
        <f>INDEX(#REF!,MATCH(I211,#REF!,0))</f>
        <v>#REF!</v>
      </c>
    </row>
    <row r="212" spans="1:24">
      <c r="A212" s="260" t="s">
        <v>8577</v>
      </c>
      <c r="B212" s="260" t="s">
        <v>8601</v>
      </c>
      <c r="C212" s="260" t="s">
        <v>8806</v>
      </c>
      <c r="D212" s="260" t="str">
        <f t="shared" si="28"/>
        <v>-</v>
      </c>
      <c r="E212" s="260" t="str">
        <f t="shared" si="28"/>
        <v>-</v>
      </c>
      <c r="F212" s="260" t="str">
        <f t="shared" si="28"/>
        <v>-</v>
      </c>
      <c r="G212" s="260" t="e">
        <f>INDEX(BOM!$T:$T,MATCH(B212,BOM!$J:$J,0))</f>
        <v>#N/A</v>
      </c>
      <c r="H212" s="260" t="e">
        <f>INDEX(BOM!$T:$T,MATCH(C212,BOM!$K:$K,0))</f>
        <v>#N/A</v>
      </c>
      <c r="I212" s="241" t="s">
        <v>4179</v>
      </c>
      <c r="J212" s="3"/>
      <c r="K212" s="3"/>
      <c r="L212" s="262">
        <f>SUMIF(BOM!$K$15:$K$213,"*acrylic*",BOM!$G$14:$G$213)</f>
        <v>0</v>
      </c>
      <c r="M212" s="242" t="s">
        <v>8806</v>
      </c>
      <c r="N212" s="242" t="s">
        <v>9991</v>
      </c>
      <c r="O212" s="242"/>
      <c r="P212" s="242"/>
      <c r="Q212" s="242"/>
      <c r="R212" s="242">
        <f>SUMIF(BOM!$K$15:$K$213,"*acrylic*",BOM!$G$14:$G$213)</f>
        <v>0</v>
      </c>
      <c r="S212" s="242" t="s">
        <v>8806</v>
      </c>
      <c r="T212" s="242" t="e">
        <f>INDEX(#REF!,MATCH(S212,#REF!,0))</f>
        <v>#REF!</v>
      </c>
      <c r="U212" s="270" t="e">
        <f t="shared" si="21"/>
        <v>#REF!</v>
      </c>
      <c r="V212" s="277" t="e">
        <f t="shared" si="29"/>
        <v>#REF!</v>
      </c>
      <c r="X212" s="253" t="e">
        <f>INDEX(#REF!,MATCH(I212,#REF!,0))</f>
        <v>#REF!</v>
      </c>
    </row>
    <row r="213" spans="1:24" s="313" customFormat="1">
      <c r="A213" s="336"/>
      <c r="B213" s="336"/>
      <c r="C213" s="336"/>
      <c r="D213" s="336"/>
      <c r="E213" s="336"/>
      <c r="F213" s="336"/>
      <c r="G213" s="336"/>
      <c r="H213" s="336"/>
      <c r="I213" s="337"/>
      <c r="L213" s="338"/>
      <c r="M213" s="339"/>
      <c r="N213" s="339"/>
      <c r="O213" s="339"/>
      <c r="P213" s="339"/>
      <c r="Q213" s="339"/>
      <c r="R213" s="339"/>
      <c r="S213" s="339"/>
      <c r="T213" s="339"/>
    </row>
    <row r="214" spans="1:24" s="313" customFormat="1">
      <c r="A214" s="336"/>
      <c r="B214" s="336"/>
      <c r="C214" s="336"/>
      <c r="D214" s="336"/>
      <c r="E214" s="336"/>
      <c r="F214" s="336"/>
      <c r="G214" s="336"/>
      <c r="H214" s="336"/>
      <c r="I214" s="337"/>
      <c r="L214" s="338"/>
      <c r="M214" s="339"/>
      <c r="N214" s="339"/>
      <c r="O214" s="339"/>
      <c r="P214" s="339"/>
      <c r="Q214" s="339"/>
      <c r="R214" s="339"/>
      <c r="S214" s="339"/>
      <c r="T214" s="339"/>
    </row>
    <row r="215" spans="1:24" s="327" customFormat="1">
      <c r="A215" s="328" t="s">
        <v>9993</v>
      </c>
      <c r="B215" s="326"/>
      <c r="C215" s="326"/>
      <c r="D215" s="326"/>
      <c r="E215" s="326"/>
      <c r="F215" s="325"/>
      <c r="G215" s="326"/>
      <c r="H215" s="326"/>
      <c r="L215" s="326"/>
    </row>
    <row r="216" spans="1:24" s="283" customFormat="1">
      <c r="A216" s="333" t="s">
        <v>8827</v>
      </c>
      <c r="B216" s="333" t="s">
        <v>9826</v>
      </c>
      <c r="C216" s="333" t="s">
        <v>9826</v>
      </c>
      <c r="D216" s="333" t="s">
        <v>9826</v>
      </c>
      <c r="E216" s="333" t="s">
        <v>9826</v>
      </c>
      <c r="F216" s="333" t="s">
        <v>9826</v>
      </c>
      <c r="G216" s="333" t="s">
        <v>9826</v>
      </c>
      <c r="H216" s="333"/>
      <c r="I216" s="283" t="s">
        <v>5471</v>
      </c>
      <c r="J216" s="283" t="s">
        <v>9994</v>
      </c>
      <c r="K216" s="283" t="s">
        <v>9995</v>
      </c>
      <c r="L216" s="335">
        <f>'A1-A2 Upstream Mfg'!G62</f>
        <v>0</v>
      </c>
      <c r="M216" s="283" t="s">
        <v>9702</v>
      </c>
      <c r="R216" s="283">
        <f>L216</f>
        <v>0</v>
      </c>
      <c r="S216" s="283" t="s">
        <v>9702</v>
      </c>
      <c r="T216" s="283" t="e">
        <f>INDEX(#REF!,MATCH(S216,#REF!,0))</f>
        <v>#REF!</v>
      </c>
      <c r="U216" s="283" t="e">
        <f t="shared" ref="U216" si="30">CONCATENATE("update tbl_parameters set value = ",R216," where tbl_parameters.ref_id = '",T216,"';")</f>
        <v>#REF!</v>
      </c>
      <c r="V216" s="283" t="e">
        <f t="shared" ref="V216" si="31">_xlfn.IFNA(U216,"")</f>
        <v>#REF!</v>
      </c>
      <c r="X216" s="283" t="e">
        <f>INDEX(#REF!,MATCH(I216,#REF!,0))</f>
        <v>#REF!</v>
      </c>
    </row>
    <row r="217" spans="1:24" s="283" customFormat="1" ht="21" customHeight="1">
      <c r="A217" s="333" t="s">
        <v>8828</v>
      </c>
      <c r="B217" s="333" t="s">
        <v>9826</v>
      </c>
      <c r="C217" s="333" t="s">
        <v>9826</v>
      </c>
      <c r="D217" s="333" t="s">
        <v>9826</v>
      </c>
      <c r="E217" s="333" t="s">
        <v>9826</v>
      </c>
      <c r="F217" s="333" t="s">
        <v>9826</v>
      </c>
      <c r="G217" s="333" t="s">
        <v>9826</v>
      </c>
      <c r="H217" s="333"/>
      <c r="I217" s="283" t="s">
        <v>5520</v>
      </c>
      <c r="J217" s="283" t="s">
        <v>9994</v>
      </c>
      <c r="K217" s="283" t="s">
        <v>9995</v>
      </c>
      <c r="L217" s="335">
        <f>'A1-A2 Upstream Mfg'!G63</f>
        <v>0</v>
      </c>
      <c r="M217" s="283" t="s">
        <v>9703</v>
      </c>
      <c r="R217" s="283">
        <f t="shared" ref="R217:R224" si="32">L217</f>
        <v>0</v>
      </c>
      <c r="S217" s="283" t="s">
        <v>9703</v>
      </c>
      <c r="T217" s="283" t="e">
        <f>INDEX(#REF!,MATCH(S217,#REF!,0))</f>
        <v>#REF!</v>
      </c>
      <c r="U217" s="283" t="e">
        <f t="shared" ref="U217:U224" si="33">CONCATENATE("update tbl_parameters set value = ",R217," where tbl_parameters.ref_id = '",T217,"';")</f>
        <v>#REF!</v>
      </c>
      <c r="V217" s="283" t="e">
        <f t="shared" ref="V217:V224" si="34">_xlfn.IFNA(U217,"")</f>
        <v>#REF!</v>
      </c>
      <c r="X217" s="283" t="e">
        <f>INDEX(#REF!,MATCH(I217,#REF!,0))</f>
        <v>#REF!</v>
      </c>
    </row>
    <row r="218" spans="1:24" s="283" customFormat="1" ht="20.399999999999999">
      <c r="A218" s="333" t="s">
        <v>8829</v>
      </c>
      <c r="B218" s="333" t="s">
        <v>9826</v>
      </c>
      <c r="C218" s="333" t="s">
        <v>9826</v>
      </c>
      <c r="D218" s="333" t="s">
        <v>9826</v>
      </c>
      <c r="E218" s="333" t="s">
        <v>9826</v>
      </c>
      <c r="F218" s="333" t="s">
        <v>9826</v>
      </c>
      <c r="G218" s="333" t="s">
        <v>9826</v>
      </c>
      <c r="H218" s="333"/>
      <c r="I218" s="283" t="s">
        <v>5534</v>
      </c>
      <c r="J218" s="283" t="s">
        <v>9994</v>
      </c>
      <c r="K218" s="283" t="s">
        <v>9995</v>
      </c>
      <c r="L218" s="335">
        <f>'A1-A2 Upstream Mfg'!G64</f>
        <v>0</v>
      </c>
      <c r="M218" s="283" t="s">
        <v>9704</v>
      </c>
      <c r="R218" s="283">
        <f t="shared" si="32"/>
        <v>0</v>
      </c>
      <c r="S218" s="283" t="s">
        <v>9704</v>
      </c>
      <c r="T218" s="283" t="e">
        <f>INDEX(#REF!,MATCH(S218,#REF!,0))</f>
        <v>#REF!</v>
      </c>
      <c r="U218" s="283" t="e">
        <f t="shared" si="33"/>
        <v>#REF!</v>
      </c>
      <c r="V218" s="283" t="e">
        <f t="shared" si="34"/>
        <v>#REF!</v>
      </c>
      <c r="X218" s="283" t="e">
        <f>INDEX(#REF!,MATCH(I218,#REF!,0))</f>
        <v>#REF!</v>
      </c>
    </row>
    <row r="219" spans="1:24" s="283" customFormat="1" ht="21" customHeight="1">
      <c r="A219" s="333" t="s">
        <v>8830</v>
      </c>
      <c r="B219" s="333" t="s">
        <v>9826</v>
      </c>
      <c r="C219" s="333" t="s">
        <v>9826</v>
      </c>
      <c r="D219" s="333" t="s">
        <v>9826</v>
      </c>
      <c r="E219" s="333" t="s">
        <v>9826</v>
      </c>
      <c r="F219" s="333" t="s">
        <v>9826</v>
      </c>
      <c r="G219" s="333" t="s">
        <v>9826</v>
      </c>
      <c r="H219" s="333"/>
      <c r="I219" s="283" t="s">
        <v>5504</v>
      </c>
      <c r="J219" s="283" t="s">
        <v>9994</v>
      </c>
      <c r="K219" s="283" t="s">
        <v>9995</v>
      </c>
      <c r="L219" s="335">
        <f>'A1-A2 Upstream Mfg'!G65</f>
        <v>0</v>
      </c>
      <c r="M219" s="283" t="s">
        <v>9705</v>
      </c>
      <c r="R219" s="283">
        <f t="shared" si="32"/>
        <v>0</v>
      </c>
      <c r="S219" s="283" t="s">
        <v>9705</v>
      </c>
      <c r="T219" s="283" t="e">
        <f>INDEX(#REF!,MATCH(S219,#REF!,0))</f>
        <v>#REF!</v>
      </c>
      <c r="U219" s="283" t="e">
        <f t="shared" si="33"/>
        <v>#REF!</v>
      </c>
      <c r="V219" s="283" t="e">
        <f t="shared" si="34"/>
        <v>#REF!</v>
      </c>
      <c r="X219" s="283" t="e">
        <f>INDEX(#REF!,MATCH(I219,#REF!,0))</f>
        <v>#REF!</v>
      </c>
    </row>
    <row r="220" spans="1:24" s="283" customFormat="1" ht="20.399999999999999">
      <c r="A220" s="333" t="s">
        <v>8586</v>
      </c>
      <c r="B220" s="333" t="s">
        <v>9826</v>
      </c>
      <c r="C220" s="333" t="s">
        <v>9826</v>
      </c>
      <c r="D220" s="333" t="s">
        <v>9826</v>
      </c>
      <c r="E220" s="333" t="s">
        <v>9826</v>
      </c>
      <c r="F220" s="333" t="s">
        <v>9826</v>
      </c>
      <c r="G220" s="333" t="s">
        <v>9826</v>
      </c>
      <c r="H220" s="333"/>
      <c r="I220" s="283" t="s">
        <v>5490</v>
      </c>
      <c r="J220" s="283" t="s">
        <v>9994</v>
      </c>
      <c r="K220" s="283" t="s">
        <v>9995</v>
      </c>
      <c r="L220" s="335">
        <f>'A1-A2 Upstream Mfg'!G66</f>
        <v>0</v>
      </c>
      <c r="M220" s="283" t="s">
        <v>9711</v>
      </c>
      <c r="R220" s="283">
        <f t="shared" si="32"/>
        <v>0</v>
      </c>
      <c r="S220" s="283" t="s">
        <v>9711</v>
      </c>
      <c r="T220" s="283" t="e">
        <f>INDEX(#REF!,MATCH(S220,#REF!,0))</f>
        <v>#REF!</v>
      </c>
      <c r="U220" s="283" t="e">
        <f t="shared" si="33"/>
        <v>#REF!</v>
      </c>
      <c r="V220" s="283" t="e">
        <f t="shared" si="34"/>
        <v>#REF!</v>
      </c>
      <c r="X220" s="283" t="e">
        <f>INDEX(#REF!,MATCH(I220,#REF!,0))</f>
        <v>#REF!</v>
      </c>
    </row>
    <row r="221" spans="1:24" s="283" customFormat="1">
      <c r="A221" s="333" t="s">
        <v>8587</v>
      </c>
      <c r="B221" s="333" t="s">
        <v>9826</v>
      </c>
      <c r="C221" s="333" t="s">
        <v>9826</v>
      </c>
      <c r="D221" s="333" t="s">
        <v>9826</v>
      </c>
      <c r="E221" s="333" t="s">
        <v>9826</v>
      </c>
      <c r="F221" s="333" t="s">
        <v>9826</v>
      </c>
      <c r="G221" s="333" t="s">
        <v>9826</v>
      </c>
      <c r="H221" s="333"/>
      <c r="I221" s="283" t="s">
        <v>5615</v>
      </c>
      <c r="J221" s="283" t="s">
        <v>9994</v>
      </c>
      <c r="K221" s="283" t="s">
        <v>9995</v>
      </c>
      <c r="L221" s="335">
        <f>'A1-A2 Upstream Mfg'!G67</f>
        <v>0</v>
      </c>
      <c r="M221" s="283" t="s">
        <v>9706</v>
      </c>
      <c r="R221" s="283">
        <f t="shared" si="32"/>
        <v>0</v>
      </c>
      <c r="S221" s="283" t="s">
        <v>9706</v>
      </c>
      <c r="T221" s="283" t="e">
        <f>INDEX(#REF!,MATCH(S221,#REF!,0))</f>
        <v>#REF!</v>
      </c>
      <c r="U221" s="283" t="e">
        <f t="shared" si="33"/>
        <v>#REF!</v>
      </c>
      <c r="V221" s="283" t="e">
        <f t="shared" si="34"/>
        <v>#REF!</v>
      </c>
      <c r="X221" s="283" t="e">
        <f>INDEX(#REF!,MATCH(I221,#REF!,0))</f>
        <v>#REF!</v>
      </c>
    </row>
    <row r="222" spans="1:24" s="283" customFormat="1">
      <c r="A222" s="333" t="s">
        <v>549</v>
      </c>
      <c r="B222" s="333" t="s">
        <v>9826</v>
      </c>
      <c r="C222" s="333" t="s">
        <v>9826</v>
      </c>
      <c r="D222" s="333" t="s">
        <v>9826</v>
      </c>
      <c r="E222" s="333" t="s">
        <v>9826</v>
      </c>
      <c r="F222" s="333" t="s">
        <v>9826</v>
      </c>
      <c r="G222" s="333" t="s">
        <v>9826</v>
      </c>
      <c r="H222" s="333"/>
      <c r="I222" s="283" t="s">
        <v>5462</v>
      </c>
      <c r="J222" s="283" t="s">
        <v>9994</v>
      </c>
      <c r="K222" s="283" t="s">
        <v>9995</v>
      </c>
      <c r="L222" s="335">
        <f>'A1-A2 Upstream Mfg'!G68</f>
        <v>0</v>
      </c>
      <c r="M222" s="283" t="s">
        <v>9707</v>
      </c>
      <c r="R222" s="283">
        <f t="shared" si="32"/>
        <v>0</v>
      </c>
      <c r="S222" s="283" t="s">
        <v>9707</v>
      </c>
      <c r="T222" s="283" t="e">
        <f>INDEX(#REF!,MATCH(S222,#REF!,0))</f>
        <v>#REF!</v>
      </c>
      <c r="U222" s="283" t="e">
        <f t="shared" si="33"/>
        <v>#REF!</v>
      </c>
      <c r="V222" s="283" t="e">
        <f t="shared" si="34"/>
        <v>#REF!</v>
      </c>
      <c r="X222" s="283" t="e">
        <f>INDEX(#REF!,MATCH(I222,#REF!,0))</f>
        <v>#REF!</v>
      </c>
    </row>
    <row r="223" spans="1:24" s="283" customFormat="1">
      <c r="A223" s="333" t="s">
        <v>8831</v>
      </c>
      <c r="B223" s="333" t="s">
        <v>9826</v>
      </c>
      <c r="C223" s="333" t="s">
        <v>9826</v>
      </c>
      <c r="D223" s="333" t="s">
        <v>9826</v>
      </c>
      <c r="E223" s="333" t="s">
        <v>9826</v>
      </c>
      <c r="F223" s="333" t="s">
        <v>9826</v>
      </c>
      <c r="G223" s="333" t="s">
        <v>9826</v>
      </c>
      <c r="H223" s="333"/>
      <c r="I223" s="283" t="s">
        <v>5455</v>
      </c>
      <c r="J223" s="283" t="s">
        <v>9994</v>
      </c>
      <c r="K223" s="283" t="s">
        <v>9995</v>
      </c>
      <c r="L223" s="335">
        <f>'A1-A2 Upstream Mfg'!G69</f>
        <v>0</v>
      </c>
      <c r="M223" s="283" t="s">
        <v>9708</v>
      </c>
      <c r="R223" s="283">
        <f t="shared" si="32"/>
        <v>0</v>
      </c>
      <c r="S223" s="283" t="s">
        <v>9708</v>
      </c>
      <c r="T223" s="283" t="e">
        <f>INDEX(#REF!,MATCH(S223,#REF!,0))</f>
        <v>#REF!</v>
      </c>
      <c r="U223" s="283" t="e">
        <f t="shared" si="33"/>
        <v>#REF!</v>
      </c>
      <c r="V223" s="283" t="e">
        <f t="shared" si="34"/>
        <v>#REF!</v>
      </c>
      <c r="X223" s="283" t="e">
        <f>INDEX(#REF!,MATCH(I223,#REF!,0))</f>
        <v>#REF!</v>
      </c>
    </row>
    <row r="224" spans="1:24" s="283" customFormat="1">
      <c r="A224" s="333" t="s">
        <v>8832</v>
      </c>
      <c r="B224" s="333" t="s">
        <v>9826</v>
      </c>
      <c r="C224" s="333" t="s">
        <v>9826</v>
      </c>
      <c r="D224" s="333" t="s">
        <v>9826</v>
      </c>
      <c r="E224" s="333" t="s">
        <v>9826</v>
      </c>
      <c r="F224" s="333" t="s">
        <v>9826</v>
      </c>
      <c r="G224" s="333" t="s">
        <v>9826</v>
      </c>
      <c r="H224" s="333"/>
      <c r="I224" s="283" t="s">
        <v>5440</v>
      </c>
      <c r="J224" s="283" t="s">
        <v>9994</v>
      </c>
      <c r="K224" s="283" t="s">
        <v>9995</v>
      </c>
      <c r="L224" s="335">
        <f>'A1-A2 Upstream Mfg'!G70</f>
        <v>0</v>
      </c>
      <c r="M224" s="283" t="s">
        <v>9709</v>
      </c>
      <c r="R224" s="283">
        <f t="shared" si="32"/>
        <v>0</v>
      </c>
      <c r="S224" s="283" t="s">
        <v>9709</v>
      </c>
      <c r="T224" s="283" t="e">
        <f>INDEX(#REF!,MATCH(S224,#REF!,0))</f>
        <v>#REF!</v>
      </c>
      <c r="U224" s="283" t="e">
        <f t="shared" si="33"/>
        <v>#REF!</v>
      </c>
      <c r="V224" s="283" t="e">
        <f t="shared" si="34"/>
        <v>#REF!</v>
      </c>
      <c r="X224" s="283" t="e">
        <f>INDEX(#REF!,MATCH(I224,#REF!,0))</f>
        <v>#REF!</v>
      </c>
    </row>
    <row r="225" spans="1:24" s="312" customFormat="1">
      <c r="A225" s="183"/>
      <c r="B225" s="314"/>
      <c r="C225" s="314"/>
      <c r="D225" s="314"/>
      <c r="E225" s="314"/>
      <c r="F225" s="273"/>
      <c r="G225" s="314"/>
      <c r="H225" s="314"/>
      <c r="L225" s="314"/>
      <c r="U225" s="270"/>
      <c r="V225" s="277"/>
      <c r="W225" s="101"/>
    </row>
    <row r="226" spans="1:24" s="327" customFormat="1">
      <c r="A226" s="328" t="s">
        <v>9996</v>
      </c>
      <c r="B226" s="326"/>
      <c r="C226" s="326"/>
      <c r="D226" s="326"/>
      <c r="E226" s="326"/>
      <c r="F226" s="325"/>
      <c r="G226" s="326"/>
      <c r="H226" s="326"/>
      <c r="L226" s="326"/>
    </row>
    <row r="227" spans="1:24" s="283" customFormat="1">
      <c r="A227" s="333" t="s">
        <v>8853</v>
      </c>
      <c r="B227" s="333" t="str">
        <f t="shared" ref="B227:G336" si="35">"-"</f>
        <v>-</v>
      </c>
      <c r="C227" s="333" t="str">
        <f t="shared" si="35"/>
        <v>-</v>
      </c>
      <c r="D227" s="333" t="str">
        <f t="shared" si="35"/>
        <v>-</v>
      </c>
      <c r="E227" s="333" t="str">
        <f t="shared" si="35"/>
        <v>-</v>
      </c>
      <c r="F227" s="333" t="str">
        <f t="shared" si="35"/>
        <v>-</v>
      </c>
      <c r="G227" s="333" t="str">
        <f t="shared" si="35"/>
        <v>-</v>
      </c>
      <c r="H227" s="333"/>
      <c r="I227" s="283" t="s">
        <v>1736</v>
      </c>
      <c r="J227" s="283" t="s">
        <v>9997</v>
      </c>
      <c r="K227" s="283" t="s">
        <v>6249</v>
      </c>
      <c r="L227" s="335" t="str">
        <f>'A3 Foreground Assembly'!B20</f>
        <v/>
      </c>
      <c r="M227" s="283" t="s">
        <v>9697</v>
      </c>
      <c r="R227" s="335" t="e">
        <f>('A3 Foreground Assembly'!$C$20*'A3 Foreground Assembly'!$C$12)/'A3 Foreground Assembly'!$C$9</f>
        <v>#VALUE!</v>
      </c>
      <c r="S227" s="283" t="s">
        <v>9697</v>
      </c>
      <c r="T227" s="283" t="e">
        <f>INDEX(#REF!,MATCH(S227,#REF!,0))</f>
        <v>#REF!</v>
      </c>
      <c r="U227" s="283" t="e">
        <f t="shared" ref="U227" si="36">CONCATENATE("update tbl_parameters set value = ",R227," where tbl_parameters.ref_id = '",T227,"';")</f>
        <v>#VALUE!</v>
      </c>
      <c r="V227" s="283" t="e">
        <f t="shared" ref="V227:V231" si="37">_xlfn.IFNA(U227,"")</f>
        <v>#VALUE!</v>
      </c>
      <c r="X227" s="283" t="e">
        <f>INDEX(#REF!,MATCH(I227,#REF!,0))</f>
        <v>#REF!</v>
      </c>
    </row>
    <row r="228" spans="1:24" s="283" customFormat="1">
      <c r="A228" s="333" t="s">
        <v>9998</v>
      </c>
      <c r="B228" s="333" t="str">
        <f t="shared" si="35"/>
        <v>-</v>
      </c>
      <c r="C228" s="333" t="str">
        <f t="shared" si="35"/>
        <v>-</v>
      </c>
      <c r="D228" s="333" t="str">
        <f t="shared" si="35"/>
        <v>-</v>
      </c>
      <c r="E228" s="333" t="str">
        <f t="shared" si="35"/>
        <v>-</v>
      </c>
      <c r="F228" s="333" t="str">
        <f t="shared" si="35"/>
        <v>-</v>
      </c>
      <c r="G228" s="333" t="str">
        <f t="shared" si="35"/>
        <v>-</v>
      </c>
      <c r="H228" s="333"/>
      <c r="I228" s="283" t="s">
        <v>2521</v>
      </c>
      <c r="J228" s="283" t="s">
        <v>698</v>
      </c>
      <c r="K228" s="283" t="s">
        <v>696</v>
      </c>
      <c r="L228" s="335" t="str">
        <f>'A3 Foreground Assembly'!B22</f>
        <v/>
      </c>
      <c r="M228" s="283" t="s">
        <v>9698</v>
      </c>
      <c r="R228" s="335" t="e">
        <f>('A3 Foreground Assembly'!$C$22*'A3 Foreground Assembly'!$C$12)/'A3 Foreground Assembly'!$C$9</f>
        <v>#VALUE!</v>
      </c>
      <c r="S228" s="283" t="s">
        <v>9698</v>
      </c>
      <c r="T228" s="283" t="e">
        <f>INDEX(#REF!,MATCH(S228,#REF!,0))</f>
        <v>#REF!</v>
      </c>
      <c r="U228" s="283" t="e">
        <f t="shared" ref="U228:U231" si="38">CONCATENATE("update tbl_parameters set value = ",R228," where tbl_parameters.ref_id = '",T228,"';")</f>
        <v>#VALUE!</v>
      </c>
      <c r="V228" s="283" t="e">
        <f t="shared" si="37"/>
        <v>#VALUE!</v>
      </c>
      <c r="X228" s="283" t="e">
        <f>INDEX(#REF!,MATCH(I228,#REF!,0))</f>
        <v>#REF!</v>
      </c>
    </row>
    <row r="229" spans="1:24" s="283" customFormat="1">
      <c r="A229" s="333" t="s">
        <v>9999</v>
      </c>
      <c r="B229" s="333" t="str">
        <f t="shared" si="35"/>
        <v>-</v>
      </c>
      <c r="C229" s="333" t="str">
        <f t="shared" si="35"/>
        <v>-</v>
      </c>
      <c r="D229" s="333" t="str">
        <f t="shared" si="35"/>
        <v>-</v>
      </c>
      <c r="E229" s="333" t="str">
        <f t="shared" si="35"/>
        <v>-</v>
      </c>
      <c r="F229" s="333" t="str">
        <f t="shared" si="35"/>
        <v>-</v>
      </c>
      <c r="G229" s="333" t="str">
        <f t="shared" si="35"/>
        <v>-</v>
      </c>
      <c r="H229" s="333"/>
      <c r="I229" s="283" t="s">
        <v>1410</v>
      </c>
      <c r="J229" s="283" t="s">
        <v>698</v>
      </c>
      <c r="K229" s="283" t="s">
        <v>696</v>
      </c>
      <c r="L229" s="335" t="str">
        <f>'A3 Foreground Assembly'!B24</f>
        <v/>
      </c>
      <c r="M229" s="283" t="s">
        <v>9699</v>
      </c>
      <c r="R229" s="335" t="e">
        <f>((('A3 Foreground Assembly'!$C$24*'A3 Foreground Assembly'!$C$12)/'A3 Foreground Assembly'!$C$9)*1000)/1.5</f>
        <v>#VALUE!</v>
      </c>
      <c r="S229" s="283" t="s">
        <v>9699</v>
      </c>
      <c r="T229" s="283" t="e">
        <f>INDEX(#REF!,MATCH(S229,#REF!,0))</f>
        <v>#REF!</v>
      </c>
      <c r="U229" s="283" t="e">
        <f t="shared" si="38"/>
        <v>#VALUE!</v>
      </c>
      <c r="V229" s="283" t="e">
        <f t="shared" si="37"/>
        <v>#VALUE!</v>
      </c>
      <c r="X229" s="283" t="e">
        <f>INDEX(#REF!,MATCH(I229,#REF!,0))</f>
        <v>#REF!</v>
      </c>
    </row>
    <row r="230" spans="1:24" s="283" customFormat="1">
      <c r="A230" s="333" t="s">
        <v>8858</v>
      </c>
      <c r="B230" s="333" t="str">
        <f t="shared" si="35"/>
        <v>-</v>
      </c>
      <c r="C230" s="333" t="str">
        <f t="shared" si="35"/>
        <v>-</v>
      </c>
      <c r="D230" s="333" t="str">
        <f t="shared" si="35"/>
        <v>-</v>
      </c>
      <c r="E230" s="333" t="str">
        <f t="shared" si="35"/>
        <v>-</v>
      </c>
      <c r="F230" s="333" t="str">
        <f t="shared" si="35"/>
        <v>-</v>
      </c>
      <c r="G230" s="333" t="str">
        <f t="shared" si="35"/>
        <v>-</v>
      </c>
      <c r="H230" s="333"/>
      <c r="I230" s="283" t="s">
        <v>2527</v>
      </c>
      <c r="J230" s="283" t="s">
        <v>698</v>
      </c>
      <c r="K230" s="283" t="s">
        <v>696</v>
      </c>
      <c r="L230" s="335" t="str">
        <f>'A3 Foreground Assembly'!B25</f>
        <v/>
      </c>
      <c r="M230" s="283" t="s">
        <v>9700</v>
      </c>
      <c r="R230" s="335" t="e">
        <f>('A3 Foreground Assembly'!$C$25*'A3 Foreground Assembly'!$C$12)/'A3 Foreground Assembly'!$C$9</f>
        <v>#VALUE!</v>
      </c>
      <c r="S230" s="283" t="s">
        <v>9700</v>
      </c>
      <c r="T230" s="283" t="e">
        <f>INDEX(#REF!,MATCH(S230,#REF!,0))</f>
        <v>#REF!</v>
      </c>
      <c r="U230" s="283" t="e">
        <f t="shared" si="38"/>
        <v>#VALUE!</v>
      </c>
      <c r="V230" s="283" t="e">
        <f t="shared" si="37"/>
        <v>#VALUE!</v>
      </c>
      <c r="X230" s="283" t="e">
        <f>INDEX(#REF!,MATCH(I230,#REF!,0))</f>
        <v>#REF!</v>
      </c>
    </row>
    <row r="231" spans="1:24" s="283" customFormat="1">
      <c r="A231" s="333" t="s">
        <v>8859</v>
      </c>
      <c r="B231" s="333" t="str">
        <f t="shared" si="35"/>
        <v>-</v>
      </c>
      <c r="C231" s="333" t="str">
        <f t="shared" si="35"/>
        <v>-</v>
      </c>
      <c r="D231" s="333" t="str">
        <f t="shared" si="35"/>
        <v>-</v>
      </c>
      <c r="E231" s="333" t="str">
        <f t="shared" si="35"/>
        <v>-</v>
      </c>
      <c r="F231" s="333" t="str">
        <f t="shared" si="35"/>
        <v>-</v>
      </c>
      <c r="G231" s="333" t="str">
        <f t="shared" si="35"/>
        <v>-</v>
      </c>
      <c r="H231" s="333"/>
      <c r="I231" s="283" t="s">
        <v>2517</v>
      </c>
      <c r="J231" s="283" t="s">
        <v>698</v>
      </c>
      <c r="K231" s="283" t="s">
        <v>696</v>
      </c>
      <c r="L231" s="335" t="str">
        <f>'A3 Foreground Assembly'!B26</f>
        <v/>
      </c>
      <c r="M231" s="283" t="s">
        <v>9701</v>
      </c>
      <c r="R231" s="335" t="e">
        <f>('A3 Foreground Assembly'!$C$26*'A3 Foreground Assembly'!$C$12)/'A3 Foreground Assembly'!$C$9</f>
        <v>#VALUE!</v>
      </c>
      <c r="S231" s="283" t="s">
        <v>9701</v>
      </c>
      <c r="T231" s="283" t="e">
        <f>INDEX(#REF!,MATCH(S231,#REF!,0))</f>
        <v>#REF!</v>
      </c>
      <c r="U231" s="283" t="e">
        <f t="shared" si="38"/>
        <v>#VALUE!</v>
      </c>
      <c r="V231" s="283" t="e">
        <f t="shared" si="37"/>
        <v>#VALUE!</v>
      </c>
      <c r="X231" s="283" t="e">
        <f>INDEX(#REF!,MATCH(I231,#REF!,0))</f>
        <v>#REF!</v>
      </c>
    </row>
    <row r="232" spans="1:24" s="283" customFormat="1">
      <c r="A232" s="333" t="s">
        <v>10000</v>
      </c>
      <c r="B232" s="333" t="str">
        <f t="shared" si="35"/>
        <v>-</v>
      </c>
      <c r="C232" s="333" t="str">
        <f t="shared" si="35"/>
        <v>-</v>
      </c>
      <c r="D232" s="333" t="str">
        <f t="shared" si="35"/>
        <v>-</v>
      </c>
      <c r="E232" s="333" t="str">
        <f t="shared" si="35"/>
        <v>-</v>
      </c>
      <c r="F232" s="333" t="str">
        <f t="shared" si="35"/>
        <v>-</v>
      </c>
      <c r="G232" s="333" t="str">
        <f t="shared" si="35"/>
        <v>-</v>
      </c>
      <c r="H232" s="333"/>
      <c r="I232" s="283" t="s">
        <v>5260</v>
      </c>
      <c r="J232" s="283" t="s">
        <v>109</v>
      </c>
      <c r="K232" s="283" t="s">
        <v>107</v>
      </c>
      <c r="L232" s="335">
        <f>IF('A3 Foreground Assembly'!F73="Municipal",'A3 Foreground Assembly'!B73*1000,0)</f>
        <v>0</v>
      </c>
      <c r="M232" s="283" t="s">
        <v>10001</v>
      </c>
      <c r="R232" s="335">
        <f>L232</f>
        <v>0</v>
      </c>
      <c r="S232" s="283" t="s">
        <v>9710</v>
      </c>
      <c r="T232" s="283" t="e">
        <f>INDEX(#REF!,MATCH(S232,#REF!,0))</f>
        <v>#REF!</v>
      </c>
      <c r="U232" s="283" t="e">
        <f t="shared" ref="U232:U237" si="39">CONCATENATE("update tbl_parameters set value = ",R232," where tbl_parameters.ref_id = '",T232,"';")</f>
        <v>#REF!</v>
      </c>
      <c r="X232" s="283" t="e">
        <f>INDEX(#REF!,MATCH(I232,#REF!,0))</f>
        <v>#REF!</v>
      </c>
    </row>
    <row r="233" spans="1:24" s="283" customFormat="1">
      <c r="A233" s="333" t="s">
        <v>10002</v>
      </c>
      <c r="B233" s="333" t="str">
        <f t="shared" si="35"/>
        <v>-</v>
      </c>
      <c r="C233" s="333" t="str">
        <f t="shared" si="35"/>
        <v>-</v>
      </c>
      <c r="D233" s="333" t="str">
        <f t="shared" si="35"/>
        <v>-</v>
      </c>
      <c r="E233" s="333" t="str">
        <f t="shared" si="35"/>
        <v>-</v>
      </c>
      <c r="F233" s="333" t="str">
        <f t="shared" si="35"/>
        <v>-</v>
      </c>
      <c r="G233" s="333" t="str">
        <f t="shared" si="35"/>
        <v>-</v>
      </c>
      <c r="H233" s="333"/>
      <c r="I233" s="283" t="s">
        <v>4390</v>
      </c>
      <c r="J233" s="283" t="s">
        <v>109</v>
      </c>
      <c r="K233" s="283" t="s">
        <v>107</v>
      </c>
      <c r="L233" s="335">
        <f>SUMIF(waste_fate1, "disposal industrial",waste_quant)</f>
        <v>0</v>
      </c>
      <c r="M233" s="283" t="s">
        <v>9722</v>
      </c>
      <c r="R233" s="335">
        <f>IF('A3 Foreground Assembly'!J60=master_list_menus!S10,'A3 Foreground Assembly'!B60,0)</f>
        <v>0</v>
      </c>
      <c r="S233" s="283" t="s">
        <v>9722</v>
      </c>
      <c r="T233" s="283" t="e">
        <f>INDEX(#REF!,MATCH(S233,#REF!,0))</f>
        <v>#REF!</v>
      </c>
      <c r="U233" s="283" t="e">
        <f t="shared" si="39"/>
        <v>#REF!</v>
      </c>
      <c r="X233" s="283" t="e">
        <f>INDEX(#REF!,MATCH(I233,#REF!,0))</f>
        <v>#REF!</v>
      </c>
    </row>
    <row r="234" spans="1:24" s="283" customFormat="1">
      <c r="A234" s="333" t="s">
        <v>10003</v>
      </c>
      <c r="B234" s="333" t="str">
        <f t="shared" si="35"/>
        <v>-</v>
      </c>
      <c r="C234" s="333" t="str">
        <f t="shared" si="35"/>
        <v>-</v>
      </c>
      <c r="D234" s="333" t="str">
        <f t="shared" si="35"/>
        <v>-</v>
      </c>
      <c r="E234" s="333" t="str">
        <f t="shared" si="35"/>
        <v>-</v>
      </c>
      <c r="F234" s="333" t="str">
        <f t="shared" si="35"/>
        <v>-</v>
      </c>
      <c r="G234" s="333" t="str">
        <f t="shared" si="35"/>
        <v>-</v>
      </c>
      <c r="H234" s="333"/>
      <c r="I234" s="283" t="s">
        <v>4396</v>
      </c>
      <c r="J234" s="283" t="s">
        <v>109</v>
      </c>
      <c r="K234" s="283" t="s">
        <v>107</v>
      </c>
      <c r="L234" s="335">
        <f>SUMIF(waste_fate1, "disposal municipal",waste_quant)</f>
        <v>0</v>
      </c>
      <c r="M234" s="283" t="s">
        <v>9724</v>
      </c>
      <c r="R234" s="335"/>
      <c r="S234" s="283" t="s">
        <v>9724</v>
      </c>
      <c r="T234" s="283" t="e">
        <f>INDEX(#REF!,MATCH(S234,#REF!,0))</f>
        <v>#REF!</v>
      </c>
      <c r="U234" s="283" t="e">
        <f t="shared" si="39"/>
        <v>#REF!</v>
      </c>
      <c r="X234" s="283" t="e">
        <f>INDEX(#REF!,MATCH(I234,#REF!,0))</f>
        <v>#REF!</v>
      </c>
    </row>
    <row r="235" spans="1:24" s="283" customFormat="1">
      <c r="A235" s="333" t="s">
        <v>10004</v>
      </c>
      <c r="B235" s="333" t="str">
        <f t="shared" si="35"/>
        <v>-</v>
      </c>
      <c r="C235" s="333" t="str">
        <f t="shared" si="35"/>
        <v>-</v>
      </c>
      <c r="D235" s="333" t="str">
        <f t="shared" si="35"/>
        <v>-</v>
      </c>
      <c r="E235" s="333" t="str">
        <f t="shared" si="35"/>
        <v>-</v>
      </c>
      <c r="F235" s="333" t="str">
        <f t="shared" si="35"/>
        <v>-</v>
      </c>
      <c r="G235" s="333" t="str">
        <f t="shared" si="35"/>
        <v>-</v>
      </c>
      <c r="H235" s="333"/>
      <c r="I235" s="283" t="s">
        <v>4394</v>
      </c>
      <c r="J235" s="283" t="s">
        <v>109</v>
      </c>
      <c r="K235" s="283" t="s">
        <v>107</v>
      </c>
      <c r="L235" s="335">
        <f>SUMIF(waste_fate1, "disposal hazardous",waste_quant)</f>
        <v>0</v>
      </c>
      <c r="M235" s="283" t="s">
        <v>9721</v>
      </c>
      <c r="R235" s="335"/>
      <c r="S235" s="283" t="s">
        <v>9721</v>
      </c>
      <c r="T235" s="283" t="e">
        <f>INDEX(#REF!,MATCH(S235,#REF!,0))</f>
        <v>#REF!</v>
      </c>
      <c r="U235" s="283" t="e">
        <f t="shared" si="39"/>
        <v>#REF!</v>
      </c>
      <c r="X235" s="283" t="e">
        <f>INDEX(#REF!,MATCH(I235,#REF!,0))</f>
        <v>#REF!</v>
      </c>
    </row>
    <row r="236" spans="1:24" s="283" customFormat="1">
      <c r="A236" s="333" t="s">
        <v>10005</v>
      </c>
      <c r="B236" s="333" t="str">
        <f t="shared" si="35"/>
        <v>-</v>
      </c>
      <c r="C236" s="333" t="str">
        <f t="shared" si="35"/>
        <v>-</v>
      </c>
      <c r="D236" s="333" t="str">
        <f t="shared" si="35"/>
        <v>-</v>
      </c>
      <c r="E236" s="333" t="str">
        <f t="shared" si="35"/>
        <v>-</v>
      </c>
      <c r="F236" s="333" t="str">
        <f t="shared" si="35"/>
        <v>-</v>
      </c>
      <c r="G236" s="333" t="str">
        <f t="shared" si="35"/>
        <v>-</v>
      </c>
      <c r="H236" s="333"/>
      <c r="I236" s="283" t="s">
        <v>4392</v>
      </c>
      <c r="J236" s="283" t="s">
        <v>109</v>
      </c>
      <c r="K236" s="283" t="s">
        <v>107</v>
      </c>
      <c r="L236" s="335">
        <f>SUMIF(waste_fate1, "municipal incineration",waste_quant)</f>
        <v>0</v>
      </c>
      <c r="M236" s="283" t="s">
        <v>9723</v>
      </c>
      <c r="R236" s="335"/>
      <c r="S236" s="283" t="s">
        <v>9723</v>
      </c>
      <c r="T236" s="283" t="e">
        <f>INDEX(#REF!,MATCH(S236,#REF!,0))</f>
        <v>#REF!</v>
      </c>
      <c r="U236" s="283" t="e">
        <f t="shared" si="39"/>
        <v>#REF!</v>
      </c>
      <c r="X236" s="283" t="e">
        <f>INDEX(#REF!,MATCH(I236,#REF!,0))</f>
        <v>#REF!</v>
      </c>
    </row>
    <row r="237" spans="1:24" s="283" customFormat="1" ht="20.399999999999999">
      <c r="A237" s="333" t="s">
        <v>10006</v>
      </c>
      <c r="B237" s="333" t="str">
        <f t="shared" si="35"/>
        <v>-</v>
      </c>
      <c r="C237" s="333" t="str">
        <f t="shared" si="35"/>
        <v>-</v>
      </c>
      <c r="D237" s="333" t="str">
        <f t="shared" si="35"/>
        <v>-</v>
      </c>
      <c r="E237" s="333" t="str">
        <f t="shared" si="35"/>
        <v>-</v>
      </c>
      <c r="F237" s="333" t="str">
        <f t="shared" si="35"/>
        <v>-</v>
      </c>
      <c r="G237" s="333" t="str">
        <f t="shared" si="35"/>
        <v>-</v>
      </c>
      <c r="H237" s="333"/>
      <c r="I237" s="283" t="s">
        <v>4385</v>
      </c>
      <c r="J237" s="283" t="s">
        <v>109</v>
      </c>
      <c r="K237" s="283" t="s">
        <v>107</v>
      </c>
      <c r="L237" s="335">
        <f>SUMIF(waste_fate1, "hazardous incineration",waste_quant)</f>
        <v>0</v>
      </c>
      <c r="M237" s="283" t="s">
        <v>9725</v>
      </c>
      <c r="R237" s="335"/>
      <c r="S237" s="283" t="s">
        <v>9725</v>
      </c>
      <c r="T237" s="283" t="e">
        <f>INDEX(#REF!,MATCH(S237,#REF!,0))</f>
        <v>#REF!</v>
      </c>
      <c r="U237" s="283" t="e">
        <f t="shared" si="39"/>
        <v>#REF!</v>
      </c>
      <c r="X237" s="283" t="e">
        <f>INDEX(#REF!,MATCH(I237,#REF!,0))</f>
        <v>#REF!</v>
      </c>
    </row>
    <row r="238" spans="1:24" s="283" customFormat="1">
      <c r="A238" s="333"/>
      <c r="B238" s="333"/>
      <c r="C238" s="333"/>
      <c r="D238" s="333"/>
      <c r="E238" s="333"/>
      <c r="F238" s="333"/>
      <c r="G238" s="333"/>
      <c r="H238" s="333"/>
      <c r="L238" s="335"/>
      <c r="R238" s="335"/>
    </row>
    <row r="239" spans="1:24" s="283" customFormat="1">
      <c r="A239" s="333"/>
      <c r="B239" s="333"/>
      <c r="C239" s="333"/>
      <c r="D239" s="333"/>
      <c r="E239" s="333"/>
      <c r="F239" s="333"/>
      <c r="G239" s="333"/>
      <c r="H239" s="333"/>
      <c r="L239" s="335"/>
      <c r="R239" s="335"/>
    </row>
    <row r="240" spans="1:24" s="283" customFormat="1">
      <c r="A240" s="333"/>
      <c r="B240" s="333"/>
      <c r="C240" s="333"/>
      <c r="D240" s="333"/>
      <c r="E240" s="333"/>
      <c r="F240" s="333"/>
      <c r="G240" s="333"/>
      <c r="H240" s="333"/>
      <c r="L240" s="335"/>
      <c r="R240" s="335"/>
    </row>
    <row r="241" spans="1:22" s="490" customFormat="1" ht="24" customHeight="1">
      <c r="A241" s="489" t="s">
        <v>10007</v>
      </c>
      <c r="B241" s="907" t="s">
        <v>10008</v>
      </c>
      <c r="C241" s="907"/>
      <c r="D241" s="907"/>
      <c r="E241" s="907"/>
      <c r="F241" s="907"/>
      <c r="G241" s="907"/>
      <c r="H241" s="907"/>
      <c r="I241" s="489" t="s">
        <v>10009</v>
      </c>
      <c r="J241" s="489" t="s">
        <v>10010</v>
      </c>
      <c r="K241" s="489" t="s">
        <v>10011</v>
      </c>
      <c r="L241" s="489" t="s">
        <v>10012</v>
      </c>
      <c r="U241" s="908" t="s">
        <v>10013</v>
      </c>
      <c r="V241" s="908"/>
    </row>
    <row r="242" spans="1:22" s="283" customFormat="1" ht="13.05" customHeight="1">
      <c r="A242" s="496" t="s">
        <v>8853</v>
      </c>
      <c r="B242" s="333"/>
      <c r="C242" s="333"/>
      <c r="D242" s="333"/>
      <c r="E242" s="333"/>
      <c r="F242" s="333"/>
      <c r="G242" s="333"/>
      <c r="H242" s="333"/>
      <c r="I242" s="497" t="s">
        <v>105</v>
      </c>
      <c r="J242" s="498" t="s">
        <v>105</v>
      </c>
      <c r="K242" s="498" t="s">
        <v>105</v>
      </c>
      <c r="L242" s="498" t="s">
        <v>105</v>
      </c>
      <c r="S242" s="283" t="s">
        <v>9697</v>
      </c>
      <c r="T242" s="283" t="e">
        <f>INDEX(#REF!,MATCH(S242,#REF!,0))</f>
        <v>#REF!</v>
      </c>
      <c r="U242" s="498" t="e">
        <f>CONCATENATE("update tbl_parameters set DISTRIBUTION_TYPE = ",I242,", PARAMETER1_VALUE = ",K242,", PARAMETER3_VALUE = ",L242," where tbl_parameters.ref_id = '",T242,"';")</f>
        <v>#REF!</v>
      </c>
    </row>
    <row r="243" spans="1:22" s="283" customFormat="1" ht="13.05" customHeight="1">
      <c r="A243" s="496" t="s">
        <v>9998</v>
      </c>
      <c r="B243" s="333"/>
      <c r="C243" s="333"/>
      <c r="D243" s="333"/>
      <c r="E243" s="333"/>
      <c r="F243" s="333"/>
      <c r="G243" s="333"/>
      <c r="H243" s="333"/>
      <c r="I243" s="497" t="s">
        <v>105</v>
      </c>
      <c r="J243" s="498" t="s">
        <v>105</v>
      </c>
      <c r="K243" s="498" t="s">
        <v>105</v>
      </c>
      <c r="L243" s="498" t="s">
        <v>105</v>
      </c>
      <c r="S243" s="283" t="s">
        <v>9698</v>
      </c>
      <c r="T243" s="283" t="e">
        <f>INDEX(#REF!,MATCH(S243,#REF!,0))</f>
        <v>#REF!</v>
      </c>
      <c r="U243" s="498" t="e">
        <f t="shared" ref="U243:U246" si="40">CONCATENATE("update tbl_parameters set DISTRIBUTION_TYPE = ",I243,", PARAMETER1_VALUE = ",K243,", PARAMETER3_VALUE = ",L243," where tbl_parameters.ref_id = '",T243,"';")</f>
        <v>#REF!</v>
      </c>
    </row>
    <row r="244" spans="1:22" s="283" customFormat="1" ht="13.05" customHeight="1">
      <c r="A244" s="496" t="s">
        <v>9999</v>
      </c>
      <c r="B244" s="333"/>
      <c r="C244" s="333"/>
      <c r="D244" s="333"/>
      <c r="E244" s="333"/>
      <c r="F244" s="333"/>
      <c r="G244" s="333"/>
      <c r="H244" s="333"/>
      <c r="I244" s="497" t="s">
        <v>105</v>
      </c>
      <c r="J244" s="498" t="s">
        <v>105</v>
      </c>
      <c r="K244" s="498" t="s">
        <v>105</v>
      </c>
      <c r="L244" s="498" t="s">
        <v>105</v>
      </c>
      <c r="S244" s="283" t="s">
        <v>9699</v>
      </c>
      <c r="T244" s="283" t="e">
        <f>INDEX(#REF!,MATCH(S244,#REF!,0))</f>
        <v>#REF!</v>
      </c>
      <c r="U244" s="498" t="e">
        <f t="shared" si="40"/>
        <v>#REF!</v>
      </c>
    </row>
    <row r="245" spans="1:22" s="283" customFormat="1" ht="13.05" customHeight="1">
      <c r="A245" s="496" t="s">
        <v>8858</v>
      </c>
      <c r="B245" s="333"/>
      <c r="C245" s="333"/>
      <c r="D245" s="333"/>
      <c r="E245" s="333"/>
      <c r="F245" s="333"/>
      <c r="G245" s="333"/>
      <c r="H245" s="333"/>
      <c r="I245" s="497" t="s">
        <v>105</v>
      </c>
      <c r="J245" s="498" t="s">
        <v>105</v>
      </c>
      <c r="K245" s="498" t="s">
        <v>105</v>
      </c>
      <c r="L245" s="498" t="s">
        <v>105</v>
      </c>
      <c r="S245" s="283" t="s">
        <v>9700</v>
      </c>
      <c r="T245" s="283" t="e">
        <f>INDEX(#REF!,MATCH(S245,#REF!,0))</f>
        <v>#REF!</v>
      </c>
      <c r="U245" s="498" t="e">
        <f t="shared" si="40"/>
        <v>#REF!</v>
      </c>
    </row>
    <row r="246" spans="1:22" s="283" customFormat="1" ht="13.05" customHeight="1">
      <c r="A246" s="496" t="s">
        <v>8859</v>
      </c>
      <c r="B246" s="333"/>
      <c r="C246" s="333"/>
      <c r="D246" s="333"/>
      <c r="E246" s="333"/>
      <c r="F246" s="333"/>
      <c r="G246" s="333"/>
      <c r="H246" s="333"/>
      <c r="I246" s="497" t="s">
        <v>105</v>
      </c>
      <c r="J246" s="498" t="s">
        <v>105</v>
      </c>
      <c r="K246" s="498" t="s">
        <v>105</v>
      </c>
      <c r="L246" s="498" t="s">
        <v>105</v>
      </c>
      <c r="S246" s="283" t="s">
        <v>9701</v>
      </c>
      <c r="T246" s="283" t="e">
        <f>INDEX(#REF!,MATCH(S246,#REF!,0))</f>
        <v>#REF!</v>
      </c>
      <c r="U246" s="498" t="e">
        <f t="shared" si="40"/>
        <v>#REF!</v>
      </c>
    </row>
    <row r="247" spans="1:22" s="283" customFormat="1" ht="13.05" customHeight="1">
      <c r="A247" s="496" t="s">
        <v>10000</v>
      </c>
      <c r="B247" s="333"/>
      <c r="C247" s="333"/>
      <c r="D247" s="333"/>
      <c r="E247" s="333"/>
      <c r="F247" s="333"/>
      <c r="G247" s="333"/>
      <c r="H247" s="333"/>
      <c r="I247" s="497" t="s">
        <v>105</v>
      </c>
      <c r="J247" s="498" t="s">
        <v>105</v>
      </c>
      <c r="K247" s="498" t="s">
        <v>105</v>
      </c>
      <c r="L247" s="498" t="s">
        <v>105</v>
      </c>
      <c r="S247" s="283" t="s">
        <v>10001</v>
      </c>
      <c r="T247" s="283" t="e">
        <f>INDEX(#REF!,MATCH(S247,#REF!,0))</f>
        <v>#REF!</v>
      </c>
    </row>
    <row r="248" spans="1:22" s="283" customFormat="1" ht="13.05" customHeight="1">
      <c r="A248" s="496" t="s">
        <v>10002</v>
      </c>
      <c r="B248" s="333"/>
      <c r="C248" s="333"/>
      <c r="D248" s="333"/>
      <c r="E248" s="333"/>
      <c r="F248" s="333"/>
      <c r="G248" s="333"/>
      <c r="H248" s="333"/>
      <c r="I248" s="497" t="s">
        <v>105</v>
      </c>
      <c r="J248" s="498" t="s">
        <v>105</v>
      </c>
      <c r="K248" s="498" t="s">
        <v>105</v>
      </c>
      <c r="L248" s="498" t="s">
        <v>105</v>
      </c>
      <c r="S248" s="283" t="s">
        <v>9722</v>
      </c>
      <c r="T248" s="283" t="e">
        <f>INDEX(#REF!,MATCH(S248,#REF!,0))</f>
        <v>#REF!</v>
      </c>
    </row>
    <row r="249" spans="1:22" s="283" customFormat="1" ht="13.05" customHeight="1">
      <c r="A249" s="496" t="s">
        <v>10003</v>
      </c>
      <c r="B249" s="333"/>
      <c r="C249" s="333"/>
      <c r="D249" s="333"/>
      <c r="E249" s="333"/>
      <c r="F249" s="333"/>
      <c r="G249" s="333"/>
      <c r="H249" s="333"/>
      <c r="I249" s="497" t="s">
        <v>105</v>
      </c>
      <c r="J249" s="498" t="s">
        <v>105</v>
      </c>
      <c r="K249" s="498" t="s">
        <v>105</v>
      </c>
      <c r="L249" s="498" t="s">
        <v>105</v>
      </c>
      <c r="S249" s="283" t="s">
        <v>9724</v>
      </c>
      <c r="T249" s="283" t="e">
        <f>INDEX(#REF!,MATCH(S249,#REF!,0))</f>
        <v>#REF!</v>
      </c>
    </row>
    <row r="250" spans="1:22" s="283" customFormat="1" ht="13.05" customHeight="1">
      <c r="A250" s="496" t="s">
        <v>10004</v>
      </c>
      <c r="B250" s="333"/>
      <c r="C250" s="333"/>
      <c r="D250" s="333"/>
      <c r="E250" s="333"/>
      <c r="F250" s="333"/>
      <c r="G250" s="333"/>
      <c r="H250" s="333"/>
      <c r="I250" s="497" t="s">
        <v>105</v>
      </c>
      <c r="J250" s="498" t="s">
        <v>105</v>
      </c>
      <c r="K250" s="498" t="s">
        <v>105</v>
      </c>
      <c r="L250" s="498" t="s">
        <v>105</v>
      </c>
      <c r="S250" s="283" t="s">
        <v>9721</v>
      </c>
      <c r="T250" s="283" t="e">
        <f>INDEX(#REF!,MATCH(S250,#REF!,0))</f>
        <v>#REF!</v>
      </c>
    </row>
    <row r="251" spans="1:22" s="283" customFormat="1" ht="21.6" customHeight="1">
      <c r="A251" s="496" t="s">
        <v>10005</v>
      </c>
      <c r="B251" s="333"/>
      <c r="C251" s="333"/>
      <c r="D251" s="333"/>
      <c r="E251" s="333"/>
      <c r="F251" s="333"/>
      <c r="G251" s="333"/>
      <c r="H251" s="333"/>
      <c r="I251" s="497" t="s">
        <v>105</v>
      </c>
      <c r="J251" s="498" t="s">
        <v>105</v>
      </c>
      <c r="K251" s="498" t="s">
        <v>105</v>
      </c>
      <c r="L251" s="498" t="s">
        <v>105</v>
      </c>
      <c r="S251" s="283" t="s">
        <v>9723</v>
      </c>
      <c r="T251" s="283" t="e">
        <f>INDEX(#REF!,MATCH(S251,#REF!,0))</f>
        <v>#REF!</v>
      </c>
    </row>
    <row r="252" spans="1:22" s="283" customFormat="1" ht="20.55" customHeight="1">
      <c r="A252" s="496" t="s">
        <v>10006</v>
      </c>
      <c r="B252" s="333"/>
      <c r="C252" s="333"/>
      <c r="D252" s="333"/>
      <c r="E252" s="333"/>
      <c r="F252" s="333"/>
      <c r="G252" s="333"/>
      <c r="H252" s="333"/>
      <c r="I252" s="497" t="s">
        <v>105</v>
      </c>
      <c r="J252" s="498" t="s">
        <v>105</v>
      </c>
      <c r="K252" s="498" t="s">
        <v>105</v>
      </c>
      <c r="L252" s="498" t="s">
        <v>105</v>
      </c>
      <c r="S252" s="283" t="s">
        <v>9725</v>
      </c>
      <c r="T252" s="283" t="e">
        <f>INDEX(#REF!,MATCH(S252,#REF!,0))</f>
        <v>#REF!</v>
      </c>
    </row>
    <row r="253" spans="1:22" s="366" customFormat="1" ht="13.05" customHeight="1">
      <c r="A253" s="493"/>
      <c r="B253" s="493"/>
      <c r="C253" s="493"/>
      <c r="D253" s="493"/>
      <c r="E253" s="493"/>
      <c r="F253" s="493"/>
      <c r="G253" s="493"/>
      <c r="H253" s="493"/>
      <c r="I253" s="494"/>
      <c r="U253" s="500" t="s">
        <v>10014</v>
      </c>
    </row>
    <row r="254" spans="1:22" s="283" customFormat="1" ht="13.05" customHeight="1">
      <c r="A254" s="333" t="s">
        <v>8853</v>
      </c>
      <c r="B254" s="333"/>
      <c r="C254" s="333"/>
      <c r="D254" s="333"/>
      <c r="E254" s="333"/>
      <c r="F254" s="333"/>
      <c r="G254" s="333"/>
      <c r="H254" s="333"/>
      <c r="I254" s="491" t="str">
        <f>IF('A3 Foreground Assembly'!$D20=master_list_menus!$U$3,"NULL",IF('A3 Foreground Assembly'!$D20=master_list_menus!$U$4,1,IF('A3 Foreground Assembly'!$D20=master_list_menus!$U$5,2,IF('A3 Foreground Assembly'!$D20=master_list_menus!$U$6,3, IF('A3 Foreground Assembly'!$D20=master_list_menus!$U$7,4,"NULL")))))</f>
        <v>NULL</v>
      </c>
      <c r="J254" s="283">
        <f>'A3 Foreground Assembly'!E20</f>
        <v>0</v>
      </c>
      <c r="K254" s="283">
        <f>'A3 Foreground Assembly'!F20</f>
        <v>0</v>
      </c>
      <c r="L254" s="283">
        <f>'A3 Foreground Assembly'!G20</f>
        <v>0</v>
      </c>
      <c r="M254" s="283" t="s">
        <v>9697</v>
      </c>
      <c r="S254" s="283" t="s">
        <v>9697</v>
      </c>
      <c r="T254" s="283" t="e">
        <f>INDEX(#REF!,MATCH(S254,#REF!,0))</f>
        <v>#REF!</v>
      </c>
      <c r="U254" s="498" t="b">
        <f t="shared" ref="U254:U257" si="41">IF(I254=4,CONCATENATE("update tbl_parameters set DISTRIBUTION_TYPE = ",I254,", PARAMETER1_VALUE = ",K254,", PARAMETER2_VALUE = ",L254," where tbl_parameters.ref_id = '",T254,"'; "),IF(I254=3,CONCATENATE("update tbl_parameters set DISTRIBUTION_TYPE = ",I254,", PARAMETER1_VALUE = ",K254,", PARAMETER3_VALUE = ",L254," where tbl_parameters.ref_id = '",T254,"';"),IF(I254=2, CONCATENATE("update tbl_parameters set DISTRIBUTION_TYPE = ",I254,", PARAMETER2_VALUE = ",J254," where tbl_parameters.ref_id = '",T254,"';"),IF(I254=1,CONCATENATE("update tbl_parameters set DISTRIBUTION_TYPE = ",I254,", PARAMETER2_VALUE = ",J254," where tbl_parameters.ref_id = '",T254,"'; ")))))</f>
        <v>0</v>
      </c>
    </row>
    <row r="255" spans="1:22" s="283" customFormat="1" ht="13.05" customHeight="1">
      <c r="A255" s="333" t="s">
        <v>9998</v>
      </c>
      <c r="B255" s="333"/>
      <c r="C255" s="333"/>
      <c r="D255" s="333"/>
      <c r="E255" s="333"/>
      <c r="F255" s="333"/>
      <c r="G255" s="333"/>
      <c r="H255" s="333"/>
      <c r="I255" s="491" t="str">
        <f>IF('A3 Foreground Assembly'!$D22=master_list_menus!$U$3,"NULL",IF('A3 Foreground Assembly'!$D22=master_list_menus!$U$4,1,IF('A3 Foreground Assembly'!$D22=master_list_menus!$U$5,2,IF('A3 Foreground Assembly'!$D22=master_list_menus!$U$6,3, IF('A3 Foreground Assembly'!$D22=master_list_menus!$U$7,4,"NULL")))))</f>
        <v>NULL</v>
      </c>
      <c r="J255" s="283">
        <f>'A3 Foreground Assembly'!E22</f>
        <v>0</v>
      </c>
      <c r="K255" s="283">
        <f>'A3 Foreground Assembly'!F22</f>
        <v>0</v>
      </c>
      <c r="L255" s="283">
        <f>'A3 Foreground Assembly'!G22</f>
        <v>0</v>
      </c>
      <c r="M255" s="283" t="s">
        <v>9698</v>
      </c>
      <c r="S255" s="283" t="s">
        <v>9698</v>
      </c>
      <c r="T255" s="283" t="e">
        <f>INDEX(#REF!,MATCH(S255,#REF!,0))</f>
        <v>#REF!</v>
      </c>
      <c r="U255" s="498" t="b">
        <f t="shared" si="41"/>
        <v>0</v>
      </c>
    </row>
    <row r="256" spans="1:22" s="283" customFormat="1" ht="13.05" customHeight="1">
      <c r="A256" s="333" t="s">
        <v>9999</v>
      </c>
      <c r="B256" s="333"/>
      <c r="C256" s="333"/>
      <c r="D256" s="333"/>
      <c r="E256" s="333"/>
      <c r="F256" s="333"/>
      <c r="G256" s="333"/>
      <c r="H256" s="333"/>
      <c r="I256" s="491" t="str">
        <f>IF('A3 Foreground Assembly'!$D24=master_list_menus!$U$3,"NULL",IF('A3 Foreground Assembly'!$D24=master_list_menus!$U$4,1,IF('A3 Foreground Assembly'!$D24=master_list_menus!$U$5,2,IF('A3 Foreground Assembly'!$D24=master_list_menus!$U$6,3, IF('A3 Foreground Assembly'!$D24=master_list_menus!$U$7,4,"NULL")))))</f>
        <v>NULL</v>
      </c>
      <c r="J256" s="283">
        <f>'A3 Foreground Assembly'!E24</f>
        <v>0</v>
      </c>
      <c r="K256" s="283">
        <f>'A3 Foreground Assembly'!F24</f>
        <v>0</v>
      </c>
      <c r="L256" s="283">
        <f>'A3 Foreground Assembly'!G24</f>
        <v>0</v>
      </c>
      <c r="M256" s="283" t="s">
        <v>9699</v>
      </c>
      <c r="S256" s="283" t="s">
        <v>9699</v>
      </c>
      <c r="T256" s="283" t="e">
        <f>INDEX(#REF!,MATCH(S256,#REF!,0))</f>
        <v>#REF!</v>
      </c>
      <c r="U256" s="498" t="b">
        <f t="shared" si="41"/>
        <v>0</v>
      </c>
    </row>
    <row r="257" spans="1:21" s="283" customFormat="1" ht="13.05" customHeight="1">
      <c r="A257" s="333" t="s">
        <v>8858</v>
      </c>
      <c r="B257" s="333"/>
      <c r="C257" s="333"/>
      <c r="D257" s="333"/>
      <c r="E257" s="333"/>
      <c r="F257" s="333"/>
      <c r="G257" s="333"/>
      <c r="H257" s="333"/>
      <c r="I257" s="491" t="str">
        <f>IF('A3 Foreground Assembly'!$D25=master_list_menus!$U$3,"NULL",IF('A3 Foreground Assembly'!$D25=master_list_menus!$U$4,1,IF('A3 Foreground Assembly'!$D25=master_list_menus!$U$5,2,IF('A3 Foreground Assembly'!$D25=master_list_menus!$U$6,3, IF('A3 Foreground Assembly'!$D25=master_list_menus!$U$7,4,"NULL")))))</f>
        <v>NULL</v>
      </c>
      <c r="J257" s="283">
        <f>'A3 Foreground Assembly'!E25</f>
        <v>0</v>
      </c>
      <c r="K257" s="283">
        <f>'A3 Foreground Assembly'!F25</f>
        <v>0</v>
      </c>
      <c r="L257" s="283">
        <f>'A3 Foreground Assembly'!G25</f>
        <v>0</v>
      </c>
      <c r="M257" s="283" t="s">
        <v>9700</v>
      </c>
      <c r="S257" s="283" t="s">
        <v>9700</v>
      </c>
      <c r="T257" s="283" t="e">
        <f>INDEX(#REF!,MATCH(S257,#REF!,0))</f>
        <v>#REF!</v>
      </c>
      <c r="U257" s="498" t="b">
        <f t="shared" si="41"/>
        <v>0</v>
      </c>
    </row>
    <row r="258" spans="1:21" s="283" customFormat="1" ht="13.05" customHeight="1">
      <c r="A258" s="333" t="s">
        <v>8859</v>
      </c>
      <c r="B258" s="333"/>
      <c r="C258" s="333"/>
      <c r="D258" s="333"/>
      <c r="E258" s="333"/>
      <c r="F258" s="333"/>
      <c r="G258" s="333"/>
      <c r="H258" s="333"/>
      <c r="I258" s="491" t="str">
        <f>IF('A3 Foreground Assembly'!$D26=master_list_menus!$U$3,"NULL",IF('A3 Foreground Assembly'!$D26=master_list_menus!$U$4,1,IF('A3 Foreground Assembly'!$D26=master_list_menus!$U$5,2,IF('A3 Foreground Assembly'!$D26=master_list_menus!$U$6,3, IF('A3 Foreground Assembly'!$D26=master_list_menus!$U$7,4,"NULL")))))</f>
        <v>NULL</v>
      </c>
      <c r="J258" s="283">
        <f>'A3 Foreground Assembly'!E26</f>
        <v>0</v>
      </c>
      <c r="K258" s="283">
        <f>'A3 Foreground Assembly'!F26</f>
        <v>0</v>
      </c>
      <c r="L258" s="283">
        <f>'A3 Foreground Assembly'!G26</f>
        <v>0</v>
      </c>
      <c r="M258" s="283" t="s">
        <v>9701</v>
      </c>
      <c r="S258" s="283" t="s">
        <v>9701</v>
      </c>
      <c r="T258" s="283" t="e">
        <f>INDEX(#REF!,MATCH(S258,#REF!,0))</f>
        <v>#REF!</v>
      </c>
      <c r="U258" s="498" t="b" cm="1">
        <f t="array" ref="U258">IF(I258=4,CONCATENATE("update tbl_parameters set DISTRIBUTION_TYPE = ",I258,", PARAMETER1_VALUE = ",K258,", PARAMETER2_VALUE = ",L258," where tbl_parameters.ref_id = '",T258,"'; "),IF(I258=3,CONCATENATE("update tbl_parameters set DISTRIBUTION_TYPE = ",I258,", PARAMETER1_VALUE = ",K258,", PARAMETER3_VALUE = ",L258," where tbl_parameters.ref_id = '",T258,"';"),IF(I258=2, CONCATENATE("update tbl_parameters set DISTRIBUTION_TYPE = ",I258,", PARAMETER2_VALUE = ",J258," where tbl_parameters.ref_id = '",T258,"';"),IF(I258=1,CONCATENATE("update tbl_parameters set DISTRIBUTION_TYPE = ",I258,", PARAMETER2_VALUE = ",J258," where tbl_parameters.ref_id = '",T258,"'; ",IF(I258=NULL,CONCATENATE("update tbl_parameters set DISTRIBUTION_TYPE = NULL, PARAMETER1_VALUE = NULL, PARAMETER2_VALUE = NULL, PARAMETER3_VALUE = NULL where tbl_parameters.ref_id = '",T258,"'; "),""))))))</f>
        <v>0</v>
      </c>
    </row>
    <row r="259" spans="1:21" s="283" customFormat="1" ht="13.05" customHeight="1">
      <c r="A259" s="333" t="s">
        <v>10000</v>
      </c>
      <c r="B259" s="333"/>
      <c r="C259" s="333"/>
      <c r="D259" s="333"/>
      <c r="E259" s="333"/>
      <c r="F259" s="333"/>
      <c r="G259" s="333"/>
      <c r="H259" s="333"/>
      <c r="I259" s="491" t="str">
        <f>IF('A3 Foreground Assembly'!$D27=master_list_menus!$U$3,"NULL",IF('A3 Foreground Assembly'!$D27=master_list_menus!$U$4,1,IF('A3 Foreground Assembly'!$D27=master_list_menus!$U$5,2,IF('A3 Foreground Assembly'!$D27=master_list_menus!$U$6,3, IF('A3 Foreground Assembly'!$D27=master_list_menus!$U$7,4,"NULL")))))</f>
        <v>NULL</v>
      </c>
      <c r="J259" s="283">
        <f>'A3 Foreground Assembly'!E27</f>
        <v>0</v>
      </c>
      <c r="K259" s="283">
        <f>'A3 Foreground Assembly'!F27</f>
        <v>0</v>
      </c>
      <c r="L259" s="283">
        <f>'A3 Foreground Assembly'!G27</f>
        <v>0</v>
      </c>
      <c r="M259" s="283" t="s">
        <v>10001</v>
      </c>
      <c r="S259" s="283" t="s">
        <v>10001</v>
      </c>
      <c r="T259" s="283" t="e">
        <f>INDEX(#REF!,MATCH(S259,#REF!,0))</f>
        <v>#REF!</v>
      </c>
    </row>
    <row r="260" spans="1:21" s="283" customFormat="1" ht="13.05" customHeight="1">
      <c r="A260" s="333" t="s">
        <v>10002</v>
      </c>
      <c r="B260" s="333"/>
      <c r="C260" s="333"/>
      <c r="D260" s="333"/>
      <c r="E260" s="333"/>
      <c r="F260" s="333"/>
      <c r="G260" s="333"/>
      <c r="H260" s="333"/>
      <c r="I260" s="491"/>
      <c r="M260" s="283" t="s">
        <v>9722</v>
      </c>
      <c r="S260" s="283" t="s">
        <v>9722</v>
      </c>
      <c r="T260" s="283" t="e">
        <f>INDEX(#REF!,MATCH(S260,#REF!,0))</f>
        <v>#REF!</v>
      </c>
    </row>
    <row r="261" spans="1:21" s="283" customFormat="1" ht="13.05" customHeight="1">
      <c r="A261" s="333" t="s">
        <v>10003</v>
      </c>
      <c r="B261" s="333"/>
      <c r="C261" s="333"/>
      <c r="D261" s="333"/>
      <c r="E261" s="333"/>
      <c r="F261" s="333"/>
      <c r="G261" s="333"/>
      <c r="H261" s="333"/>
      <c r="I261" s="491"/>
      <c r="M261" s="283" t="s">
        <v>9724</v>
      </c>
      <c r="S261" s="283" t="s">
        <v>9724</v>
      </c>
      <c r="T261" s="283" t="e">
        <f>INDEX(#REF!,MATCH(S261,#REF!,0))</f>
        <v>#REF!</v>
      </c>
    </row>
    <row r="262" spans="1:21" s="283" customFormat="1" ht="13.05" customHeight="1">
      <c r="A262" s="333" t="s">
        <v>10004</v>
      </c>
      <c r="B262" s="333"/>
      <c r="C262" s="333"/>
      <c r="D262" s="333"/>
      <c r="E262" s="333"/>
      <c r="F262" s="333"/>
      <c r="G262" s="333"/>
      <c r="H262" s="333"/>
      <c r="I262" s="491"/>
      <c r="M262" s="283" t="s">
        <v>9721</v>
      </c>
      <c r="S262" s="283" t="s">
        <v>9721</v>
      </c>
      <c r="T262" s="283" t="e">
        <f>INDEX(#REF!,MATCH(S262,#REF!,0))</f>
        <v>#REF!</v>
      </c>
    </row>
    <row r="263" spans="1:21" s="283" customFormat="1" ht="19.5" customHeight="1">
      <c r="A263" s="333" t="s">
        <v>10005</v>
      </c>
      <c r="B263" s="333"/>
      <c r="C263" s="333"/>
      <c r="D263" s="333"/>
      <c r="E263" s="333"/>
      <c r="F263" s="333"/>
      <c r="G263" s="333"/>
      <c r="H263" s="333"/>
      <c r="I263" s="491"/>
      <c r="M263" s="283" t="s">
        <v>9723</v>
      </c>
      <c r="S263" s="283" t="s">
        <v>9723</v>
      </c>
      <c r="T263" s="283" t="e">
        <f>INDEX(#REF!,MATCH(S263,#REF!,0))</f>
        <v>#REF!</v>
      </c>
    </row>
    <row r="264" spans="1:21" s="283" customFormat="1" ht="22.05" customHeight="1">
      <c r="A264" s="333" t="s">
        <v>10006</v>
      </c>
      <c r="B264" s="333"/>
      <c r="C264" s="333"/>
      <c r="D264" s="333"/>
      <c r="E264" s="333"/>
      <c r="F264" s="333"/>
      <c r="G264" s="333"/>
      <c r="H264" s="333"/>
      <c r="I264" s="491"/>
      <c r="M264" s="283" t="s">
        <v>9725</v>
      </c>
      <c r="S264" s="283" t="s">
        <v>9725</v>
      </c>
      <c r="T264" s="283" t="e">
        <f>INDEX(#REF!,MATCH(S264,#REF!,0))</f>
        <v>#REF!</v>
      </c>
    </row>
    <row r="265" spans="1:21" s="283" customFormat="1" ht="22.05" customHeight="1">
      <c r="A265" s="333"/>
      <c r="B265" s="333"/>
      <c r="C265" s="333"/>
      <c r="D265" s="333"/>
      <c r="E265" s="333"/>
      <c r="F265" s="333"/>
      <c r="G265" s="333"/>
      <c r="H265" s="333"/>
      <c r="I265" s="491"/>
    </row>
    <row r="266" spans="1:21" s="283" customFormat="1" ht="22.05" customHeight="1">
      <c r="A266" s="499" t="s">
        <v>8898</v>
      </c>
      <c r="B266" s="333"/>
      <c r="C266" s="333"/>
      <c r="D266" s="333"/>
      <c r="E266" s="333"/>
      <c r="F266" s="333"/>
      <c r="G266" s="333"/>
      <c r="H266" s="333"/>
      <c r="I266" s="497" t="s">
        <v>10015</v>
      </c>
    </row>
    <row r="267" spans="1:21" s="283" customFormat="1" ht="22.05" customHeight="1">
      <c r="A267" s="499" t="s">
        <v>8899</v>
      </c>
      <c r="B267" s="333"/>
      <c r="C267" s="333"/>
      <c r="D267" s="333"/>
      <c r="E267" s="333"/>
      <c r="F267" s="333"/>
      <c r="G267" s="333"/>
      <c r="H267" s="333"/>
      <c r="I267" s="497" t="s">
        <v>10015</v>
      </c>
    </row>
    <row r="268" spans="1:21" s="283" customFormat="1" ht="22.05" customHeight="1">
      <c r="A268" s="499" t="s">
        <v>8900</v>
      </c>
      <c r="B268" s="333"/>
      <c r="C268" s="333"/>
      <c r="D268" s="333"/>
      <c r="E268" s="333"/>
      <c r="F268" s="333"/>
      <c r="G268" s="333"/>
      <c r="H268" s="333"/>
      <c r="I268" s="497" t="s">
        <v>10015</v>
      </c>
    </row>
    <row r="269" spans="1:21" s="283" customFormat="1" ht="22.05" customHeight="1">
      <c r="A269" s="499" t="s">
        <v>8901</v>
      </c>
      <c r="B269" s="333"/>
      <c r="C269" s="333"/>
      <c r="D269" s="333"/>
      <c r="E269" s="333"/>
      <c r="F269" s="333"/>
      <c r="G269" s="333"/>
      <c r="H269" s="333"/>
      <c r="I269" s="497" t="s">
        <v>10015</v>
      </c>
    </row>
    <row r="270" spans="1:21" s="283" customFormat="1" ht="22.05" customHeight="1">
      <c r="A270" s="499" t="s">
        <v>8902</v>
      </c>
      <c r="B270" s="333"/>
      <c r="C270" s="333"/>
      <c r="D270" s="333"/>
      <c r="E270" s="333"/>
      <c r="F270" s="333"/>
      <c r="G270" s="333"/>
      <c r="H270" s="333"/>
      <c r="I270" s="497" t="s">
        <v>10015</v>
      </c>
    </row>
    <row r="271" spans="1:21" s="283" customFormat="1" ht="22.05" customHeight="1">
      <c r="A271" s="499" t="s">
        <v>8903</v>
      </c>
      <c r="B271" s="333"/>
      <c r="C271" s="333"/>
      <c r="D271" s="333"/>
      <c r="E271" s="333"/>
      <c r="F271" s="333"/>
      <c r="G271" s="333"/>
      <c r="H271" s="333"/>
      <c r="I271" s="497" t="s">
        <v>10015</v>
      </c>
    </row>
    <row r="272" spans="1:21" s="283" customFormat="1" ht="22.05" customHeight="1">
      <c r="A272" s="499" t="s">
        <v>8904</v>
      </c>
      <c r="B272" s="333"/>
      <c r="C272" s="333"/>
      <c r="D272" s="333"/>
      <c r="E272" s="333"/>
      <c r="F272" s="333"/>
      <c r="G272" s="333"/>
      <c r="H272" s="333"/>
      <c r="I272" s="497" t="s">
        <v>10015</v>
      </c>
    </row>
    <row r="273" spans="1:24" s="283" customFormat="1" ht="22.05" customHeight="1">
      <c r="A273" s="499" t="s">
        <v>8905</v>
      </c>
      <c r="B273" s="333"/>
      <c r="C273" s="333"/>
      <c r="D273" s="333"/>
      <c r="E273" s="333"/>
      <c r="F273" s="333"/>
      <c r="G273" s="333"/>
      <c r="H273" s="333"/>
      <c r="I273" s="497" t="s">
        <v>10015</v>
      </c>
    </row>
    <row r="274" spans="1:24" s="283" customFormat="1" ht="34.049999999999997" customHeight="1">
      <c r="A274" s="499" t="s">
        <v>8906</v>
      </c>
      <c r="B274" s="333"/>
      <c r="C274" s="333"/>
      <c r="D274" s="333"/>
      <c r="E274" s="333"/>
      <c r="F274" s="333"/>
      <c r="G274" s="333"/>
      <c r="H274" s="333"/>
      <c r="I274" s="497" t="s">
        <v>10015</v>
      </c>
      <c r="L274" s="335"/>
    </row>
    <row r="275" spans="1:24" s="283" customFormat="1" ht="13.05" customHeight="1">
      <c r="A275" s="333"/>
      <c r="B275" s="333"/>
      <c r="C275" s="333"/>
      <c r="D275" s="333"/>
      <c r="E275" s="333"/>
      <c r="F275" s="333"/>
      <c r="G275" s="333"/>
      <c r="H275" s="333"/>
      <c r="L275" s="335"/>
    </row>
    <row r="276" spans="1:24" s="490" customFormat="1" ht="24" customHeight="1">
      <c r="A276" s="489" t="s">
        <v>10016</v>
      </c>
      <c r="B276" s="907"/>
      <c r="C276" s="907"/>
      <c r="D276" s="907"/>
      <c r="E276" s="907"/>
      <c r="F276" s="907"/>
      <c r="G276" s="907"/>
      <c r="H276" s="907"/>
      <c r="I276" s="489"/>
      <c r="J276" s="489"/>
      <c r="K276" s="489"/>
      <c r="L276" s="489"/>
      <c r="U276" s="908"/>
      <c r="V276" s="908"/>
    </row>
    <row r="277" spans="1:24" s="283" customFormat="1" ht="13.05" customHeight="1">
      <c r="A277" s="333"/>
      <c r="B277" s="333"/>
      <c r="C277" s="333"/>
      <c r="D277" s="333"/>
      <c r="E277" s="333"/>
      <c r="F277" s="333"/>
      <c r="G277" s="333"/>
      <c r="H277" s="333"/>
      <c r="L277" s="335"/>
    </row>
    <row r="278" spans="1:24" s="283" customFormat="1" ht="13.05" customHeight="1">
      <c r="A278" s="526" t="str">
        <f>'A3 Foreground Assembly'!A84</f>
        <v>Atmospheric</v>
      </c>
      <c r="B278" s="333"/>
      <c r="C278" s="333"/>
      <c r="D278" s="333"/>
      <c r="E278" s="333"/>
      <c r="F278" s="333"/>
      <c r="G278" s="333"/>
      <c r="H278" s="333"/>
      <c r="L278" s="335"/>
    </row>
    <row r="279" spans="1:24" s="283" customFormat="1" ht="21" customHeight="1">
      <c r="A279" s="333" t="str">
        <f>'A3 Foreground Assembly'!A85</f>
        <v>Carbon dioxide (fossil)</v>
      </c>
      <c r="B279" s="333"/>
      <c r="C279" s="333"/>
      <c r="D279" s="333"/>
      <c r="E279" s="333"/>
      <c r="F279" s="333"/>
      <c r="G279" s="333"/>
      <c r="H279" s="333"/>
      <c r="J279" s="283" t="s">
        <v>109</v>
      </c>
      <c r="K279" s="283" t="s">
        <v>107</v>
      </c>
      <c r="L279" s="335"/>
      <c r="M279" s="283" t="s">
        <v>9726</v>
      </c>
      <c r="R279" s="335"/>
      <c r="S279" s="283" t="str">
        <f>M279</f>
        <v>co2_foss</v>
      </c>
      <c r="T279" s="283" t="e">
        <f>INDEX(#REF!,MATCH(S279,#REF!,0))</f>
        <v>#REF!</v>
      </c>
      <c r="U279" s="283" t="e">
        <f t="shared" ref="U279" si="42">CONCATENATE("update tbl_parameters set value = ",R279," where tbl_parameters.ref_id = '",T279,"';")</f>
        <v>#REF!</v>
      </c>
      <c r="X279" s="283" t="e">
        <f>INDEX(#REF!,MATCH(I279,#REF!,0))</f>
        <v>#REF!</v>
      </c>
    </row>
    <row r="280" spans="1:24" s="283" customFormat="1" ht="24.6" customHeight="1">
      <c r="A280" s="333" t="str">
        <f>'A3 Foreground Assembly'!A86</f>
        <v>Carbon dioxide (biogenic)</v>
      </c>
      <c r="B280" s="333"/>
      <c r="C280" s="333"/>
      <c r="D280" s="333"/>
      <c r="E280" s="333"/>
      <c r="F280" s="333"/>
      <c r="G280" s="333"/>
      <c r="H280" s="333"/>
      <c r="J280" s="283" t="s">
        <v>109</v>
      </c>
      <c r="K280" s="283" t="s">
        <v>107</v>
      </c>
      <c r="L280" s="335"/>
      <c r="M280" s="283" t="s">
        <v>9727</v>
      </c>
      <c r="S280" s="283" t="str">
        <f t="shared" ref="S280:S286" si="43">M280</f>
        <v>co2_biog</v>
      </c>
      <c r="T280" s="283" t="e">
        <f>INDEX(#REF!,MATCH(S280,#REF!,0))</f>
        <v>#REF!</v>
      </c>
      <c r="U280" s="283" t="e">
        <f t="shared" ref="U280:U286" si="44">CONCATENATE("update tbl_parameters set value = ",R280," where tbl_parameters.ref_id = '",T280,"';")</f>
        <v>#REF!</v>
      </c>
      <c r="X280" s="283" t="e">
        <f>INDEX(#REF!,MATCH(I280,#REF!,0))</f>
        <v>#REF!</v>
      </c>
    </row>
    <row r="281" spans="1:24" s="283" customFormat="1" ht="22.05" customHeight="1">
      <c r="A281" s="333" t="str">
        <f>'A3 Foreground Assembly'!A87</f>
        <v>Nitrogen oxides</v>
      </c>
      <c r="B281" s="333"/>
      <c r="C281" s="333"/>
      <c r="D281" s="333"/>
      <c r="E281" s="333"/>
      <c r="F281" s="333"/>
      <c r="G281" s="333"/>
      <c r="H281" s="333"/>
      <c r="J281" s="283" t="s">
        <v>109</v>
      </c>
      <c r="K281" s="283" t="s">
        <v>107</v>
      </c>
      <c r="L281" s="335"/>
      <c r="M281" s="283" t="s">
        <v>9730</v>
      </c>
      <c r="S281" s="283" t="str">
        <f t="shared" si="43"/>
        <v>nox</v>
      </c>
      <c r="T281" s="283" t="e">
        <f>INDEX(#REF!,MATCH(S281,#REF!,0))</f>
        <v>#REF!</v>
      </c>
      <c r="U281" s="283" t="e">
        <f t="shared" si="44"/>
        <v>#REF!</v>
      </c>
      <c r="X281" s="283" t="e">
        <f>INDEX(#REF!,MATCH(I281,#REF!,0))</f>
        <v>#REF!</v>
      </c>
    </row>
    <row r="282" spans="1:24" s="283" customFormat="1" ht="13.05" customHeight="1">
      <c r="A282" s="333" t="str">
        <f>'A3 Foreground Assembly'!A88</f>
        <v>Sulfur oxides</v>
      </c>
      <c r="B282" s="333"/>
      <c r="C282" s="333"/>
      <c r="D282" s="333"/>
      <c r="E282" s="333"/>
      <c r="F282" s="333"/>
      <c r="G282" s="333"/>
      <c r="H282" s="333"/>
      <c r="J282" s="283" t="s">
        <v>109</v>
      </c>
      <c r="K282" s="283" t="s">
        <v>107</v>
      </c>
      <c r="L282" s="335"/>
      <c r="M282" s="283" t="s">
        <v>9728</v>
      </c>
      <c r="S282" s="283" t="str">
        <f t="shared" si="43"/>
        <v>sox</v>
      </c>
      <c r="T282" s="283" t="e">
        <f>INDEX(#REF!,MATCH(S282,#REF!,0))</f>
        <v>#REF!</v>
      </c>
      <c r="U282" s="283" t="e">
        <f t="shared" si="44"/>
        <v>#REF!</v>
      </c>
      <c r="X282" s="283" t="e">
        <f>INDEX(#REF!,MATCH(I282,#REF!,0))</f>
        <v>#REF!</v>
      </c>
    </row>
    <row r="283" spans="1:24" s="283" customFormat="1" ht="24" customHeight="1">
      <c r="A283" s="333" t="str">
        <f>'A3 Foreground Assembly'!A89</f>
        <v>Particulate matter (2.5 um)</v>
      </c>
      <c r="B283" s="333"/>
      <c r="C283" s="333"/>
      <c r="D283" s="333"/>
      <c r="E283" s="333"/>
      <c r="F283" s="333"/>
      <c r="G283" s="333"/>
      <c r="H283" s="333"/>
      <c r="J283" s="283" t="s">
        <v>109</v>
      </c>
      <c r="K283" s="283" t="s">
        <v>107</v>
      </c>
      <c r="L283" s="335"/>
      <c r="M283" s="283" t="s">
        <v>9731</v>
      </c>
      <c r="S283" s="283" t="str">
        <f t="shared" si="43"/>
        <v>pm2_5</v>
      </c>
      <c r="T283" s="283" t="e">
        <f>INDEX(#REF!,MATCH(S283,#REF!,0))</f>
        <v>#REF!</v>
      </c>
      <c r="U283" s="283" t="e">
        <f t="shared" si="44"/>
        <v>#REF!</v>
      </c>
      <c r="X283" s="283" t="e">
        <f>INDEX(#REF!,MATCH(I283,#REF!,0))</f>
        <v>#REF!</v>
      </c>
    </row>
    <row r="284" spans="1:24" s="283" customFormat="1" ht="24" customHeight="1">
      <c r="A284" s="333" t="str">
        <f>'A3 Foreground Assembly'!A90</f>
        <v>Particulate matter (2.5-10 um)</v>
      </c>
      <c r="B284" s="333"/>
      <c r="C284" s="333"/>
      <c r="D284" s="333"/>
      <c r="E284" s="333"/>
      <c r="F284" s="333"/>
      <c r="G284" s="333"/>
      <c r="H284" s="333"/>
      <c r="J284" s="283" t="s">
        <v>109</v>
      </c>
      <c r="K284" s="283" t="s">
        <v>107</v>
      </c>
      <c r="L284" s="335"/>
      <c r="M284" s="283" t="s">
        <v>9729</v>
      </c>
      <c r="S284" s="283" t="str">
        <f t="shared" si="43"/>
        <v>pm10</v>
      </c>
      <c r="T284" s="283" t="e">
        <f>INDEX(#REF!,MATCH(S284,#REF!,0))</f>
        <v>#REF!</v>
      </c>
      <c r="U284" s="283" t="e">
        <f t="shared" si="44"/>
        <v>#REF!</v>
      </c>
      <c r="X284" s="283" t="e">
        <f>INDEX(#REF!,MATCH(I284,#REF!,0))</f>
        <v>#REF!</v>
      </c>
    </row>
    <row r="285" spans="1:24" s="283" customFormat="1" ht="25.5" customHeight="1">
      <c r="A285" s="333" t="str">
        <f>'A3 Foreground Assembly'!A91</f>
        <v>Particulate matter (&gt;10 um)</v>
      </c>
      <c r="B285" s="333"/>
      <c r="C285" s="333"/>
      <c r="D285" s="333"/>
      <c r="E285" s="333"/>
      <c r="F285" s="333"/>
      <c r="G285" s="333"/>
      <c r="H285" s="333"/>
      <c r="J285" s="283" t="s">
        <v>109</v>
      </c>
      <c r="K285" s="283" t="s">
        <v>107</v>
      </c>
      <c r="L285" s="335"/>
      <c r="M285" s="283" t="s">
        <v>9732</v>
      </c>
      <c r="S285" s="283" t="str">
        <f t="shared" si="43"/>
        <v>blk_c</v>
      </c>
      <c r="T285" s="283" t="e">
        <f>INDEX(#REF!,MATCH(S285,#REF!,0))</f>
        <v>#REF!</v>
      </c>
      <c r="U285" s="283" t="e">
        <f t="shared" si="44"/>
        <v>#REF!</v>
      </c>
      <c r="X285" s="283" t="e">
        <f>INDEX(#REF!,MATCH(I285,#REF!,0))</f>
        <v>#REF!</v>
      </c>
    </row>
    <row r="286" spans="1:24" s="283" customFormat="1" ht="20.100000000000001" customHeight="1">
      <c r="A286" s="333" t="str">
        <f>'A3 Foreground Assembly'!A92</f>
        <v>Black carbon</v>
      </c>
      <c r="B286" s="333"/>
      <c r="C286" s="333"/>
      <c r="D286" s="333"/>
      <c r="E286" s="333"/>
      <c r="F286" s="333"/>
      <c r="G286" s="333"/>
      <c r="H286" s="333"/>
      <c r="J286" s="283" t="s">
        <v>109</v>
      </c>
      <c r="K286" s="283" t="s">
        <v>107</v>
      </c>
      <c r="L286" s="335"/>
      <c r="M286" s="283" t="s">
        <v>9733</v>
      </c>
      <c r="S286" s="283" t="str">
        <f t="shared" si="43"/>
        <v>voc</v>
      </c>
      <c r="T286" s="283" t="e">
        <f>INDEX(#REF!,MATCH(S286,#REF!,0))</f>
        <v>#REF!</v>
      </c>
      <c r="U286" s="283" t="e">
        <f t="shared" si="44"/>
        <v>#REF!</v>
      </c>
      <c r="X286" s="283" t="e">
        <f>INDEX(#REF!,MATCH(I286,#REF!,0))</f>
        <v>#REF!</v>
      </c>
    </row>
    <row r="287" spans="1:24" s="283" customFormat="1" ht="23.1" customHeight="1">
      <c r="A287" s="333" t="str">
        <f>'A3 Foreground Assembly'!A93</f>
        <v>Volatile organic carbons (VOCs)</v>
      </c>
      <c r="B287" s="333"/>
      <c r="C287" s="333"/>
      <c r="D287" s="333"/>
      <c r="E287" s="333"/>
      <c r="F287" s="333"/>
      <c r="G287" s="333"/>
      <c r="H287" s="333"/>
      <c r="L287" s="335"/>
    </row>
    <row r="288" spans="1:24" s="283" customFormat="1" ht="13.05" customHeight="1">
      <c r="A288" s="499" t="str">
        <f>'A3 Foreground Assembly'!A94</f>
        <v>Metals</v>
      </c>
      <c r="B288" s="333"/>
      <c r="C288" s="333"/>
      <c r="D288" s="333"/>
      <c r="E288" s="333"/>
      <c r="F288" s="333"/>
      <c r="G288" s="333"/>
      <c r="H288" s="333"/>
      <c r="I288" s="497" t="s">
        <v>10015</v>
      </c>
      <c r="L288" s="335"/>
    </row>
    <row r="289" spans="1:24" s="283" customFormat="1" ht="13.05" customHeight="1">
      <c r="A289" s="499" t="str">
        <f>'A3 Foreground Assembly'!A95</f>
        <v>Other organics</v>
      </c>
      <c r="B289" s="333"/>
      <c r="C289" s="333"/>
      <c r="D289" s="333"/>
      <c r="E289" s="333"/>
      <c r="F289" s="333"/>
      <c r="G289" s="333"/>
      <c r="H289" s="333"/>
      <c r="I289" s="497" t="s">
        <v>10015</v>
      </c>
      <c r="L289" s="335"/>
    </row>
    <row r="290" spans="1:24" s="283" customFormat="1" ht="13.05" customHeight="1">
      <c r="A290" s="499" t="str">
        <f>'A3 Foreground Assembly'!A96</f>
        <v>Other emission 1</v>
      </c>
      <c r="B290" s="333"/>
      <c r="C290" s="333"/>
      <c r="D290" s="333"/>
      <c r="E290" s="333"/>
      <c r="F290" s="333"/>
      <c r="G290" s="333"/>
      <c r="H290" s="333"/>
      <c r="I290" s="497" t="s">
        <v>10015</v>
      </c>
      <c r="L290" s="335"/>
    </row>
    <row r="291" spans="1:24" s="283" customFormat="1" ht="13.05" customHeight="1">
      <c r="A291" s="499" t="str">
        <f>'A3 Foreground Assembly'!A97</f>
        <v>Other emission 2</v>
      </c>
      <c r="B291" s="333"/>
      <c r="C291" s="333"/>
      <c r="D291" s="333"/>
      <c r="E291" s="333"/>
      <c r="F291" s="333"/>
      <c r="G291" s="333"/>
      <c r="H291" s="333"/>
      <c r="I291" s="497" t="s">
        <v>10015</v>
      </c>
      <c r="L291" s="335"/>
    </row>
    <row r="292" spans="1:24" s="283" customFormat="1" ht="13.05" customHeight="1">
      <c r="A292" s="499" t="str">
        <f>'A3 Foreground Assembly'!A98</f>
        <v>Other emission 3</v>
      </c>
      <c r="B292" s="333"/>
      <c r="C292" s="333"/>
      <c r="D292" s="333"/>
      <c r="E292" s="333"/>
      <c r="F292" s="333"/>
      <c r="G292" s="333"/>
      <c r="H292" s="333"/>
      <c r="I292" s="497" t="s">
        <v>10015</v>
      </c>
      <c r="L292" s="335"/>
    </row>
    <row r="293" spans="1:24" s="283" customFormat="1" ht="13.05" customHeight="1">
      <c r="A293" s="333"/>
      <c r="B293" s="333"/>
      <c r="C293" s="333"/>
      <c r="D293" s="333"/>
      <c r="E293" s="333"/>
      <c r="F293" s="333"/>
      <c r="G293" s="333"/>
      <c r="H293" s="333"/>
      <c r="L293" s="335"/>
    </row>
    <row r="294" spans="1:24" s="283" customFormat="1" ht="14.1" customHeight="1">
      <c r="A294" s="526" t="str">
        <f>'A3 Foreground Assembly'!A100</f>
        <v>Emissions to water</v>
      </c>
      <c r="B294" s="333"/>
      <c r="C294" s="333"/>
      <c r="D294" s="333"/>
      <c r="E294" s="333"/>
      <c r="F294" s="333"/>
      <c r="G294" s="333"/>
      <c r="H294" s="333"/>
      <c r="L294" s="335"/>
    </row>
    <row r="295" spans="1:24" s="283" customFormat="1" ht="22.5" customHeight="1">
      <c r="A295" s="333" t="str">
        <f>'A3 Foreground Assembly'!A101</f>
        <v>Total suspended solids (TSS)</v>
      </c>
      <c r="B295" s="333"/>
      <c r="C295" s="333"/>
      <c r="D295" s="333"/>
      <c r="E295" s="333"/>
      <c r="F295" s="333"/>
      <c r="G295" s="333"/>
      <c r="H295" s="333"/>
      <c r="J295" s="283" t="s">
        <v>109</v>
      </c>
      <c r="K295" s="283" t="s">
        <v>107</v>
      </c>
      <c r="L295" s="335"/>
      <c r="M295" s="283" t="s">
        <v>9735</v>
      </c>
      <c r="S295" s="283" t="str">
        <f t="shared" ref="S295:S301" si="45">M295</f>
        <v>tss</v>
      </c>
      <c r="T295" s="283" t="e">
        <f>INDEX(#REF!,MATCH(S295,#REF!,0))</f>
        <v>#REF!</v>
      </c>
      <c r="U295" s="283" t="e">
        <f t="shared" ref="U295" si="46">CONCATENATE("update tbl_parameters set value = ",R295," where tbl_parameters.ref_id = '",T295,"';")</f>
        <v>#REF!</v>
      </c>
      <c r="X295" s="283" t="e">
        <f>INDEX(#REF!,MATCH(I295,#REF!,0))</f>
        <v>#REF!</v>
      </c>
    </row>
    <row r="296" spans="1:24" s="283" customFormat="1" ht="26.1" customHeight="1">
      <c r="A296" s="333" t="str">
        <f>'A3 Foreground Assembly'!A102</f>
        <v>Total dissolved solids (TDS)</v>
      </c>
      <c r="B296" s="333"/>
      <c r="C296" s="333"/>
      <c r="D296" s="333"/>
      <c r="E296" s="333"/>
      <c r="F296" s="333"/>
      <c r="G296" s="333"/>
      <c r="H296" s="333"/>
      <c r="J296" s="283" t="s">
        <v>109</v>
      </c>
      <c r="K296" s="283" t="s">
        <v>107</v>
      </c>
      <c r="L296" s="335"/>
      <c r="M296" s="283" t="s">
        <v>9734</v>
      </c>
      <c r="S296" s="283" t="str">
        <f t="shared" si="45"/>
        <v>tds</v>
      </c>
      <c r="T296" s="283" t="e">
        <f>INDEX(#REF!,MATCH(S296,#REF!,0))</f>
        <v>#REF!</v>
      </c>
      <c r="U296" s="283" t="e">
        <f t="shared" ref="U296:U301" si="47">CONCATENATE("update tbl_parameters set value = ",R296," where tbl_parameters.ref_id = '",T296,"';")</f>
        <v>#REF!</v>
      </c>
      <c r="X296" s="283" t="e">
        <f>INDEX(#REF!,MATCH(I296,#REF!,0))</f>
        <v>#REF!</v>
      </c>
    </row>
    <row r="297" spans="1:24" s="283" customFormat="1" ht="21.6" customHeight="1">
      <c r="A297" s="333" t="str">
        <f>'A3 Foreground Assembly'!A103</f>
        <v>Total organic carbon (TOC)</v>
      </c>
      <c r="B297" s="333"/>
      <c r="C297" s="333"/>
      <c r="D297" s="333"/>
      <c r="E297" s="333"/>
      <c r="F297" s="333"/>
      <c r="G297" s="333"/>
      <c r="H297" s="333"/>
      <c r="J297" s="283" t="s">
        <v>109</v>
      </c>
      <c r="K297" s="283" t="s">
        <v>107</v>
      </c>
      <c r="L297" s="335"/>
      <c r="M297" s="283" t="s">
        <v>9740</v>
      </c>
      <c r="S297" s="283" t="str">
        <f t="shared" si="45"/>
        <v>toc</v>
      </c>
      <c r="T297" s="283" t="e">
        <f>INDEX(#REF!,MATCH(S297,#REF!,0))</f>
        <v>#REF!</v>
      </c>
      <c r="U297" s="283" t="e">
        <f t="shared" si="47"/>
        <v>#REF!</v>
      </c>
      <c r="X297" s="283" t="e">
        <f>INDEX(#REF!,MATCH(I297,#REF!,0))</f>
        <v>#REF!</v>
      </c>
    </row>
    <row r="298" spans="1:24" s="283" customFormat="1" ht="21" customHeight="1">
      <c r="A298" s="333" t="str">
        <f>'A3 Foreground Assembly'!A104</f>
        <v>Dissolved organic carbon (DOC)</v>
      </c>
      <c r="B298" s="333"/>
      <c r="C298" s="333"/>
      <c r="D298" s="333"/>
      <c r="E298" s="333"/>
      <c r="F298" s="333"/>
      <c r="G298" s="333"/>
      <c r="H298" s="333"/>
      <c r="J298" s="283" t="s">
        <v>109</v>
      </c>
      <c r="K298" s="283" t="s">
        <v>107</v>
      </c>
      <c r="L298" s="335"/>
      <c r="M298" s="283" t="s">
        <v>9736</v>
      </c>
      <c r="S298" s="283" t="str">
        <f t="shared" si="45"/>
        <v>doc</v>
      </c>
      <c r="T298" s="283" t="e">
        <f>INDEX(#REF!,MATCH(S298,#REF!,0))</f>
        <v>#REF!</v>
      </c>
      <c r="U298" s="283" t="e">
        <f t="shared" si="47"/>
        <v>#REF!</v>
      </c>
      <c r="X298" s="283" t="e">
        <f>INDEX(#REF!,MATCH(I298,#REF!,0))</f>
        <v>#REF!</v>
      </c>
    </row>
    <row r="299" spans="1:24" s="283" customFormat="1" ht="22.05" customHeight="1">
      <c r="A299" s="333" t="str">
        <f>'A3 Foreground Assembly'!A105</f>
        <v>Nitrates</v>
      </c>
      <c r="B299" s="333"/>
      <c r="C299" s="333"/>
      <c r="D299" s="333"/>
      <c r="E299" s="333"/>
      <c r="F299" s="333"/>
      <c r="G299" s="333"/>
      <c r="H299" s="333"/>
      <c r="J299" s="283" t="s">
        <v>109</v>
      </c>
      <c r="K299" s="283" t="s">
        <v>107</v>
      </c>
      <c r="L299" s="335"/>
      <c r="M299" s="283" t="s">
        <v>9739</v>
      </c>
      <c r="S299" s="283" t="str">
        <f t="shared" si="45"/>
        <v>no3</v>
      </c>
      <c r="T299" s="283" t="e">
        <f>INDEX(#REF!,MATCH(S299,#REF!,0))</f>
        <v>#REF!</v>
      </c>
      <c r="U299" s="283" t="e">
        <f t="shared" si="47"/>
        <v>#REF!</v>
      </c>
      <c r="X299" s="283" t="e">
        <f>INDEX(#REF!,MATCH(I299,#REF!,0))</f>
        <v>#REF!</v>
      </c>
    </row>
    <row r="300" spans="1:24" s="283" customFormat="1" ht="22.05" customHeight="1">
      <c r="A300" s="333" t="str">
        <f>'A3 Foreground Assembly'!A106</f>
        <v>Biological oxygen demand (BOD)</v>
      </c>
      <c r="B300" s="333"/>
      <c r="C300" s="333"/>
      <c r="D300" s="333"/>
      <c r="E300" s="333"/>
      <c r="F300" s="333"/>
      <c r="G300" s="333"/>
      <c r="H300" s="333"/>
      <c r="J300" s="283" t="s">
        <v>109</v>
      </c>
      <c r="K300" s="283" t="s">
        <v>107</v>
      </c>
      <c r="L300" s="335"/>
      <c r="M300" s="283" t="s">
        <v>9738</v>
      </c>
      <c r="S300" s="283" t="str">
        <f t="shared" si="45"/>
        <v>bod</v>
      </c>
      <c r="T300" s="283" t="e">
        <f>INDEX(#REF!,MATCH(S300,#REF!,0))</f>
        <v>#REF!</v>
      </c>
      <c r="U300" s="283" t="e">
        <f t="shared" si="47"/>
        <v>#REF!</v>
      </c>
      <c r="X300" s="283" t="e">
        <f>INDEX(#REF!,MATCH(I300,#REF!,0))</f>
        <v>#REF!</v>
      </c>
    </row>
    <row r="301" spans="1:24" s="283" customFormat="1" ht="21" customHeight="1">
      <c r="A301" s="333" t="str">
        <f>'A3 Foreground Assembly'!A107</f>
        <v>Chemical oxygen demand (COD)</v>
      </c>
      <c r="B301" s="333"/>
      <c r="C301" s="333"/>
      <c r="D301" s="333"/>
      <c r="E301" s="333"/>
      <c r="F301" s="333"/>
      <c r="G301" s="333"/>
      <c r="H301" s="333"/>
      <c r="J301" s="283" t="s">
        <v>109</v>
      </c>
      <c r="K301" s="283" t="s">
        <v>107</v>
      </c>
      <c r="L301" s="335"/>
      <c r="M301" s="283" t="s">
        <v>9737</v>
      </c>
      <c r="S301" s="283" t="str">
        <f t="shared" si="45"/>
        <v>cod</v>
      </c>
      <c r="T301" s="283" t="e">
        <f>INDEX(#REF!,MATCH(S301,#REF!,0))</f>
        <v>#REF!</v>
      </c>
      <c r="U301" s="283" t="e">
        <f t="shared" si="47"/>
        <v>#REF!</v>
      </c>
      <c r="X301" s="283" t="e">
        <f>INDEX(#REF!,MATCH(I301,#REF!,0))</f>
        <v>#REF!</v>
      </c>
    </row>
    <row r="302" spans="1:24" s="283" customFormat="1" ht="13.05" customHeight="1">
      <c r="A302" s="333" t="str">
        <f>'A3 Foreground Assembly'!A108</f>
        <v>Metals</v>
      </c>
      <c r="B302" s="333"/>
      <c r="C302" s="333"/>
      <c r="D302" s="333"/>
      <c r="E302" s="333"/>
      <c r="F302" s="333"/>
      <c r="G302" s="333"/>
      <c r="H302" s="333"/>
      <c r="I302" s="497" t="s">
        <v>10015</v>
      </c>
      <c r="L302" s="335"/>
    </row>
    <row r="303" spans="1:24" s="283" customFormat="1" ht="13.05" customHeight="1">
      <c r="A303" s="333" t="str">
        <f>'A3 Foreground Assembly'!A109</f>
        <v>Other inorganic</v>
      </c>
      <c r="B303" s="333"/>
      <c r="C303" s="333"/>
      <c r="D303" s="333"/>
      <c r="E303" s="333"/>
      <c r="F303" s="333"/>
      <c r="G303" s="333"/>
      <c r="H303" s="333"/>
      <c r="I303" s="497" t="s">
        <v>10015</v>
      </c>
      <c r="L303" s="335"/>
    </row>
    <row r="304" spans="1:24" s="283" customFormat="1" ht="13.05" customHeight="1">
      <c r="A304" s="333" t="str">
        <f>'A3 Foreground Assembly'!A110</f>
        <v>Other inorganic</v>
      </c>
      <c r="B304" s="333"/>
      <c r="C304" s="333"/>
      <c r="D304" s="333"/>
      <c r="E304" s="333"/>
      <c r="F304" s="333"/>
      <c r="G304" s="333"/>
      <c r="H304" s="333"/>
      <c r="I304" s="497" t="s">
        <v>10015</v>
      </c>
      <c r="L304" s="335"/>
    </row>
    <row r="305" spans="1:12" s="283" customFormat="1" ht="13.05" customHeight="1">
      <c r="A305" s="333" t="str">
        <f>'A3 Foreground Assembly'!A111</f>
        <v>Other organic</v>
      </c>
      <c r="B305" s="333"/>
      <c r="C305" s="333"/>
      <c r="D305" s="333"/>
      <c r="E305" s="333"/>
      <c r="F305" s="333"/>
      <c r="G305" s="333"/>
      <c r="H305" s="333"/>
      <c r="I305" s="497" t="s">
        <v>10015</v>
      </c>
      <c r="L305" s="335"/>
    </row>
    <row r="306" spans="1:12" s="283" customFormat="1" ht="13.05" customHeight="1">
      <c r="A306" s="333" t="str">
        <f>'A3 Foreground Assembly'!A112</f>
        <v>Other emission 1</v>
      </c>
      <c r="B306" s="333"/>
      <c r="C306" s="333"/>
      <c r="D306" s="333"/>
      <c r="E306" s="333"/>
      <c r="F306" s="333"/>
      <c r="G306" s="333"/>
      <c r="H306" s="333"/>
      <c r="I306" s="497" t="s">
        <v>10015</v>
      </c>
      <c r="L306" s="335"/>
    </row>
    <row r="307" spans="1:12" s="283" customFormat="1" ht="13.05" customHeight="1">
      <c r="A307" s="333" t="str">
        <f>'A3 Foreground Assembly'!A113</f>
        <v>Other emission 2</v>
      </c>
      <c r="B307" s="333"/>
      <c r="C307" s="333"/>
      <c r="D307" s="333"/>
      <c r="E307" s="333"/>
      <c r="F307" s="333"/>
      <c r="G307" s="333"/>
      <c r="H307" s="333"/>
      <c r="I307" s="497" t="s">
        <v>10015</v>
      </c>
      <c r="L307" s="335"/>
    </row>
    <row r="308" spans="1:12" s="283" customFormat="1" ht="13.05" customHeight="1">
      <c r="A308" s="333" t="str">
        <f>'A3 Foreground Assembly'!A114</f>
        <v>Other emission 3</v>
      </c>
      <c r="B308" s="333"/>
      <c r="C308" s="333"/>
      <c r="D308" s="333"/>
      <c r="E308" s="333"/>
      <c r="F308" s="333"/>
      <c r="G308" s="333"/>
      <c r="H308" s="333"/>
      <c r="L308" s="335"/>
    </row>
    <row r="309" spans="1:12" s="283" customFormat="1" ht="13.05" customHeight="1">
      <c r="A309" s="333"/>
      <c r="B309" s="333"/>
      <c r="C309" s="333"/>
      <c r="D309" s="333"/>
      <c r="E309" s="333"/>
      <c r="F309" s="333"/>
      <c r="G309" s="333"/>
      <c r="H309" s="333"/>
      <c r="L309" s="335"/>
    </row>
    <row r="310" spans="1:12" s="283" customFormat="1" ht="20.55" customHeight="1">
      <c r="A310" s="526" t="str">
        <f>'A3 Foreground Assembly'!A116</f>
        <v>Emissions to soil/land</v>
      </c>
      <c r="B310" s="333"/>
      <c r="C310" s="333"/>
      <c r="D310" s="333"/>
      <c r="E310" s="333"/>
      <c r="F310" s="333"/>
      <c r="G310" s="333"/>
      <c r="H310" s="333"/>
      <c r="L310" s="335"/>
    </row>
    <row r="311" spans="1:12" s="283" customFormat="1" ht="13.05" customHeight="1">
      <c r="A311" s="333" t="str">
        <f>'A3 Foreground Assembly'!A117</f>
        <v>Leachate</v>
      </c>
      <c r="B311" s="333"/>
      <c r="C311" s="333"/>
      <c r="D311" s="333"/>
      <c r="E311" s="333"/>
      <c r="F311" s="333"/>
      <c r="G311" s="333"/>
      <c r="H311" s="333"/>
      <c r="I311" s="497" t="s">
        <v>10015</v>
      </c>
      <c r="L311" s="335"/>
    </row>
    <row r="312" spans="1:12" s="283" customFormat="1" ht="13.05" customHeight="1">
      <c r="A312" s="333" t="str">
        <f>'A3 Foreground Assembly'!A118</f>
        <v>Dust</v>
      </c>
      <c r="B312" s="333"/>
      <c r="C312" s="333"/>
      <c r="D312" s="333"/>
      <c r="E312" s="333"/>
      <c r="F312" s="333"/>
      <c r="G312" s="333"/>
      <c r="H312" s="333"/>
      <c r="I312" s="497" t="s">
        <v>10015</v>
      </c>
      <c r="L312" s="335"/>
    </row>
    <row r="313" spans="1:12" s="283" customFormat="1" ht="13.05" customHeight="1">
      <c r="A313" s="333" t="str">
        <f>'A3 Foreground Assembly'!A119</f>
        <v>Organic emission 1</v>
      </c>
      <c r="B313" s="333"/>
      <c r="C313" s="333"/>
      <c r="D313" s="333"/>
      <c r="E313" s="333"/>
      <c r="F313" s="333"/>
      <c r="G313" s="333"/>
      <c r="H313" s="333"/>
      <c r="I313" s="497" t="s">
        <v>10015</v>
      </c>
      <c r="L313" s="335"/>
    </row>
    <row r="314" spans="1:12" s="283" customFormat="1" ht="13.05" customHeight="1">
      <c r="A314" s="333" t="str">
        <f>'A3 Foreground Assembly'!A120</f>
        <v>Organic emission 2</v>
      </c>
      <c r="B314" s="333"/>
      <c r="C314" s="333"/>
      <c r="D314" s="333"/>
      <c r="E314" s="333"/>
      <c r="F314" s="333"/>
      <c r="G314" s="333"/>
      <c r="H314" s="333"/>
      <c r="I314" s="497" t="s">
        <v>10015</v>
      </c>
      <c r="L314" s="335"/>
    </row>
    <row r="315" spans="1:12" s="283" customFormat="1" ht="13.05" customHeight="1">
      <c r="A315" s="333" t="str">
        <f>'A3 Foreground Assembly'!A121</f>
        <v>Organic emission 3</v>
      </c>
      <c r="B315" s="333"/>
      <c r="C315" s="333"/>
      <c r="D315" s="333"/>
      <c r="E315" s="333"/>
      <c r="F315" s="333"/>
      <c r="G315" s="333"/>
      <c r="H315" s="333"/>
      <c r="I315" s="497" t="s">
        <v>10015</v>
      </c>
      <c r="L315" s="335"/>
    </row>
    <row r="316" spans="1:12" s="283" customFormat="1" ht="13.05" customHeight="1">
      <c r="A316" s="333" t="str">
        <f>'A3 Foreground Assembly'!A122</f>
        <v>Organic emission 4</v>
      </c>
      <c r="B316" s="333"/>
      <c r="C316" s="333"/>
      <c r="D316" s="333"/>
      <c r="E316" s="333"/>
      <c r="F316" s="333"/>
      <c r="G316" s="333"/>
      <c r="H316" s="333"/>
      <c r="I316" s="497" t="s">
        <v>10015</v>
      </c>
      <c r="L316" s="335"/>
    </row>
    <row r="317" spans="1:12" s="283" customFormat="1" ht="13.05" customHeight="1">
      <c r="A317" s="333" t="str">
        <f>'A3 Foreground Assembly'!A123</f>
        <v>Organic emission 5</v>
      </c>
      <c r="B317" s="333"/>
      <c r="C317" s="333"/>
      <c r="D317" s="333"/>
      <c r="E317" s="333"/>
      <c r="F317" s="333"/>
      <c r="G317" s="333"/>
      <c r="H317" s="333"/>
      <c r="I317" s="497" t="s">
        <v>10015</v>
      </c>
      <c r="L317" s="335"/>
    </row>
    <row r="318" spans="1:12" s="283" customFormat="1" ht="13.05" customHeight="1">
      <c r="A318" s="333" t="str">
        <f>'A3 Foreground Assembly'!A124</f>
        <v>Organic emission 6</v>
      </c>
      <c r="B318" s="333"/>
      <c r="C318" s="333"/>
      <c r="D318" s="333"/>
      <c r="E318" s="333"/>
      <c r="F318" s="333"/>
      <c r="G318" s="333"/>
      <c r="H318" s="333"/>
      <c r="I318" s="497" t="s">
        <v>10015</v>
      </c>
      <c r="L318" s="335"/>
    </row>
    <row r="319" spans="1:12" s="283" customFormat="1" ht="13.05" customHeight="1">
      <c r="A319" s="333" t="str">
        <f>'A3 Foreground Assembly'!A125</f>
        <v>Inorganic emission 1</v>
      </c>
      <c r="B319" s="333"/>
      <c r="C319" s="333"/>
      <c r="D319" s="333"/>
      <c r="E319" s="333"/>
      <c r="F319" s="333"/>
      <c r="G319" s="333"/>
      <c r="H319" s="333"/>
      <c r="I319" s="497" t="s">
        <v>10015</v>
      </c>
      <c r="L319" s="335"/>
    </row>
    <row r="320" spans="1:12" s="283" customFormat="1" ht="13.05" customHeight="1">
      <c r="A320" s="333" t="str">
        <f>'A3 Foreground Assembly'!A126</f>
        <v>Inorganic emission 2</v>
      </c>
      <c r="B320" s="333"/>
      <c r="C320" s="333"/>
      <c r="D320" s="333"/>
      <c r="E320" s="333"/>
      <c r="F320" s="333"/>
      <c r="G320" s="333"/>
      <c r="H320" s="333"/>
      <c r="I320" s="497" t="s">
        <v>10015</v>
      </c>
      <c r="L320" s="335"/>
    </row>
    <row r="321" spans="1:24" s="283" customFormat="1" ht="13.05" customHeight="1">
      <c r="A321" s="333" t="str">
        <f>'A3 Foreground Assembly'!A127</f>
        <v>Inorganic emission 3</v>
      </c>
      <c r="B321" s="333"/>
      <c r="C321" s="333"/>
      <c r="D321" s="333"/>
      <c r="E321" s="333"/>
      <c r="F321" s="333"/>
      <c r="G321" s="333"/>
      <c r="H321" s="333"/>
      <c r="I321" s="497" t="s">
        <v>10015</v>
      </c>
      <c r="L321" s="335"/>
    </row>
    <row r="322" spans="1:24" s="283" customFormat="1" ht="13.05" customHeight="1">
      <c r="A322" s="333" t="str">
        <f>'A3 Foreground Assembly'!A128</f>
        <v>Inorganic emission 4</v>
      </c>
      <c r="B322" s="333"/>
      <c r="C322" s="333"/>
      <c r="D322" s="333"/>
      <c r="E322" s="333"/>
      <c r="F322" s="333"/>
      <c r="G322" s="333"/>
      <c r="H322" s="333"/>
      <c r="I322" s="497" t="s">
        <v>10015</v>
      </c>
      <c r="L322" s="335"/>
    </row>
    <row r="323" spans="1:24" s="283" customFormat="1" ht="13.05" customHeight="1">
      <c r="A323" s="333" t="str">
        <f>'A3 Foreground Assembly'!A129</f>
        <v>Inorganic emission 5</v>
      </c>
      <c r="B323" s="333"/>
      <c r="C323" s="333"/>
      <c r="D323" s="333"/>
      <c r="E323" s="333"/>
      <c r="F323" s="333"/>
      <c r="G323" s="333"/>
      <c r="H323" s="333"/>
      <c r="I323" s="497" t="s">
        <v>10015</v>
      </c>
      <c r="L323" s="335"/>
    </row>
    <row r="324" spans="1:24" s="283" customFormat="1" ht="13.05" customHeight="1">
      <c r="A324" s="333" t="str">
        <f>'A3 Foreground Assembly'!A130</f>
        <v>Inorganic emission 6</v>
      </c>
      <c r="B324" s="333"/>
      <c r="C324" s="333"/>
      <c r="D324" s="333"/>
      <c r="E324" s="333"/>
      <c r="F324" s="333"/>
      <c r="G324" s="333"/>
      <c r="H324" s="333"/>
      <c r="L324" s="335"/>
    </row>
    <row r="325" spans="1:24" s="283" customFormat="1" ht="13.05" customHeight="1">
      <c r="A325" s="333"/>
      <c r="B325" s="333"/>
      <c r="C325" s="333"/>
      <c r="D325" s="333"/>
      <c r="E325" s="333"/>
      <c r="F325" s="333"/>
      <c r="G325" s="333"/>
      <c r="H325" s="333"/>
      <c r="L325" s="335"/>
    </row>
    <row r="326" spans="1:24" s="283" customFormat="1" ht="13.05" customHeight="1">
      <c r="A326" s="333"/>
      <c r="B326" s="333"/>
      <c r="C326" s="333"/>
      <c r="D326" s="333"/>
      <c r="E326" s="333"/>
      <c r="F326" s="333"/>
      <c r="G326" s="333"/>
      <c r="H326" s="333"/>
      <c r="L326" s="335"/>
    </row>
    <row r="327" spans="1:24" s="327" customFormat="1">
      <c r="A327" s="328" t="s">
        <v>10017</v>
      </c>
      <c r="B327" s="326"/>
      <c r="C327" s="326"/>
      <c r="D327" s="326"/>
      <c r="E327" s="326"/>
      <c r="F327" s="325"/>
      <c r="G327" s="326"/>
      <c r="H327" s="326"/>
      <c r="L327" s="326"/>
    </row>
    <row r="328" spans="1:24" s="283" customFormat="1">
      <c r="A328" s="333" t="str">
        <f>'A4-A5 Deliver Install'!A8</f>
        <v>van</v>
      </c>
      <c r="B328" s="333" t="str">
        <f t="shared" si="35"/>
        <v>-</v>
      </c>
      <c r="C328" s="333" t="str">
        <f t="shared" si="35"/>
        <v>-</v>
      </c>
      <c r="D328" s="333" t="str">
        <f t="shared" si="35"/>
        <v>-</v>
      </c>
      <c r="E328" s="333" t="str">
        <f t="shared" si="35"/>
        <v>-</v>
      </c>
      <c r="F328" s="333" t="str">
        <f t="shared" si="35"/>
        <v>-</v>
      </c>
      <c r="G328" s="333" t="str">
        <f t="shared" si="35"/>
        <v>-</v>
      </c>
      <c r="H328" s="333"/>
      <c r="I328" s="283" t="s">
        <v>5471</v>
      </c>
      <c r="J328" s="283" t="s">
        <v>9994</v>
      </c>
      <c r="K328" s="283" t="s">
        <v>9995</v>
      </c>
      <c r="L328" s="335" t="e">
        <f>SUM('A4-A5 Deliver Install'!D8,'A4-A5 Deliver Install'!I8,'A4-A5 Deliver Install'!N8)</f>
        <v>#DIV/0!</v>
      </c>
      <c r="M328" s="283" t="s">
        <v>9720</v>
      </c>
      <c r="R328" s="335" t="e">
        <f>L328</f>
        <v>#DIV/0!</v>
      </c>
      <c r="S328" s="283" t="str">
        <f>M328</f>
        <v>van_deliv</v>
      </c>
      <c r="T328" s="283" t="e">
        <f>INDEX(#REF!,MATCH(S328,#REF!,0))</f>
        <v>#REF!</v>
      </c>
      <c r="U328" s="283" t="e">
        <f t="shared" ref="U328" si="48">CONCATENATE("update tbl_parameters set value = ",R328," where tbl_parameters.ref_id = '",T328,"';")</f>
        <v>#DIV/0!</v>
      </c>
      <c r="V328" s="283" t="e">
        <f t="shared" ref="V328" si="49">_xlfn.IFNA(U328,"")</f>
        <v>#DIV/0!</v>
      </c>
      <c r="X328" s="283" t="e">
        <f>INDEX(#REF!,MATCH(I328,#REF!,0))</f>
        <v>#REF!</v>
      </c>
    </row>
    <row r="329" spans="1:24" s="283" customFormat="1">
      <c r="A329" s="333" t="str">
        <f>'A4-A5 Deliver Install'!A9</f>
        <v>light duty commercial</v>
      </c>
      <c r="B329" s="333" t="str">
        <f t="shared" si="35"/>
        <v>-</v>
      </c>
      <c r="C329" s="333" t="str">
        <f t="shared" si="35"/>
        <v>-</v>
      </c>
      <c r="D329" s="333" t="str">
        <f t="shared" si="35"/>
        <v>-</v>
      </c>
      <c r="E329" s="333" t="str">
        <f t="shared" si="35"/>
        <v>-</v>
      </c>
      <c r="F329" s="333" t="str">
        <f t="shared" si="35"/>
        <v>-</v>
      </c>
      <c r="G329" s="333" t="str">
        <f t="shared" si="35"/>
        <v>-</v>
      </c>
      <c r="H329" s="333"/>
      <c r="I329" s="283" t="s">
        <v>5520</v>
      </c>
      <c r="J329" s="283" t="s">
        <v>9994</v>
      </c>
      <c r="K329" s="283" t="s">
        <v>9995</v>
      </c>
      <c r="L329" s="335" t="e">
        <f>SUM('A4-A5 Deliver Install'!D9,'A4-A5 Deliver Install'!I9,'A4-A5 Deliver Install'!N9)</f>
        <v>#DIV/0!</v>
      </c>
      <c r="M329" s="283" t="s">
        <v>9716</v>
      </c>
      <c r="R329" s="335" t="e">
        <f t="shared" ref="R329:R336" si="50">L329</f>
        <v>#DIV/0!</v>
      </c>
      <c r="S329" s="283" t="str">
        <f t="shared" ref="S329:S336" si="51">M329</f>
        <v>lt_comm_deliv</v>
      </c>
      <c r="T329" s="283" t="e">
        <f>INDEX(#REF!,MATCH(S329,#REF!,0))</f>
        <v>#REF!</v>
      </c>
      <c r="U329" s="283" t="e">
        <f t="shared" ref="U329:U336" si="52">CONCATENATE("update tbl_parameters set value = ",R329," where tbl_parameters.ref_id = '",T329,"';")</f>
        <v>#DIV/0!</v>
      </c>
      <c r="V329" s="283" t="e">
        <f t="shared" ref="V329:V336" si="53">_xlfn.IFNA(U329,"")</f>
        <v>#DIV/0!</v>
      </c>
      <c r="X329" s="283" t="e">
        <f>INDEX(#REF!,MATCH(I329,#REF!,0))</f>
        <v>#REF!</v>
      </c>
    </row>
    <row r="330" spans="1:24" s="283" customFormat="1" ht="20.399999999999999">
      <c r="A330" s="333" t="str">
        <f>'A4-A5 Deliver Install'!A10</f>
        <v>medium duty commercial 2-axle</v>
      </c>
      <c r="B330" s="333" t="str">
        <f t="shared" si="35"/>
        <v>-</v>
      </c>
      <c r="C330" s="333" t="str">
        <f t="shared" si="35"/>
        <v>-</v>
      </c>
      <c r="D330" s="333" t="str">
        <f t="shared" si="35"/>
        <v>-</v>
      </c>
      <c r="E330" s="333" t="str">
        <f t="shared" si="35"/>
        <v>-</v>
      </c>
      <c r="F330" s="333" t="str">
        <f t="shared" si="35"/>
        <v>-</v>
      </c>
      <c r="G330" s="333" t="str">
        <f t="shared" si="35"/>
        <v>-</v>
      </c>
      <c r="H330" s="333"/>
      <c r="I330" s="283" t="s">
        <v>5534</v>
      </c>
      <c r="J330" s="283" t="s">
        <v>9994</v>
      </c>
      <c r="K330" s="283" t="s">
        <v>9995</v>
      </c>
      <c r="L330" s="335" t="e">
        <f>SUM('A4-A5 Deliver Install'!D10,'A4-A5 Deliver Install'!I10,'A4-A5 Deliver Install'!N10)</f>
        <v>#DIV/0!</v>
      </c>
      <c r="M330" s="283" t="s">
        <v>9717</v>
      </c>
      <c r="R330" s="335" t="e">
        <f t="shared" si="50"/>
        <v>#DIV/0!</v>
      </c>
      <c r="S330" s="283" t="str">
        <f t="shared" si="51"/>
        <v>medium_deliv</v>
      </c>
      <c r="T330" s="283" t="e">
        <f>INDEX(#REF!,MATCH(S330,#REF!,0))</f>
        <v>#REF!</v>
      </c>
      <c r="U330" s="283" t="e">
        <f t="shared" si="52"/>
        <v>#DIV/0!</v>
      </c>
      <c r="V330" s="283" t="e">
        <f t="shared" si="53"/>
        <v>#DIV/0!</v>
      </c>
      <c r="X330" s="283" t="e">
        <f>INDEX(#REF!,MATCH(I330,#REF!,0))</f>
        <v>#REF!</v>
      </c>
    </row>
    <row r="331" spans="1:24" s="283" customFormat="1">
      <c r="A331" s="333" t="str">
        <f>'A4-A5 Deliver Install'!A11</f>
        <v>3-axle truck single unit</v>
      </c>
      <c r="B331" s="333" t="str">
        <f t="shared" si="35"/>
        <v>-</v>
      </c>
      <c r="C331" s="333" t="str">
        <f t="shared" si="35"/>
        <v>-</v>
      </c>
      <c r="D331" s="333" t="str">
        <f t="shared" si="35"/>
        <v>-</v>
      </c>
      <c r="E331" s="333" t="str">
        <f t="shared" si="35"/>
        <v>-</v>
      </c>
      <c r="F331" s="333" t="str">
        <f t="shared" si="35"/>
        <v>-</v>
      </c>
      <c r="G331" s="333" t="str">
        <f t="shared" si="35"/>
        <v>-</v>
      </c>
      <c r="H331" s="333"/>
      <c r="I331" s="283" t="s">
        <v>5504</v>
      </c>
      <c r="J331" s="283" t="s">
        <v>9994</v>
      </c>
      <c r="K331" s="283" t="s">
        <v>9995</v>
      </c>
      <c r="L331" s="335" t="e">
        <f>SUM('A4-A5 Deliver Install'!D11,'A4-A5 Deliver Install'!I11,'A4-A5 Deliver Install'!N11)</f>
        <v>#DIV/0!</v>
      </c>
      <c r="M331" s="283" t="s">
        <v>9719</v>
      </c>
      <c r="R331" s="335" t="e">
        <f t="shared" si="50"/>
        <v>#DIV/0!</v>
      </c>
      <c r="S331" s="283" t="str">
        <f t="shared" si="51"/>
        <v>single_deliv</v>
      </c>
      <c r="T331" s="283" t="e">
        <f>INDEX(#REF!,MATCH(S331,#REF!,0))</f>
        <v>#REF!</v>
      </c>
      <c r="U331" s="283" t="e">
        <f t="shared" si="52"/>
        <v>#DIV/0!</v>
      </c>
      <c r="V331" s="283" t="e">
        <f t="shared" si="53"/>
        <v>#DIV/0!</v>
      </c>
      <c r="X331" s="283" t="e">
        <f>INDEX(#REF!,MATCH(I331,#REF!,0))</f>
        <v>#REF!</v>
      </c>
    </row>
    <row r="332" spans="1:24" s="283" customFormat="1" ht="20.399999999999999">
      <c r="A332" s="333" t="str">
        <f>'A4-A5 Deliver Install'!A12</f>
        <v>6-axle semi-trailer combo truck</v>
      </c>
      <c r="B332" s="333" t="str">
        <f t="shared" si="35"/>
        <v>-</v>
      </c>
      <c r="C332" s="333" t="str">
        <f t="shared" si="35"/>
        <v>-</v>
      </c>
      <c r="D332" s="333" t="str">
        <f t="shared" si="35"/>
        <v>-</v>
      </c>
      <c r="E332" s="333" t="str">
        <f t="shared" si="35"/>
        <v>-</v>
      </c>
      <c r="F332" s="333" t="str">
        <f t="shared" si="35"/>
        <v>-</v>
      </c>
      <c r="G332" s="333" t="str">
        <f t="shared" si="35"/>
        <v>-</v>
      </c>
      <c r="H332" s="333"/>
      <c r="I332" s="283" t="s">
        <v>5490</v>
      </c>
      <c r="J332" s="283" t="s">
        <v>9994</v>
      </c>
      <c r="K332" s="283" t="s">
        <v>9995</v>
      </c>
      <c r="L332" s="335" t="e">
        <f>SUM('A4-A5 Deliver Install'!D12,'A4-A5 Deliver Install'!I12,'A4-A5 Deliver Install'!N12)</f>
        <v>#DIV/0!</v>
      </c>
      <c r="M332" s="283" t="s">
        <v>9715</v>
      </c>
      <c r="R332" s="335" t="e">
        <f t="shared" si="50"/>
        <v>#DIV/0!</v>
      </c>
      <c r="S332" s="283" t="str">
        <f t="shared" si="51"/>
        <v>combo_deliv</v>
      </c>
      <c r="T332" s="283" t="e">
        <f>INDEX(#REF!,MATCH(S332,#REF!,0))</f>
        <v>#REF!</v>
      </c>
      <c r="U332" s="283" t="e">
        <f t="shared" si="52"/>
        <v>#DIV/0!</v>
      </c>
      <c r="V332" s="283" t="e">
        <f t="shared" si="53"/>
        <v>#DIV/0!</v>
      </c>
      <c r="X332" s="283" t="e">
        <f>INDEX(#REF!,MATCH(I332,#REF!,0))</f>
        <v>#REF!</v>
      </c>
    </row>
    <row r="333" spans="1:24" s="283" customFormat="1">
      <c r="A333" s="333" t="str">
        <f>'A4-A5 Deliver Install'!A13</f>
        <v>containership</v>
      </c>
      <c r="B333" s="333" t="str">
        <f t="shared" si="35"/>
        <v>-</v>
      </c>
      <c r="C333" s="333" t="str">
        <f t="shared" si="35"/>
        <v>-</v>
      </c>
      <c r="D333" s="333" t="str">
        <f t="shared" si="35"/>
        <v>-</v>
      </c>
      <c r="E333" s="333" t="str">
        <f t="shared" si="35"/>
        <v>-</v>
      </c>
      <c r="F333" s="333" t="str">
        <f t="shared" si="35"/>
        <v>-</v>
      </c>
      <c r="G333" s="333" t="str">
        <f t="shared" si="35"/>
        <v>-</v>
      </c>
      <c r="H333" s="333"/>
      <c r="I333" s="283" t="s">
        <v>5615</v>
      </c>
      <c r="J333" s="283" t="s">
        <v>9994</v>
      </c>
      <c r="K333" s="283" t="s">
        <v>9995</v>
      </c>
      <c r="L333" s="335" t="e">
        <f>SUM('A4-A5 Deliver Install'!D13,'A4-A5 Deliver Install'!I13,'A4-A5 Deliver Install'!N13)</f>
        <v>#DIV/0!</v>
      </c>
      <c r="M333" s="283" t="s">
        <v>9714</v>
      </c>
      <c r="R333" s="335" t="e">
        <f t="shared" si="50"/>
        <v>#DIV/0!</v>
      </c>
      <c r="S333" s="283" t="str">
        <f t="shared" si="51"/>
        <v>cntnrship_deliv</v>
      </c>
      <c r="T333" s="283" t="e">
        <f>INDEX(#REF!,MATCH(S333,#REF!,0))</f>
        <v>#REF!</v>
      </c>
      <c r="U333" s="283" t="e">
        <f t="shared" si="52"/>
        <v>#DIV/0!</v>
      </c>
      <c r="V333" s="283" t="e">
        <f t="shared" si="53"/>
        <v>#DIV/0!</v>
      </c>
      <c r="X333" s="283" t="e">
        <f>INDEX(#REF!,MATCH(I333,#REF!,0))</f>
        <v>#REF!</v>
      </c>
    </row>
    <row r="334" spans="1:24" s="283" customFormat="1">
      <c r="A334" s="333" t="str">
        <f>'A4-A5 Deliver Install'!A14</f>
        <v>barge</v>
      </c>
      <c r="B334" s="333" t="str">
        <f t="shared" si="35"/>
        <v>-</v>
      </c>
      <c r="C334" s="333" t="str">
        <f t="shared" si="35"/>
        <v>-</v>
      </c>
      <c r="D334" s="333" t="str">
        <f t="shared" si="35"/>
        <v>-</v>
      </c>
      <c r="E334" s="333" t="str">
        <f t="shared" si="35"/>
        <v>-</v>
      </c>
      <c r="F334" s="333" t="str">
        <f t="shared" si="35"/>
        <v>-</v>
      </c>
      <c r="G334" s="333" t="str">
        <f t="shared" si="35"/>
        <v>-</v>
      </c>
      <c r="H334" s="333"/>
      <c r="I334" s="283" t="s">
        <v>5462</v>
      </c>
      <c r="J334" s="283" t="s">
        <v>9994</v>
      </c>
      <c r="K334" s="283" t="s">
        <v>9995</v>
      </c>
      <c r="L334" s="335" t="e">
        <f>SUM('A4-A5 Deliver Install'!D14,'A4-A5 Deliver Install'!I14,'A4-A5 Deliver Install'!N14)</f>
        <v>#DIV/0!</v>
      </c>
      <c r="M334" s="283" t="s">
        <v>9713</v>
      </c>
      <c r="R334" s="335" t="e">
        <f t="shared" si="50"/>
        <v>#DIV/0!</v>
      </c>
      <c r="S334" s="283" t="str">
        <f t="shared" si="51"/>
        <v>barge_deliv</v>
      </c>
      <c r="T334" s="283" t="e">
        <f>INDEX(#REF!,MATCH(S334,#REF!,0))</f>
        <v>#REF!</v>
      </c>
      <c r="U334" s="283" t="e">
        <f t="shared" si="52"/>
        <v>#DIV/0!</v>
      </c>
      <c r="V334" s="283" t="e">
        <f t="shared" si="53"/>
        <v>#DIV/0!</v>
      </c>
      <c r="X334" s="283" t="e">
        <f>INDEX(#REF!,MATCH(I334,#REF!,0))</f>
        <v>#REF!</v>
      </c>
    </row>
    <row r="335" spans="1:24" s="283" customFormat="1">
      <c r="A335" s="333" t="str">
        <f>'A4-A5 Deliver Install'!A15</f>
        <v>air freight</v>
      </c>
      <c r="B335" s="333" t="str">
        <f t="shared" si="35"/>
        <v>-</v>
      </c>
      <c r="C335" s="333" t="str">
        <f t="shared" si="35"/>
        <v>-</v>
      </c>
      <c r="D335" s="333" t="str">
        <f t="shared" si="35"/>
        <v>-</v>
      </c>
      <c r="E335" s="333" t="str">
        <f t="shared" si="35"/>
        <v>-</v>
      </c>
      <c r="F335" s="333" t="str">
        <f t="shared" si="35"/>
        <v>-</v>
      </c>
      <c r="G335" s="333" t="str">
        <f t="shared" si="35"/>
        <v>-</v>
      </c>
      <c r="H335" s="333"/>
      <c r="I335" s="283" t="s">
        <v>5455</v>
      </c>
      <c r="J335" s="283" t="s">
        <v>9994</v>
      </c>
      <c r="K335" s="283" t="s">
        <v>9995</v>
      </c>
      <c r="L335" s="335" t="e">
        <f>SUM('A4-A5 Deliver Install'!D15,'A4-A5 Deliver Install'!I15,'A4-A5 Deliver Install'!N15)</f>
        <v>#DIV/0!</v>
      </c>
      <c r="M335" s="283" t="s">
        <v>9712</v>
      </c>
      <c r="R335" s="335" t="e">
        <f t="shared" si="50"/>
        <v>#DIV/0!</v>
      </c>
      <c r="S335" s="283" t="str">
        <f t="shared" si="51"/>
        <v>air_deliv</v>
      </c>
      <c r="T335" s="283" t="e">
        <f>INDEX(#REF!,MATCH(S335,#REF!,0))</f>
        <v>#REF!</v>
      </c>
      <c r="U335" s="283" t="e">
        <f t="shared" si="52"/>
        <v>#DIV/0!</v>
      </c>
      <c r="V335" s="283" t="e">
        <f t="shared" si="53"/>
        <v>#DIV/0!</v>
      </c>
      <c r="X335" s="283" t="e">
        <f>INDEX(#REF!,MATCH(I335,#REF!,0))</f>
        <v>#REF!</v>
      </c>
    </row>
    <row r="336" spans="1:24" s="283" customFormat="1">
      <c r="A336" s="333" t="str">
        <f>'A4-A5 Deliver Install'!A16</f>
        <v>rail freight</v>
      </c>
      <c r="B336" s="333" t="str">
        <f t="shared" si="35"/>
        <v>-</v>
      </c>
      <c r="C336" s="333" t="str">
        <f t="shared" si="35"/>
        <v>-</v>
      </c>
      <c r="D336" s="333" t="str">
        <f t="shared" si="35"/>
        <v>-</v>
      </c>
      <c r="E336" s="333" t="str">
        <f t="shared" si="35"/>
        <v>-</v>
      </c>
      <c r="F336" s="333" t="str">
        <f t="shared" si="35"/>
        <v>-</v>
      </c>
      <c r="G336" s="333" t="str">
        <f t="shared" si="35"/>
        <v>-</v>
      </c>
      <c r="H336" s="333"/>
      <c r="I336" s="283" t="s">
        <v>5440</v>
      </c>
      <c r="J336" s="283" t="s">
        <v>9994</v>
      </c>
      <c r="K336" s="283" t="s">
        <v>9995</v>
      </c>
      <c r="L336" s="335" t="e">
        <f>SUM('A4-A5 Deliver Install'!D16,'A4-A5 Deliver Install'!I16,'A4-A5 Deliver Install'!N16)</f>
        <v>#DIV/0!</v>
      </c>
      <c r="M336" s="283" t="s">
        <v>9718</v>
      </c>
      <c r="R336" s="335" t="e">
        <f t="shared" si="50"/>
        <v>#DIV/0!</v>
      </c>
      <c r="S336" s="283" t="str">
        <f t="shared" si="51"/>
        <v>rail_deliv</v>
      </c>
      <c r="T336" s="283" t="e">
        <f>INDEX(#REF!,MATCH(S336,#REF!,0))</f>
        <v>#REF!</v>
      </c>
      <c r="U336" s="283" t="e">
        <f t="shared" si="52"/>
        <v>#DIV/0!</v>
      </c>
      <c r="V336" s="283" t="e">
        <f t="shared" si="53"/>
        <v>#DIV/0!</v>
      </c>
      <c r="X336" s="283" t="e">
        <f>INDEX(#REF!,MATCH(I336,#REF!,0))</f>
        <v>#REF!</v>
      </c>
    </row>
    <row r="337" spans="1:24" s="283" customFormat="1">
      <c r="A337" s="333"/>
      <c r="B337" s="333"/>
      <c r="C337" s="333"/>
      <c r="D337" s="333"/>
      <c r="E337" s="333"/>
      <c r="F337" s="333"/>
      <c r="G337" s="333"/>
      <c r="H337" s="333"/>
      <c r="L337" s="335"/>
      <c r="R337" s="335"/>
    </row>
    <row r="338" spans="1:24" s="283" customFormat="1">
      <c r="A338" s="333" t="s">
        <v>10018</v>
      </c>
      <c r="B338" s="333" t="s">
        <v>10019</v>
      </c>
      <c r="C338" s="333"/>
      <c r="D338" s="333"/>
      <c r="E338" s="333"/>
      <c r="F338" s="333"/>
      <c r="G338" s="333"/>
      <c r="H338" s="333"/>
      <c r="I338" s="283" t="s">
        <v>5952</v>
      </c>
      <c r="J338" s="283" t="s">
        <v>109</v>
      </c>
      <c r="K338" s="283" t="s">
        <v>107</v>
      </c>
      <c r="L338" s="335" t="e">
        <f>'A4-A5 Deliver Install'!E60/'A4-A5 Deliver Install'!G31</f>
        <v>#DIV/0!</v>
      </c>
      <c r="M338" s="283" t="s">
        <v>9743</v>
      </c>
      <c r="R338" s="335" t="e">
        <f t="shared" ref="R338" si="54">L338</f>
        <v>#DIV/0!</v>
      </c>
      <c r="S338" s="283" t="str">
        <f t="shared" ref="S338" si="55">M338</f>
        <v>install_waste_paper</v>
      </c>
      <c r="T338" s="283" t="e">
        <f>INDEX(#REF!,MATCH(S338,#REF!,0))</f>
        <v>#REF!</v>
      </c>
      <c r="U338" s="283" t="e">
        <f t="shared" ref="U338" si="56">CONCATENATE("update tbl_parameters set value = ",R338," where tbl_parameters.ref_id = '",T338,"';")</f>
        <v>#DIV/0!</v>
      </c>
      <c r="V338" s="283" t="e">
        <f t="shared" ref="V338" si="57">_xlfn.IFNA(U338,"")</f>
        <v>#DIV/0!</v>
      </c>
      <c r="X338" s="283" t="e">
        <f>INDEX(#REF!,MATCH(I338,#REF!,0))</f>
        <v>#REF!</v>
      </c>
    </row>
    <row r="339" spans="1:24" s="283" customFormat="1">
      <c r="A339" s="333" t="s">
        <v>10018</v>
      </c>
      <c r="B339" s="333" t="s">
        <v>10020</v>
      </c>
      <c r="C339" s="333"/>
      <c r="D339" s="333"/>
      <c r="E339" s="333"/>
      <c r="F339" s="333"/>
      <c r="G339" s="333"/>
      <c r="H339" s="333"/>
      <c r="I339" s="283" t="s">
        <v>6250</v>
      </c>
      <c r="J339" s="283" t="s">
        <v>109</v>
      </c>
      <c r="K339" s="283" t="s">
        <v>107</v>
      </c>
      <c r="L339" s="335" t="e">
        <f>'A4-A5 Deliver Install'!E59/'A4-A5 Deliver Install'!G31</f>
        <v>#DIV/0!</v>
      </c>
      <c r="M339" s="283" t="s">
        <v>9742</v>
      </c>
      <c r="R339" s="335" t="e">
        <f t="shared" ref="R339" si="58">L339</f>
        <v>#DIV/0!</v>
      </c>
      <c r="S339" s="283" t="str">
        <f t="shared" ref="S339" si="59">M339</f>
        <v>install_waste_plastic</v>
      </c>
      <c r="T339" s="283" t="e">
        <f>INDEX(#REF!,MATCH(S339,#REF!,0))</f>
        <v>#REF!</v>
      </c>
      <c r="U339" s="283" t="e">
        <f t="shared" ref="U339" si="60">CONCATENATE("update tbl_parameters set value = ",R339," where tbl_parameters.ref_id = '",T339,"';")</f>
        <v>#DIV/0!</v>
      </c>
      <c r="V339" s="283" t="e">
        <f t="shared" ref="V339" si="61">_xlfn.IFNA(U339,"")</f>
        <v>#DIV/0!</v>
      </c>
      <c r="X339" s="283" t="e">
        <f>INDEX(#REF!,MATCH(I339,#REF!,0))</f>
        <v>#REF!</v>
      </c>
    </row>
    <row r="340" spans="1:24" s="283" customFormat="1">
      <c r="A340" s="333"/>
      <c r="B340" s="333"/>
      <c r="C340" s="333"/>
      <c r="D340" s="333"/>
      <c r="E340" s="333"/>
      <c r="F340" s="333"/>
      <c r="G340" s="333"/>
      <c r="H340" s="333"/>
      <c r="L340" s="335"/>
      <c r="R340" s="335"/>
    </row>
    <row r="341" spans="1:24" s="283" customFormat="1">
      <c r="A341" s="333"/>
      <c r="B341" s="333"/>
      <c r="C341" s="333"/>
      <c r="D341" s="333"/>
      <c r="E341" s="333"/>
      <c r="F341" s="333"/>
      <c r="G341" s="333"/>
      <c r="H341" s="333"/>
      <c r="L341" s="335"/>
      <c r="R341" s="335"/>
    </row>
    <row r="342" spans="1:24" s="283" customFormat="1">
      <c r="A342" s="333"/>
      <c r="B342" s="333"/>
      <c r="C342" s="333"/>
      <c r="D342" s="333"/>
      <c r="E342" s="333"/>
      <c r="F342" s="333"/>
      <c r="G342" s="333"/>
      <c r="H342" s="333"/>
      <c r="L342" s="335"/>
      <c r="R342" s="335"/>
    </row>
    <row r="343" spans="1:24" s="283" customFormat="1">
      <c r="A343" s="333" t="s">
        <v>8853</v>
      </c>
      <c r="B343" s="335" t="s">
        <v>9826</v>
      </c>
      <c r="C343" s="335" t="s">
        <v>9826</v>
      </c>
      <c r="D343" s="335" t="s">
        <v>9826</v>
      </c>
      <c r="E343" s="335" t="s">
        <v>9826</v>
      </c>
      <c r="F343" s="334" t="s">
        <v>9826</v>
      </c>
      <c r="G343" s="335" t="s">
        <v>9826</v>
      </c>
      <c r="H343" s="335"/>
      <c r="I343" s="3" t="s">
        <v>1736</v>
      </c>
      <c r="J343" s="283" t="s">
        <v>9997</v>
      </c>
      <c r="K343" s="283" t="s">
        <v>6249</v>
      </c>
      <c r="L343" s="335" t="e">
        <f>'A4-A5 Deliver Install'!C31/'A4-A5 Deliver Install'!G31</f>
        <v>#DIV/0!</v>
      </c>
      <c r="M343" s="283" t="s">
        <v>9741</v>
      </c>
      <c r="R343" s="335" t="e">
        <f t="shared" ref="R343" si="62">L343</f>
        <v>#DIV/0!</v>
      </c>
      <c r="S343" s="283" t="str">
        <f t="shared" ref="S343" si="63">M343</f>
        <v>install_elec</v>
      </c>
      <c r="T343" s="283" t="e">
        <f>INDEX(#REF!,MATCH(S343,#REF!,0))</f>
        <v>#REF!</v>
      </c>
      <c r="U343" s="283" t="e">
        <f t="shared" ref="U343" si="64">CONCATENATE("update tbl_parameters set value = ",R343," where tbl_parameters.ref_id = '",T343,"';")</f>
        <v>#DIV/0!</v>
      </c>
      <c r="V343" s="283" t="e">
        <f t="shared" ref="V343" si="65">_xlfn.IFNA(U343,"")</f>
        <v>#DIV/0!</v>
      </c>
      <c r="X343" s="283" t="e">
        <f>INDEX(#REF!,MATCH(I343,#REF!,0))</f>
        <v>#REF!</v>
      </c>
    </row>
    <row r="344" spans="1:24" s="283" customFormat="1">
      <c r="A344" s="333"/>
      <c r="B344" s="335"/>
      <c r="C344" s="335"/>
      <c r="D344" s="335"/>
      <c r="E344" s="335"/>
      <c r="F344" s="334"/>
      <c r="G344" s="335"/>
      <c r="H344" s="335"/>
      <c r="L344" s="335"/>
      <c r="R344" s="335"/>
    </row>
    <row r="345" spans="1:24" s="283" customFormat="1">
      <c r="A345" s="333"/>
      <c r="B345" s="335"/>
      <c r="C345" s="335"/>
      <c r="D345" s="335"/>
      <c r="E345" s="335"/>
      <c r="F345" s="334"/>
      <c r="G345" s="335"/>
      <c r="H345" s="335"/>
      <c r="L345" s="335"/>
      <c r="R345" s="335"/>
    </row>
    <row r="346" spans="1:24" s="283" customFormat="1">
      <c r="A346" s="333"/>
      <c r="B346" s="335"/>
      <c r="C346" s="335"/>
      <c r="D346" s="335"/>
      <c r="E346" s="335"/>
      <c r="F346" s="334"/>
      <c r="G346" s="335"/>
      <c r="H346" s="335"/>
      <c r="L346" s="335"/>
      <c r="R346" s="335"/>
    </row>
    <row r="347" spans="1:24" s="283" customFormat="1">
      <c r="A347" s="333"/>
      <c r="B347" s="335"/>
      <c r="C347" s="335"/>
      <c r="D347" s="335"/>
      <c r="E347" s="335"/>
      <c r="F347" s="334"/>
      <c r="G347" s="335"/>
      <c r="H347" s="335"/>
      <c r="L347" s="335"/>
      <c r="R347" s="335"/>
    </row>
    <row r="348" spans="1:24" s="283" customFormat="1">
      <c r="A348" s="333"/>
      <c r="B348" s="335"/>
      <c r="C348" s="335"/>
      <c r="D348" s="335"/>
      <c r="E348" s="335"/>
      <c r="F348" s="334"/>
      <c r="G348" s="335"/>
      <c r="H348" s="335"/>
      <c r="L348" s="335"/>
      <c r="R348" s="335"/>
    </row>
    <row r="350" spans="1:24" s="327" customFormat="1">
      <c r="A350" s="328" t="s">
        <v>10021</v>
      </c>
      <c r="B350" s="326"/>
      <c r="C350" s="326"/>
      <c r="D350" s="326"/>
      <c r="E350" s="326"/>
      <c r="F350" s="325"/>
      <c r="G350" s="326"/>
      <c r="H350" s="326"/>
      <c r="L350" s="326"/>
    </row>
    <row r="351" spans="1:24" s="3" customFormat="1">
      <c r="A351" s="409" t="s">
        <v>10022</v>
      </c>
      <c r="B351" s="263"/>
      <c r="C351" s="263"/>
      <c r="D351" s="263"/>
      <c r="E351" s="263"/>
      <c r="F351" s="410"/>
      <c r="G351" s="263"/>
      <c r="H351" s="263"/>
      <c r="K351" s="3" t="s">
        <v>8477</v>
      </c>
      <c r="L351" s="263">
        <f>'B1-B6 Use'!C16</f>
        <v>0</v>
      </c>
      <c r="M351" s="3" t="s">
        <v>9584</v>
      </c>
      <c r="R351" s="335">
        <f t="shared" ref="R351" si="66">L351</f>
        <v>0</v>
      </c>
      <c r="S351" s="283" t="str">
        <f t="shared" ref="S351" si="67">M351</f>
        <v>Power_use</v>
      </c>
      <c r="T351" s="283" t="e">
        <f>INDEX(#REF!,MATCH(S351,#REF!,0))</f>
        <v>#REF!</v>
      </c>
      <c r="U351" s="283" t="e">
        <f t="shared" ref="U351" si="68">CONCATENATE("update tbl_parameters set value = ",R351," where tbl_parameters.ref_id = '",T351,"';")</f>
        <v>#REF!</v>
      </c>
      <c r="V351" s="283" t="e">
        <f t="shared" ref="V351" si="69">_xlfn.IFNA(U351,"")</f>
        <v>#REF!</v>
      </c>
      <c r="W351" s="283"/>
      <c r="X351" s="283" t="e">
        <f>INDEX(#REF!,MATCH(I351,#REF!,0))</f>
        <v>#REF!</v>
      </c>
    </row>
    <row r="352" spans="1:24" s="3" customFormat="1">
      <c r="A352" s="409" t="s">
        <v>10023</v>
      </c>
      <c r="B352" s="263"/>
      <c r="C352" s="263"/>
      <c r="D352" s="263"/>
      <c r="E352" s="263"/>
      <c r="F352" s="410"/>
      <c r="G352" s="263"/>
      <c r="H352" s="263"/>
      <c r="I352" s="3" t="s">
        <v>1736</v>
      </c>
      <c r="J352" s="3" t="s">
        <v>9997</v>
      </c>
      <c r="K352" s="3" t="s">
        <v>6249</v>
      </c>
      <c r="L352" s="263">
        <f>L351/1000*GEN_EPD!C68</f>
        <v>0</v>
      </c>
      <c r="M352" s="3" t="s">
        <v>9586</v>
      </c>
      <c r="R352" s="335">
        <f t="shared" ref="R352" si="70">L352</f>
        <v>0</v>
      </c>
      <c r="S352" s="283" t="str">
        <f t="shared" ref="S352" si="71">M352</f>
        <v>Life_power_use</v>
      </c>
      <c r="T352" s="283" t="e">
        <f>INDEX(#REF!,MATCH(S352,#REF!,0))</f>
        <v>#REF!</v>
      </c>
      <c r="U352" s="283" t="e">
        <f t="shared" ref="U352" si="72">CONCATENATE("update tbl_parameters set value = ",R352," where tbl_parameters.ref_id = '",T352,"';")</f>
        <v>#REF!</v>
      </c>
      <c r="V352" s="283" t="e">
        <f t="shared" ref="V352" si="73">_xlfn.IFNA(U352,"")</f>
        <v>#REF!</v>
      </c>
      <c r="W352" s="283"/>
      <c r="X352" s="283" t="e">
        <f>INDEX(#REF!,MATCH(I352,#REF!,0))</f>
        <v>#REF!</v>
      </c>
    </row>
    <row r="353" spans="1:24" s="3" customFormat="1">
      <c r="A353" s="409"/>
      <c r="B353" s="263"/>
      <c r="C353" s="263"/>
      <c r="D353" s="263"/>
      <c r="E353" s="263"/>
      <c r="F353" s="410"/>
      <c r="G353" s="263"/>
      <c r="H353" s="263"/>
      <c r="L353" s="263"/>
      <c r="R353" s="335"/>
      <c r="S353" s="283"/>
      <c r="T353" s="283"/>
      <c r="U353" s="283"/>
      <c r="V353" s="283"/>
      <c r="W353" s="283"/>
      <c r="X353" s="283"/>
    </row>
    <row r="354" spans="1:24" s="3" customFormat="1">
      <c r="A354" s="541" t="s">
        <v>10024</v>
      </c>
      <c r="B354" s="263"/>
      <c r="C354" s="263"/>
      <c r="D354" s="263"/>
      <c r="E354" s="263"/>
      <c r="F354" s="410"/>
      <c r="G354" s="263"/>
      <c r="H354" s="263"/>
      <c r="L354" s="263"/>
      <c r="R354" s="335"/>
      <c r="S354" s="283"/>
      <c r="T354" s="283"/>
      <c r="U354" s="283"/>
      <c r="V354" s="283"/>
      <c r="W354" s="283"/>
      <c r="X354" s="283"/>
    </row>
    <row r="355" spans="1:24" s="3" customFormat="1">
      <c r="A355" s="409"/>
      <c r="B355" s="263"/>
      <c r="C355" s="263"/>
      <c r="D355" s="263"/>
      <c r="E355" s="263"/>
      <c r="F355" s="410"/>
      <c r="G355" s="263"/>
      <c r="H355" s="263"/>
      <c r="L355" s="263"/>
      <c r="R355" s="335"/>
      <c r="S355" s="283"/>
      <c r="T355" s="283"/>
      <c r="U355" s="283"/>
      <c r="V355" s="283"/>
      <c r="W355" s="283"/>
      <c r="X355" s="283"/>
    </row>
    <row r="356" spans="1:24" s="3" customFormat="1">
      <c r="A356" s="409"/>
      <c r="B356" s="263"/>
      <c r="C356" s="263"/>
      <c r="D356" s="263"/>
      <c r="E356" s="263"/>
      <c r="F356" s="410"/>
      <c r="G356" s="263"/>
      <c r="H356" s="263"/>
      <c r="L356" s="263"/>
      <c r="R356" s="335"/>
      <c r="S356" s="283"/>
      <c r="T356" s="283"/>
      <c r="U356" s="283"/>
      <c r="V356" s="283"/>
      <c r="W356" s="283"/>
      <c r="X356" s="283"/>
    </row>
    <row r="357" spans="1:24" s="3" customFormat="1">
      <c r="A357" s="409"/>
      <c r="B357" s="263"/>
      <c r="C357" s="263"/>
      <c r="D357" s="263"/>
      <c r="E357" s="263"/>
      <c r="F357" s="410"/>
      <c r="G357" s="263"/>
      <c r="H357" s="263"/>
      <c r="L357" s="263"/>
      <c r="R357" s="335"/>
      <c r="S357" s="283"/>
      <c r="T357" s="283"/>
      <c r="U357" s="283"/>
      <c r="V357" s="283"/>
      <c r="W357" s="283"/>
      <c r="X357" s="283"/>
    </row>
    <row r="358" spans="1:24" s="3" customFormat="1">
      <c r="A358" s="409"/>
      <c r="B358" s="263"/>
      <c r="C358" s="263"/>
      <c r="D358" s="263"/>
      <c r="E358" s="263"/>
      <c r="F358" s="410"/>
      <c r="G358" s="263"/>
      <c r="H358" s="263"/>
      <c r="L358" s="263"/>
      <c r="R358" s="335"/>
      <c r="S358" s="283"/>
      <c r="T358" s="283"/>
      <c r="U358" s="283"/>
      <c r="V358" s="283"/>
      <c r="W358" s="283"/>
      <c r="X358" s="283"/>
    </row>
    <row r="359" spans="1:24" s="3" customFormat="1">
      <c r="A359" s="409"/>
      <c r="B359" s="263"/>
      <c r="C359" s="263"/>
      <c r="D359" s="263"/>
      <c r="E359" s="263"/>
      <c r="F359" s="410"/>
      <c r="G359" s="263"/>
      <c r="H359" s="263"/>
      <c r="L359" s="263"/>
      <c r="R359" s="335"/>
      <c r="S359" s="283"/>
      <c r="T359" s="283"/>
      <c r="U359" s="283"/>
      <c r="V359" s="283"/>
      <c r="W359" s="283"/>
      <c r="X359" s="283"/>
    </row>
    <row r="360" spans="1:24" s="3" customFormat="1">
      <c r="A360" s="409"/>
      <c r="B360" s="263"/>
      <c r="C360" s="263"/>
      <c r="D360" s="263"/>
      <c r="E360" s="263"/>
      <c r="F360" s="410"/>
      <c r="G360" s="263"/>
      <c r="H360" s="263"/>
      <c r="L360" s="263"/>
      <c r="R360" s="335"/>
      <c r="S360" s="283"/>
      <c r="T360" s="283"/>
      <c r="U360" s="283"/>
      <c r="V360" s="283"/>
      <c r="W360" s="283"/>
      <c r="X360" s="283"/>
    </row>
    <row r="362" spans="1:24" s="327" customFormat="1">
      <c r="A362" s="328" t="s">
        <v>68</v>
      </c>
      <c r="B362" s="326"/>
      <c r="C362" s="326"/>
      <c r="D362" s="326"/>
      <c r="E362" s="326"/>
      <c r="F362" s="325"/>
      <c r="G362" s="326"/>
      <c r="H362" s="326"/>
      <c r="L362" s="326"/>
    </row>
    <row r="363" spans="1:24" s="3" customFormat="1">
      <c r="A363" s="541" t="s">
        <v>10025</v>
      </c>
      <c r="B363" s="263"/>
      <c r="C363" s="263"/>
      <c r="D363" s="263"/>
      <c r="E363" s="263"/>
      <c r="F363" s="410"/>
      <c r="G363" s="263"/>
      <c r="H363" s="263"/>
      <c r="L363" s="263"/>
      <c r="R363" s="335"/>
      <c r="S363" s="283"/>
      <c r="T363" s="283"/>
      <c r="U363" s="283"/>
      <c r="V363" s="283"/>
      <c r="W363" s="283"/>
      <c r="X363" s="283"/>
    </row>
    <row r="364" spans="1:24" s="3" customFormat="1">
      <c r="A364" s="541" t="s">
        <v>10026</v>
      </c>
      <c r="B364" s="263"/>
      <c r="C364" s="263"/>
      <c r="D364" s="263"/>
      <c r="E364" s="263"/>
      <c r="F364" s="410"/>
      <c r="G364" s="263"/>
      <c r="H364" s="263"/>
      <c r="L364" s="263"/>
      <c r="R364" s="335"/>
      <c r="S364" s="283"/>
      <c r="T364" s="283"/>
      <c r="U364" s="283"/>
      <c r="V364" s="283"/>
      <c r="W364" s="283"/>
      <c r="X364" s="283"/>
    </row>
    <row r="365" spans="1:24" s="3" customFormat="1">
      <c r="A365" s="409"/>
      <c r="B365" s="263"/>
      <c r="C365" s="263"/>
      <c r="D365" s="263"/>
      <c r="E365" s="263"/>
      <c r="F365" s="410"/>
      <c r="G365" s="263"/>
      <c r="H365" s="263"/>
      <c r="L365" s="263"/>
      <c r="R365" s="335"/>
      <c r="S365" s="283"/>
      <c r="T365" s="283"/>
      <c r="U365" s="283"/>
      <c r="V365" s="283"/>
      <c r="W365" s="283"/>
      <c r="X365" s="283"/>
    </row>
    <row r="367" spans="1:24" s="327" customFormat="1">
      <c r="A367" s="328" t="s">
        <v>10027</v>
      </c>
      <c r="B367" s="326"/>
      <c r="C367" s="326"/>
      <c r="D367" s="326"/>
      <c r="E367" s="326"/>
      <c r="F367" s="325"/>
      <c r="G367" s="326"/>
      <c r="H367" s="326"/>
      <c r="L367" s="326"/>
    </row>
    <row r="368" spans="1:24" s="3" customFormat="1">
      <c r="A368" s="541" t="s">
        <v>10026</v>
      </c>
      <c r="B368" s="263"/>
      <c r="C368" s="263"/>
      <c r="D368" s="263"/>
      <c r="E368" s="263"/>
      <c r="F368" s="410"/>
      <c r="G368" s="263"/>
      <c r="H368" s="263"/>
      <c r="L368" s="263"/>
      <c r="R368" s="335"/>
      <c r="S368" s="283"/>
      <c r="T368" s="283"/>
      <c r="U368" s="283"/>
      <c r="V368" s="283"/>
      <c r="W368" s="283"/>
      <c r="X368" s="283"/>
    </row>
  </sheetData>
  <sheetProtection algorithmName="SHA-512" hashValue="Supmk+jiEBcPnBN/CLo6xFmprTgPVR0A2d65F62FMkFgVfCJR0dbuuxwJb9YVtivxCG+xvSXRrlMjz9EOOUkVw==" saltValue="5/JsYnhBtDCWq+OSKybNoQ==" spinCount="100000" sheet="1" objects="1" scenarios="1" selectLockedCells="1" selectUnlockedCells="1"/>
  <sortState xmlns:xlrd2="http://schemas.microsoft.com/office/spreadsheetml/2017/richdata2" ref="A59:U211">
    <sortCondition ref="B59:B211"/>
  </sortState>
  <mergeCells count="7">
    <mergeCell ref="B276:H276"/>
    <mergeCell ref="U276:V276"/>
    <mergeCell ref="A1:F1"/>
    <mergeCell ref="G1:N1"/>
    <mergeCell ref="R1:V1"/>
    <mergeCell ref="B241:H241"/>
    <mergeCell ref="U241:V241"/>
  </mergeCells>
  <phoneticPr fontId="33" type="noConversion"/>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D55BF-CD13-4E55-BAB4-F393F2272C4A}">
  <sheetPr codeName="Sheet18">
    <tabColor theme="0" tint="-0.14999847407452621"/>
  </sheetPr>
  <dimension ref="A1:AE88"/>
  <sheetViews>
    <sheetView zoomScaleNormal="100" workbookViewId="0">
      <pane xSplit="1" ySplit="6" topLeftCell="B61" activePane="bottomRight" state="frozen"/>
      <selection sqref="A1:F1"/>
      <selection pane="topRight" sqref="A1:F1"/>
      <selection pane="bottomLeft" sqref="A1:F1"/>
      <selection pane="bottomRight" sqref="A1:F1"/>
    </sheetView>
  </sheetViews>
  <sheetFormatPr defaultRowHeight="14.4"/>
  <cols>
    <col min="2" max="2" width="11.5546875" bestFit="1" customWidth="1"/>
    <col min="5" max="5" width="7.44140625" customWidth="1"/>
    <col min="6" max="6" width="9" customWidth="1"/>
    <col min="7" max="8" width="7.44140625" customWidth="1"/>
    <col min="9" max="10" width="8.5546875" customWidth="1"/>
    <col min="11" max="11" width="7.44140625" customWidth="1"/>
    <col min="12" max="12" width="8.44140625" customWidth="1"/>
    <col min="13" max="13" width="7.5546875" customWidth="1"/>
    <col min="14" max="14" width="10.44140625" customWidth="1"/>
    <col min="15" max="15" width="8.44140625" customWidth="1"/>
    <col min="16" max="16" width="10" customWidth="1"/>
    <col min="17" max="17" width="9.44140625" customWidth="1"/>
    <col min="18" max="18" width="7.44140625" customWidth="1"/>
    <col min="19" max="19" width="9.44140625" customWidth="1"/>
    <col min="20" max="20" width="11.44140625" customWidth="1"/>
    <col min="21" max="21" width="8.5546875" style="165"/>
  </cols>
  <sheetData>
    <row r="1" spans="1:31" s="102" customFormat="1" ht="23.4">
      <c r="A1" s="102" t="s">
        <v>9484</v>
      </c>
      <c r="U1" s="111"/>
    </row>
    <row r="2" spans="1:31" ht="15" thickBot="1">
      <c r="A2" s="312"/>
      <c r="B2" s="312"/>
      <c r="C2" s="312"/>
      <c r="D2" s="312"/>
      <c r="E2" s="312"/>
      <c r="F2" s="312"/>
      <c r="G2" s="312"/>
      <c r="H2" s="312"/>
      <c r="I2" s="312"/>
      <c r="J2" s="312"/>
      <c r="K2" s="312"/>
      <c r="L2" s="312"/>
      <c r="M2" s="312"/>
      <c r="N2" s="312"/>
      <c r="O2" s="312"/>
      <c r="P2" s="312"/>
      <c r="Q2" s="312"/>
      <c r="R2" s="312"/>
      <c r="S2" s="312"/>
      <c r="T2" s="312"/>
      <c r="V2" s="312"/>
      <c r="W2" s="312"/>
      <c r="X2" s="312"/>
      <c r="Y2" s="312"/>
      <c r="Z2" s="312"/>
      <c r="AA2" s="312"/>
      <c r="AB2" s="312"/>
      <c r="AC2" s="312"/>
      <c r="AD2" s="312"/>
      <c r="AE2" s="312"/>
    </row>
    <row r="3" spans="1:31" ht="54.6" customHeight="1">
      <c r="A3" s="81"/>
      <c r="B3" s="917" t="s">
        <v>9485</v>
      </c>
      <c r="C3" s="917"/>
      <c r="D3" s="917"/>
      <c r="E3" s="917"/>
      <c r="F3" s="917"/>
      <c r="G3" s="917"/>
      <c r="H3" s="917"/>
      <c r="I3" s="918"/>
      <c r="J3" s="919" t="s">
        <v>9486</v>
      </c>
      <c r="K3" s="917"/>
      <c r="L3" s="917"/>
      <c r="M3" s="917"/>
      <c r="N3" s="917"/>
      <c r="O3" s="917"/>
      <c r="P3" s="917"/>
      <c r="Q3" s="917"/>
      <c r="R3" s="917"/>
      <c r="S3" s="918"/>
      <c r="T3" s="64"/>
      <c r="U3" s="166" t="s">
        <v>9487</v>
      </c>
      <c r="V3" s="12" t="s">
        <v>9488</v>
      </c>
      <c r="W3" s="312"/>
      <c r="X3" s="312"/>
      <c r="Y3" s="312"/>
      <c r="Z3" s="312"/>
      <c r="AA3" s="312"/>
      <c r="AB3" s="312"/>
      <c r="AC3" s="312"/>
      <c r="AD3" s="312"/>
      <c r="AE3" s="312"/>
    </row>
    <row r="4" spans="1:31" ht="29.85" customHeight="1" thickBot="1">
      <c r="A4" s="78"/>
      <c r="B4" s="48" t="s">
        <v>9489</v>
      </c>
      <c r="C4" s="64"/>
      <c r="D4" s="64"/>
      <c r="E4" s="64"/>
      <c r="F4" s="64"/>
      <c r="G4" s="64"/>
      <c r="H4" s="64"/>
      <c r="I4" s="79"/>
      <c r="J4" s="80"/>
      <c r="K4" s="64"/>
      <c r="L4" s="64"/>
      <c r="M4" s="64"/>
      <c r="N4" s="64"/>
      <c r="O4" s="64"/>
      <c r="P4" s="64"/>
      <c r="Q4" s="64"/>
      <c r="R4" s="64"/>
      <c r="S4" s="64"/>
      <c r="T4" s="64"/>
      <c r="V4" s="312"/>
      <c r="W4" s="312"/>
      <c r="X4" s="312"/>
      <c r="Y4" s="312"/>
      <c r="Z4" s="312"/>
      <c r="AA4" s="312"/>
      <c r="AB4" s="312"/>
      <c r="AC4" s="312"/>
      <c r="AD4" s="312"/>
      <c r="AE4" s="312"/>
    </row>
    <row r="5" spans="1:31" ht="27.6" customHeight="1">
      <c r="A5" s="74" t="s">
        <v>9490</v>
      </c>
      <c r="B5" s="21">
        <v>7713.4682050000101</v>
      </c>
      <c r="C5" s="21"/>
      <c r="D5" s="21"/>
      <c r="E5" s="21"/>
      <c r="F5" s="21"/>
      <c r="G5" s="21"/>
      <c r="H5" s="21"/>
      <c r="I5" s="22"/>
      <c r="J5" s="20"/>
      <c r="K5" s="21"/>
      <c r="L5" s="21"/>
      <c r="M5" s="21"/>
      <c r="N5" s="21"/>
      <c r="O5" s="21"/>
      <c r="P5" s="21"/>
      <c r="Q5" s="21"/>
      <c r="R5" s="21"/>
      <c r="S5" s="21"/>
      <c r="T5" s="920" t="s">
        <v>9491</v>
      </c>
      <c r="U5" s="165">
        <v>2019</v>
      </c>
      <c r="V5" s="312" t="s">
        <v>9492</v>
      </c>
      <c r="W5" s="312"/>
      <c r="X5" s="312"/>
      <c r="Y5" s="312"/>
      <c r="Z5" s="312"/>
      <c r="AA5" s="312"/>
      <c r="AB5" s="312"/>
      <c r="AC5" s="312"/>
      <c r="AD5" s="312"/>
      <c r="AE5" s="312"/>
    </row>
    <row r="6" spans="1:31" ht="48.6" customHeight="1" thickBot="1">
      <c r="A6" s="46" t="s">
        <v>9493</v>
      </c>
      <c r="B6" s="47" t="s">
        <v>9494</v>
      </c>
      <c r="C6" s="47" t="s">
        <v>9495</v>
      </c>
      <c r="D6" s="48" t="s">
        <v>9496</v>
      </c>
      <c r="E6" s="48" t="s">
        <v>9497</v>
      </c>
      <c r="F6" s="47" t="s">
        <v>9498</v>
      </c>
      <c r="G6" s="47" t="s">
        <v>9499</v>
      </c>
      <c r="H6" s="47" t="s">
        <v>9500</v>
      </c>
      <c r="I6" s="49" t="s">
        <v>9501</v>
      </c>
      <c r="J6" s="46" t="s">
        <v>9502</v>
      </c>
      <c r="K6" s="47" t="s">
        <v>9503</v>
      </c>
      <c r="L6" s="48" t="s">
        <v>9504</v>
      </c>
      <c r="M6" s="48" t="s">
        <v>9505</v>
      </c>
      <c r="N6" s="48" t="s">
        <v>9506</v>
      </c>
      <c r="O6" s="48" t="s">
        <v>9507</v>
      </c>
      <c r="P6" s="48" t="s">
        <v>9508</v>
      </c>
      <c r="Q6" s="48" t="s">
        <v>9092</v>
      </c>
      <c r="R6" s="48" t="s">
        <v>9509</v>
      </c>
      <c r="S6" s="48" t="s">
        <v>9508</v>
      </c>
      <c r="T6" s="920"/>
      <c r="U6" s="165">
        <v>2011</v>
      </c>
      <c r="V6" s="312" t="s">
        <v>9510</v>
      </c>
      <c r="W6" s="312"/>
      <c r="X6" s="312"/>
      <c r="Y6" s="312"/>
      <c r="Z6" s="312"/>
      <c r="AA6" s="312"/>
      <c r="AB6" s="312"/>
      <c r="AC6" s="312"/>
      <c r="AD6" s="312"/>
      <c r="AE6" s="312" t="s">
        <v>9511</v>
      </c>
    </row>
    <row r="7" spans="1:31">
      <c r="A7" s="23" t="s">
        <v>9512</v>
      </c>
      <c r="B7" s="29">
        <v>0.71899999999999997</v>
      </c>
      <c r="C7" s="29">
        <v>0.27700000000000002</v>
      </c>
      <c r="D7" s="40">
        <v>1867.5</v>
      </c>
      <c r="E7" s="38">
        <f>445</f>
        <v>445</v>
      </c>
      <c r="F7" s="317"/>
      <c r="G7" s="317"/>
      <c r="H7" s="317"/>
      <c r="I7" s="61">
        <v>0.8</v>
      </c>
      <c r="J7" s="23"/>
      <c r="K7" s="317"/>
      <c r="L7" s="317"/>
      <c r="M7" s="317"/>
      <c r="N7" s="317"/>
      <c r="O7" s="317"/>
      <c r="P7" s="317"/>
      <c r="Q7" s="317"/>
      <c r="R7" s="317"/>
      <c r="S7" s="25"/>
      <c r="T7" s="317"/>
      <c r="U7" s="165">
        <v>2019</v>
      </c>
      <c r="V7" s="312" t="s">
        <v>9513</v>
      </c>
      <c r="W7" s="312" t="s">
        <v>9514</v>
      </c>
      <c r="X7" s="312"/>
      <c r="Y7" s="312"/>
      <c r="Z7" s="312"/>
      <c r="AA7" s="312"/>
      <c r="AB7" s="312"/>
      <c r="AC7" s="312"/>
      <c r="AD7" s="18" t="s">
        <v>9515</v>
      </c>
      <c r="AE7" s="312" t="s">
        <v>9516</v>
      </c>
    </row>
    <row r="8" spans="1:31">
      <c r="A8" s="23" t="s">
        <v>9517</v>
      </c>
      <c r="B8" s="29">
        <f>64866/(64866+33789)</f>
        <v>0.65750342101261972</v>
      </c>
      <c r="C8" s="29">
        <f>33789/(33789+64866)</f>
        <v>0.34249657898738028</v>
      </c>
      <c r="D8" s="39">
        <f>33.789+64.866</f>
        <v>98.655000000000001</v>
      </c>
      <c r="E8" s="29">
        <f>19981/(19981+7263)</f>
        <v>0.73340919101453528</v>
      </c>
      <c r="F8" s="29">
        <f>7263/(19981+7263)</f>
        <v>0.26659080898546467</v>
      </c>
      <c r="G8" s="88">
        <v>27.244</v>
      </c>
      <c r="H8" s="29">
        <f>34403/99670</f>
        <v>0.34516905789104041</v>
      </c>
      <c r="I8" s="61">
        <f>(19981+14422)/80665</f>
        <v>0.42649228289840702</v>
      </c>
      <c r="J8" s="26"/>
      <c r="K8" s="89"/>
      <c r="L8" s="27"/>
      <c r="M8" s="27"/>
      <c r="N8" s="27"/>
      <c r="O8" s="27"/>
      <c r="P8" s="27"/>
      <c r="Q8" s="27"/>
      <c r="R8" s="27"/>
      <c r="S8" s="28"/>
      <c r="T8" s="27"/>
      <c r="U8" s="165">
        <v>2019</v>
      </c>
      <c r="V8" s="312" t="s">
        <v>9518</v>
      </c>
      <c r="W8" s="312"/>
      <c r="X8" s="312"/>
      <c r="Y8" s="312"/>
      <c r="Z8" s="312"/>
      <c r="AA8" s="312"/>
      <c r="AB8" s="312"/>
      <c r="AC8" s="312"/>
      <c r="AD8" s="312"/>
      <c r="AE8" s="312"/>
    </row>
    <row r="9" spans="1:31">
      <c r="A9" s="23" t="s">
        <v>9519</v>
      </c>
      <c r="B9" s="29">
        <f>20.85/(20.85+3.29)</f>
        <v>0.86371168185584102</v>
      </c>
      <c r="C9" s="29">
        <f>3.29/(3.29+20.85)</f>
        <v>0.13628831814415907</v>
      </c>
      <c r="D9" s="39">
        <f>23.73+5.43</f>
        <v>29.16</v>
      </c>
      <c r="E9" s="29">
        <f>5.66/G9</f>
        <v>0.4387596899224806</v>
      </c>
      <c r="F9" s="29">
        <f>1.68/G9</f>
        <v>0.13023255813953488</v>
      </c>
      <c r="G9" s="88">
        <v>12.9</v>
      </c>
      <c r="H9" s="59">
        <f>(3.29+5.43)/29.06</f>
        <v>0.30006882312456984</v>
      </c>
      <c r="I9" s="59">
        <v>0.45500000000000002</v>
      </c>
      <c r="J9" s="23"/>
      <c r="K9" s="317"/>
      <c r="L9" s="317"/>
      <c r="M9" s="317"/>
      <c r="N9" s="317"/>
      <c r="O9" s="317"/>
      <c r="P9" s="317"/>
      <c r="Q9" s="317"/>
      <c r="R9" s="317"/>
      <c r="S9" s="25"/>
      <c r="T9" s="317"/>
      <c r="V9" s="312" t="s">
        <v>9520</v>
      </c>
      <c r="W9" s="312"/>
      <c r="X9" s="312"/>
      <c r="Y9" s="312"/>
      <c r="Z9" s="312"/>
      <c r="AA9" s="312"/>
      <c r="AB9" s="17"/>
      <c r="AC9" s="312"/>
      <c r="AD9" s="312"/>
      <c r="AE9" s="312"/>
    </row>
    <row r="10" spans="1:31">
      <c r="A10" s="23" t="s">
        <v>9521</v>
      </c>
      <c r="B10" s="317"/>
      <c r="C10" s="317"/>
      <c r="D10" s="54"/>
      <c r="E10" s="317"/>
      <c r="F10" s="317"/>
      <c r="G10" s="317"/>
      <c r="H10" s="317"/>
      <c r="I10" s="25"/>
      <c r="J10" s="23"/>
      <c r="K10" s="317"/>
      <c r="L10" s="317"/>
      <c r="M10" s="317"/>
      <c r="N10" s="317"/>
      <c r="O10" s="317"/>
      <c r="P10" s="317"/>
      <c r="Q10" s="317"/>
      <c r="R10" s="317"/>
      <c r="S10" s="25"/>
      <c r="T10" s="317"/>
      <c r="V10" s="312"/>
      <c r="W10" s="312"/>
      <c r="X10" s="312"/>
      <c r="Y10" s="312"/>
      <c r="Z10" s="312"/>
      <c r="AA10" s="312"/>
      <c r="AB10" s="312"/>
      <c r="AC10" s="312"/>
      <c r="AD10" s="312"/>
      <c r="AE10" s="312"/>
    </row>
    <row r="11" spans="1:31">
      <c r="A11" s="23" t="s">
        <v>9522</v>
      </c>
      <c r="B11" s="317"/>
      <c r="C11" s="317"/>
      <c r="D11" s="54"/>
      <c r="E11" s="317"/>
      <c r="F11" s="317"/>
      <c r="G11" s="317"/>
      <c r="H11" s="317"/>
      <c r="I11" s="25"/>
      <c r="J11" s="23"/>
      <c r="K11" s="317"/>
      <c r="L11" s="317"/>
      <c r="M11" s="317"/>
      <c r="N11" s="317"/>
      <c r="O11" s="317"/>
      <c r="P11" s="317"/>
      <c r="Q11" s="317"/>
      <c r="R11" s="317"/>
      <c r="S11" s="25"/>
      <c r="T11" s="317"/>
      <c r="V11" s="312"/>
      <c r="W11" s="312"/>
      <c r="X11" s="312"/>
      <c r="Y11" s="312"/>
      <c r="Z11" s="312"/>
      <c r="AA11" s="312"/>
      <c r="AB11" s="312"/>
      <c r="AC11" s="312"/>
      <c r="AD11" s="312"/>
      <c r="AE11" s="312"/>
    </row>
    <row r="12" spans="1:31">
      <c r="A12" s="23" t="s">
        <v>9523</v>
      </c>
      <c r="B12" s="317"/>
      <c r="C12" s="317"/>
      <c r="D12" s="54">
        <f>116+68+38+25+33+27+11</f>
        <v>318</v>
      </c>
      <c r="E12" s="317"/>
      <c r="F12" s="317"/>
      <c r="G12" s="317"/>
      <c r="H12" s="317"/>
      <c r="I12" s="25"/>
      <c r="J12" s="23"/>
      <c r="K12" s="317"/>
      <c r="L12" s="317"/>
      <c r="M12" s="317"/>
      <c r="N12" s="317"/>
      <c r="O12" s="317"/>
      <c r="P12" s="317"/>
      <c r="Q12" s="317"/>
      <c r="R12" s="317"/>
      <c r="S12" s="25"/>
      <c r="T12" s="317"/>
      <c r="U12" s="165" t="s">
        <v>9524</v>
      </c>
      <c r="V12" s="312" t="s">
        <v>9525</v>
      </c>
      <c r="W12" s="312"/>
      <c r="X12" s="312"/>
      <c r="Y12" s="312"/>
      <c r="Z12" s="312"/>
      <c r="AA12" s="312"/>
      <c r="AB12" s="312"/>
      <c r="AC12" s="312"/>
      <c r="AD12" s="312"/>
      <c r="AE12" s="312"/>
    </row>
    <row r="13" spans="1:31">
      <c r="A13" s="23" t="s">
        <v>9526</v>
      </c>
      <c r="B13" s="29"/>
      <c r="C13" s="29"/>
      <c r="D13" s="54"/>
      <c r="E13" s="317"/>
      <c r="F13" s="317"/>
      <c r="G13" s="317"/>
      <c r="H13" s="317"/>
      <c r="I13" s="25"/>
      <c r="J13" s="23"/>
      <c r="K13" s="317"/>
      <c r="L13" s="317"/>
      <c r="M13" s="317"/>
      <c r="N13" s="317"/>
      <c r="O13" s="317"/>
      <c r="P13" s="317"/>
      <c r="Q13" s="317"/>
      <c r="R13" s="317"/>
      <c r="S13" s="25"/>
      <c r="T13" s="317"/>
      <c r="V13" s="312"/>
      <c r="W13" s="312"/>
      <c r="X13" s="312"/>
      <c r="Y13" s="312"/>
      <c r="Z13" s="312"/>
      <c r="AA13" s="312"/>
      <c r="AB13" s="312"/>
      <c r="AC13" s="312"/>
      <c r="AD13" s="312"/>
      <c r="AE13" s="312"/>
    </row>
    <row r="14" spans="1:31">
      <c r="A14" s="23" t="s">
        <v>9527</v>
      </c>
      <c r="B14" s="29"/>
      <c r="C14" s="29"/>
      <c r="D14" s="54"/>
      <c r="E14" s="317"/>
      <c r="F14" s="317"/>
      <c r="G14" s="317"/>
      <c r="H14" s="59">
        <f>174/(64+32+150+174)</f>
        <v>0.41428571428571431</v>
      </c>
      <c r="I14" s="59">
        <f>(32+215)/399</f>
        <v>0.61904761904761907</v>
      </c>
      <c r="J14" s="23"/>
      <c r="K14" s="317"/>
      <c r="L14" s="317"/>
      <c r="M14" s="317"/>
      <c r="N14" s="317"/>
      <c r="O14" s="317"/>
      <c r="P14" s="317"/>
      <c r="Q14" s="317"/>
      <c r="R14" s="317"/>
      <c r="S14" s="25"/>
      <c r="T14" s="317"/>
      <c r="U14" s="165">
        <v>2012</v>
      </c>
      <c r="V14" s="17" t="s">
        <v>9525</v>
      </c>
      <c r="W14" s="312" t="s">
        <v>9528</v>
      </c>
      <c r="X14" s="312"/>
      <c r="Y14" s="312"/>
      <c r="Z14" s="312"/>
      <c r="AA14" s="312"/>
      <c r="AB14" s="312"/>
      <c r="AC14" s="312"/>
      <c r="AD14" s="312"/>
      <c r="AE14" s="312"/>
    </row>
    <row r="15" spans="1:31">
      <c r="A15" s="23"/>
      <c r="B15" s="29">
        <f>(64+35+313)/((64+35+313)+(174))</f>
        <v>0.70307167235494883</v>
      </c>
      <c r="C15" s="29">
        <f>174/((313+35+64)+174)</f>
        <v>0.29692832764505117</v>
      </c>
      <c r="D15" s="54">
        <v>399</v>
      </c>
      <c r="E15" s="317"/>
      <c r="F15" s="317"/>
      <c r="G15" s="317"/>
      <c r="H15" s="317"/>
      <c r="I15" s="25"/>
      <c r="J15" s="23"/>
      <c r="K15" s="317"/>
      <c r="L15" s="317"/>
      <c r="M15" s="317"/>
      <c r="N15" s="317"/>
      <c r="O15" s="317"/>
      <c r="P15" s="317"/>
      <c r="Q15" s="317"/>
      <c r="R15" s="317"/>
      <c r="S15" s="25"/>
      <c r="T15" s="317"/>
      <c r="V15" s="312" t="s">
        <v>9529</v>
      </c>
      <c r="W15" s="312"/>
      <c r="X15" s="312"/>
      <c r="Y15" s="312"/>
      <c r="Z15" s="312"/>
      <c r="AA15" s="312"/>
      <c r="AB15" s="312"/>
      <c r="AC15" s="312"/>
      <c r="AD15" s="312"/>
      <c r="AE15" s="312"/>
    </row>
    <row r="16" spans="1:31" ht="25.5" customHeight="1">
      <c r="A16" s="75" t="s">
        <v>9419</v>
      </c>
      <c r="B16" s="42">
        <f>366.601/B5</f>
        <v>4.7527388492035604E-2</v>
      </c>
      <c r="C16" s="41"/>
      <c r="D16" s="41"/>
      <c r="E16" s="41"/>
      <c r="F16" s="41"/>
      <c r="G16" s="94" t="s">
        <v>8517</v>
      </c>
      <c r="H16" s="41"/>
      <c r="I16" s="43"/>
      <c r="J16" s="71">
        <f>10*1.60934</f>
        <v>16.093399999999999</v>
      </c>
      <c r="K16" s="69">
        <v>0.54518072289156627</v>
      </c>
      <c r="L16" s="52">
        <v>0.54518072289156627</v>
      </c>
      <c r="M16" s="52">
        <v>0</v>
      </c>
      <c r="N16" s="52">
        <v>0</v>
      </c>
      <c r="O16" s="52">
        <v>0</v>
      </c>
      <c r="P16" s="52">
        <v>0.12048192771084337</v>
      </c>
      <c r="Q16" s="52">
        <v>0.33433734939759036</v>
      </c>
      <c r="R16" s="69">
        <v>1</v>
      </c>
      <c r="S16" s="70">
        <v>0</v>
      </c>
      <c r="T16" s="42">
        <f>SUM(L16:Q16)</f>
        <v>1</v>
      </c>
      <c r="U16" s="165" t="s">
        <v>9530</v>
      </c>
      <c r="V16" s="312" t="s">
        <v>9531</v>
      </c>
      <c r="W16" s="312"/>
      <c r="X16" s="312"/>
      <c r="Y16" s="312"/>
      <c r="Z16" s="312"/>
      <c r="AA16" s="312"/>
      <c r="AB16" s="312"/>
      <c r="AC16" s="312"/>
      <c r="AD16" s="312"/>
      <c r="AE16" s="312"/>
    </row>
    <row r="17" spans="1:31">
      <c r="A17" s="23" t="s">
        <v>9512</v>
      </c>
      <c r="B17" s="29">
        <v>0.32400000000000001</v>
      </c>
      <c r="C17" s="29">
        <v>0.67600000000000005</v>
      </c>
      <c r="D17" s="42">
        <f>119.1/D7</f>
        <v>6.3775100401606416E-2</v>
      </c>
      <c r="E17" s="41">
        <f>0.3*445</f>
        <v>133.5</v>
      </c>
      <c r="F17" s="317">
        <f>10.5+2.3</f>
        <v>12.8</v>
      </c>
      <c r="G17" s="317"/>
      <c r="H17" s="29">
        <v>0.69099999999999995</v>
      </c>
      <c r="I17" s="30">
        <v>0.72</v>
      </c>
      <c r="J17" s="50"/>
      <c r="K17" s="29"/>
      <c r="L17" s="29"/>
      <c r="M17" s="29"/>
      <c r="N17" s="29"/>
      <c r="O17" s="29"/>
      <c r="P17" s="29"/>
      <c r="Q17" s="29"/>
      <c r="R17" s="29"/>
      <c r="S17" s="30"/>
      <c r="T17" s="29"/>
      <c r="U17" s="165">
        <v>2019</v>
      </c>
      <c r="V17" s="312" t="s">
        <v>9532</v>
      </c>
      <c r="W17" s="312"/>
      <c r="X17" s="312"/>
      <c r="Y17" s="312"/>
      <c r="Z17" s="312"/>
      <c r="AA17" s="312"/>
      <c r="AB17" s="312"/>
      <c r="AC17" s="312"/>
      <c r="AD17" s="312"/>
      <c r="AE17" s="312"/>
    </row>
    <row r="18" spans="1:31">
      <c r="A18" s="23" t="s">
        <v>9517</v>
      </c>
      <c r="B18" s="29">
        <f>3881/(3881+5213)</f>
        <v>0.42676489993402245</v>
      </c>
      <c r="C18" s="29">
        <f>5213/(3881+5213)</f>
        <v>0.57323510006597755</v>
      </c>
      <c r="D18" s="29">
        <f>(3.881+5.213)/D8</f>
        <v>9.217981855962698E-2</v>
      </c>
      <c r="E18" s="29">
        <f>4742/(4742+2198)</f>
        <v>0.68328530259365994</v>
      </c>
      <c r="F18" s="29">
        <f>2198/(4742+2198)</f>
        <v>0.31671469740634006</v>
      </c>
      <c r="G18" s="29">
        <f>6.94/G8</f>
        <v>0.25473498752018797</v>
      </c>
      <c r="H18" s="29">
        <f>5230/9452</f>
        <v>0.55332204824375797</v>
      </c>
      <c r="I18" s="30">
        <v>0.51</v>
      </c>
      <c r="J18" s="50"/>
      <c r="K18" s="29"/>
      <c r="L18" s="29"/>
      <c r="M18" s="29"/>
      <c r="N18" s="29"/>
      <c r="O18" s="29"/>
      <c r="P18" s="29"/>
      <c r="Q18" s="29"/>
      <c r="R18" s="29"/>
      <c r="S18" s="30"/>
      <c r="T18" s="29"/>
      <c r="U18" s="165">
        <v>2019</v>
      </c>
      <c r="V18" s="312" t="s">
        <v>9518</v>
      </c>
      <c r="W18" s="312"/>
      <c r="X18" s="312"/>
      <c r="Y18" s="312"/>
      <c r="Z18" s="312"/>
      <c r="AA18" s="312"/>
      <c r="AB18" s="312"/>
      <c r="AC18" s="312"/>
      <c r="AD18" s="312"/>
      <c r="AE18" s="312"/>
    </row>
    <row r="19" spans="1:31">
      <c r="A19" s="23" t="s">
        <v>9519</v>
      </c>
      <c r="B19" s="29">
        <f>1.34/(1.34+0.11)</f>
        <v>0.92413793103448272</v>
      </c>
      <c r="C19" s="29">
        <f>0.11/(0.11+1.34)</f>
        <v>7.5862068965517226E-2</v>
      </c>
      <c r="D19" s="29">
        <f>(1.34+0.11)/D9</f>
        <v>4.9725651577503437E-2</v>
      </c>
      <c r="E19" s="29">
        <f>(0.54+0.35)/3.09</f>
        <v>0.28802588996763756</v>
      </c>
      <c r="F19" s="29">
        <f>(0.18+2.02)/3.09</f>
        <v>0.71197411003236255</v>
      </c>
      <c r="G19" s="29">
        <f>3.09/G9</f>
        <v>0.23953488372093021</v>
      </c>
      <c r="H19" s="29">
        <f>(0.11+0.63)/2.4</f>
        <v>0.30833333333333335</v>
      </c>
      <c r="I19" s="61">
        <v>0.34</v>
      </c>
      <c r="J19" s="53"/>
      <c r="K19" s="54"/>
      <c r="L19" s="54"/>
      <c r="M19" s="54"/>
      <c r="N19" s="54"/>
      <c r="O19" s="54"/>
      <c r="P19" s="54"/>
      <c r="Q19" s="54"/>
      <c r="R19" s="54"/>
      <c r="S19" s="55"/>
      <c r="T19" s="54"/>
      <c r="V19" s="312" t="s">
        <v>9520</v>
      </c>
      <c r="W19" s="312"/>
      <c r="X19" s="312"/>
      <c r="Y19" s="312"/>
      <c r="Z19" s="312"/>
      <c r="AA19" s="312"/>
      <c r="AB19" s="312"/>
      <c r="AC19" s="312"/>
      <c r="AD19" s="312"/>
      <c r="AE19" s="312"/>
    </row>
    <row r="20" spans="1:31">
      <c r="A20" s="23" t="s">
        <v>9521</v>
      </c>
      <c r="B20" s="317"/>
      <c r="C20" s="317"/>
      <c r="D20" s="317"/>
      <c r="E20" s="317"/>
      <c r="F20" s="317"/>
      <c r="G20" s="317"/>
      <c r="H20" s="317"/>
      <c r="I20" s="25"/>
      <c r="J20" s="53"/>
      <c r="K20" s="54"/>
      <c r="L20" s="54"/>
      <c r="M20" s="54"/>
      <c r="N20" s="54"/>
      <c r="O20" s="54"/>
      <c r="P20" s="54"/>
      <c r="Q20" s="54"/>
      <c r="R20" s="54"/>
      <c r="S20" s="55"/>
      <c r="T20" s="54"/>
      <c r="V20" s="312"/>
      <c r="W20" s="312"/>
      <c r="X20" s="312"/>
      <c r="Y20" s="312"/>
      <c r="Z20" s="312"/>
      <c r="AA20" s="312"/>
      <c r="AB20" s="312"/>
      <c r="AC20" s="312"/>
      <c r="AD20" s="312"/>
      <c r="AE20" s="312"/>
    </row>
    <row r="21" spans="1:31">
      <c r="A21" s="23" t="s">
        <v>9522</v>
      </c>
      <c r="B21" s="317"/>
      <c r="C21" s="317"/>
      <c r="D21" s="317"/>
      <c r="E21" s="317"/>
      <c r="F21" s="317"/>
      <c r="G21" s="317"/>
      <c r="H21" s="317"/>
      <c r="I21" s="25"/>
      <c r="J21" s="53"/>
      <c r="K21" s="54"/>
      <c r="L21" s="54"/>
      <c r="M21" s="54"/>
      <c r="N21" s="54"/>
      <c r="O21" s="54"/>
      <c r="P21" s="54"/>
      <c r="Q21" s="54"/>
      <c r="R21" s="54"/>
      <c r="S21" s="55"/>
      <c r="T21" s="54"/>
      <c r="V21" s="312"/>
      <c r="W21" s="312"/>
      <c r="X21" s="312"/>
      <c r="Y21" s="312"/>
      <c r="Z21" s="312"/>
      <c r="AA21" s="312"/>
      <c r="AB21" s="312"/>
      <c r="AC21" s="312"/>
      <c r="AD21" s="312"/>
      <c r="AE21" s="312"/>
    </row>
    <row r="22" spans="1:31">
      <c r="A22" s="23" t="s">
        <v>9523</v>
      </c>
      <c r="B22" s="29">
        <f>(59.8)/(59.8+(37.1*0.08))</f>
        <v>0.95271475911292369</v>
      </c>
      <c r="C22" s="29">
        <f>(37.1*0.08)/((37.1*0.08)+59.8)</f>
        <v>4.7285240887076217E-2</v>
      </c>
      <c r="D22" s="317">
        <f>59.8</f>
        <v>59.8</v>
      </c>
      <c r="E22" s="63">
        <v>0.08</v>
      </c>
      <c r="F22" s="95">
        <f>0.14+0.76+0.02</f>
        <v>0.92</v>
      </c>
      <c r="G22" s="317">
        <v>37.1</v>
      </c>
      <c r="H22" s="317">
        <v>0</v>
      </c>
      <c r="I22" s="14">
        <v>0.13600000000000001</v>
      </c>
      <c r="J22" s="53"/>
      <c r="K22" s="54"/>
      <c r="L22" s="89">
        <v>0.76</v>
      </c>
      <c r="M22" s="89" t="s">
        <v>9533</v>
      </c>
      <c r="N22" s="89" t="s">
        <v>9533</v>
      </c>
      <c r="O22" s="89" t="s">
        <v>9533</v>
      </c>
      <c r="P22" s="89">
        <v>0.14000000000000001</v>
      </c>
      <c r="Q22" s="89">
        <v>0.08</v>
      </c>
      <c r="R22" s="54"/>
      <c r="S22" s="55"/>
      <c r="T22" s="54"/>
      <c r="U22" s="165">
        <v>2017</v>
      </c>
      <c r="V22" s="17" t="s">
        <v>9534</v>
      </c>
      <c r="W22" s="312"/>
      <c r="X22" s="312"/>
      <c r="Y22" s="312"/>
      <c r="Z22" s="312"/>
      <c r="AA22" s="312"/>
      <c r="AB22" s="312"/>
      <c r="AC22" s="312"/>
      <c r="AD22" s="312"/>
      <c r="AE22" s="312"/>
    </row>
    <row r="23" spans="1:31">
      <c r="A23" s="23" t="s">
        <v>9526</v>
      </c>
      <c r="B23" s="317"/>
      <c r="C23" s="317"/>
      <c r="D23" s="317"/>
      <c r="E23" s="317"/>
      <c r="F23" s="317"/>
      <c r="G23" s="317"/>
      <c r="H23" s="63">
        <v>0.38</v>
      </c>
      <c r="I23" s="14">
        <v>0.88800000000000001</v>
      </c>
      <c r="J23" s="53"/>
      <c r="K23" s="54"/>
      <c r="L23" s="54"/>
      <c r="M23" s="54"/>
      <c r="N23" s="54"/>
      <c r="O23" s="54"/>
      <c r="P23" s="54"/>
      <c r="Q23" s="54"/>
      <c r="R23" s="54"/>
      <c r="S23" s="55"/>
      <c r="T23" s="54"/>
      <c r="V23" s="312"/>
      <c r="W23" s="312"/>
      <c r="X23" s="312"/>
      <c r="Y23" s="312"/>
      <c r="Z23" s="312"/>
      <c r="AA23" s="312"/>
      <c r="AB23" s="312"/>
      <c r="AC23" s="312"/>
      <c r="AD23" s="312"/>
      <c r="AE23" s="312"/>
    </row>
    <row r="24" spans="1:31">
      <c r="A24" s="23" t="s">
        <v>9527</v>
      </c>
      <c r="B24" s="317"/>
      <c r="C24" s="317"/>
      <c r="D24" s="317"/>
      <c r="E24" s="317"/>
      <c r="F24" s="317"/>
      <c r="G24" s="317"/>
      <c r="H24" s="317"/>
      <c r="I24" s="14">
        <v>0.66200000000000003</v>
      </c>
      <c r="J24" s="53"/>
      <c r="K24" s="54"/>
      <c r="L24" s="54"/>
      <c r="M24" s="54"/>
      <c r="N24" s="54"/>
      <c r="O24" s="54"/>
      <c r="P24" s="54"/>
      <c r="Q24" s="54"/>
      <c r="R24" s="54"/>
      <c r="S24" s="55"/>
      <c r="T24" s="54"/>
      <c r="V24" s="312"/>
      <c r="W24" s="312"/>
      <c r="X24" s="312"/>
      <c r="Y24" s="312"/>
      <c r="Z24" s="312"/>
      <c r="AA24" s="312"/>
      <c r="AB24" s="312"/>
      <c r="AC24" s="312"/>
      <c r="AD24" s="312"/>
      <c r="AE24" s="312"/>
    </row>
    <row r="25" spans="1:31">
      <c r="A25" s="23"/>
      <c r="B25" s="317"/>
      <c r="C25" s="317"/>
      <c r="D25" s="317"/>
      <c r="E25" s="317"/>
      <c r="F25" s="317"/>
      <c r="G25" s="317"/>
      <c r="H25" s="317"/>
      <c r="I25" s="25"/>
      <c r="J25" s="53"/>
      <c r="K25" s="54"/>
      <c r="L25" s="89">
        <v>8.7378640776699032E-2</v>
      </c>
      <c r="M25" s="89">
        <v>2.5242718446601944E-2</v>
      </c>
      <c r="N25" s="89">
        <v>0.39029126213592241</v>
      </c>
      <c r="O25" s="89">
        <v>0.49708737864077679</v>
      </c>
      <c r="P25" s="54"/>
      <c r="Q25" s="54"/>
      <c r="R25" s="54"/>
      <c r="S25" s="55"/>
      <c r="T25" s="54"/>
      <c r="V25" s="312"/>
      <c r="W25" s="312"/>
      <c r="X25" s="312"/>
      <c r="Y25" s="312"/>
      <c r="Z25" s="312"/>
      <c r="AA25" s="312"/>
      <c r="AB25" s="312"/>
      <c r="AC25" s="312"/>
      <c r="AD25" s="312"/>
      <c r="AE25" s="312"/>
    </row>
    <row r="26" spans="1:31" ht="24.6" customHeight="1">
      <c r="A26" s="76" t="s">
        <v>9535</v>
      </c>
      <c r="B26" s="44">
        <f>747.183/B5</f>
        <v>9.6867320917413319E-2</v>
      </c>
      <c r="C26" s="31"/>
      <c r="D26" s="31"/>
      <c r="E26" s="31"/>
      <c r="F26" s="31"/>
      <c r="G26" s="93" t="s">
        <v>8517</v>
      </c>
      <c r="H26" s="31"/>
      <c r="I26" s="32"/>
      <c r="J26" s="72">
        <f>(2+51)/2</f>
        <v>26.5</v>
      </c>
      <c r="K26" s="65">
        <v>0.46500000000000002</v>
      </c>
      <c r="L26" s="44">
        <f>L25*$K26</f>
        <v>4.063106796116505E-2</v>
      </c>
      <c r="M26" s="44">
        <f t="shared" ref="M26:O26" si="0">M25*$K26</f>
        <v>1.1737864077669904E-2</v>
      </c>
      <c r="N26" s="44">
        <f t="shared" si="0"/>
        <v>0.18148543689320393</v>
      </c>
      <c r="O26" s="44">
        <f t="shared" si="0"/>
        <v>0.23114563106796121</v>
      </c>
      <c r="P26" s="56">
        <v>0.05</v>
      </c>
      <c r="Q26" s="56">
        <v>0.48499999999999999</v>
      </c>
      <c r="R26" s="65">
        <v>0.92592592592592593</v>
      </c>
      <c r="S26" s="66">
        <v>7.407407407407407E-2</v>
      </c>
      <c r="T26" s="44">
        <f>SUM(L26:Q26)</f>
        <v>1</v>
      </c>
      <c r="U26" s="165" t="s">
        <v>9530</v>
      </c>
      <c r="V26" s="312" t="s">
        <v>9531</v>
      </c>
      <c r="W26" s="312"/>
      <c r="X26" s="312"/>
      <c r="Y26" s="312"/>
      <c r="Z26" s="312"/>
      <c r="AA26" s="312"/>
      <c r="AB26" s="179">
        <f>O26+Q26+P26</f>
        <v>0.7661456310679613</v>
      </c>
      <c r="AC26" s="312">
        <v>0.70996640537514</v>
      </c>
      <c r="AD26" s="182">
        <f>SUM(L26,M26,N26,O26)</f>
        <v>0.46500000000000008</v>
      </c>
      <c r="AE26" s="182">
        <v>0.57670772676371773</v>
      </c>
    </row>
    <row r="27" spans="1:31">
      <c r="A27" s="23" t="s">
        <v>9512</v>
      </c>
      <c r="B27" s="29">
        <v>0.59099999999999997</v>
      </c>
      <c r="C27" s="29">
        <v>0.40899999999999997</v>
      </c>
      <c r="D27" s="44">
        <f>158.8/D7</f>
        <v>8.5033467202141902E-2</v>
      </c>
      <c r="E27" s="31">
        <f>0.4*445</f>
        <v>178</v>
      </c>
      <c r="F27" s="317"/>
      <c r="G27" s="317"/>
      <c r="H27" s="29">
        <v>0.54800000000000004</v>
      </c>
      <c r="I27" s="30"/>
      <c r="J27" s="50"/>
      <c r="K27" s="29"/>
      <c r="L27" s="29"/>
      <c r="M27" s="29"/>
      <c r="N27" s="29"/>
      <c r="O27" s="29"/>
      <c r="P27" s="29"/>
      <c r="Q27" s="29"/>
      <c r="R27" s="29"/>
      <c r="S27" s="30"/>
      <c r="T27" s="29"/>
      <c r="U27" s="165">
        <v>2019</v>
      </c>
      <c r="V27" s="312" t="s">
        <v>9536</v>
      </c>
      <c r="W27" s="312"/>
      <c r="X27" s="312"/>
      <c r="Y27" s="312"/>
      <c r="Z27" s="312"/>
      <c r="AA27" s="312"/>
      <c r="AB27" s="312"/>
      <c r="AC27" s="312"/>
      <c r="AD27" s="312"/>
      <c r="AE27" s="312"/>
    </row>
    <row r="28" spans="1:31">
      <c r="A28" s="23" t="s">
        <v>9517</v>
      </c>
      <c r="B28" s="29">
        <f>3882/(3882+5765)</f>
        <v>0.40240489271276042</v>
      </c>
      <c r="C28" s="29">
        <f>5765/(3882+5765)</f>
        <v>0.59759510728723952</v>
      </c>
      <c r="D28" s="29">
        <f>(3.882+5.765)/$D8</f>
        <v>9.778521108914906E-2</v>
      </c>
      <c r="E28" s="29">
        <f>4130/(4130+1100)</f>
        <v>0.78967495219885275</v>
      </c>
      <c r="F28" s="29">
        <f>1100/(4130+1100)</f>
        <v>0.21032504780114722</v>
      </c>
      <c r="G28" s="29">
        <f>5.23/G8</f>
        <v>0.19196887388048747</v>
      </c>
      <c r="H28" s="29">
        <f>5799/(9678+612)</f>
        <v>0.56355685131195332</v>
      </c>
      <c r="I28" s="29">
        <f>(4130+2253)/12667</f>
        <v>0.50390779190021318</v>
      </c>
      <c r="J28" s="53"/>
      <c r="K28" s="54"/>
      <c r="L28" s="60"/>
      <c r="M28" s="54"/>
      <c r="N28" s="54"/>
      <c r="O28" s="54"/>
      <c r="P28" s="54"/>
      <c r="Q28" s="54"/>
      <c r="R28" s="54"/>
      <c r="S28" s="62"/>
      <c r="T28" s="60"/>
      <c r="U28" s="165">
        <v>2019</v>
      </c>
      <c r="V28" s="312" t="s">
        <v>9518</v>
      </c>
      <c r="W28" s="312"/>
      <c r="X28" s="312"/>
      <c r="Y28" s="312"/>
      <c r="Z28" s="312"/>
      <c r="AA28" s="312"/>
      <c r="AB28" s="312"/>
      <c r="AC28" s="312"/>
      <c r="AD28" s="312"/>
      <c r="AE28" s="312"/>
    </row>
    <row r="29" spans="1:31">
      <c r="A29" s="23" t="s">
        <v>9519</v>
      </c>
      <c r="B29" s="29">
        <f>1.82/(1.82+1)</f>
        <v>0.64539007092198575</v>
      </c>
      <c r="C29" s="29">
        <f>1/(1+1.82)</f>
        <v>0.35460992907801414</v>
      </c>
      <c r="D29" s="29">
        <f>(1.82+1)/D9</f>
        <v>9.6707818930041156E-2</v>
      </c>
      <c r="E29" s="29">
        <f>1.32/2.71</f>
        <v>0.4870848708487085</v>
      </c>
      <c r="F29" s="29">
        <f>(2.71-1.32)/2.71</f>
        <v>0.51291512915129145</v>
      </c>
      <c r="G29" s="29">
        <f>2.71/G9</f>
        <v>0.21007751937984495</v>
      </c>
      <c r="H29" s="29">
        <f>(0.92+0.94)/4.33</f>
        <v>0.42956120092378747</v>
      </c>
      <c r="I29" s="25"/>
      <c r="J29" s="53"/>
      <c r="K29" s="54"/>
      <c r="L29" s="60"/>
      <c r="M29" s="54"/>
      <c r="N29" s="54"/>
      <c r="O29" s="54"/>
      <c r="P29" s="54"/>
      <c r="Q29" s="54"/>
      <c r="R29" s="54"/>
      <c r="S29" s="62"/>
      <c r="T29" s="60"/>
      <c r="U29" s="165">
        <v>2018</v>
      </c>
      <c r="V29" s="312" t="s">
        <v>9520</v>
      </c>
      <c r="W29" s="312"/>
      <c r="X29" s="312"/>
      <c r="Y29" s="312"/>
      <c r="Z29" s="312"/>
      <c r="AA29" s="312"/>
      <c r="AB29" s="312"/>
      <c r="AC29" s="312"/>
      <c r="AD29" s="312"/>
      <c r="AE29" s="312"/>
    </row>
    <row r="30" spans="1:31">
      <c r="A30" s="23" t="s">
        <v>9521</v>
      </c>
      <c r="B30" s="317"/>
      <c r="C30" s="317"/>
      <c r="D30" s="317"/>
      <c r="E30" s="317"/>
      <c r="F30" s="317"/>
      <c r="G30" s="317"/>
      <c r="H30" s="317"/>
      <c r="I30" s="25"/>
      <c r="J30" s="53"/>
      <c r="K30" s="54"/>
      <c r="L30" s="60"/>
      <c r="M30" s="54"/>
      <c r="N30" s="54"/>
      <c r="O30" s="54"/>
      <c r="P30" s="54"/>
      <c r="Q30" s="54"/>
      <c r="R30" s="54"/>
      <c r="S30" s="62"/>
      <c r="T30" s="60"/>
      <c r="V30" s="312"/>
      <c r="W30" s="312"/>
      <c r="X30" s="312"/>
      <c r="Y30" s="312"/>
      <c r="Z30" s="312"/>
      <c r="AA30" s="312"/>
      <c r="AB30" s="312"/>
      <c r="AC30" s="312"/>
      <c r="AD30" s="312"/>
      <c r="AE30" s="312"/>
    </row>
    <row r="31" spans="1:31">
      <c r="A31" s="23" t="s">
        <v>9522</v>
      </c>
      <c r="B31" s="317"/>
      <c r="C31" s="317"/>
      <c r="D31" s="317"/>
      <c r="E31" s="317"/>
      <c r="F31" s="317"/>
      <c r="G31" s="317"/>
      <c r="H31" s="317"/>
      <c r="I31" s="25"/>
      <c r="J31" s="53"/>
      <c r="K31" s="54"/>
      <c r="L31" s="60"/>
      <c r="M31" s="54"/>
      <c r="N31" s="54"/>
      <c r="O31" s="54"/>
      <c r="P31" s="54"/>
      <c r="Q31" s="54"/>
      <c r="R31" s="54"/>
      <c r="S31" s="62"/>
      <c r="T31" s="60"/>
      <c r="V31" s="312"/>
      <c r="W31" s="312"/>
      <c r="X31" s="312"/>
      <c r="Y31" s="312"/>
      <c r="Z31" s="312"/>
      <c r="AA31" s="312"/>
      <c r="AB31" s="312"/>
      <c r="AC31" s="312"/>
      <c r="AD31" s="312"/>
      <c r="AE31" s="312"/>
    </row>
    <row r="32" spans="1:31">
      <c r="A32" s="23" t="s">
        <v>9523</v>
      </c>
      <c r="B32" s="29">
        <f>1-C32</f>
        <v>0.88100000000000001</v>
      </c>
      <c r="C32" s="29">
        <v>0.11899999999999999</v>
      </c>
      <c r="D32" s="317">
        <v>32</v>
      </c>
      <c r="E32" s="317"/>
      <c r="F32" s="317"/>
      <c r="G32" s="317">
        <v>28</v>
      </c>
      <c r="H32" s="317"/>
      <c r="I32" s="14">
        <v>0.41799999999999998</v>
      </c>
      <c r="J32" s="53"/>
      <c r="K32" s="54"/>
      <c r="L32" s="60"/>
      <c r="M32" s="54"/>
      <c r="N32" s="54"/>
      <c r="O32" s="54"/>
      <c r="P32" s="54"/>
      <c r="Q32" s="54">
        <v>0.41799999999999998</v>
      </c>
      <c r="R32" s="54"/>
      <c r="S32" s="62"/>
      <c r="T32" s="60"/>
      <c r="U32" s="165">
        <v>2016</v>
      </c>
      <c r="V32" s="312" t="s">
        <v>9537</v>
      </c>
      <c r="W32" s="312"/>
      <c r="X32" s="312"/>
      <c r="Y32" s="312"/>
      <c r="Z32" s="312"/>
      <c r="AA32" s="312"/>
      <c r="AB32" s="312"/>
      <c r="AC32" s="312"/>
      <c r="AD32" s="312"/>
      <c r="AE32" s="312"/>
    </row>
    <row r="33" spans="1:22">
      <c r="A33" s="23" t="s">
        <v>9526</v>
      </c>
      <c r="B33" s="317"/>
      <c r="C33" s="317"/>
      <c r="D33" s="317"/>
      <c r="E33" s="317"/>
      <c r="F33" s="317"/>
      <c r="G33" s="317"/>
      <c r="H33" s="63">
        <v>0.54039999999999999</v>
      </c>
      <c r="I33" s="14">
        <v>0.84799999999999998</v>
      </c>
      <c r="J33" s="53"/>
      <c r="K33" s="54"/>
      <c r="L33" s="60"/>
      <c r="M33" s="54"/>
      <c r="N33" s="54"/>
      <c r="O33" s="54"/>
      <c r="P33" s="54"/>
      <c r="Q33" s="54">
        <v>0.84799999999999998</v>
      </c>
      <c r="R33" s="54"/>
      <c r="S33" s="62"/>
      <c r="T33" s="60"/>
      <c r="V33" s="312"/>
    </row>
    <row r="34" spans="1:22">
      <c r="A34" s="23" t="s">
        <v>9527</v>
      </c>
      <c r="B34" s="317"/>
      <c r="C34" s="317"/>
      <c r="D34" s="317"/>
      <c r="E34" s="317"/>
      <c r="F34" s="317"/>
      <c r="G34" s="317"/>
      <c r="H34" s="317"/>
      <c r="I34" s="14">
        <v>0.72299999999999998</v>
      </c>
      <c r="J34" s="53"/>
      <c r="K34" s="54"/>
      <c r="L34" s="60"/>
      <c r="M34" s="54"/>
      <c r="N34" s="54"/>
      <c r="O34" s="54"/>
      <c r="P34" s="54"/>
      <c r="Q34" s="54">
        <v>0.72299999999999998</v>
      </c>
      <c r="R34" s="54"/>
      <c r="S34" s="62"/>
      <c r="T34" s="60"/>
      <c r="V34" s="312"/>
    </row>
    <row r="35" spans="1:22">
      <c r="A35" s="23"/>
      <c r="B35" s="317"/>
      <c r="C35" s="317"/>
      <c r="D35" s="317"/>
      <c r="E35" s="317"/>
      <c r="F35" s="317"/>
      <c r="G35" s="317"/>
      <c r="H35" s="317"/>
      <c r="I35" s="25"/>
      <c r="J35" s="53"/>
      <c r="K35" s="54"/>
      <c r="L35" s="60"/>
      <c r="M35" s="54"/>
      <c r="N35" s="54"/>
      <c r="O35" s="54"/>
      <c r="P35" s="54"/>
      <c r="Q35" s="54"/>
      <c r="R35" s="54"/>
      <c r="S35" s="62"/>
      <c r="T35" s="60"/>
      <c r="V35" s="312"/>
    </row>
    <row r="36" spans="1:22" ht="24" customHeight="1">
      <c r="A36" s="77" t="s">
        <v>9538</v>
      </c>
      <c r="B36" s="45">
        <f>1433.784/B5</f>
        <v>0.18588058729153706</v>
      </c>
      <c r="C36" s="33"/>
      <c r="D36" s="33"/>
      <c r="E36" s="33"/>
      <c r="F36" s="33"/>
      <c r="G36" s="92" t="s">
        <v>8517</v>
      </c>
      <c r="H36" s="33"/>
      <c r="I36" s="34"/>
      <c r="J36" s="73">
        <v>21.236034912718203</v>
      </c>
      <c r="K36" s="67">
        <v>0.32132831947460411</v>
      </c>
      <c r="L36" s="58">
        <v>1.2393411365923415E-2</v>
      </c>
      <c r="M36" s="58">
        <v>6.1967056829617074E-3</v>
      </c>
      <c r="N36" s="57">
        <v>0.30273820242571897</v>
      </c>
      <c r="O36" s="57">
        <v>0.44322334622106874</v>
      </c>
      <c r="P36" s="57">
        <v>0.14872093639108097</v>
      </c>
      <c r="Q36" s="45">
        <v>8.6727397913246101E-2</v>
      </c>
      <c r="R36" s="67">
        <v>0.95081967213114749</v>
      </c>
      <c r="S36" s="68">
        <v>4.9180327868852514E-2</v>
      </c>
      <c r="T36" s="58">
        <f>SUM(L36:Q36)</f>
        <v>0.99999999999999989</v>
      </c>
      <c r="U36" s="165" t="s">
        <v>9530</v>
      </c>
      <c r="V36" s="312" t="s">
        <v>9531</v>
      </c>
    </row>
    <row r="37" spans="1:22">
      <c r="A37" s="23" t="s">
        <v>9512</v>
      </c>
      <c r="B37" s="29">
        <v>0.89600000000000002</v>
      </c>
      <c r="C37" s="29">
        <v>0.104</v>
      </c>
      <c r="D37" s="58">
        <f>996.3/D7</f>
        <v>0.53349397590361447</v>
      </c>
      <c r="E37" s="33">
        <f>0.3*445</f>
        <v>133.5</v>
      </c>
      <c r="F37" s="317"/>
      <c r="G37" s="317"/>
      <c r="H37" s="29">
        <v>0.217</v>
      </c>
      <c r="I37" s="30"/>
      <c r="J37" s="50"/>
      <c r="K37" s="29"/>
      <c r="L37" s="29"/>
      <c r="M37" s="29"/>
      <c r="N37" s="29"/>
      <c r="O37" s="29"/>
      <c r="P37" s="29"/>
      <c r="Q37" s="29"/>
      <c r="R37" s="29"/>
      <c r="S37" s="30"/>
      <c r="T37" s="29"/>
      <c r="U37" s="165">
        <v>2019</v>
      </c>
      <c r="V37" s="312" t="s">
        <v>9536</v>
      </c>
    </row>
    <row r="38" spans="1:22">
      <c r="A38" s="23" t="s">
        <v>9517</v>
      </c>
      <c r="B38" s="29">
        <f>36477/(36477+11771)</f>
        <v>0.75603133808655276</v>
      </c>
      <c r="C38" s="29">
        <f>11771/(36477+11771)</f>
        <v>0.24396866191344718</v>
      </c>
      <c r="D38" s="29">
        <f>(36.477+11.771)/$D8</f>
        <v>0.48905782778369061</v>
      </c>
      <c r="E38" s="29">
        <f>4415/(4415+1361)</f>
        <v>0.76436980609418281</v>
      </c>
      <c r="F38" s="29">
        <f>1361/(4415+1361)</f>
        <v>0.23563019390581719</v>
      </c>
      <c r="G38" s="29">
        <f>(4.415+1.361)/G8</f>
        <v>0.21200998384965497</v>
      </c>
      <c r="H38" s="29">
        <f>12002/49300</f>
        <v>0.24344827586206896</v>
      </c>
      <c r="I38" s="29">
        <f>(4415+6536)/25921</f>
        <v>0.42247598472281161</v>
      </c>
      <c r="J38" s="51"/>
      <c r="K38" s="317"/>
      <c r="L38" s="317"/>
      <c r="M38" s="317"/>
      <c r="N38" s="317"/>
      <c r="O38" s="317"/>
      <c r="P38" s="317"/>
      <c r="Q38" s="317"/>
      <c r="R38" s="317"/>
      <c r="S38" s="25"/>
      <c r="T38" s="317"/>
      <c r="U38" s="165">
        <v>2019</v>
      </c>
      <c r="V38" s="312" t="s">
        <v>9518</v>
      </c>
    </row>
    <row r="39" spans="1:22">
      <c r="A39" s="23" t="s">
        <v>9519</v>
      </c>
      <c r="B39" s="29">
        <f>6.39/(6.39+2.59)</f>
        <v>0.71158129175946538</v>
      </c>
      <c r="C39" s="29">
        <f>2.59/(2.59+6.39)</f>
        <v>0.2884187082405345</v>
      </c>
      <c r="D39" s="29">
        <f>8.5/D9</f>
        <v>0.29149519890260633</v>
      </c>
      <c r="E39" s="29">
        <f>0.92/1.72</f>
        <v>0.53488372093023262</v>
      </c>
      <c r="F39" s="29">
        <f>(1.72-0.92)/1.72</f>
        <v>0.46511627906976744</v>
      </c>
      <c r="G39" s="29">
        <f>1.72/G9</f>
        <v>0.13333333333333333</v>
      </c>
      <c r="H39" s="29">
        <f>(1.23+2.59)/13.66</f>
        <v>0.27964860907759881</v>
      </c>
      <c r="I39" s="25"/>
      <c r="J39" s="23"/>
      <c r="K39" s="317"/>
      <c r="L39" s="317"/>
      <c r="M39" s="317"/>
      <c r="N39" s="317"/>
      <c r="O39" s="317"/>
      <c r="P39" s="317"/>
      <c r="Q39" s="317"/>
      <c r="R39" s="317"/>
      <c r="S39" s="25"/>
      <c r="T39" s="317"/>
      <c r="U39" s="165">
        <v>2018</v>
      </c>
      <c r="V39" s="312" t="s">
        <v>9520</v>
      </c>
    </row>
    <row r="40" spans="1:22">
      <c r="A40" s="23" t="s">
        <v>9521</v>
      </c>
      <c r="B40" s="317"/>
      <c r="C40" s="317"/>
      <c r="D40" s="317"/>
      <c r="E40" s="317"/>
      <c r="F40" s="317"/>
      <c r="G40" s="317"/>
      <c r="H40" s="317"/>
      <c r="I40" s="25"/>
      <c r="J40" s="23"/>
      <c r="K40" s="317"/>
      <c r="L40" s="317"/>
      <c r="M40" s="317"/>
      <c r="N40" s="317"/>
      <c r="O40" s="317"/>
      <c r="P40" s="317"/>
      <c r="Q40" s="317"/>
      <c r="R40" s="317"/>
      <c r="S40" s="25"/>
      <c r="T40" s="317"/>
      <c r="V40" s="312"/>
    </row>
    <row r="41" spans="1:22">
      <c r="A41" s="23" t="s">
        <v>9522</v>
      </c>
      <c r="B41" s="317"/>
      <c r="C41" s="317"/>
      <c r="D41" s="317"/>
      <c r="E41" s="317"/>
      <c r="F41" s="317"/>
      <c r="G41" s="317"/>
      <c r="H41" s="317"/>
      <c r="I41" s="25"/>
      <c r="J41" s="23"/>
      <c r="K41" s="317"/>
      <c r="L41" s="317"/>
      <c r="M41" s="317"/>
      <c r="N41" s="317"/>
      <c r="O41" s="317"/>
      <c r="P41" s="317"/>
      <c r="Q41" s="317"/>
      <c r="R41" s="317"/>
      <c r="S41" s="25"/>
      <c r="T41" s="317"/>
      <c r="V41" s="312"/>
    </row>
    <row r="42" spans="1:22">
      <c r="A42" s="23" t="s">
        <v>9523</v>
      </c>
      <c r="B42" s="317"/>
      <c r="C42" s="317"/>
      <c r="D42" s="317"/>
      <c r="E42" s="317"/>
      <c r="F42" s="317"/>
      <c r="G42" s="317"/>
      <c r="H42" s="317"/>
      <c r="I42" s="15">
        <v>0.09</v>
      </c>
      <c r="J42" s="23"/>
      <c r="K42" s="317"/>
      <c r="L42" s="317"/>
      <c r="M42" s="317"/>
      <c r="N42" s="317"/>
      <c r="O42" s="317"/>
      <c r="P42" s="317"/>
      <c r="Q42" s="317"/>
      <c r="R42" s="317"/>
      <c r="S42" s="25"/>
      <c r="T42" s="317"/>
      <c r="V42" s="312"/>
    </row>
    <row r="43" spans="1:22">
      <c r="A43" s="23" t="s">
        <v>9526</v>
      </c>
      <c r="B43" s="317"/>
      <c r="C43" s="317"/>
      <c r="D43" s="317"/>
      <c r="E43" s="317"/>
      <c r="F43" s="317"/>
      <c r="G43" s="317"/>
      <c r="H43" s="63">
        <v>0.72609999999999997</v>
      </c>
      <c r="I43" s="14">
        <v>0.72</v>
      </c>
      <c r="J43" s="23"/>
      <c r="K43" s="317"/>
      <c r="L43" s="317"/>
      <c r="M43" s="317"/>
      <c r="N43" s="317"/>
      <c r="O43" s="317"/>
      <c r="P43" s="317"/>
      <c r="Q43" s="317"/>
      <c r="R43" s="317"/>
      <c r="S43" s="25"/>
      <c r="T43" s="317"/>
      <c r="V43" s="312"/>
    </row>
    <row r="44" spans="1:22">
      <c r="A44" s="23" t="s">
        <v>9527</v>
      </c>
      <c r="B44" s="317"/>
      <c r="C44" s="317"/>
      <c r="D44" s="317"/>
      <c r="E44" s="317"/>
      <c r="F44" s="317"/>
      <c r="G44" s="317"/>
      <c r="H44" s="317"/>
      <c r="I44" s="14">
        <v>0.38</v>
      </c>
      <c r="J44" s="23"/>
      <c r="K44" s="317"/>
      <c r="L44" s="317"/>
      <c r="M44" s="317"/>
      <c r="N44" s="317"/>
      <c r="O44" s="317"/>
      <c r="P44" s="317"/>
      <c r="Q44" s="317"/>
      <c r="R44" s="317"/>
      <c r="S44" s="25"/>
      <c r="T44" s="317"/>
      <c r="V44" s="312"/>
    </row>
    <row r="45" spans="1:22" ht="15.6">
      <c r="A45" s="23"/>
      <c r="B45" s="317"/>
      <c r="C45" s="317"/>
      <c r="D45" s="317"/>
      <c r="E45" s="317"/>
      <c r="F45" s="317"/>
      <c r="G45" s="90" t="s">
        <v>8517</v>
      </c>
      <c r="H45" s="317"/>
      <c r="I45" s="25"/>
      <c r="J45" s="23"/>
      <c r="K45" s="317"/>
      <c r="L45" s="317"/>
      <c r="M45" s="317"/>
      <c r="N45" s="317"/>
      <c r="O45" s="317"/>
      <c r="P45" s="317"/>
      <c r="Q45" s="317"/>
      <c r="R45" s="317"/>
      <c r="S45" s="25"/>
      <c r="T45" s="317"/>
      <c r="V45" s="312"/>
    </row>
    <row r="46" spans="1:22" ht="15" thickBot="1">
      <c r="A46" s="35"/>
      <c r="B46" s="36"/>
      <c r="C46" s="36"/>
      <c r="D46" s="36"/>
      <c r="E46" s="36"/>
      <c r="F46" s="36"/>
      <c r="G46" s="91" t="s">
        <v>8519</v>
      </c>
      <c r="H46" s="36"/>
      <c r="I46" s="37"/>
      <c r="J46" s="35"/>
      <c r="K46" s="36"/>
      <c r="L46" s="36"/>
      <c r="M46" s="36"/>
      <c r="N46" s="36"/>
      <c r="O46" s="36"/>
      <c r="P46" s="36"/>
      <c r="Q46" s="36"/>
      <c r="R46" s="36"/>
      <c r="S46" s="37"/>
      <c r="T46" s="317"/>
      <c r="V46" s="312"/>
    </row>
    <row r="52" spans="1:3">
      <c r="A52" s="11" t="s">
        <v>9539</v>
      </c>
      <c r="B52" s="312"/>
      <c r="C52" s="312"/>
    </row>
    <row r="53" spans="1:3">
      <c r="A53" s="87" t="s">
        <v>9540</v>
      </c>
      <c r="B53" s="312"/>
      <c r="C53" s="312"/>
    </row>
    <row r="54" spans="1:3" ht="15" thickBot="1">
      <c r="A54" s="87" t="s">
        <v>9541</v>
      </c>
      <c r="B54" s="312"/>
      <c r="C54" s="312"/>
    </row>
    <row r="55" spans="1:3" ht="15" thickBot="1">
      <c r="A55" s="82" t="s">
        <v>9542</v>
      </c>
      <c r="B55" s="82" t="s">
        <v>9543</v>
      </c>
      <c r="C55" s="82" t="s">
        <v>9544</v>
      </c>
    </row>
    <row r="56" spans="1:3" ht="15" customHeight="1">
      <c r="A56" s="921" t="s">
        <v>9545</v>
      </c>
      <c r="B56" s="921"/>
      <c r="C56" s="921"/>
    </row>
    <row r="57" spans="1:3">
      <c r="A57" s="83" t="s">
        <v>9546</v>
      </c>
      <c r="B57" s="83">
        <v>0.04</v>
      </c>
      <c r="C57" s="83" t="s">
        <v>9547</v>
      </c>
    </row>
    <row r="58" spans="1:3">
      <c r="A58" s="83" t="s">
        <v>9548</v>
      </c>
      <c r="B58" s="83">
        <v>50</v>
      </c>
      <c r="C58" s="83" t="s">
        <v>9549</v>
      </c>
    </row>
    <row r="59" spans="1:3">
      <c r="A59" s="83" t="s">
        <v>9550</v>
      </c>
      <c r="B59" s="83">
        <v>75</v>
      </c>
      <c r="C59" s="83" t="s">
        <v>9551</v>
      </c>
    </row>
    <row r="60" spans="1:3">
      <c r="A60" s="83" t="s">
        <v>9552</v>
      </c>
      <c r="B60" s="83">
        <v>82.5</v>
      </c>
      <c r="C60" s="83" t="s">
        <v>9553</v>
      </c>
    </row>
    <row r="61" spans="1:3">
      <c r="A61" s="83" t="s">
        <v>9554</v>
      </c>
      <c r="B61" s="83">
        <v>90</v>
      </c>
      <c r="C61" s="83" t="s">
        <v>9555</v>
      </c>
    </row>
    <row r="62" spans="1:3">
      <c r="A62" s="83" t="s">
        <v>9556</v>
      </c>
      <c r="B62" s="83">
        <v>36.5</v>
      </c>
      <c r="C62" s="83" t="s">
        <v>9557</v>
      </c>
    </row>
    <row r="63" spans="1:3" ht="15" customHeight="1">
      <c r="A63" s="915" t="s">
        <v>9558</v>
      </c>
      <c r="B63" s="915"/>
      <c r="C63" s="915"/>
    </row>
    <row r="64" spans="1:3">
      <c r="A64" s="83" t="s">
        <v>9556</v>
      </c>
      <c r="B64" s="83">
        <v>27</v>
      </c>
      <c r="C64" s="83" t="s">
        <v>9559</v>
      </c>
    </row>
    <row r="65" spans="1:19">
      <c r="A65" s="83" t="s">
        <v>9560</v>
      </c>
      <c r="B65" s="83">
        <v>0.65</v>
      </c>
      <c r="C65" s="83" t="s">
        <v>9561</v>
      </c>
      <c r="D65" s="312"/>
      <c r="E65" s="312"/>
      <c r="F65" s="312"/>
      <c r="G65" s="312"/>
      <c r="H65" s="312"/>
      <c r="I65" s="312"/>
      <c r="J65" s="312"/>
      <c r="K65" s="312"/>
      <c r="L65" s="312"/>
      <c r="M65" s="312"/>
      <c r="N65" s="312"/>
      <c r="O65" s="312"/>
      <c r="P65" s="312"/>
      <c r="Q65" s="312"/>
      <c r="R65" s="312"/>
      <c r="S65" s="312"/>
    </row>
    <row r="66" spans="1:19">
      <c r="A66" s="83" t="s">
        <v>9562</v>
      </c>
      <c r="B66" s="83">
        <v>0.9</v>
      </c>
      <c r="C66" s="83" t="s">
        <v>9563</v>
      </c>
      <c r="D66" s="312"/>
      <c r="E66" s="312"/>
      <c r="F66" s="312"/>
      <c r="G66" s="312"/>
      <c r="H66" s="312"/>
      <c r="I66" s="312"/>
      <c r="J66" s="312"/>
      <c r="K66" s="312"/>
      <c r="L66" s="312"/>
      <c r="M66" s="312"/>
      <c r="N66" s="312"/>
      <c r="O66" s="312"/>
      <c r="P66" s="312"/>
      <c r="Q66" s="312"/>
      <c r="R66" s="312"/>
      <c r="S66" s="312"/>
    </row>
    <row r="67" spans="1:19" ht="15" customHeight="1">
      <c r="A67" s="915" t="s">
        <v>9564</v>
      </c>
      <c r="B67" s="915"/>
      <c r="C67" s="915"/>
      <c r="D67" s="312"/>
      <c r="E67" s="312"/>
      <c r="F67" s="312"/>
      <c r="G67" s="312"/>
      <c r="H67" s="312"/>
      <c r="I67" s="312"/>
      <c r="J67" s="312"/>
      <c r="K67" s="312"/>
      <c r="L67" s="312"/>
      <c r="M67" s="312"/>
      <c r="N67" s="312"/>
      <c r="O67" s="312"/>
      <c r="P67" s="312"/>
      <c r="Q67" s="312"/>
      <c r="R67" s="312"/>
      <c r="S67" s="312"/>
    </row>
    <row r="68" spans="1:19">
      <c r="A68" s="83" t="s">
        <v>9565</v>
      </c>
      <c r="B68" s="83">
        <v>894.08</v>
      </c>
      <c r="C68" s="83" t="s">
        <v>9566</v>
      </c>
      <c r="D68" s="312"/>
      <c r="E68" s="312"/>
      <c r="F68" s="312"/>
      <c r="G68" s="312"/>
      <c r="H68" s="312"/>
      <c r="I68" s="312"/>
      <c r="J68" s="312"/>
      <c r="K68" s="312"/>
      <c r="L68" s="312"/>
      <c r="M68" s="312"/>
      <c r="N68" s="312"/>
      <c r="O68" s="312"/>
      <c r="P68" s="312"/>
      <c r="Q68" s="312"/>
      <c r="R68" s="312"/>
      <c r="S68" s="312"/>
    </row>
    <row r="69" spans="1:19">
      <c r="A69" s="83" t="s">
        <v>9567</v>
      </c>
      <c r="B69" s="84">
        <v>15343</v>
      </c>
      <c r="C69" s="83" t="s">
        <v>9568</v>
      </c>
      <c r="D69" s="312"/>
      <c r="E69" s="312"/>
      <c r="F69" s="312"/>
      <c r="G69" s="312"/>
      <c r="H69" s="312"/>
      <c r="I69" s="312"/>
      <c r="J69" s="312"/>
      <c r="K69" s="312"/>
      <c r="L69" s="312"/>
      <c r="M69" s="312"/>
      <c r="N69" s="312"/>
      <c r="O69" s="312"/>
      <c r="P69" s="312"/>
      <c r="Q69" s="312"/>
      <c r="R69" s="312"/>
      <c r="S69" s="312"/>
    </row>
    <row r="70" spans="1:19" ht="15" customHeight="1">
      <c r="A70" s="915" t="s">
        <v>9569</v>
      </c>
      <c r="B70" s="915"/>
      <c r="C70" s="915"/>
      <c r="D70" s="312"/>
      <c r="E70" s="312"/>
      <c r="F70" s="312"/>
      <c r="G70" s="312"/>
      <c r="H70" s="312"/>
      <c r="I70" s="312"/>
      <c r="J70" s="312"/>
      <c r="K70" s="312"/>
      <c r="L70" s="312"/>
      <c r="M70" s="312"/>
      <c r="N70" s="312"/>
      <c r="O70" s="312"/>
      <c r="P70" s="312"/>
      <c r="Q70" s="312"/>
      <c r="R70" s="312"/>
      <c r="S70" s="312"/>
    </row>
    <row r="71" spans="1:19" ht="15" thickBot="1">
      <c r="A71" s="85" t="s">
        <v>9570</v>
      </c>
      <c r="B71" s="85">
        <v>2.0499999999999998</v>
      </c>
      <c r="C71" s="85" t="s">
        <v>9571</v>
      </c>
      <c r="D71" s="312"/>
      <c r="E71" s="312"/>
      <c r="F71" s="312"/>
      <c r="G71" s="312"/>
      <c r="H71" s="312"/>
      <c r="I71" s="312"/>
      <c r="J71" s="312"/>
      <c r="K71" s="312"/>
      <c r="L71" s="312"/>
      <c r="M71" s="312"/>
      <c r="N71" s="312"/>
      <c r="O71" s="312"/>
      <c r="P71" s="312"/>
      <c r="Q71" s="312"/>
      <c r="R71" s="312"/>
      <c r="S71" s="312"/>
    </row>
    <row r="72" spans="1:19" ht="50.1" customHeight="1">
      <c r="A72" s="916" t="s">
        <v>9572</v>
      </c>
      <c r="B72" s="916"/>
      <c r="C72" s="916"/>
      <c r="D72" s="312"/>
      <c r="E72" s="312"/>
      <c r="F72" s="12" t="s">
        <v>9573</v>
      </c>
      <c r="G72" s="312"/>
      <c r="H72" s="312"/>
      <c r="I72" s="312"/>
      <c r="J72" s="312"/>
      <c r="K72" s="312"/>
      <c r="L72" s="312"/>
      <c r="M72" s="312"/>
      <c r="N72" s="312"/>
      <c r="O72" s="312"/>
      <c r="P72" s="312"/>
      <c r="Q72" s="312"/>
      <c r="R72" s="12" t="s">
        <v>9494</v>
      </c>
      <c r="S72" s="12" t="s">
        <v>9495</v>
      </c>
    </row>
    <row r="73" spans="1:19">
      <c r="A73" s="312"/>
      <c r="B73" s="312"/>
      <c r="C73" s="312"/>
      <c r="D73" s="312"/>
      <c r="E73" s="312"/>
      <c r="F73" s="312">
        <v>0.42731850786016701</v>
      </c>
      <c r="G73" s="312"/>
      <c r="H73" s="312" t="s">
        <v>6242</v>
      </c>
      <c r="I73" s="312"/>
      <c r="J73" s="312"/>
      <c r="K73" s="312"/>
      <c r="L73" s="312"/>
      <c r="M73" s="312"/>
      <c r="N73" s="312"/>
      <c r="O73" s="312"/>
      <c r="P73" s="312"/>
      <c r="Q73" s="312" t="s">
        <v>6286</v>
      </c>
      <c r="R73" s="312">
        <f>SUM(F76)</f>
        <v>0.26140166363897099</v>
      </c>
      <c r="S73" s="312">
        <f>SUM(F73,F74,F75)</f>
        <v>0.7385983363610289</v>
      </c>
    </row>
    <row r="74" spans="1:19">
      <c r="A74" s="312"/>
      <c r="B74" s="312"/>
      <c r="C74" s="312"/>
      <c r="D74" s="312"/>
      <c r="E74" s="312"/>
      <c r="F74" s="312">
        <v>0.246199445453676</v>
      </c>
      <c r="G74" s="312"/>
      <c r="H74" s="312" t="s">
        <v>6241</v>
      </c>
      <c r="I74" s="312"/>
      <c r="J74" s="312"/>
      <c r="K74" s="312"/>
      <c r="L74" s="312"/>
      <c r="M74" s="312"/>
      <c r="N74" s="312"/>
      <c r="O74" s="312"/>
      <c r="P74" s="312"/>
      <c r="Q74" s="312" t="s">
        <v>6354</v>
      </c>
      <c r="R74" s="312"/>
      <c r="S74" s="312"/>
    </row>
    <row r="75" spans="1:19">
      <c r="A75" s="312" t="s">
        <v>5011</v>
      </c>
      <c r="B75" s="312"/>
      <c r="C75" s="312"/>
      <c r="D75" s="312"/>
      <c r="E75" s="312"/>
      <c r="F75" s="312">
        <v>6.50803830471859E-2</v>
      </c>
      <c r="G75" s="312"/>
      <c r="H75" s="312" t="s">
        <v>6242</v>
      </c>
      <c r="I75" s="312"/>
      <c r="J75" s="312"/>
      <c r="K75" s="312"/>
      <c r="L75" s="312"/>
      <c r="M75" s="312"/>
      <c r="N75" s="312"/>
      <c r="O75" s="312"/>
      <c r="P75" s="312"/>
      <c r="Q75" s="312" t="s">
        <v>6354</v>
      </c>
      <c r="R75" s="312"/>
      <c r="S75" s="312"/>
    </row>
    <row r="76" spans="1:19" ht="15" thickBot="1">
      <c r="A76" s="312"/>
      <c r="B76" s="312" t="s">
        <v>6286</v>
      </c>
      <c r="C76" s="312" t="s">
        <v>6271</v>
      </c>
      <c r="D76" s="312"/>
      <c r="E76" s="312"/>
      <c r="F76" s="180">
        <v>0.26140166363897099</v>
      </c>
      <c r="G76" s="312"/>
      <c r="H76" s="312" t="s">
        <v>6245</v>
      </c>
      <c r="I76" s="312"/>
      <c r="J76" s="312"/>
      <c r="K76" s="312"/>
      <c r="L76" s="312"/>
      <c r="M76" s="312"/>
      <c r="N76" s="312"/>
      <c r="O76" s="312"/>
      <c r="P76" s="312"/>
      <c r="Q76" s="312" t="s">
        <v>6335</v>
      </c>
      <c r="R76" s="312"/>
      <c r="S76" s="312"/>
    </row>
    <row r="77" spans="1:19" ht="15" thickTop="1">
      <c r="A77" s="312" t="s">
        <v>9574</v>
      </c>
      <c r="B77" s="312">
        <v>34</v>
      </c>
      <c r="C77" s="312">
        <v>34</v>
      </c>
      <c r="D77" s="312"/>
      <c r="E77" s="312"/>
      <c r="F77" s="274">
        <f>SUM(F73:F76)</f>
        <v>0.99999999999999989</v>
      </c>
      <c r="G77" s="312"/>
      <c r="H77" s="312"/>
      <c r="I77" s="312"/>
      <c r="J77" s="312"/>
      <c r="K77" s="312"/>
      <c r="L77" s="312"/>
      <c r="M77" s="312"/>
      <c r="N77" s="312"/>
      <c r="O77" s="312"/>
      <c r="P77" s="312"/>
      <c r="Q77" s="312"/>
      <c r="R77" s="312"/>
      <c r="S77" s="312"/>
    </row>
    <row r="78" spans="1:19">
      <c r="A78" s="312" t="s">
        <v>9521</v>
      </c>
      <c r="B78" s="312">
        <v>1.28</v>
      </c>
      <c r="C78" s="312">
        <v>1.28</v>
      </c>
      <c r="D78" s="312"/>
      <c r="E78" s="312"/>
      <c r="F78" s="312"/>
      <c r="G78" s="312"/>
      <c r="H78" s="312"/>
      <c r="I78" s="312"/>
      <c r="J78" s="312"/>
      <c r="K78" s="312"/>
      <c r="L78" s="312"/>
      <c r="M78" s="312"/>
      <c r="N78" s="312"/>
      <c r="O78" s="312"/>
      <c r="P78" s="312"/>
      <c r="Q78" s="312"/>
      <c r="R78" s="312"/>
      <c r="S78" s="312"/>
    </row>
    <row r="79" spans="1:19">
      <c r="A79" s="312" t="s">
        <v>9522</v>
      </c>
      <c r="B79" s="312">
        <v>676</v>
      </c>
      <c r="C79" s="312">
        <v>676</v>
      </c>
      <c r="D79" s="312"/>
      <c r="E79" s="312"/>
      <c r="F79" s="12" t="s">
        <v>9575</v>
      </c>
      <c r="G79" s="312"/>
      <c r="H79" s="312"/>
      <c r="I79" s="312"/>
      <c r="J79" s="312"/>
      <c r="K79" s="312"/>
      <c r="L79" s="312"/>
      <c r="M79" s="312"/>
      <c r="N79" s="312"/>
      <c r="O79" s="312"/>
      <c r="P79" s="312"/>
      <c r="Q79" s="312"/>
      <c r="R79" s="12" t="s">
        <v>9494</v>
      </c>
      <c r="S79" s="12" t="s">
        <v>9495</v>
      </c>
    </row>
    <row r="80" spans="1:19">
      <c r="A80" s="312" t="s">
        <v>9576</v>
      </c>
      <c r="B80" s="312">
        <v>3470</v>
      </c>
      <c r="C80" s="312">
        <v>3470</v>
      </c>
      <c r="D80" s="312"/>
      <c r="E80" s="312"/>
      <c r="F80" s="312">
        <v>5.5074753185316398E-2</v>
      </c>
      <c r="G80" s="312"/>
      <c r="H80" s="312" t="s">
        <v>6240</v>
      </c>
      <c r="I80" s="312"/>
      <c r="J80" s="312"/>
      <c r="K80" s="312"/>
      <c r="L80" s="312"/>
      <c r="M80" s="312"/>
      <c r="N80" s="312"/>
      <c r="O80" s="312"/>
      <c r="P80" s="312"/>
      <c r="Q80" s="312" t="s">
        <v>6286</v>
      </c>
      <c r="R80" s="312">
        <f>F84</f>
        <v>0.69597254831136035</v>
      </c>
      <c r="S80" s="312">
        <f>SUM(F80:F83)</f>
        <v>0.3040274516886397</v>
      </c>
    </row>
    <row r="81" spans="2:17">
      <c r="B81" s="312"/>
      <c r="C81" s="312"/>
      <c r="D81" s="312"/>
      <c r="E81" s="312"/>
      <c r="F81" s="312">
        <v>1.93084551434047E-3</v>
      </c>
      <c r="G81" s="312"/>
      <c r="H81" s="312" t="s">
        <v>6240</v>
      </c>
      <c r="I81" s="312"/>
      <c r="J81" s="312"/>
      <c r="K81" s="312"/>
      <c r="L81" s="312"/>
      <c r="M81" s="312"/>
      <c r="N81" s="312"/>
      <c r="O81" s="312"/>
      <c r="P81" s="312"/>
      <c r="Q81" s="312" t="s">
        <v>6354</v>
      </c>
    </row>
    <row r="82" spans="2:17">
      <c r="B82" s="312">
        <v>200000</v>
      </c>
      <c r="C82" s="312" t="s">
        <v>9577</v>
      </c>
      <c r="D82" s="312"/>
      <c r="E82" s="312"/>
      <c r="F82" s="312">
        <v>0.221745329892162</v>
      </c>
      <c r="G82" s="312"/>
      <c r="H82" s="312" t="s">
        <v>6239</v>
      </c>
      <c r="I82" s="312"/>
      <c r="J82" s="312"/>
      <c r="K82" s="312"/>
      <c r="L82" s="312"/>
      <c r="M82" s="312"/>
      <c r="N82" s="312"/>
      <c r="O82" s="312"/>
      <c r="P82" s="312"/>
      <c r="Q82" s="312" t="s">
        <v>6286</v>
      </c>
    </row>
    <row r="83" spans="2:17">
      <c r="B83" s="312">
        <f>B82*1000</f>
        <v>200000000</v>
      </c>
      <c r="C83" s="312" t="s">
        <v>9578</v>
      </c>
      <c r="D83" s="312"/>
      <c r="E83" s="312"/>
      <c r="F83" s="312">
        <v>2.52765230968208E-2</v>
      </c>
      <c r="G83" s="312"/>
      <c r="H83" s="312" t="s">
        <v>6239</v>
      </c>
      <c r="I83" s="312"/>
      <c r="J83" s="312"/>
      <c r="K83" s="312"/>
      <c r="L83" s="312"/>
      <c r="M83" s="312"/>
      <c r="N83" s="312"/>
      <c r="O83" s="312"/>
      <c r="P83" s="312"/>
      <c r="Q83" s="312" t="s">
        <v>6354</v>
      </c>
    </row>
    <row r="84" spans="2:17">
      <c r="B84" s="312">
        <f>7/B83</f>
        <v>3.5000000000000002E-8</v>
      </c>
      <c r="C84" s="312" t="s">
        <v>8528</v>
      </c>
      <c r="D84" s="312"/>
      <c r="E84" s="312"/>
      <c r="F84" s="312">
        <f>1-SUM(F80:F83)</f>
        <v>0.69597254831136035</v>
      </c>
      <c r="G84" s="312"/>
      <c r="H84" s="312" t="s">
        <v>6246</v>
      </c>
      <c r="I84" s="312"/>
      <c r="J84" s="312"/>
      <c r="K84" s="312"/>
      <c r="L84" s="312"/>
      <c r="M84" s="312"/>
      <c r="N84" s="312"/>
      <c r="O84" s="312"/>
      <c r="P84" s="312"/>
      <c r="Q84" s="312" t="s">
        <v>6335</v>
      </c>
    </row>
    <row r="85" spans="2:17">
      <c r="B85" s="312">
        <f>100000</f>
        <v>100000</v>
      </c>
      <c r="C85" s="312" t="s">
        <v>9579</v>
      </c>
      <c r="D85" s="312"/>
      <c r="E85" s="312"/>
      <c r="F85" s="312"/>
      <c r="G85" s="312"/>
      <c r="H85" s="312"/>
      <c r="I85" s="312"/>
      <c r="J85" s="312"/>
      <c r="K85" s="312"/>
      <c r="L85" s="312"/>
      <c r="M85" s="312"/>
      <c r="N85" s="312"/>
      <c r="O85" s="312"/>
      <c r="P85" s="312"/>
      <c r="Q85" s="312"/>
    </row>
    <row r="86" spans="2:17">
      <c r="B86" s="312">
        <f>B85/24</f>
        <v>4166.666666666667</v>
      </c>
      <c r="C86" s="312" t="s">
        <v>9580</v>
      </c>
      <c r="D86" s="312"/>
      <c r="E86" s="312"/>
      <c r="F86" s="312"/>
      <c r="G86" s="312"/>
      <c r="H86" s="312"/>
      <c r="I86" s="312"/>
      <c r="J86" s="312"/>
      <c r="K86" s="312"/>
      <c r="L86" s="312"/>
      <c r="M86" s="312"/>
      <c r="N86" s="312"/>
      <c r="O86" s="312"/>
      <c r="P86" s="312"/>
      <c r="Q86" s="312"/>
    </row>
    <row r="87" spans="2:17">
      <c r="B87" s="312">
        <f>B86/365</f>
        <v>11.415525114155251</v>
      </c>
      <c r="C87" s="312" t="s">
        <v>9581</v>
      </c>
      <c r="D87" s="312"/>
      <c r="E87" s="312"/>
      <c r="F87" s="312"/>
      <c r="G87" s="312"/>
      <c r="H87" s="312"/>
      <c r="I87" s="312"/>
      <c r="J87" s="312"/>
      <c r="K87" s="312"/>
      <c r="L87" s="312"/>
      <c r="M87" s="312"/>
      <c r="N87" s="312"/>
      <c r="O87" s="312"/>
      <c r="P87" s="312"/>
      <c r="Q87" s="312"/>
    </row>
    <row r="88" spans="2:17">
      <c r="B88" s="312">
        <f>B84*B87</f>
        <v>3.9954337899543382E-7</v>
      </c>
      <c r="C88" s="312" t="s">
        <v>9582</v>
      </c>
      <c r="D88" s="312"/>
      <c r="E88" s="312"/>
      <c r="F88" s="312"/>
      <c r="G88" s="312"/>
      <c r="H88" s="312"/>
      <c r="I88" s="312"/>
      <c r="J88" s="312"/>
      <c r="K88" s="312"/>
      <c r="L88" s="312"/>
      <c r="M88" s="312"/>
      <c r="N88" s="312"/>
      <c r="O88" s="312"/>
      <c r="P88" s="312"/>
      <c r="Q88" s="312"/>
    </row>
  </sheetData>
  <sheetProtection algorithmName="SHA-512" hashValue="o/gJfiZrwhKo9pFhxexJIePxC8HteWaKonlY73TLJfLM1OuLxu7ZpRfZjot9YAPW7nOwjcNZS2TBjLogsWekHg==" saltValue="nVPEXvz4WG4x7TAi56VqLQ==" spinCount="100000" sheet="1" objects="1" scenarios="1" selectLockedCells="1" selectUnlockedCells="1"/>
  <mergeCells count="8">
    <mergeCell ref="A70:C70"/>
    <mergeCell ref="A72:C72"/>
    <mergeCell ref="B3:I3"/>
    <mergeCell ref="J3:S3"/>
    <mergeCell ref="T5:T6"/>
    <mergeCell ref="A56:C56"/>
    <mergeCell ref="A63:C63"/>
    <mergeCell ref="A67:C67"/>
  </mergeCells>
  <hyperlinks>
    <hyperlink ref="V22" r:id="rId1" xr:uid="{1BF7F8A9-5CD3-4DF7-BA83-F0D786BD218E}"/>
    <hyperlink ref="V14" r:id="rId2" xr:uid="{DAD9D5F6-5BB1-4DB3-99A6-120082DF42A5}"/>
  </hyperlinks>
  <pageMargins left="0.7" right="0.7" top="0.75" bottom="0.75" header="0.3" footer="0.3"/>
  <pageSetup orientation="portrait" r:id="rId3"/>
  <drawing r:id="rId4"/>
  <legacy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4FA74-83FC-4613-AF04-E6A17B8EEBC9}">
  <sheetPr codeName="Sheet17">
    <tabColor theme="0" tint="-4.9989318521683403E-2"/>
  </sheetPr>
  <dimension ref="A1:BQ185"/>
  <sheetViews>
    <sheetView zoomScaleNormal="100" workbookViewId="0">
      <pane xSplit="5" ySplit="1" topLeftCell="F2" activePane="bottomRight" state="frozen"/>
      <selection sqref="A1:F1"/>
      <selection pane="topRight" sqref="A1:F1"/>
      <selection pane="bottomLeft" sqref="A1:F1"/>
      <selection pane="bottomRight" sqref="A1:F1"/>
    </sheetView>
  </sheetViews>
  <sheetFormatPr defaultRowHeight="14.4" outlineLevelRow="1"/>
  <cols>
    <col min="3" max="3" width="19.5546875" customWidth="1"/>
    <col min="4" max="4" width="19.44140625" customWidth="1"/>
  </cols>
  <sheetData>
    <row r="1" spans="1:69">
      <c r="A1" s="312" t="s">
        <v>9196</v>
      </c>
      <c r="B1" s="312" t="s">
        <v>9197</v>
      </c>
      <c r="C1" s="312" t="s">
        <v>9198</v>
      </c>
      <c r="D1" s="312" t="s">
        <v>9199</v>
      </c>
      <c r="E1" s="312" t="s">
        <v>9200</v>
      </c>
      <c r="F1" s="312" t="s">
        <v>9201</v>
      </c>
      <c r="G1" s="312" t="s">
        <v>9202</v>
      </c>
      <c r="H1" s="312" t="s">
        <v>9203</v>
      </c>
      <c r="I1" s="312" t="s">
        <v>9204</v>
      </c>
      <c r="J1" s="312" t="s">
        <v>9205</v>
      </c>
      <c r="K1" s="312" t="s">
        <v>9206</v>
      </c>
      <c r="L1" s="312" t="s">
        <v>9207</v>
      </c>
      <c r="M1" s="312" t="s">
        <v>9208</v>
      </c>
      <c r="N1" s="312" t="s">
        <v>9209</v>
      </c>
      <c r="O1" s="312" t="s">
        <v>9210</v>
      </c>
      <c r="P1" s="312" t="s">
        <v>9211</v>
      </c>
      <c r="Q1" s="312" t="s">
        <v>9212</v>
      </c>
      <c r="R1" s="312" t="s">
        <v>9213</v>
      </c>
      <c r="S1" s="312" t="s">
        <v>9214</v>
      </c>
      <c r="T1" s="312" t="s">
        <v>9215</v>
      </c>
      <c r="U1" s="312" t="s">
        <v>9216</v>
      </c>
      <c r="V1" s="312" t="s">
        <v>9217</v>
      </c>
      <c r="W1" s="312" t="s">
        <v>9218</v>
      </c>
      <c r="X1" s="312" t="s">
        <v>9219</v>
      </c>
      <c r="Y1" s="312" t="s">
        <v>9220</v>
      </c>
      <c r="Z1" s="312" t="s">
        <v>9221</v>
      </c>
      <c r="AA1" s="312" t="s">
        <v>9222</v>
      </c>
      <c r="AB1" s="312" t="s">
        <v>9223</v>
      </c>
      <c r="AC1" s="312" t="s">
        <v>9224</v>
      </c>
      <c r="AD1" s="312" t="s">
        <v>9225</v>
      </c>
      <c r="AE1" s="312" t="s">
        <v>9226</v>
      </c>
      <c r="AF1" s="312" t="s">
        <v>9227</v>
      </c>
      <c r="AG1" s="312" t="s">
        <v>9228</v>
      </c>
      <c r="AH1" s="312" t="s">
        <v>9229</v>
      </c>
      <c r="AI1" s="312" t="s">
        <v>9230</v>
      </c>
      <c r="AJ1" s="312" t="s">
        <v>9231</v>
      </c>
      <c r="AK1" s="312" t="s">
        <v>9232</v>
      </c>
      <c r="AL1" s="312" t="s">
        <v>9233</v>
      </c>
      <c r="AM1" s="312" t="s">
        <v>9234</v>
      </c>
      <c r="AN1" s="312" t="s">
        <v>9235</v>
      </c>
      <c r="AO1" s="312" t="s">
        <v>9236</v>
      </c>
      <c r="AP1" s="312" t="s">
        <v>9237</v>
      </c>
      <c r="AQ1" s="312" t="s">
        <v>9238</v>
      </c>
      <c r="AR1" s="312" t="s">
        <v>9239</v>
      </c>
      <c r="AS1" s="312" t="s">
        <v>9240</v>
      </c>
      <c r="AT1" s="312" t="s">
        <v>9241</v>
      </c>
      <c r="AU1" s="312" t="s">
        <v>9242</v>
      </c>
      <c r="AV1" s="312" t="s">
        <v>9243</v>
      </c>
      <c r="AW1" s="312" t="s">
        <v>9244</v>
      </c>
      <c r="AX1" s="312" t="s">
        <v>9245</v>
      </c>
      <c r="AY1" s="312" t="s">
        <v>9246</v>
      </c>
      <c r="AZ1" s="312" t="s">
        <v>9247</v>
      </c>
      <c r="BA1" s="312" t="s">
        <v>9248</v>
      </c>
      <c r="BB1" s="312" t="s">
        <v>9249</v>
      </c>
      <c r="BC1" s="312" t="s">
        <v>9250</v>
      </c>
      <c r="BD1" s="312" t="s">
        <v>9251</v>
      </c>
      <c r="BE1" s="312" t="s">
        <v>9252</v>
      </c>
      <c r="BF1" s="312" t="s">
        <v>9253</v>
      </c>
      <c r="BG1" s="312" t="s">
        <v>9254</v>
      </c>
      <c r="BH1" s="312" t="s">
        <v>9255</v>
      </c>
      <c r="BI1" s="312" t="s">
        <v>9256</v>
      </c>
      <c r="BJ1" s="312" t="s">
        <v>9257</v>
      </c>
      <c r="BK1" s="312" t="s">
        <v>9258</v>
      </c>
      <c r="BL1" s="312" t="s">
        <v>9259</v>
      </c>
      <c r="BM1" s="312" t="s">
        <v>9260</v>
      </c>
      <c r="BN1" s="312" t="s">
        <v>9261</v>
      </c>
      <c r="BO1" s="312" t="s">
        <v>9262</v>
      </c>
      <c r="BP1" s="312"/>
      <c r="BQ1" s="312" t="s">
        <v>9263</v>
      </c>
    </row>
    <row r="2" spans="1:69" outlineLevel="1">
      <c r="A2" s="312" t="s">
        <v>7387</v>
      </c>
      <c r="B2" s="312" t="s">
        <v>9264</v>
      </c>
      <c r="C2" s="312" t="s">
        <v>9265</v>
      </c>
      <c r="D2" s="312" t="s">
        <v>9266</v>
      </c>
      <c r="E2" s="312" t="s">
        <v>9267</v>
      </c>
      <c r="F2" s="312"/>
      <c r="G2" s="312"/>
      <c r="H2" s="312">
        <v>241</v>
      </c>
      <c r="I2" s="312"/>
      <c r="J2" s="312"/>
      <c r="K2" s="312"/>
      <c r="L2" s="312"/>
      <c r="M2" s="312">
        <v>241</v>
      </c>
      <c r="N2" s="312"/>
      <c r="O2" s="312"/>
      <c r="P2" s="312"/>
      <c r="Q2" s="312"/>
      <c r="R2" s="312">
        <v>241</v>
      </c>
      <c r="S2" s="312"/>
      <c r="T2" s="312"/>
      <c r="U2" s="312"/>
      <c r="V2" s="312"/>
      <c r="W2" s="312">
        <v>241</v>
      </c>
      <c r="X2" s="312"/>
      <c r="Y2" s="312"/>
      <c r="Z2" s="312"/>
      <c r="AA2" s="312"/>
      <c r="AB2" s="312">
        <v>241</v>
      </c>
      <c r="AC2" s="312"/>
      <c r="AD2" s="312"/>
      <c r="AE2" s="312"/>
      <c r="AF2" s="312"/>
      <c r="AG2" s="312">
        <v>241</v>
      </c>
      <c r="AH2" s="312"/>
      <c r="AI2" s="312"/>
      <c r="AJ2" s="312"/>
      <c r="AK2" s="312"/>
      <c r="AL2" s="312">
        <v>241</v>
      </c>
      <c r="AM2" s="312"/>
      <c r="AN2" s="312"/>
      <c r="AO2" s="312"/>
      <c r="AP2" s="312"/>
      <c r="AQ2" s="312">
        <v>241</v>
      </c>
      <c r="AR2" s="312"/>
      <c r="AS2" s="312"/>
      <c r="AT2" s="312"/>
      <c r="AU2" s="312"/>
      <c r="AV2" s="312">
        <v>241</v>
      </c>
      <c r="AW2" s="312"/>
      <c r="AX2" s="312"/>
      <c r="AY2" s="312"/>
      <c r="AZ2" s="312"/>
      <c r="BA2" s="312">
        <v>241</v>
      </c>
      <c r="BB2" s="312"/>
      <c r="BC2" s="312"/>
      <c r="BD2" s="312"/>
      <c r="BE2" s="312"/>
      <c r="BF2" s="312">
        <v>241</v>
      </c>
      <c r="BG2" s="312"/>
      <c r="BH2" s="312"/>
      <c r="BI2" s="312"/>
      <c r="BJ2" s="312"/>
      <c r="BK2" s="312">
        <v>241</v>
      </c>
      <c r="BL2" s="312"/>
      <c r="BM2" s="312"/>
      <c r="BN2" s="312"/>
      <c r="BO2" s="312" t="s">
        <v>9268</v>
      </c>
      <c r="BP2" s="312"/>
      <c r="BQ2" s="312"/>
    </row>
    <row r="3" spans="1:69" outlineLevel="1">
      <c r="A3" s="312" t="s">
        <v>6490</v>
      </c>
      <c r="B3" s="312" t="s">
        <v>9269</v>
      </c>
      <c r="C3" s="312" t="s">
        <v>9265</v>
      </c>
      <c r="D3" s="312" t="s">
        <v>9266</v>
      </c>
      <c r="E3" s="312" t="s">
        <v>9267</v>
      </c>
      <c r="F3" s="312"/>
      <c r="G3" s="312"/>
      <c r="H3" s="312">
        <v>534</v>
      </c>
      <c r="I3" s="312"/>
      <c r="J3" s="312"/>
      <c r="K3" s="312"/>
      <c r="L3" s="312"/>
      <c r="M3" s="312">
        <v>534</v>
      </c>
      <c r="N3" s="312"/>
      <c r="O3" s="312"/>
      <c r="P3" s="312"/>
      <c r="Q3" s="312"/>
      <c r="R3" s="312">
        <v>534</v>
      </c>
      <c r="S3" s="312"/>
      <c r="T3" s="312"/>
      <c r="U3" s="312"/>
      <c r="V3" s="312"/>
      <c r="W3" s="312">
        <v>534</v>
      </c>
      <c r="X3" s="312"/>
      <c r="Y3" s="312"/>
      <c r="Z3" s="312"/>
      <c r="AA3" s="312"/>
      <c r="AB3" s="312">
        <v>534</v>
      </c>
      <c r="AC3" s="312"/>
      <c r="AD3" s="312"/>
      <c r="AE3" s="312"/>
      <c r="AF3" s="312"/>
      <c r="AG3" s="312">
        <v>534</v>
      </c>
      <c r="AH3" s="312"/>
      <c r="AI3" s="312"/>
      <c r="AJ3" s="312"/>
      <c r="AK3" s="312"/>
      <c r="AL3" s="312">
        <v>534</v>
      </c>
      <c r="AM3" s="312"/>
      <c r="AN3" s="312"/>
      <c r="AO3" s="312"/>
      <c r="AP3" s="312"/>
      <c r="AQ3" s="312">
        <v>534</v>
      </c>
      <c r="AR3" s="312"/>
      <c r="AS3" s="312"/>
      <c r="AT3" s="312"/>
      <c r="AU3" s="312"/>
      <c r="AV3" s="312">
        <v>534</v>
      </c>
      <c r="AW3" s="312"/>
      <c r="AX3" s="312"/>
      <c r="AY3" s="312"/>
      <c r="AZ3" s="312"/>
      <c r="BA3" s="312">
        <v>534</v>
      </c>
      <c r="BB3" s="312"/>
      <c r="BC3" s="312"/>
      <c r="BD3" s="312"/>
      <c r="BE3" s="312"/>
      <c r="BF3" s="312">
        <v>534</v>
      </c>
      <c r="BG3" s="312"/>
      <c r="BH3" s="312"/>
      <c r="BI3" s="312"/>
      <c r="BJ3" s="312"/>
      <c r="BK3" s="312">
        <v>534</v>
      </c>
      <c r="BL3" s="312"/>
      <c r="BM3" s="312"/>
      <c r="BN3" s="312"/>
      <c r="BO3" s="312" t="s">
        <v>9270</v>
      </c>
      <c r="BP3" s="312"/>
      <c r="BQ3" s="312"/>
    </row>
    <row r="4" spans="1:69" outlineLevel="1">
      <c r="A4" s="312" t="s">
        <v>6599</v>
      </c>
      <c r="B4" s="312" t="s">
        <v>9271</v>
      </c>
      <c r="C4" s="312" t="s">
        <v>9265</v>
      </c>
      <c r="D4" s="312" t="s">
        <v>9266</v>
      </c>
      <c r="E4" s="312" t="s">
        <v>9267</v>
      </c>
      <c r="F4" s="312"/>
      <c r="G4" s="312"/>
      <c r="H4" s="312">
        <v>645</v>
      </c>
      <c r="I4" s="312"/>
      <c r="J4" s="312"/>
      <c r="K4" s="312"/>
      <c r="L4" s="312"/>
      <c r="M4" s="312">
        <v>645</v>
      </c>
      <c r="N4" s="312"/>
      <c r="O4" s="312"/>
      <c r="P4" s="312"/>
      <c r="Q4" s="312"/>
      <c r="R4" s="312">
        <v>645</v>
      </c>
      <c r="S4" s="312"/>
      <c r="T4" s="312"/>
      <c r="U4" s="312"/>
      <c r="V4" s="312"/>
      <c r="W4" s="312">
        <v>645</v>
      </c>
      <c r="X4" s="312"/>
      <c r="Y4" s="312"/>
      <c r="Z4" s="312"/>
      <c r="AA4" s="312"/>
      <c r="AB4" s="312">
        <v>645</v>
      </c>
      <c r="AC4" s="312"/>
      <c r="AD4" s="312"/>
      <c r="AE4" s="312"/>
      <c r="AF4" s="312"/>
      <c r="AG4" s="312">
        <v>645</v>
      </c>
      <c r="AH4" s="312"/>
      <c r="AI4" s="312"/>
      <c r="AJ4" s="312"/>
      <c r="AK4" s="312"/>
      <c r="AL4" s="312">
        <v>645</v>
      </c>
      <c r="AM4" s="312"/>
      <c r="AN4" s="312"/>
      <c r="AO4" s="312"/>
      <c r="AP4" s="312"/>
      <c r="AQ4" s="312">
        <v>645</v>
      </c>
      <c r="AR4" s="312"/>
      <c r="AS4" s="312"/>
      <c r="AT4" s="312"/>
      <c r="AU4" s="312"/>
      <c r="AV4" s="312">
        <v>645</v>
      </c>
      <c r="AW4" s="312"/>
      <c r="AX4" s="312"/>
      <c r="AY4" s="312"/>
      <c r="AZ4" s="312"/>
      <c r="BA4" s="312">
        <v>645</v>
      </c>
      <c r="BB4" s="312"/>
      <c r="BC4" s="312"/>
      <c r="BD4" s="312"/>
      <c r="BE4" s="312"/>
      <c r="BF4" s="312">
        <v>645</v>
      </c>
      <c r="BG4" s="312"/>
      <c r="BH4" s="312"/>
      <c r="BI4" s="312"/>
      <c r="BJ4" s="312"/>
      <c r="BK4" s="312">
        <v>645</v>
      </c>
      <c r="BL4" s="312"/>
      <c r="BM4" s="312"/>
      <c r="BN4" s="312"/>
      <c r="BO4" s="312" t="s">
        <v>9270</v>
      </c>
      <c r="BP4" s="312"/>
      <c r="BQ4" s="312"/>
    </row>
    <row r="5" spans="1:69" outlineLevel="1">
      <c r="A5" s="312" t="s">
        <v>9272</v>
      </c>
      <c r="B5" s="312" t="s">
        <v>9273</v>
      </c>
      <c r="C5" s="312" t="s">
        <v>9265</v>
      </c>
      <c r="D5" s="312" t="s">
        <v>9266</v>
      </c>
      <c r="E5" s="312" t="s">
        <v>9267</v>
      </c>
      <c r="F5" s="312"/>
      <c r="G5" s="312"/>
      <c r="H5" s="312">
        <v>1054</v>
      </c>
      <c r="I5" s="312"/>
      <c r="J5" s="312"/>
      <c r="K5" s="312"/>
      <c r="L5" s="312"/>
      <c r="M5" s="312">
        <v>1054</v>
      </c>
      <c r="N5" s="312"/>
      <c r="O5" s="312"/>
      <c r="P5" s="312"/>
      <c r="Q5" s="312"/>
      <c r="R5" s="312">
        <v>1054</v>
      </c>
      <c r="S5" s="312"/>
      <c r="T5" s="312"/>
      <c r="U5" s="312"/>
      <c r="V5" s="312"/>
      <c r="W5" s="312">
        <v>1054</v>
      </c>
      <c r="X5" s="312"/>
      <c r="Y5" s="312"/>
      <c r="Z5" s="312"/>
      <c r="AA5" s="312"/>
      <c r="AB5" s="312">
        <v>1054</v>
      </c>
      <c r="AC5" s="312"/>
      <c r="AD5" s="312"/>
      <c r="AE5" s="312"/>
      <c r="AF5" s="312"/>
      <c r="AG5" s="312">
        <v>1054</v>
      </c>
      <c r="AH5" s="312"/>
      <c r="AI5" s="312"/>
      <c r="AJ5" s="312"/>
      <c r="AK5" s="312"/>
      <c r="AL5" s="312">
        <v>1054</v>
      </c>
      <c r="AM5" s="312"/>
      <c r="AN5" s="312"/>
      <c r="AO5" s="312"/>
      <c r="AP5" s="312"/>
      <c r="AQ5" s="312">
        <v>1054</v>
      </c>
      <c r="AR5" s="312"/>
      <c r="AS5" s="312"/>
      <c r="AT5" s="312"/>
      <c r="AU5" s="312"/>
      <c r="AV5" s="312">
        <v>1054</v>
      </c>
      <c r="AW5" s="312"/>
      <c r="AX5" s="312"/>
      <c r="AY5" s="312"/>
      <c r="AZ5" s="312"/>
      <c r="BA5" s="312">
        <v>1054</v>
      </c>
      <c r="BB5" s="312"/>
      <c r="BC5" s="312"/>
      <c r="BD5" s="312"/>
      <c r="BE5" s="312"/>
      <c r="BF5" s="312">
        <v>1054</v>
      </c>
      <c r="BG5" s="312"/>
      <c r="BH5" s="312"/>
      <c r="BI5" s="312"/>
      <c r="BJ5" s="312"/>
      <c r="BK5" s="312">
        <v>1054</v>
      </c>
      <c r="BL5" s="312"/>
      <c r="BM5" s="312"/>
      <c r="BN5" s="312"/>
      <c r="BO5" s="312" t="s">
        <v>9274</v>
      </c>
      <c r="BP5" s="312"/>
      <c r="BQ5" s="312"/>
    </row>
    <row r="6" spans="1:69" outlineLevel="1">
      <c r="A6" s="312" t="s">
        <v>9275</v>
      </c>
      <c r="B6" s="312" t="s">
        <v>9276</v>
      </c>
      <c r="C6" s="312" t="s">
        <v>9265</v>
      </c>
      <c r="D6" s="312" t="s">
        <v>9266</v>
      </c>
      <c r="E6" s="312" t="s">
        <v>9267</v>
      </c>
      <c r="F6" s="312"/>
      <c r="G6" s="312"/>
      <c r="H6" s="312">
        <v>1274</v>
      </c>
      <c r="I6" s="312"/>
      <c r="J6" s="312"/>
      <c r="K6" s="312"/>
      <c r="L6" s="312"/>
      <c r="M6" s="312">
        <v>1274</v>
      </c>
      <c r="N6" s="312"/>
      <c r="O6" s="312"/>
      <c r="P6" s="312"/>
      <c r="Q6" s="312"/>
      <c r="R6" s="312">
        <v>1274</v>
      </c>
      <c r="S6" s="312"/>
      <c r="T6" s="312"/>
      <c r="U6" s="312"/>
      <c r="V6" s="312"/>
      <c r="W6" s="312">
        <v>1274</v>
      </c>
      <c r="X6" s="312"/>
      <c r="Y6" s="312"/>
      <c r="Z6" s="312"/>
      <c r="AA6" s="312"/>
      <c r="AB6" s="312">
        <v>1274</v>
      </c>
      <c r="AC6" s="312"/>
      <c r="AD6" s="312"/>
      <c r="AE6" s="312"/>
      <c r="AF6" s="312"/>
      <c r="AG6" s="312">
        <v>1274</v>
      </c>
      <c r="AH6" s="312"/>
      <c r="AI6" s="312"/>
      <c r="AJ6" s="312"/>
      <c r="AK6" s="312"/>
      <c r="AL6" s="312">
        <v>1274</v>
      </c>
      <c r="AM6" s="312"/>
      <c r="AN6" s="312"/>
      <c r="AO6" s="312"/>
      <c r="AP6" s="312"/>
      <c r="AQ6" s="312">
        <v>1274</v>
      </c>
      <c r="AR6" s="312"/>
      <c r="AS6" s="312"/>
      <c r="AT6" s="312"/>
      <c r="AU6" s="312"/>
      <c r="AV6" s="312">
        <v>1274</v>
      </c>
      <c r="AW6" s="312"/>
      <c r="AX6" s="312"/>
      <c r="AY6" s="312"/>
      <c r="AZ6" s="312"/>
      <c r="BA6" s="312">
        <v>1274</v>
      </c>
      <c r="BB6" s="312"/>
      <c r="BC6" s="312"/>
      <c r="BD6" s="312"/>
      <c r="BE6" s="312"/>
      <c r="BF6" s="312">
        <v>1274</v>
      </c>
      <c r="BG6" s="312"/>
      <c r="BH6" s="312"/>
      <c r="BI6" s="312"/>
      <c r="BJ6" s="312"/>
      <c r="BK6" s="312">
        <v>1274</v>
      </c>
      <c r="BL6" s="312"/>
      <c r="BM6" s="312"/>
      <c r="BN6" s="312"/>
      <c r="BO6" s="312" t="s">
        <v>9277</v>
      </c>
      <c r="BP6" s="312"/>
      <c r="BQ6" s="312"/>
    </row>
    <row r="7" spans="1:69" outlineLevel="1">
      <c r="A7" s="312" t="s">
        <v>8394</v>
      </c>
      <c r="B7" s="312" t="s">
        <v>9278</v>
      </c>
      <c r="C7" s="312" t="s">
        <v>9265</v>
      </c>
      <c r="D7" s="312" t="s">
        <v>9266</v>
      </c>
      <c r="E7" s="312" t="s">
        <v>9267</v>
      </c>
      <c r="F7" s="312"/>
      <c r="G7" s="312"/>
      <c r="H7" s="312">
        <v>1500</v>
      </c>
      <c r="I7" s="312"/>
      <c r="J7" s="312"/>
      <c r="K7" s="312"/>
      <c r="L7" s="312"/>
      <c r="M7" s="312">
        <v>1500</v>
      </c>
      <c r="N7" s="312"/>
      <c r="O7" s="312"/>
      <c r="P7" s="312"/>
      <c r="Q7" s="312"/>
      <c r="R7" s="312">
        <v>1500</v>
      </c>
      <c r="S7" s="312"/>
      <c r="T7" s="312"/>
      <c r="U7" s="312"/>
      <c r="V7" s="312"/>
      <c r="W7" s="312">
        <v>1500</v>
      </c>
      <c r="X7" s="312"/>
      <c r="Y7" s="312"/>
      <c r="Z7" s="312"/>
      <c r="AA7" s="312"/>
      <c r="AB7" s="312">
        <v>1500</v>
      </c>
      <c r="AC7" s="312"/>
      <c r="AD7" s="312"/>
      <c r="AE7" s="312"/>
      <c r="AF7" s="312"/>
      <c r="AG7" s="312">
        <v>1500</v>
      </c>
      <c r="AH7" s="312"/>
      <c r="AI7" s="312"/>
      <c r="AJ7" s="312"/>
      <c r="AK7" s="312"/>
      <c r="AL7" s="312">
        <v>1500</v>
      </c>
      <c r="AM7" s="312"/>
      <c r="AN7" s="312"/>
      <c r="AO7" s="312"/>
      <c r="AP7" s="312"/>
      <c r="AQ7" s="312">
        <v>1500</v>
      </c>
      <c r="AR7" s="312"/>
      <c r="AS7" s="312"/>
      <c r="AT7" s="312"/>
      <c r="AU7" s="312"/>
      <c r="AV7" s="312">
        <v>1500</v>
      </c>
      <c r="AW7" s="312"/>
      <c r="AX7" s="312"/>
      <c r="AY7" s="312"/>
      <c r="AZ7" s="312"/>
      <c r="BA7" s="312">
        <v>1500</v>
      </c>
      <c r="BB7" s="312"/>
      <c r="BC7" s="312"/>
      <c r="BD7" s="312"/>
      <c r="BE7" s="312"/>
      <c r="BF7" s="312">
        <v>1500</v>
      </c>
      <c r="BG7" s="312"/>
      <c r="BH7" s="312"/>
      <c r="BI7" s="312"/>
      <c r="BJ7" s="312"/>
      <c r="BK7" s="312">
        <v>1500</v>
      </c>
      <c r="BL7" s="312"/>
      <c r="BM7" s="312"/>
      <c r="BN7" s="312"/>
      <c r="BO7" s="312" t="s">
        <v>9277</v>
      </c>
      <c r="BP7" s="312"/>
      <c r="BQ7" s="312"/>
    </row>
    <row r="8" spans="1:69" outlineLevel="1">
      <c r="A8" s="312" t="s">
        <v>6288</v>
      </c>
      <c r="B8" s="312" t="s">
        <v>9279</v>
      </c>
      <c r="C8" s="312" t="s">
        <v>9265</v>
      </c>
      <c r="D8" s="312" t="s">
        <v>9266</v>
      </c>
      <c r="E8" s="312" t="s">
        <v>9267</v>
      </c>
      <c r="F8" s="312"/>
      <c r="G8" s="312"/>
      <c r="H8" s="312">
        <v>1622</v>
      </c>
      <c r="I8" s="312"/>
      <c r="J8" s="312"/>
      <c r="K8" s="312"/>
      <c r="L8" s="312"/>
      <c r="M8" s="312">
        <v>1622</v>
      </c>
      <c r="N8" s="312"/>
      <c r="O8" s="312"/>
      <c r="P8" s="312"/>
      <c r="Q8" s="312"/>
      <c r="R8" s="312">
        <v>1622</v>
      </c>
      <c r="S8" s="312"/>
      <c r="T8" s="312"/>
      <c r="U8" s="312"/>
      <c r="V8" s="312"/>
      <c r="W8" s="312">
        <v>1622</v>
      </c>
      <c r="X8" s="312"/>
      <c r="Y8" s="312"/>
      <c r="Z8" s="312"/>
      <c r="AA8" s="312"/>
      <c r="AB8" s="312">
        <v>1622</v>
      </c>
      <c r="AC8" s="312"/>
      <c r="AD8" s="312"/>
      <c r="AE8" s="312"/>
      <c r="AF8" s="312"/>
      <c r="AG8" s="312">
        <v>1622</v>
      </c>
      <c r="AH8" s="312"/>
      <c r="AI8" s="312"/>
      <c r="AJ8" s="312"/>
      <c r="AK8" s="312"/>
      <c r="AL8" s="312">
        <v>1622</v>
      </c>
      <c r="AM8" s="312"/>
      <c r="AN8" s="312"/>
      <c r="AO8" s="312"/>
      <c r="AP8" s="312"/>
      <c r="AQ8" s="312">
        <v>1622</v>
      </c>
      <c r="AR8" s="312"/>
      <c r="AS8" s="312"/>
      <c r="AT8" s="312"/>
      <c r="AU8" s="312"/>
      <c r="AV8" s="312">
        <v>1622</v>
      </c>
      <c r="AW8" s="312"/>
      <c r="AX8" s="312"/>
      <c r="AY8" s="312"/>
      <c r="AZ8" s="312"/>
      <c r="BA8" s="312">
        <v>1622</v>
      </c>
      <c r="BB8" s="312"/>
      <c r="BC8" s="312"/>
      <c r="BD8" s="312"/>
      <c r="BE8" s="312"/>
      <c r="BF8" s="312">
        <v>1622</v>
      </c>
      <c r="BG8" s="312"/>
      <c r="BH8" s="312"/>
      <c r="BI8" s="312"/>
      <c r="BJ8" s="312"/>
      <c r="BK8" s="312">
        <v>1622</v>
      </c>
      <c r="BL8" s="312"/>
      <c r="BM8" s="312"/>
      <c r="BN8" s="312"/>
      <c r="BO8" s="312" t="s">
        <v>9277</v>
      </c>
      <c r="BP8" s="312"/>
      <c r="BQ8" s="312"/>
    </row>
    <row r="9" spans="1:69" outlineLevel="1">
      <c r="A9" s="312" t="s">
        <v>6447</v>
      </c>
      <c r="B9" s="312" t="s">
        <v>9280</v>
      </c>
      <c r="C9" s="312" t="s">
        <v>9265</v>
      </c>
      <c r="D9" s="312" t="s">
        <v>9266</v>
      </c>
      <c r="E9" s="312" t="s">
        <v>9267</v>
      </c>
      <c r="F9" s="312"/>
      <c r="G9" s="312"/>
      <c r="H9" s="312">
        <v>1668</v>
      </c>
      <c r="I9" s="312"/>
      <c r="J9" s="312"/>
      <c r="K9" s="312"/>
      <c r="L9" s="312"/>
      <c r="M9" s="312">
        <v>1668</v>
      </c>
      <c r="N9" s="312"/>
      <c r="O9" s="312"/>
      <c r="P9" s="312"/>
      <c r="Q9" s="312"/>
      <c r="R9" s="312">
        <v>1668</v>
      </c>
      <c r="S9" s="312"/>
      <c r="T9" s="312"/>
      <c r="U9" s="312"/>
      <c r="V9" s="312"/>
      <c r="W9" s="312">
        <v>1668</v>
      </c>
      <c r="X9" s="312"/>
      <c r="Y9" s="312"/>
      <c r="Z9" s="312"/>
      <c r="AA9" s="312"/>
      <c r="AB9" s="312">
        <v>1668</v>
      </c>
      <c r="AC9" s="312"/>
      <c r="AD9" s="312"/>
      <c r="AE9" s="312"/>
      <c r="AF9" s="312"/>
      <c r="AG9" s="312">
        <v>1668</v>
      </c>
      <c r="AH9" s="312"/>
      <c r="AI9" s="312"/>
      <c r="AJ9" s="312"/>
      <c r="AK9" s="312"/>
      <c r="AL9" s="312">
        <v>1668</v>
      </c>
      <c r="AM9" s="312"/>
      <c r="AN9" s="312"/>
      <c r="AO9" s="312"/>
      <c r="AP9" s="312"/>
      <c r="AQ9" s="312">
        <v>1668</v>
      </c>
      <c r="AR9" s="312"/>
      <c r="AS9" s="312"/>
      <c r="AT9" s="312"/>
      <c r="AU9" s="312"/>
      <c r="AV9" s="312">
        <v>1668</v>
      </c>
      <c r="AW9" s="312"/>
      <c r="AX9" s="312"/>
      <c r="AY9" s="312"/>
      <c r="AZ9" s="312"/>
      <c r="BA9" s="312">
        <v>1668</v>
      </c>
      <c r="BB9" s="312"/>
      <c r="BC9" s="312"/>
      <c r="BD9" s="312"/>
      <c r="BE9" s="312"/>
      <c r="BF9" s="312">
        <v>1668</v>
      </c>
      <c r="BG9" s="312"/>
      <c r="BH9" s="312"/>
      <c r="BI9" s="312"/>
      <c r="BJ9" s="312"/>
      <c r="BK9" s="312">
        <v>1668</v>
      </c>
      <c r="BL9" s="312"/>
      <c r="BM9" s="312"/>
      <c r="BN9" s="312"/>
      <c r="BO9" s="312" t="s">
        <v>9277</v>
      </c>
      <c r="BP9" s="312"/>
      <c r="BQ9" s="312"/>
    </row>
    <row r="10" spans="1:69" outlineLevel="1">
      <c r="A10" s="312" t="s">
        <v>6452</v>
      </c>
      <c r="B10" s="312" t="s">
        <v>9281</v>
      </c>
      <c r="C10" s="312" t="s">
        <v>9265</v>
      </c>
      <c r="D10" s="312" t="s">
        <v>9266</v>
      </c>
      <c r="E10" s="312" t="s">
        <v>9267</v>
      </c>
      <c r="F10" s="312"/>
      <c r="G10" s="312"/>
      <c r="H10" s="312">
        <v>1732</v>
      </c>
      <c r="I10" s="312"/>
      <c r="J10" s="312"/>
      <c r="K10" s="312"/>
      <c r="L10" s="312"/>
      <c r="M10" s="312">
        <v>1732</v>
      </c>
      <c r="N10" s="312"/>
      <c r="O10" s="312"/>
      <c r="P10" s="312"/>
      <c r="Q10" s="312"/>
      <c r="R10" s="312">
        <v>1732</v>
      </c>
      <c r="S10" s="312"/>
      <c r="T10" s="312"/>
      <c r="U10" s="312"/>
      <c r="V10" s="312"/>
      <c r="W10" s="312">
        <v>1732</v>
      </c>
      <c r="X10" s="312"/>
      <c r="Y10" s="312"/>
      <c r="Z10" s="312"/>
      <c r="AA10" s="312"/>
      <c r="AB10" s="312">
        <v>1732</v>
      </c>
      <c r="AC10" s="312"/>
      <c r="AD10" s="312"/>
      <c r="AE10" s="312"/>
      <c r="AF10" s="312"/>
      <c r="AG10" s="312">
        <v>1732</v>
      </c>
      <c r="AH10" s="312"/>
      <c r="AI10" s="312"/>
      <c r="AJ10" s="312"/>
      <c r="AK10" s="312"/>
      <c r="AL10" s="312">
        <v>1732</v>
      </c>
      <c r="AM10" s="312"/>
      <c r="AN10" s="312"/>
      <c r="AO10" s="312"/>
      <c r="AP10" s="312"/>
      <c r="AQ10" s="312">
        <v>1732</v>
      </c>
      <c r="AR10" s="312"/>
      <c r="AS10" s="312"/>
      <c r="AT10" s="312"/>
      <c r="AU10" s="312"/>
      <c r="AV10" s="312">
        <v>1732</v>
      </c>
      <c r="AW10" s="312"/>
      <c r="AX10" s="312"/>
      <c r="AY10" s="312"/>
      <c r="AZ10" s="312"/>
      <c r="BA10" s="312">
        <v>1732</v>
      </c>
      <c r="BB10" s="312"/>
      <c r="BC10" s="312"/>
      <c r="BD10" s="312"/>
      <c r="BE10" s="312"/>
      <c r="BF10" s="312">
        <v>1732</v>
      </c>
      <c r="BG10" s="312"/>
      <c r="BH10" s="312"/>
      <c r="BI10" s="312"/>
      <c r="BJ10" s="312"/>
      <c r="BK10" s="312">
        <v>1732</v>
      </c>
      <c r="BL10" s="312"/>
      <c r="BM10" s="312"/>
      <c r="BN10" s="312"/>
      <c r="BO10" s="312" t="s">
        <v>9277</v>
      </c>
      <c r="BP10" s="312"/>
      <c r="BQ10" s="312"/>
    </row>
    <row r="11" spans="1:69" outlineLevel="1">
      <c r="A11" s="312" t="s">
        <v>9282</v>
      </c>
      <c r="B11" s="312" t="s">
        <v>9283</v>
      </c>
      <c r="C11" s="312" t="s">
        <v>9265</v>
      </c>
      <c r="D11" s="312" t="s">
        <v>9266</v>
      </c>
      <c r="E11" s="312" t="s">
        <v>9267</v>
      </c>
      <c r="F11" s="312"/>
      <c r="G11" s="312"/>
      <c r="H11" s="312">
        <v>1821</v>
      </c>
      <c r="I11" s="312"/>
      <c r="J11" s="312"/>
      <c r="K11" s="312"/>
      <c r="L11" s="312"/>
      <c r="M11" s="312">
        <v>1821</v>
      </c>
      <c r="N11" s="312"/>
      <c r="O11" s="312"/>
      <c r="P11" s="312"/>
      <c r="Q11" s="312"/>
      <c r="R11" s="312">
        <v>1821</v>
      </c>
      <c r="S11" s="312"/>
      <c r="T11" s="312"/>
      <c r="U11" s="312"/>
      <c r="V11" s="312"/>
      <c r="W11" s="312">
        <v>1821</v>
      </c>
      <c r="X11" s="312"/>
      <c r="Y11" s="312"/>
      <c r="Z11" s="312"/>
      <c r="AA11" s="312"/>
      <c r="AB11" s="312">
        <v>1821</v>
      </c>
      <c r="AC11" s="312"/>
      <c r="AD11" s="312"/>
      <c r="AE11" s="312"/>
      <c r="AF11" s="312"/>
      <c r="AG11" s="312">
        <v>1821</v>
      </c>
      <c r="AH11" s="312"/>
      <c r="AI11" s="312"/>
      <c r="AJ11" s="312"/>
      <c r="AK11" s="312"/>
      <c r="AL11" s="312">
        <v>1821</v>
      </c>
      <c r="AM11" s="312"/>
      <c r="AN11" s="312"/>
      <c r="AO11" s="312"/>
      <c r="AP11" s="312"/>
      <c r="AQ11" s="312">
        <v>1821</v>
      </c>
      <c r="AR11" s="312"/>
      <c r="AS11" s="312"/>
      <c r="AT11" s="312"/>
      <c r="AU11" s="312"/>
      <c r="AV11" s="312">
        <v>1821</v>
      </c>
      <c r="AW11" s="312"/>
      <c r="AX11" s="312"/>
      <c r="AY11" s="312"/>
      <c r="AZ11" s="312"/>
      <c r="BA11" s="312">
        <v>1821</v>
      </c>
      <c r="BB11" s="312"/>
      <c r="BC11" s="312"/>
      <c r="BD11" s="312"/>
      <c r="BE11" s="312"/>
      <c r="BF11" s="312">
        <v>1821</v>
      </c>
      <c r="BG11" s="312"/>
      <c r="BH11" s="312"/>
      <c r="BI11" s="312"/>
      <c r="BJ11" s="312"/>
      <c r="BK11" s="312">
        <v>1821</v>
      </c>
      <c r="BL11" s="312"/>
      <c r="BM11" s="312"/>
      <c r="BN11" s="312"/>
      <c r="BO11" s="312" t="s">
        <v>9277</v>
      </c>
      <c r="BP11" s="312"/>
      <c r="BQ11" s="312"/>
    </row>
    <row r="12" spans="1:69" outlineLevel="1">
      <c r="A12" s="312" t="s">
        <v>9284</v>
      </c>
      <c r="B12" s="312" t="s">
        <v>9285</v>
      </c>
      <c r="C12" s="312" t="s">
        <v>9265</v>
      </c>
      <c r="D12" s="312" t="s">
        <v>9266</v>
      </c>
      <c r="E12" s="312" t="s">
        <v>9267</v>
      </c>
      <c r="F12" s="312"/>
      <c r="G12" s="312"/>
      <c r="H12" s="312">
        <v>1834</v>
      </c>
      <c r="I12" s="312"/>
      <c r="J12" s="312"/>
      <c r="K12" s="312"/>
      <c r="L12" s="312"/>
      <c r="M12" s="312">
        <v>1834</v>
      </c>
      <c r="N12" s="312"/>
      <c r="O12" s="312"/>
      <c r="P12" s="312"/>
      <c r="Q12" s="312"/>
      <c r="R12" s="312">
        <v>1834</v>
      </c>
      <c r="S12" s="312"/>
      <c r="T12" s="312"/>
      <c r="U12" s="312"/>
      <c r="V12" s="312"/>
      <c r="W12" s="312">
        <v>1834</v>
      </c>
      <c r="X12" s="312"/>
      <c r="Y12" s="312"/>
      <c r="Z12" s="312"/>
      <c r="AA12" s="312"/>
      <c r="AB12" s="312">
        <v>1834</v>
      </c>
      <c r="AC12" s="312"/>
      <c r="AD12" s="312"/>
      <c r="AE12" s="312"/>
      <c r="AF12" s="312"/>
      <c r="AG12" s="312">
        <v>1834</v>
      </c>
      <c r="AH12" s="312"/>
      <c r="AI12" s="312"/>
      <c r="AJ12" s="312"/>
      <c r="AK12" s="312"/>
      <c r="AL12" s="312">
        <v>1834</v>
      </c>
      <c r="AM12" s="312"/>
      <c r="AN12" s="312"/>
      <c r="AO12" s="312"/>
      <c r="AP12" s="312"/>
      <c r="AQ12" s="312">
        <v>1834</v>
      </c>
      <c r="AR12" s="312"/>
      <c r="AS12" s="312"/>
      <c r="AT12" s="312"/>
      <c r="AU12" s="312"/>
      <c r="AV12" s="312">
        <v>1834</v>
      </c>
      <c r="AW12" s="312"/>
      <c r="AX12" s="312"/>
      <c r="AY12" s="312"/>
      <c r="AZ12" s="312"/>
      <c r="BA12" s="312">
        <v>1834</v>
      </c>
      <c r="BB12" s="312"/>
      <c r="BC12" s="312"/>
      <c r="BD12" s="312"/>
      <c r="BE12" s="312"/>
      <c r="BF12" s="312">
        <v>1834</v>
      </c>
      <c r="BG12" s="312"/>
      <c r="BH12" s="312"/>
      <c r="BI12" s="312"/>
      <c r="BJ12" s="312"/>
      <c r="BK12" s="312">
        <v>1834</v>
      </c>
      <c r="BL12" s="312"/>
      <c r="BM12" s="312"/>
      <c r="BN12" s="312"/>
      <c r="BO12" s="312" t="s">
        <v>9277</v>
      </c>
      <c r="BP12" s="312"/>
      <c r="BQ12" s="312"/>
    </row>
    <row r="13" spans="1:69" outlineLevel="1">
      <c r="A13" s="312" t="s">
        <v>7115</v>
      </c>
      <c r="B13" s="312" t="s">
        <v>9286</v>
      </c>
      <c r="C13" s="312" t="s">
        <v>9265</v>
      </c>
      <c r="D13" s="312" t="s">
        <v>9266</v>
      </c>
      <c r="E13" s="312" t="s">
        <v>9267</v>
      </c>
      <c r="F13" s="312"/>
      <c r="G13" s="312"/>
      <c r="H13" s="312">
        <v>1904</v>
      </c>
      <c r="I13" s="312"/>
      <c r="J13" s="312"/>
      <c r="K13" s="312"/>
      <c r="L13" s="312"/>
      <c r="M13" s="312">
        <v>1904</v>
      </c>
      <c r="N13" s="312"/>
      <c r="O13" s="312"/>
      <c r="P13" s="312"/>
      <c r="Q13" s="312"/>
      <c r="R13" s="312">
        <v>1904</v>
      </c>
      <c r="S13" s="312"/>
      <c r="T13" s="312"/>
      <c r="U13" s="312"/>
      <c r="V13" s="312"/>
      <c r="W13" s="312">
        <v>1904</v>
      </c>
      <c r="X13" s="312"/>
      <c r="Y13" s="312"/>
      <c r="Z13" s="312"/>
      <c r="AA13" s="312"/>
      <c r="AB13" s="312">
        <v>1904</v>
      </c>
      <c r="AC13" s="312"/>
      <c r="AD13" s="312"/>
      <c r="AE13" s="312"/>
      <c r="AF13" s="312"/>
      <c r="AG13" s="312">
        <v>1904</v>
      </c>
      <c r="AH13" s="312"/>
      <c r="AI13" s="312"/>
      <c r="AJ13" s="312"/>
      <c r="AK13" s="312"/>
      <c r="AL13" s="312">
        <v>1904</v>
      </c>
      <c r="AM13" s="312"/>
      <c r="AN13" s="312"/>
      <c r="AO13" s="312"/>
      <c r="AP13" s="312"/>
      <c r="AQ13" s="312">
        <v>1904</v>
      </c>
      <c r="AR13" s="312"/>
      <c r="AS13" s="312"/>
      <c r="AT13" s="312"/>
      <c r="AU13" s="312"/>
      <c r="AV13" s="312">
        <v>1904</v>
      </c>
      <c r="AW13" s="312"/>
      <c r="AX13" s="312"/>
      <c r="AY13" s="312"/>
      <c r="AZ13" s="312"/>
      <c r="BA13" s="312">
        <v>1904</v>
      </c>
      <c r="BB13" s="312"/>
      <c r="BC13" s="312"/>
      <c r="BD13" s="312"/>
      <c r="BE13" s="312"/>
      <c r="BF13" s="312">
        <v>1904</v>
      </c>
      <c r="BG13" s="312"/>
      <c r="BH13" s="312"/>
      <c r="BI13" s="312"/>
      <c r="BJ13" s="312"/>
      <c r="BK13" s="312">
        <v>1904</v>
      </c>
      <c r="BL13" s="312"/>
      <c r="BM13" s="312"/>
      <c r="BN13" s="312"/>
      <c r="BO13" s="312" t="s">
        <v>9277</v>
      </c>
      <c r="BP13" s="312"/>
      <c r="BQ13" s="312"/>
    </row>
    <row r="14" spans="1:69" outlineLevel="1">
      <c r="A14" s="312" t="s">
        <v>7942</v>
      </c>
      <c r="B14" s="312" t="s">
        <v>9287</v>
      </c>
      <c r="C14" s="312" t="s">
        <v>9265</v>
      </c>
      <c r="D14" s="312" t="s">
        <v>9266</v>
      </c>
      <c r="E14" s="312" t="s">
        <v>9267</v>
      </c>
      <c r="F14" s="312"/>
      <c r="G14" s="312"/>
      <c r="H14" s="312">
        <v>2000</v>
      </c>
      <c r="I14" s="312"/>
      <c r="J14" s="312"/>
      <c r="K14" s="312"/>
      <c r="L14" s="312"/>
      <c r="M14" s="312">
        <v>2000</v>
      </c>
      <c r="N14" s="312"/>
      <c r="O14" s="312"/>
      <c r="P14" s="312"/>
      <c r="Q14" s="312"/>
      <c r="R14" s="312">
        <v>2000</v>
      </c>
      <c r="S14" s="312"/>
      <c r="T14" s="312"/>
      <c r="U14" s="312"/>
      <c r="V14" s="312"/>
      <c r="W14" s="312">
        <v>2000</v>
      </c>
      <c r="X14" s="312"/>
      <c r="Y14" s="312"/>
      <c r="Z14" s="312"/>
      <c r="AA14" s="312"/>
      <c r="AB14" s="312">
        <v>2000</v>
      </c>
      <c r="AC14" s="312"/>
      <c r="AD14" s="312"/>
      <c r="AE14" s="312"/>
      <c r="AF14" s="312"/>
      <c r="AG14" s="312">
        <v>2000</v>
      </c>
      <c r="AH14" s="312"/>
      <c r="AI14" s="312"/>
      <c r="AJ14" s="312"/>
      <c r="AK14" s="312"/>
      <c r="AL14" s="312">
        <v>2000</v>
      </c>
      <c r="AM14" s="312"/>
      <c r="AN14" s="312"/>
      <c r="AO14" s="312"/>
      <c r="AP14" s="312"/>
      <c r="AQ14" s="312">
        <v>2000</v>
      </c>
      <c r="AR14" s="312"/>
      <c r="AS14" s="312"/>
      <c r="AT14" s="312"/>
      <c r="AU14" s="312"/>
      <c r="AV14" s="312">
        <v>2000</v>
      </c>
      <c r="AW14" s="312"/>
      <c r="AX14" s="312"/>
      <c r="AY14" s="312"/>
      <c r="AZ14" s="312"/>
      <c r="BA14" s="312">
        <v>2000</v>
      </c>
      <c r="BB14" s="312"/>
      <c r="BC14" s="312"/>
      <c r="BD14" s="312"/>
      <c r="BE14" s="312"/>
      <c r="BF14" s="312">
        <v>2000</v>
      </c>
      <c r="BG14" s="312"/>
      <c r="BH14" s="312"/>
      <c r="BI14" s="312"/>
      <c r="BJ14" s="312"/>
      <c r="BK14" s="312">
        <v>2000</v>
      </c>
      <c r="BL14" s="312"/>
      <c r="BM14" s="312"/>
      <c r="BN14" s="312"/>
      <c r="BO14" s="312" t="s">
        <v>9277</v>
      </c>
      <c r="BP14" s="312"/>
      <c r="BQ14" s="312"/>
    </row>
    <row r="15" spans="1:69" outlineLevel="1">
      <c r="A15" s="312" t="s">
        <v>6481</v>
      </c>
      <c r="B15" s="312" t="s">
        <v>9288</v>
      </c>
      <c r="C15" s="312" t="s">
        <v>9265</v>
      </c>
      <c r="D15" s="312" t="s">
        <v>9266</v>
      </c>
      <c r="E15" s="312" t="s">
        <v>9267</v>
      </c>
      <c r="F15" s="312"/>
      <c r="G15" s="312"/>
      <c r="H15" s="312">
        <v>2091</v>
      </c>
      <c r="I15" s="312"/>
      <c r="J15" s="312"/>
      <c r="K15" s="312"/>
      <c r="L15" s="312"/>
      <c r="M15" s="312">
        <v>2091</v>
      </c>
      <c r="N15" s="312"/>
      <c r="O15" s="312"/>
      <c r="P15" s="312"/>
      <c r="Q15" s="312"/>
      <c r="R15" s="312">
        <v>2091</v>
      </c>
      <c r="S15" s="312"/>
      <c r="T15" s="312"/>
      <c r="U15" s="312"/>
      <c r="V15" s="312"/>
      <c r="W15" s="312">
        <v>2091</v>
      </c>
      <c r="X15" s="312"/>
      <c r="Y15" s="312"/>
      <c r="Z15" s="312"/>
      <c r="AA15" s="312"/>
      <c r="AB15" s="312">
        <v>2091</v>
      </c>
      <c r="AC15" s="312"/>
      <c r="AD15" s="312"/>
      <c r="AE15" s="312"/>
      <c r="AF15" s="312"/>
      <c r="AG15" s="312">
        <v>2091</v>
      </c>
      <c r="AH15" s="312"/>
      <c r="AI15" s="312"/>
      <c r="AJ15" s="312"/>
      <c r="AK15" s="312"/>
      <c r="AL15" s="312">
        <v>2091</v>
      </c>
      <c r="AM15" s="312"/>
      <c r="AN15" s="312"/>
      <c r="AO15" s="312"/>
      <c r="AP15" s="312"/>
      <c r="AQ15" s="312">
        <v>2091</v>
      </c>
      <c r="AR15" s="312"/>
      <c r="AS15" s="312"/>
      <c r="AT15" s="312"/>
      <c r="AU15" s="312"/>
      <c r="AV15" s="312">
        <v>2091</v>
      </c>
      <c r="AW15" s="312"/>
      <c r="AX15" s="312"/>
      <c r="AY15" s="312"/>
      <c r="AZ15" s="312"/>
      <c r="BA15" s="312">
        <v>2091</v>
      </c>
      <c r="BB15" s="312"/>
      <c r="BC15" s="312"/>
      <c r="BD15" s="312"/>
      <c r="BE15" s="312"/>
      <c r="BF15" s="312">
        <v>2091</v>
      </c>
      <c r="BG15" s="312"/>
      <c r="BH15" s="312"/>
      <c r="BI15" s="312"/>
      <c r="BJ15" s="312"/>
      <c r="BK15" s="312">
        <v>2091</v>
      </c>
      <c r="BL15" s="312"/>
      <c r="BM15" s="312"/>
      <c r="BN15" s="312"/>
      <c r="BO15" s="312" t="s">
        <v>9277</v>
      </c>
      <c r="BP15" s="312"/>
      <c r="BQ15" s="312"/>
    </row>
    <row r="16" spans="1:69" outlineLevel="1">
      <c r="A16" s="312" t="s">
        <v>6629</v>
      </c>
      <c r="B16" s="312" t="s">
        <v>9289</v>
      </c>
      <c r="C16" s="312" t="s">
        <v>9265</v>
      </c>
      <c r="D16" s="312" t="s">
        <v>9266</v>
      </c>
      <c r="E16" s="312" t="s">
        <v>9267</v>
      </c>
      <c r="F16" s="312"/>
      <c r="G16" s="312"/>
      <c r="H16" s="312">
        <v>2348</v>
      </c>
      <c r="I16" s="312"/>
      <c r="J16" s="312"/>
      <c r="K16" s="312"/>
      <c r="L16" s="312"/>
      <c r="M16" s="312">
        <v>2348</v>
      </c>
      <c r="N16" s="312"/>
      <c r="O16" s="312"/>
      <c r="P16" s="312"/>
      <c r="Q16" s="312"/>
      <c r="R16" s="312">
        <v>2348</v>
      </c>
      <c r="S16" s="312"/>
      <c r="T16" s="312"/>
      <c r="U16" s="312"/>
      <c r="V16" s="312"/>
      <c r="W16" s="312">
        <v>2348</v>
      </c>
      <c r="X16" s="312"/>
      <c r="Y16" s="312"/>
      <c r="Z16" s="312"/>
      <c r="AA16" s="312"/>
      <c r="AB16" s="312">
        <v>2348</v>
      </c>
      <c r="AC16" s="312"/>
      <c r="AD16" s="312"/>
      <c r="AE16" s="312"/>
      <c r="AF16" s="312"/>
      <c r="AG16" s="312">
        <v>2348</v>
      </c>
      <c r="AH16" s="312"/>
      <c r="AI16" s="312"/>
      <c r="AJ16" s="312"/>
      <c r="AK16" s="312"/>
      <c r="AL16" s="312">
        <v>2348</v>
      </c>
      <c r="AM16" s="312"/>
      <c r="AN16" s="312"/>
      <c r="AO16" s="312"/>
      <c r="AP16" s="312"/>
      <c r="AQ16" s="312">
        <v>2348</v>
      </c>
      <c r="AR16" s="312"/>
      <c r="AS16" s="312"/>
      <c r="AT16" s="312"/>
      <c r="AU16" s="312"/>
      <c r="AV16" s="312">
        <v>2348</v>
      </c>
      <c r="AW16" s="312"/>
      <c r="AX16" s="312"/>
      <c r="AY16" s="312"/>
      <c r="AZ16" s="312"/>
      <c r="BA16" s="312">
        <v>2348</v>
      </c>
      <c r="BB16" s="312"/>
      <c r="BC16" s="312"/>
      <c r="BD16" s="312"/>
      <c r="BE16" s="312"/>
      <c r="BF16" s="312">
        <v>2348</v>
      </c>
      <c r="BG16" s="312"/>
      <c r="BH16" s="312"/>
      <c r="BI16" s="312"/>
      <c r="BJ16" s="312"/>
      <c r="BK16" s="312">
        <v>2348</v>
      </c>
      <c r="BL16" s="312"/>
      <c r="BM16" s="312"/>
      <c r="BN16" s="312"/>
      <c r="BO16" s="312" t="s">
        <v>9277</v>
      </c>
      <c r="BP16" s="312"/>
      <c r="BQ16" s="312"/>
    </row>
    <row r="17" spans="1:67" outlineLevel="1">
      <c r="A17" s="312" t="s">
        <v>6318</v>
      </c>
      <c r="B17" s="312" t="s">
        <v>9290</v>
      </c>
      <c r="C17" s="312" t="s">
        <v>9265</v>
      </c>
      <c r="D17" s="312" t="s">
        <v>9266</v>
      </c>
      <c r="E17" s="312" t="s">
        <v>9267</v>
      </c>
      <c r="F17" s="312"/>
      <c r="G17" s="312"/>
      <c r="H17" s="312">
        <v>2497</v>
      </c>
      <c r="I17" s="312"/>
      <c r="J17" s="312"/>
      <c r="K17" s="312"/>
      <c r="L17" s="312"/>
      <c r="M17" s="312">
        <v>2497</v>
      </c>
      <c r="N17" s="312"/>
      <c r="O17" s="312"/>
      <c r="P17" s="312"/>
      <c r="Q17" s="312"/>
      <c r="R17" s="312">
        <v>2497</v>
      </c>
      <c r="S17" s="312"/>
      <c r="T17" s="312"/>
      <c r="U17" s="312"/>
      <c r="V17" s="312"/>
      <c r="W17" s="312">
        <v>2497</v>
      </c>
      <c r="X17" s="312"/>
      <c r="Y17" s="312"/>
      <c r="Z17" s="312"/>
      <c r="AA17" s="312"/>
      <c r="AB17" s="312">
        <v>2497</v>
      </c>
      <c r="AC17" s="312"/>
      <c r="AD17" s="312"/>
      <c r="AE17" s="312"/>
      <c r="AF17" s="312"/>
      <c r="AG17" s="312">
        <v>2497</v>
      </c>
      <c r="AH17" s="312"/>
      <c r="AI17" s="312"/>
      <c r="AJ17" s="312"/>
      <c r="AK17" s="312"/>
      <c r="AL17" s="312">
        <v>2497</v>
      </c>
      <c r="AM17" s="312"/>
      <c r="AN17" s="312"/>
      <c r="AO17" s="312"/>
      <c r="AP17" s="312"/>
      <c r="AQ17" s="312">
        <v>2497</v>
      </c>
      <c r="AR17" s="312"/>
      <c r="AS17" s="312"/>
      <c r="AT17" s="312"/>
      <c r="AU17" s="312"/>
      <c r="AV17" s="312">
        <v>2497</v>
      </c>
      <c r="AW17" s="312"/>
      <c r="AX17" s="312"/>
      <c r="AY17" s="312"/>
      <c r="AZ17" s="312"/>
      <c r="BA17" s="312">
        <v>2497</v>
      </c>
      <c r="BB17" s="312"/>
      <c r="BC17" s="312"/>
      <c r="BD17" s="312"/>
      <c r="BE17" s="312"/>
      <c r="BF17" s="312">
        <v>2497</v>
      </c>
      <c r="BG17" s="312"/>
      <c r="BH17" s="312"/>
      <c r="BI17" s="312"/>
      <c r="BJ17" s="312"/>
      <c r="BK17" s="312">
        <v>2497</v>
      </c>
      <c r="BL17" s="312"/>
      <c r="BM17" s="312"/>
      <c r="BN17" s="312"/>
      <c r="BO17" s="312" t="s">
        <v>9277</v>
      </c>
    </row>
    <row r="18" spans="1:67" outlineLevel="1">
      <c r="A18" s="312" t="s">
        <v>8217</v>
      </c>
      <c r="B18" s="312" t="s">
        <v>9291</v>
      </c>
      <c r="C18" s="312" t="s">
        <v>9265</v>
      </c>
      <c r="D18" s="312" t="s">
        <v>9266</v>
      </c>
      <c r="E18" s="312" t="s">
        <v>9267</v>
      </c>
      <c r="F18" s="312"/>
      <c r="G18" s="312"/>
      <c r="H18" s="312">
        <v>2592</v>
      </c>
      <c r="I18" s="312"/>
      <c r="J18" s="312"/>
      <c r="K18" s="312"/>
      <c r="L18" s="312"/>
      <c r="M18" s="312">
        <v>2592</v>
      </c>
      <c r="N18" s="312"/>
      <c r="O18" s="312"/>
      <c r="P18" s="312"/>
      <c r="Q18" s="312"/>
      <c r="R18" s="312">
        <v>2592</v>
      </c>
      <c r="S18" s="312"/>
      <c r="T18" s="312"/>
      <c r="U18" s="312"/>
      <c r="V18" s="312"/>
      <c r="W18" s="312">
        <v>2592</v>
      </c>
      <c r="X18" s="312"/>
      <c r="Y18" s="312"/>
      <c r="Z18" s="312"/>
      <c r="AA18" s="312"/>
      <c r="AB18" s="312">
        <v>2592</v>
      </c>
      <c r="AC18" s="312"/>
      <c r="AD18" s="312"/>
      <c r="AE18" s="312"/>
      <c r="AF18" s="312"/>
      <c r="AG18" s="312">
        <v>2592</v>
      </c>
      <c r="AH18" s="312"/>
      <c r="AI18" s="312"/>
      <c r="AJ18" s="312"/>
      <c r="AK18" s="312"/>
      <c r="AL18" s="312">
        <v>2592</v>
      </c>
      <c r="AM18" s="312"/>
      <c r="AN18" s="312"/>
      <c r="AO18" s="312"/>
      <c r="AP18" s="312"/>
      <c r="AQ18" s="312">
        <v>2592</v>
      </c>
      <c r="AR18" s="312"/>
      <c r="AS18" s="312"/>
      <c r="AT18" s="312"/>
      <c r="AU18" s="312"/>
      <c r="AV18" s="312">
        <v>2592</v>
      </c>
      <c r="AW18" s="312"/>
      <c r="AX18" s="312"/>
      <c r="AY18" s="312"/>
      <c r="AZ18" s="312"/>
      <c r="BA18" s="312">
        <v>2592</v>
      </c>
      <c r="BB18" s="312"/>
      <c r="BC18" s="312"/>
      <c r="BD18" s="312"/>
      <c r="BE18" s="312"/>
      <c r="BF18" s="312">
        <v>2592</v>
      </c>
      <c r="BG18" s="312"/>
      <c r="BH18" s="312"/>
      <c r="BI18" s="312"/>
      <c r="BJ18" s="312"/>
      <c r="BK18" s="312">
        <v>2592</v>
      </c>
      <c r="BL18" s="312"/>
      <c r="BM18" s="312"/>
      <c r="BN18" s="312"/>
      <c r="BO18" s="312" t="s">
        <v>9277</v>
      </c>
    </row>
    <row r="19" spans="1:67" outlineLevel="1">
      <c r="A19" s="312" t="s">
        <v>6486</v>
      </c>
      <c r="B19" s="312" t="s">
        <v>9292</v>
      </c>
      <c r="C19" s="312" t="s">
        <v>9265</v>
      </c>
      <c r="D19" s="312" t="s">
        <v>9266</v>
      </c>
      <c r="E19" s="312" t="s">
        <v>9267</v>
      </c>
      <c r="F19" s="312"/>
      <c r="G19" s="312"/>
      <c r="H19" s="312">
        <v>2702</v>
      </c>
      <c r="I19" s="312"/>
      <c r="J19" s="312"/>
      <c r="K19" s="312"/>
      <c r="L19" s="312"/>
      <c r="M19" s="312">
        <v>2702</v>
      </c>
      <c r="N19" s="312"/>
      <c r="O19" s="312"/>
      <c r="P19" s="312"/>
      <c r="Q19" s="312"/>
      <c r="R19" s="312">
        <v>2702</v>
      </c>
      <c r="S19" s="312"/>
      <c r="T19" s="312"/>
      <c r="U19" s="312"/>
      <c r="V19" s="312"/>
      <c r="W19" s="312">
        <v>2702</v>
      </c>
      <c r="X19" s="312"/>
      <c r="Y19" s="312"/>
      <c r="Z19" s="312"/>
      <c r="AA19" s="312"/>
      <c r="AB19" s="312">
        <v>2702</v>
      </c>
      <c r="AC19" s="312"/>
      <c r="AD19" s="312"/>
      <c r="AE19" s="312"/>
      <c r="AF19" s="312"/>
      <c r="AG19" s="312">
        <v>2702</v>
      </c>
      <c r="AH19" s="312"/>
      <c r="AI19" s="312"/>
      <c r="AJ19" s="312"/>
      <c r="AK19" s="312"/>
      <c r="AL19" s="312">
        <v>2702</v>
      </c>
      <c r="AM19" s="312"/>
      <c r="AN19" s="312"/>
      <c r="AO19" s="312"/>
      <c r="AP19" s="312"/>
      <c r="AQ19" s="312">
        <v>2702</v>
      </c>
      <c r="AR19" s="312"/>
      <c r="AS19" s="312"/>
      <c r="AT19" s="312"/>
      <c r="AU19" s="312"/>
      <c r="AV19" s="312">
        <v>2702</v>
      </c>
      <c r="AW19" s="312"/>
      <c r="AX19" s="312"/>
      <c r="AY19" s="312"/>
      <c r="AZ19" s="312"/>
      <c r="BA19" s="312">
        <v>2702</v>
      </c>
      <c r="BB19" s="312"/>
      <c r="BC19" s="312"/>
      <c r="BD19" s="312"/>
      <c r="BE19" s="312"/>
      <c r="BF19" s="312">
        <v>2702</v>
      </c>
      <c r="BG19" s="312"/>
      <c r="BH19" s="312"/>
      <c r="BI19" s="312"/>
      <c r="BJ19" s="312"/>
      <c r="BK19" s="312">
        <v>2702</v>
      </c>
      <c r="BL19" s="312"/>
      <c r="BM19" s="312"/>
      <c r="BN19" s="312"/>
      <c r="BO19" s="312" t="s">
        <v>9277</v>
      </c>
    </row>
    <row r="20" spans="1:67" outlineLevel="1">
      <c r="A20" s="312" t="s">
        <v>7709</v>
      </c>
      <c r="B20" s="312" t="s">
        <v>9293</v>
      </c>
      <c r="C20" s="312" t="s">
        <v>9265</v>
      </c>
      <c r="D20" s="312" t="s">
        <v>9266</v>
      </c>
      <c r="E20" s="312" t="s">
        <v>9267</v>
      </c>
      <c r="F20" s="312"/>
      <c r="G20" s="312"/>
      <c r="H20" s="312">
        <v>2722</v>
      </c>
      <c r="I20" s="312"/>
      <c r="J20" s="312"/>
      <c r="K20" s="312"/>
      <c r="L20" s="312"/>
      <c r="M20" s="312">
        <v>2722</v>
      </c>
      <c r="N20" s="312"/>
      <c r="O20" s="312"/>
      <c r="P20" s="312"/>
      <c r="Q20" s="312"/>
      <c r="R20" s="312">
        <v>2722</v>
      </c>
      <c r="S20" s="312"/>
      <c r="T20" s="312"/>
      <c r="U20" s="312"/>
      <c r="V20" s="312"/>
      <c r="W20" s="312">
        <v>2722</v>
      </c>
      <c r="X20" s="312"/>
      <c r="Y20" s="312"/>
      <c r="Z20" s="312"/>
      <c r="AA20" s="312"/>
      <c r="AB20" s="312">
        <v>2722</v>
      </c>
      <c r="AC20" s="312"/>
      <c r="AD20" s="312"/>
      <c r="AE20" s="312"/>
      <c r="AF20" s="312"/>
      <c r="AG20" s="312">
        <v>2722</v>
      </c>
      <c r="AH20" s="312"/>
      <c r="AI20" s="312"/>
      <c r="AJ20" s="312"/>
      <c r="AK20" s="312"/>
      <c r="AL20" s="312">
        <v>2722</v>
      </c>
      <c r="AM20" s="312"/>
      <c r="AN20" s="312"/>
      <c r="AO20" s="312"/>
      <c r="AP20" s="312"/>
      <c r="AQ20" s="312">
        <v>2722</v>
      </c>
      <c r="AR20" s="312"/>
      <c r="AS20" s="312"/>
      <c r="AT20" s="312"/>
      <c r="AU20" s="312"/>
      <c r="AV20" s="312">
        <v>2722</v>
      </c>
      <c r="AW20" s="312"/>
      <c r="AX20" s="312"/>
      <c r="AY20" s="312"/>
      <c r="AZ20" s="312"/>
      <c r="BA20" s="312">
        <v>2722</v>
      </c>
      <c r="BB20" s="312"/>
      <c r="BC20" s="312"/>
      <c r="BD20" s="312"/>
      <c r="BE20" s="312"/>
      <c r="BF20" s="312">
        <v>2722</v>
      </c>
      <c r="BG20" s="312"/>
      <c r="BH20" s="312"/>
      <c r="BI20" s="312"/>
      <c r="BJ20" s="312"/>
      <c r="BK20" s="312">
        <v>2722</v>
      </c>
      <c r="BL20" s="312"/>
      <c r="BM20" s="312"/>
      <c r="BN20" s="312"/>
      <c r="BO20" s="312" t="s">
        <v>9277</v>
      </c>
    </row>
    <row r="21" spans="1:67" outlineLevel="1">
      <c r="A21" s="312" t="s">
        <v>6457</v>
      </c>
      <c r="B21" s="312" t="s">
        <v>9294</v>
      </c>
      <c r="C21" s="312" t="s">
        <v>9265</v>
      </c>
      <c r="D21" s="312" t="s">
        <v>9266</v>
      </c>
      <c r="E21" s="312" t="s">
        <v>9267</v>
      </c>
      <c r="F21" s="312"/>
      <c r="G21" s="312"/>
      <c r="H21" s="312">
        <v>2875</v>
      </c>
      <c r="I21" s="312"/>
      <c r="J21" s="312"/>
      <c r="K21" s="312"/>
      <c r="L21" s="312"/>
      <c r="M21" s="312">
        <v>2875</v>
      </c>
      <c r="N21" s="312"/>
      <c r="O21" s="312"/>
      <c r="P21" s="312"/>
      <c r="Q21" s="312"/>
      <c r="R21" s="312">
        <v>2875</v>
      </c>
      <c r="S21" s="312"/>
      <c r="T21" s="312"/>
      <c r="U21" s="312"/>
      <c r="V21" s="312"/>
      <c r="W21" s="312">
        <v>2875</v>
      </c>
      <c r="X21" s="312"/>
      <c r="Y21" s="312"/>
      <c r="Z21" s="312"/>
      <c r="AA21" s="312"/>
      <c r="AB21" s="312">
        <v>2875</v>
      </c>
      <c r="AC21" s="312"/>
      <c r="AD21" s="312"/>
      <c r="AE21" s="312"/>
      <c r="AF21" s="312"/>
      <c r="AG21" s="312">
        <v>2875</v>
      </c>
      <c r="AH21" s="312"/>
      <c r="AI21" s="312"/>
      <c r="AJ21" s="312"/>
      <c r="AK21" s="312"/>
      <c r="AL21" s="312">
        <v>2875</v>
      </c>
      <c r="AM21" s="312"/>
      <c r="AN21" s="312"/>
      <c r="AO21" s="312"/>
      <c r="AP21" s="312"/>
      <c r="AQ21" s="312">
        <v>2875</v>
      </c>
      <c r="AR21" s="312"/>
      <c r="AS21" s="312"/>
      <c r="AT21" s="312"/>
      <c r="AU21" s="312"/>
      <c r="AV21" s="312">
        <v>2875</v>
      </c>
      <c r="AW21" s="312"/>
      <c r="AX21" s="312"/>
      <c r="AY21" s="312"/>
      <c r="AZ21" s="312"/>
      <c r="BA21" s="312">
        <v>2875</v>
      </c>
      <c r="BB21" s="312"/>
      <c r="BC21" s="312"/>
      <c r="BD21" s="312"/>
      <c r="BE21" s="312"/>
      <c r="BF21" s="312">
        <v>2875</v>
      </c>
      <c r="BG21" s="312"/>
      <c r="BH21" s="312"/>
      <c r="BI21" s="312"/>
      <c r="BJ21" s="312"/>
      <c r="BK21" s="312">
        <v>2875</v>
      </c>
      <c r="BL21" s="312"/>
      <c r="BM21" s="312"/>
      <c r="BN21" s="312"/>
      <c r="BO21" s="312" t="s">
        <v>9277</v>
      </c>
    </row>
    <row r="22" spans="1:67" outlineLevel="1">
      <c r="A22" s="312" t="s">
        <v>7036</v>
      </c>
      <c r="B22" s="312" t="s">
        <v>9295</v>
      </c>
      <c r="C22" s="312" t="s">
        <v>9265</v>
      </c>
      <c r="D22" s="312" t="s">
        <v>9266</v>
      </c>
      <c r="E22" s="312" t="s">
        <v>9267</v>
      </c>
      <c r="F22" s="312"/>
      <c r="G22" s="312"/>
      <c r="H22" s="312">
        <v>2880</v>
      </c>
      <c r="I22" s="312"/>
      <c r="J22" s="312"/>
      <c r="K22" s="312"/>
      <c r="L22" s="312"/>
      <c r="M22" s="312">
        <v>2880</v>
      </c>
      <c r="N22" s="312"/>
      <c r="O22" s="312"/>
      <c r="P22" s="312"/>
      <c r="Q22" s="312"/>
      <c r="R22" s="312">
        <v>2880</v>
      </c>
      <c r="S22" s="312"/>
      <c r="T22" s="312"/>
      <c r="U22" s="312"/>
      <c r="V22" s="312"/>
      <c r="W22" s="312">
        <v>2880</v>
      </c>
      <c r="X22" s="312"/>
      <c r="Y22" s="312"/>
      <c r="Z22" s="312"/>
      <c r="AA22" s="312"/>
      <c r="AB22" s="312">
        <v>2880</v>
      </c>
      <c r="AC22" s="312"/>
      <c r="AD22" s="312"/>
      <c r="AE22" s="312"/>
      <c r="AF22" s="312"/>
      <c r="AG22" s="312">
        <v>2880</v>
      </c>
      <c r="AH22" s="312"/>
      <c r="AI22" s="312"/>
      <c r="AJ22" s="312"/>
      <c r="AK22" s="312"/>
      <c r="AL22" s="312">
        <v>2880</v>
      </c>
      <c r="AM22" s="312"/>
      <c r="AN22" s="312"/>
      <c r="AO22" s="312"/>
      <c r="AP22" s="312"/>
      <c r="AQ22" s="312">
        <v>2880</v>
      </c>
      <c r="AR22" s="312"/>
      <c r="AS22" s="312"/>
      <c r="AT22" s="312"/>
      <c r="AU22" s="312"/>
      <c r="AV22" s="312">
        <v>2880</v>
      </c>
      <c r="AW22" s="312"/>
      <c r="AX22" s="312"/>
      <c r="AY22" s="312"/>
      <c r="AZ22" s="312"/>
      <c r="BA22" s="312">
        <v>2880</v>
      </c>
      <c r="BB22" s="312"/>
      <c r="BC22" s="312"/>
      <c r="BD22" s="312"/>
      <c r="BE22" s="312"/>
      <c r="BF22" s="312">
        <v>2880</v>
      </c>
      <c r="BG22" s="312"/>
      <c r="BH22" s="312"/>
      <c r="BI22" s="312"/>
      <c r="BJ22" s="312"/>
      <c r="BK22" s="312">
        <v>2880</v>
      </c>
      <c r="BL22" s="312"/>
      <c r="BM22" s="312"/>
      <c r="BN22" s="312"/>
      <c r="BO22" s="312" t="s">
        <v>9277</v>
      </c>
    </row>
    <row r="23" spans="1:67" outlineLevel="1">
      <c r="A23" s="312" t="s">
        <v>8065</v>
      </c>
      <c r="B23" s="312" t="s">
        <v>9296</v>
      </c>
      <c r="C23" s="312" t="s">
        <v>9265</v>
      </c>
      <c r="D23" s="312" t="s">
        <v>9266</v>
      </c>
      <c r="E23" s="312" t="s">
        <v>9267</v>
      </c>
      <c r="F23" s="312"/>
      <c r="G23" s="312"/>
      <c r="H23" s="312">
        <v>3028</v>
      </c>
      <c r="I23" s="312"/>
      <c r="J23" s="312"/>
      <c r="K23" s="312"/>
      <c r="L23" s="312"/>
      <c r="M23" s="312">
        <v>3028</v>
      </c>
      <c r="N23" s="312"/>
      <c r="O23" s="312"/>
      <c r="P23" s="312"/>
      <c r="Q23" s="312"/>
      <c r="R23" s="312">
        <v>3028</v>
      </c>
      <c r="S23" s="312"/>
      <c r="T23" s="312"/>
      <c r="U23" s="312"/>
      <c r="V23" s="312"/>
      <c r="W23" s="312">
        <v>3028</v>
      </c>
      <c r="X23" s="312"/>
      <c r="Y23" s="312"/>
      <c r="Z23" s="312"/>
      <c r="AA23" s="312"/>
      <c r="AB23" s="312">
        <v>3028</v>
      </c>
      <c r="AC23" s="312"/>
      <c r="AD23" s="312"/>
      <c r="AE23" s="312"/>
      <c r="AF23" s="312"/>
      <c r="AG23" s="312">
        <v>3028</v>
      </c>
      <c r="AH23" s="312"/>
      <c r="AI23" s="312"/>
      <c r="AJ23" s="312"/>
      <c r="AK23" s="312"/>
      <c r="AL23" s="312">
        <v>3028</v>
      </c>
      <c r="AM23" s="312"/>
      <c r="AN23" s="312"/>
      <c r="AO23" s="312"/>
      <c r="AP23" s="312"/>
      <c r="AQ23" s="312">
        <v>3028</v>
      </c>
      <c r="AR23" s="312"/>
      <c r="AS23" s="312"/>
      <c r="AT23" s="312"/>
      <c r="AU23" s="312"/>
      <c r="AV23" s="312">
        <v>3028</v>
      </c>
      <c r="AW23" s="312"/>
      <c r="AX23" s="312"/>
      <c r="AY23" s="312"/>
      <c r="AZ23" s="312"/>
      <c r="BA23" s="312">
        <v>3028</v>
      </c>
      <c r="BB23" s="312"/>
      <c r="BC23" s="312"/>
      <c r="BD23" s="312"/>
      <c r="BE23" s="312"/>
      <c r="BF23" s="312">
        <v>3028</v>
      </c>
      <c r="BG23" s="312"/>
      <c r="BH23" s="312"/>
      <c r="BI23" s="312"/>
      <c r="BJ23" s="312"/>
      <c r="BK23" s="312">
        <v>3028</v>
      </c>
      <c r="BL23" s="312"/>
      <c r="BM23" s="312"/>
      <c r="BN23" s="312"/>
      <c r="BO23" s="312" t="s">
        <v>9277</v>
      </c>
    </row>
    <row r="24" spans="1:67" outlineLevel="1">
      <c r="A24" s="312" t="s">
        <v>7556</v>
      </c>
      <c r="B24" s="312" t="s">
        <v>9297</v>
      </c>
      <c r="C24" s="312" t="s">
        <v>9265</v>
      </c>
      <c r="D24" s="312" t="s">
        <v>9266</v>
      </c>
      <c r="E24" s="312" t="s">
        <v>9267</v>
      </c>
      <c r="F24" s="312"/>
      <c r="G24" s="312"/>
      <c r="H24" s="312">
        <v>3142</v>
      </c>
      <c r="I24" s="312"/>
      <c r="J24" s="312"/>
      <c r="K24" s="312"/>
      <c r="L24" s="312"/>
      <c r="M24" s="312">
        <v>3142</v>
      </c>
      <c r="N24" s="312"/>
      <c r="O24" s="312"/>
      <c r="P24" s="312"/>
      <c r="Q24" s="312"/>
      <c r="R24" s="312">
        <v>3142</v>
      </c>
      <c r="S24" s="312"/>
      <c r="T24" s="312"/>
      <c r="U24" s="312"/>
      <c r="V24" s="312"/>
      <c r="W24" s="312">
        <v>3142</v>
      </c>
      <c r="X24" s="312"/>
      <c r="Y24" s="312"/>
      <c r="Z24" s="312"/>
      <c r="AA24" s="312"/>
      <c r="AB24" s="312">
        <v>3142</v>
      </c>
      <c r="AC24" s="312"/>
      <c r="AD24" s="312"/>
      <c r="AE24" s="312"/>
      <c r="AF24" s="312"/>
      <c r="AG24" s="312">
        <v>3142</v>
      </c>
      <c r="AH24" s="312"/>
      <c r="AI24" s="312"/>
      <c r="AJ24" s="312"/>
      <c r="AK24" s="312"/>
      <c r="AL24" s="312">
        <v>3142</v>
      </c>
      <c r="AM24" s="312"/>
      <c r="AN24" s="312"/>
      <c r="AO24" s="312"/>
      <c r="AP24" s="312"/>
      <c r="AQ24" s="312">
        <v>3142</v>
      </c>
      <c r="AR24" s="312"/>
      <c r="AS24" s="312"/>
      <c r="AT24" s="312"/>
      <c r="AU24" s="312"/>
      <c r="AV24" s="312">
        <v>3142</v>
      </c>
      <c r="AW24" s="312"/>
      <c r="AX24" s="312"/>
      <c r="AY24" s="312"/>
      <c r="AZ24" s="312"/>
      <c r="BA24" s="312">
        <v>3142</v>
      </c>
      <c r="BB24" s="312"/>
      <c r="BC24" s="312"/>
      <c r="BD24" s="312"/>
      <c r="BE24" s="312"/>
      <c r="BF24" s="312">
        <v>3142</v>
      </c>
      <c r="BG24" s="312"/>
      <c r="BH24" s="312"/>
      <c r="BI24" s="312"/>
      <c r="BJ24" s="312"/>
      <c r="BK24" s="312">
        <v>3142</v>
      </c>
      <c r="BL24" s="312"/>
      <c r="BM24" s="312"/>
      <c r="BN24" s="312"/>
      <c r="BO24" s="312" t="s">
        <v>9277</v>
      </c>
    </row>
    <row r="25" spans="1:67" s="2" customFormat="1">
      <c r="A25" s="2" t="s">
        <v>7140</v>
      </c>
      <c r="B25" s="2" t="s">
        <v>9298</v>
      </c>
      <c r="C25" s="2" t="s">
        <v>9299</v>
      </c>
      <c r="D25" s="2" t="s">
        <v>9266</v>
      </c>
      <c r="E25" s="2" t="s">
        <v>9267</v>
      </c>
      <c r="AL25" s="2">
        <v>161</v>
      </c>
      <c r="AQ25" s="2">
        <v>161</v>
      </c>
      <c r="AV25" s="2">
        <v>161</v>
      </c>
      <c r="BA25" s="2">
        <v>161</v>
      </c>
      <c r="BF25" s="2">
        <v>161</v>
      </c>
      <c r="BK25" s="2">
        <v>161</v>
      </c>
      <c r="BO25" s="2" t="s">
        <v>9268</v>
      </c>
    </row>
    <row r="26" spans="1:67" s="2" customFormat="1">
      <c r="A26" s="2" t="s">
        <v>6764</v>
      </c>
      <c r="B26" s="2" t="s">
        <v>9300</v>
      </c>
      <c r="C26" s="2" t="s">
        <v>9299</v>
      </c>
      <c r="D26" s="2" t="s">
        <v>9266</v>
      </c>
      <c r="E26" s="2" t="s">
        <v>9267</v>
      </c>
      <c r="AL26" s="2">
        <v>206</v>
      </c>
      <c r="AQ26" s="2">
        <v>206</v>
      </c>
      <c r="AV26" s="2">
        <v>206</v>
      </c>
      <c r="BA26" s="2">
        <v>206</v>
      </c>
      <c r="BF26" s="2">
        <v>206</v>
      </c>
      <c r="BK26" s="2">
        <v>206</v>
      </c>
      <c r="BO26" s="2" t="s">
        <v>9268</v>
      </c>
    </row>
    <row r="27" spans="1:67" s="2" customFormat="1">
      <c r="A27" s="2" t="s">
        <v>7263</v>
      </c>
      <c r="B27" s="2" t="s">
        <v>9301</v>
      </c>
      <c r="C27" s="2" t="s">
        <v>9299</v>
      </c>
      <c r="D27" s="2" t="s">
        <v>9266</v>
      </c>
      <c r="E27" s="2" t="s">
        <v>9267</v>
      </c>
      <c r="AL27" s="2">
        <v>250</v>
      </c>
      <c r="AQ27" s="2">
        <v>250</v>
      </c>
      <c r="AV27" s="2">
        <v>250</v>
      </c>
      <c r="BA27" s="2">
        <v>250</v>
      </c>
      <c r="BF27" s="2">
        <v>250</v>
      </c>
      <c r="BK27" s="2">
        <v>250</v>
      </c>
      <c r="BO27" s="2" t="s">
        <v>9268</v>
      </c>
    </row>
    <row r="28" spans="1:67" s="2" customFormat="1">
      <c r="A28" s="2" t="s">
        <v>6829</v>
      </c>
      <c r="B28" s="2" t="s">
        <v>9302</v>
      </c>
      <c r="C28" s="2" t="s">
        <v>9299</v>
      </c>
      <c r="D28" s="2" t="s">
        <v>9266</v>
      </c>
      <c r="E28" s="2" t="s">
        <v>9267</v>
      </c>
      <c r="AL28" s="2">
        <v>447</v>
      </c>
      <c r="AQ28" s="2">
        <v>447</v>
      </c>
      <c r="AV28" s="2">
        <v>447</v>
      </c>
      <c r="BA28" s="2">
        <v>447</v>
      </c>
      <c r="BF28" s="2">
        <v>447</v>
      </c>
      <c r="BK28" s="2">
        <v>447</v>
      </c>
      <c r="BO28" s="2" t="s">
        <v>9268</v>
      </c>
    </row>
    <row r="29" spans="1:67" s="2" customFormat="1">
      <c r="A29" s="2" t="s">
        <v>9303</v>
      </c>
      <c r="B29" s="2" t="s">
        <v>9304</v>
      </c>
      <c r="C29" s="2" t="s">
        <v>9299</v>
      </c>
      <c r="D29" s="2" t="s">
        <v>9266</v>
      </c>
      <c r="E29" s="2" t="s">
        <v>9267</v>
      </c>
      <c r="AL29" s="2">
        <v>450</v>
      </c>
      <c r="AQ29" s="2">
        <v>450</v>
      </c>
      <c r="AV29" s="2">
        <v>450</v>
      </c>
      <c r="BA29" s="2">
        <v>450</v>
      </c>
      <c r="BF29" s="2">
        <v>450</v>
      </c>
      <c r="BK29" s="2">
        <v>450</v>
      </c>
      <c r="BO29" s="2" t="s">
        <v>9268</v>
      </c>
    </row>
    <row r="30" spans="1:67" s="2" customFormat="1">
      <c r="A30" s="2" t="s">
        <v>9305</v>
      </c>
      <c r="B30" s="2" t="s">
        <v>9306</v>
      </c>
      <c r="C30" s="2" t="s">
        <v>9299</v>
      </c>
      <c r="D30" s="2" t="s">
        <v>9266</v>
      </c>
      <c r="E30" s="2" t="s">
        <v>9267</v>
      </c>
      <c r="AL30" s="2">
        <v>460</v>
      </c>
      <c r="AQ30" s="2">
        <v>460</v>
      </c>
      <c r="AV30" s="2">
        <v>460</v>
      </c>
      <c r="BA30" s="2">
        <v>460</v>
      </c>
      <c r="BF30" s="2">
        <v>460</v>
      </c>
      <c r="BK30" s="2">
        <v>460</v>
      </c>
      <c r="BO30" s="2" t="s">
        <v>9268</v>
      </c>
    </row>
    <row r="31" spans="1:67" s="2" customFormat="1">
      <c r="A31" s="2" t="s">
        <v>6734</v>
      </c>
      <c r="B31" s="2" t="s">
        <v>9307</v>
      </c>
      <c r="C31" s="2" t="s">
        <v>9299</v>
      </c>
      <c r="D31" s="2" t="s">
        <v>9266</v>
      </c>
      <c r="E31" s="2" t="s">
        <v>9267</v>
      </c>
      <c r="H31" s="2">
        <v>498</v>
      </c>
      <c r="M31" s="2">
        <v>498</v>
      </c>
      <c r="R31" s="2">
        <v>498</v>
      </c>
      <c r="W31" s="2">
        <v>498</v>
      </c>
      <c r="AB31" s="2">
        <v>498</v>
      </c>
      <c r="AG31" s="2">
        <v>498</v>
      </c>
      <c r="AL31" s="2">
        <v>498</v>
      </c>
      <c r="AQ31" s="2">
        <v>498</v>
      </c>
      <c r="AV31" s="2">
        <v>498</v>
      </c>
      <c r="BA31" s="2">
        <v>498</v>
      </c>
      <c r="BF31" s="2">
        <v>498</v>
      </c>
      <c r="BK31" s="2">
        <v>498</v>
      </c>
      <c r="BO31" s="2" t="s">
        <v>9268</v>
      </c>
    </row>
    <row r="32" spans="1:67" s="2" customFormat="1">
      <c r="A32" s="2" t="s">
        <v>9308</v>
      </c>
      <c r="B32" s="2" t="s">
        <v>9309</v>
      </c>
      <c r="C32" s="2" t="s">
        <v>9299</v>
      </c>
      <c r="D32" s="2" t="s">
        <v>9266</v>
      </c>
      <c r="E32" s="2" t="s">
        <v>9267</v>
      </c>
      <c r="AL32" s="2">
        <v>533</v>
      </c>
      <c r="AQ32" s="2">
        <v>533</v>
      </c>
      <c r="AV32" s="2">
        <v>533</v>
      </c>
      <c r="BA32" s="2">
        <v>533</v>
      </c>
      <c r="BF32" s="2">
        <v>533</v>
      </c>
      <c r="BK32" s="2">
        <v>533</v>
      </c>
      <c r="BO32" s="2" t="s">
        <v>9268</v>
      </c>
    </row>
    <row r="33" spans="1:67" s="2" customFormat="1">
      <c r="A33" s="2" t="s">
        <v>6500</v>
      </c>
      <c r="B33" s="2" t="s">
        <v>9310</v>
      </c>
      <c r="C33" s="2" t="s">
        <v>9299</v>
      </c>
      <c r="D33" s="2" t="s">
        <v>9266</v>
      </c>
      <c r="E33" s="2" t="s">
        <v>9267</v>
      </c>
      <c r="H33" s="2">
        <v>536</v>
      </c>
      <c r="M33" s="2">
        <v>536</v>
      </c>
      <c r="R33" s="2">
        <v>536</v>
      </c>
      <c r="W33" s="2">
        <v>536</v>
      </c>
      <c r="AB33" s="2">
        <v>536</v>
      </c>
      <c r="AG33" s="2">
        <v>536</v>
      </c>
      <c r="AL33" s="2">
        <v>536</v>
      </c>
      <c r="AQ33" s="2">
        <v>536</v>
      </c>
      <c r="AV33" s="2">
        <v>536</v>
      </c>
      <c r="BA33" s="2">
        <v>536</v>
      </c>
      <c r="BF33" s="2">
        <v>536</v>
      </c>
      <c r="BK33" s="2">
        <v>536</v>
      </c>
      <c r="BO33" s="2" t="s">
        <v>9268</v>
      </c>
    </row>
    <row r="34" spans="1:67" s="19" customFormat="1">
      <c r="A34" s="19" t="s">
        <v>7208</v>
      </c>
      <c r="B34" s="19" t="s">
        <v>9311</v>
      </c>
      <c r="C34" s="19" t="s">
        <v>9299</v>
      </c>
      <c r="D34" s="19" t="s">
        <v>9266</v>
      </c>
      <c r="E34" s="19" t="s">
        <v>9267</v>
      </c>
      <c r="AL34" s="19">
        <v>562</v>
      </c>
      <c r="AQ34" s="19">
        <v>562</v>
      </c>
      <c r="AV34" s="19">
        <v>562</v>
      </c>
      <c r="BA34" s="19">
        <v>562</v>
      </c>
      <c r="BF34" s="19">
        <v>562</v>
      </c>
      <c r="BK34" s="19">
        <v>562</v>
      </c>
      <c r="BO34" s="19" t="s">
        <v>9270</v>
      </c>
    </row>
    <row r="35" spans="1:67" s="19" customFormat="1">
      <c r="A35" s="19" t="s">
        <v>6814</v>
      </c>
      <c r="B35" s="19" t="s">
        <v>9312</v>
      </c>
      <c r="C35" s="19" t="s">
        <v>9299</v>
      </c>
      <c r="D35" s="19" t="s">
        <v>9266</v>
      </c>
      <c r="E35" s="19" t="s">
        <v>9267</v>
      </c>
      <c r="AL35" s="19">
        <v>565</v>
      </c>
      <c r="AQ35" s="19">
        <v>565</v>
      </c>
      <c r="AV35" s="19">
        <v>565</v>
      </c>
      <c r="BA35" s="19">
        <v>565</v>
      </c>
      <c r="BF35" s="19">
        <v>565</v>
      </c>
      <c r="BK35" s="19">
        <v>565</v>
      </c>
      <c r="BO35" s="19" t="s">
        <v>9270</v>
      </c>
    </row>
    <row r="36" spans="1:67" s="19" customFormat="1">
      <c r="A36" s="19" t="s">
        <v>7080</v>
      </c>
      <c r="B36" s="19" t="s">
        <v>9313</v>
      </c>
      <c r="C36" s="19" t="s">
        <v>9299</v>
      </c>
      <c r="D36" s="19" t="s">
        <v>9266</v>
      </c>
      <c r="E36" s="19" t="s">
        <v>9267</v>
      </c>
      <c r="H36" s="19">
        <v>589</v>
      </c>
      <c r="M36" s="19">
        <v>589</v>
      </c>
      <c r="R36" s="19">
        <v>589</v>
      </c>
      <c r="W36" s="19">
        <v>589</v>
      </c>
      <c r="AB36" s="19">
        <v>589</v>
      </c>
      <c r="AG36" s="19">
        <v>589</v>
      </c>
      <c r="AL36" s="19">
        <v>589</v>
      </c>
      <c r="AQ36" s="19">
        <v>589</v>
      </c>
      <c r="AV36" s="19">
        <v>589</v>
      </c>
      <c r="BA36" s="19">
        <v>589</v>
      </c>
      <c r="BF36" s="19">
        <v>589</v>
      </c>
      <c r="BK36" s="19">
        <v>589</v>
      </c>
      <c r="BO36" s="19" t="s">
        <v>9270</v>
      </c>
    </row>
    <row r="37" spans="1:67" s="19" customFormat="1">
      <c r="A37" s="19" t="s">
        <v>6510</v>
      </c>
      <c r="B37" s="19" t="s">
        <v>9314</v>
      </c>
      <c r="C37" s="19" t="s">
        <v>9299</v>
      </c>
      <c r="D37" s="19" t="s">
        <v>9266</v>
      </c>
      <c r="E37" s="19" t="s">
        <v>9267</v>
      </c>
      <c r="H37" s="19">
        <v>593</v>
      </c>
      <c r="M37" s="19">
        <v>593</v>
      </c>
      <c r="R37" s="19">
        <v>593</v>
      </c>
      <c r="W37" s="19">
        <v>593</v>
      </c>
      <c r="AB37" s="19">
        <v>593</v>
      </c>
      <c r="AG37" s="19">
        <v>593</v>
      </c>
      <c r="AL37" s="19">
        <v>593</v>
      </c>
      <c r="AQ37" s="19">
        <v>593</v>
      </c>
      <c r="AV37" s="19">
        <v>593</v>
      </c>
      <c r="BA37" s="19">
        <v>593</v>
      </c>
      <c r="BF37" s="19">
        <v>593</v>
      </c>
      <c r="BK37" s="19">
        <v>593</v>
      </c>
      <c r="BO37" s="19" t="s">
        <v>9270</v>
      </c>
    </row>
    <row r="38" spans="1:67" s="19" customFormat="1">
      <c r="A38" s="19" t="s">
        <v>6417</v>
      </c>
      <c r="B38" s="19" t="s">
        <v>9315</v>
      </c>
      <c r="C38" s="19" t="s">
        <v>9299</v>
      </c>
      <c r="D38" s="19" t="s">
        <v>9266</v>
      </c>
      <c r="E38" s="19" t="s">
        <v>9267</v>
      </c>
      <c r="H38" s="19">
        <v>600</v>
      </c>
      <c r="M38" s="19">
        <v>600</v>
      </c>
      <c r="R38" s="19">
        <v>600</v>
      </c>
      <c r="W38" s="19">
        <v>600</v>
      </c>
      <c r="AB38" s="19">
        <v>600</v>
      </c>
      <c r="AG38" s="19">
        <v>600</v>
      </c>
      <c r="AL38" s="19">
        <v>600</v>
      </c>
      <c r="AQ38" s="19">
        <v>600</v>
      </c>
      <c r="AV38" s="19">
        <v>600</v>
      </c>
      <c r="BA38" s="19">
        <v>600</v>
      </c>
      <c r="BF38" s="19">
        <v>600</v>
      </c>
      <c r="BK38" s="19">
        <v>600</v>
      </c>
      <c r="BO38" s="19" t="s">
        <v>9270</v>
      </c>
    </row>
    <row r="39" spans="1:67" s="19" customFormat="1">
      <c r="A39" s="19" t="s">
        <v>6274</v>
      </c>
      <c r="B39" s="19" t="s">
        <v>9316</v>
      </c>
      <c r="C39" s="19" t="s">
        <v>9299</v>
      </c>
      <c r="D39" s="19" t="s">
        <v>9266</v>
      </c>
      <c r="E39" s="19" t="s">
        <v>9267</v>
      </c>
      <c r="H39" s="19">
        <v>608</v>
      </c>
      <c r="M39" s="19">
        <v>608</v>
      </c>
      <c r="R39" s="19">
        <v>608</v>
      </c>
      <c r="W39" s="19">
        <v>608</v>
      </c>
      <c r="AB39" s="19">
        <v>608</v>
      </c>
      <c r="AG39" s="19">
        <v>608</v>
      </c>
      <c r="AL39" s="19">
        <v>608</v>
      </c>
      <c r="AQ39" s="19">
        <v>608</v>
      </c>
      <c r="AV39" s="19">
        <v>608</v>
      </c>
      <c r="BA39" s="19">
        <v>608</v>
      </c>
      <c r="BF39" s="19">
        <v>608</v>
      </c>
      <c r="BK39" s="19">
        <v>608</v>
      </c>
      <c r="BO39" s="19" t="s">
        <v>9270</v>
      </c>
    </row>
    <row r="40" spans="1:67" s="19" customFormat="1">
      <c r="A40" s="19" t="s">
        <v>7248</v>
      </c>
      <c r="B40" s="19" t="s">
        <v>9317</v>
      </c>
      <c r="C40" s="19" t="s">
        <v>9299</v>
      </c>
      <c r="D40" s="19" t="s">
        <v>9266</v>
      </c>
      <c r="E40" s="19" t="s">
        <v>9267</v>
      </c>
      <c r="AL40" s="19">
        <v>618</v>
      </c>
      <c r="AQ40" s="19">
        <v>618</v>
      </c>
      <c r="AV40" s="19">
        <v>618</v>
      </c>
      <c r="BA40" s="19">
        <v>618</v>
      </c>
      <c r="BF40" s="19">
        <v>618</v>
      </c>
      <c r="BK40" s="19">
        <v>618</v>
      </c>
      <c r="BO40" s="19" t="s">
        <v>9270</v>
      </c>
    </row>
    <row r="41" spans="1:67" s="19" customFormat="1">
      <c r="A41" s="19" t="s">
        <v>6674</v>
      </c>
      <c r="B41" s="19" t="s">
        <v>9318</v>
      </c>
      <c r="C41" s="19" t="s">
        <v>9299</v>
      </c>
      <c r="D41" s="19" t="s">
        <v>9266</v>
      </c>
      <c r="E41" s="19" t="s">
        <v>9267</v>
      </c>
      <c r="AL41" s="19">
        <v>619</v>
      </c>
      <c r="AQ41" s="19">
        <v>619</v>
      </c>
      <c r="AV41" s="19">
        <v>619</v>
      </c>
      <c r="BA41" s="19">
        <v>619</v>
      </c>
      <c r="BF41" s="19">
        <v>619</v>
      </c>
      <c r="BK41" s="19">
        <v>619</v>
      </c>
      <c r="BO41" s="19" t="s">
        <v>9270</v>
      </c>
    </row>
    <row r="42" spans="1:67" s="19" customFormat="1">
      <c r="A42" s="19" t="s">
        <v>6729</v>
      </c>
      <c r="B42" s="19" t="s">
        <v>9319</v>
      </c>
      <c r="C42" s="19" t="s">
        <v>9299</v>
      </c>
      <c r="D42" s="19" t="s">
        <v>9266</v>
      </c>
      <c r="E42" s="19" t="s">
        <v>9267</v>
      </c>
      <c r="H42" s="19">
        <v>624</v>
      </c>
      <c r="M42" s="19">
        <v>624</v>
      </c>
      <c r="R42" s="19">
        <v>624</v>
      </c>
      <c r="W42" s="19">
        <v>624</v>
      </c>
      <c r="AB42" s="19">
        <v>624</v>
      </c>
      <c r="AG42" s="19">
        <v>624</v>
      </c>
      <c r="AL42" s="19">
        <v>624</v>
      </c>
      <c r="AQ42" s="19">
        <v>624</v>
      </c>
      <c r="AV42" s="19">
        <v>624</v>
      </c>
      <c r="BA42" s="19">
        <v>624</v>
      </c>
      <c r="BF42" s="19">
        <v>624</v>
      </c>
      <c r="BK42" s="19">
        <v>624</v>
      </c>
      <c r="BO42" s="19" t="s">
        <v>9270</v>
      </c>
    </row>
    <row r="43" spans="1:67" s="19" customFormat="1">
      <c r="A43" s="19" t="s">
        <v>6759</v>
      </c>
      <c r="B43" s="19" t="s">
        <v>9320</v>
      </c>
      <c r="C43" s="19" t="s">
        <v>9299</v>
      </c>
      <c r="D43" s="19" t="s">
        <v>9266</v>
      </c>
      <c r="E43" s="19" t="s">
        <v>9267</v>
      </c>
      <c r="AL43" s="19">
        <v>626</v>
      </c>
      <c r="AQ43" s="19">
        <v>626</v>
      </c>
      <c r="AV43" s="19">
        <v>626</v>
      </c>
      <c r="BA43" s="19">
        <v>626</v>
      </c>
      <c r="BF43" s="19">
        <v>626</v>
      </c>
      <c r="BK43" s="19">
        <v>626</v>
      </c>
      <c r="BO43" s="19" t="s">
        <v>9270</v>
      </c>
    </row>
    <row r="44" spans="1:67" s="19" customFormat="1">
      <c r="A44" s="19" t="s">
        <v>6754</v>
      </c>
      <c r="B44" s="19" t="s">
        <v>9321</v>
      </c>
      <c r="C44" s="19" t="s">
        <v>9299</v>
      </c>
      <c r="D44" s="19" t="s">
        <v>9266</v>
      </c>
      <c r="E44" s="19" t="s">
        <v>9267</v>
      </c>
      <c r="H44" s="19">
        <v>636</v>
      </c>
      <c r="M44" s="19">
        <v>636</v>
      </c>
      <c r="R44" s="19">
        <v>636</v>
      </c>
      <c r="W44" s="19">
        <v>636</v>
      </c>
      <c r="AB44" s="19">
        <v>636</v>
      </c>
      <c r="AG44" s="19">
        <v>636</v>
      </c>
      <c r="AL44" s="19">
        <v>636</v>
      </c>
      <c r="AQ44" s="19">
        <v>636</v>
      </c>
      <c r="AV44" s="19">
        <v>636</v>
      </c>
      <c r="BA44" s="19">
        <v>636</v>
      </c>
      <c r="BF44" s="19">
        <v>636</v>
      </c>
      <c r="BK44" s="19">
        <v>636</v>
      </c>
      <c r="BO44" s="19" t="s">
        <v>9270</v>
      </c>
    </row>
    <row r="45" spans="1:67" s="19" customFormat="1">
      <c r="A45" s="19" t="s">
        <v>6397</v>
      </c>
      <c r="B45" s="19" t="s">
        <v>9322</v>
      </c>
      <c r="C45" s="19" t="s">
        <v>9299</v>
      </c>
      <c r="D45" s="19" t="s">
        <v>9266</v>
      </c>
      <c r="E45" s="19" t="s">
        <v>9267</v>
      </c>
      <c r="H45" s="19">
        <v>637</v>
      </c>
      <c r="M45" s="19">
        <v>637</v>
      </c>
      <c r="R45" s="19">
        <v>637</v>
      </c>
      <c r="W45" s="19">
        <v>637</v>
      </c>
      <c r="AB45" s="19">
        <v>637</v>
      </c>
      <c r="AG45" s="19">
        <v>637</v>
      </c>
      <c r="AL45" s="19">
        <v>637</v>
      </c>
      <c r="AQ45" s="19">
        <v>637</v>
      </c>
      <c r="AV45" s="19">
        <v>637</v>
      </c>
      <c r="BA45" s="19">
        <v>637</v>
      </c>
      <c r="BF45" s="19">
        <v>637</v>
      </c>
      <c r="BK45" s="19">
        <v>637</v>
      </c>
      <c r="BO45" s="19" t="s">
        <v>9270</v>
      </c>
    </row>
    <row r="46" spans="1:67" s="19" customFormat="1">
      <c r="A46" s="19" t="s">
        <v>6437</v>
      </c>
      <c r="B46" s="19" t="s">
        <v>9323</v>
      </c>
      <c r="C46" s="19" t="s">
        <v>9299</v>
      </c>
      <c r="D46" s="19" t="s">
        <v>9266</v>
      </c>
      <c r="E46" s="19" t="s">
        <v>9267</v>
      </c>
      <c r="H46" s="19">
        <v>652</v>
      </c>
      <c r="M46" s="19">
        <v>652</v>
      </c>
      <c r="R46" s="19">
        <v>652</v>
      </c>
      <c r="W46" s="19">
        <v>652</v>
      </c>
      <c r="AB46" s="19">
        <v>652</v>
      </c>
      <c r="AG46" s="19">
        <v>652</v>
      </c>
      <c r="AL46" s="19">
        <v>652</v>
      </c>
      <c r="AQ46" s="19">
        <v>652</v>
      </c>
      <c r="AV46" s="19">
        <v>652</v>
      </c>
      <c r="BA46" s="19">
        <v>652</v>
      </c>
      <c r="BF46" s="19">
        <v>652</v>
      </c>
      <c r="BK46" s="19">
        <v>652</v>
      </c>
      <c r="BO46" s="19" t="s">
        <v>9270</v>
      </c>
    </row>
    <row r="47" spans="1:67" s="19" customFormat="1">
      <c r="A47" s="19" t="s">
        <v>6323</v>
      </c>
      <c r="B47" s="19" t="s">
        <v>9324</v>
      </c>
      <c r="C47" s="19" t="s">
        <v>9299</v>
      </c>
      <c r="D47" s="19" t="s">
        <v>9266</v>
      </c>
      <c r="E47" s="19" t="s">
        <v>9267</v>
      </c>
      <c r="AL47" s="19">
        <v>656</v>
      </c>
      <c r="AQ47" s="19">
        <v>656</v>
      </c>
      <c r="AV47" s="19">
        <v>656</v>
      </c>
      <c r="BA47" s="19">
        <v>656</v>
      </c>
      <c r="BF47" s="19">
        <v>656</v>
      </c>
      <c r="BK47" s="19">
        <v>656</v>
      </c>
      <c r="BO47" s="19" t="s">
        <v>9270</v>
      </c>
    </row>
    <row r="48" spans="1:67" s="19" customFormat="1">
      <c r="A48" s="19" t="s">
        <v>6689</v>
      </c>
      <c r="B48" s="19" t="s">
        <v>9325</v>
      </c>
      <c r="C48" s="19" t="s">
        <v>9299</v>
      </c>
      <c r="D48" s="19" t="s">
        <v>9266</v>
      </c>
      <c r="E48" s="19" t="s">
        <v>9267</v>
      </c>
      <c r="AL48" s="19">
        <v>667</v>
      </c>
      <c r="AQ48" s="19">
        <v>667</v>
      </c>
      <c r="AV48" s="19">
        <v>667</v>
      </c>
      <c r="BA48" s="19">
        <v>667</v>
      </c>
      <c r="BF48" s="19">
        <v>667</v>
      </c>
      <c r="BK48" s="19">
        <v>667</v>
      </c>
      <c r="BO48" s="19" t="s">
        <v>9270</v>
      </c>
    </row>
    <row r="49" spans="1:67" s="19" customFormat="1">
      <c r="A49" s="19" t="s">
        <v>9326</v>
      </c>
      <c r="B49" s="19" t="s">
        <v>9327</v>
      </c>
      <c r="C49" s="19" t="s">
        <v>9299</v>
      </c>
      <c r="D49" s="19" t="s">
        <v>9266</v>
      </c>
      <c r="E49" s="19" t="s">
        <v>9267</v>
      </c>
      <c r="AQ49" s="19">
        <v>677</v>
      </c>
      <c r="AV49" s="19">
        <v>677</v>
      </c>
      <c r="BA49" s="19">
        <v>677</v>
      </c>
      <c r="BF49" s="19">
        <v>677</v>
      </c>
      <c r="BK49" s="19">
        <v>677</v>
      </c>
      <c r="BO49" s="19" t="s">
        <v>9270</v>
      </c>
    </row>
    <row r="50" spans="1:67" s="2" customFormat="1">
      <c r="A50" s="2" t="s">
        <v>7417</v>
      </c>
      <c r="B50" s="2" t="s">
        <v>9328</v>
      </c>
      <c r="C50" s="2" t="s">
        <v>9299</v>
      </c>
      <c r="D50" s="2" t="s">
        <v>9266</v>
      </c>
      <c r="E50" s="2" t="s">
        <v>9267</v>
      </c>
      <c r="AL50" s="2">
        <v>691</v>
      </c>
      <c r="AQ50" s="2">
        <v>691</v>
      </c>
      <c r="AV50" s="2">
        <v>691</v>
      </c>
      <c r="BA50" s="2">
        <v>691</v>
      </c>
      <c r="BF50" s="2">
        <v>691</v>
      </c>
      <c r="BK50" s="2">
        <v>691</v>
      </c>
      <c r="BO50" s="2" t="s">
        <v>9270</v>
      </c>
    </row>
    <row r="51" spans="1:67" s="19" customFormat="1">
      <c r="A51" s="19" t="s">
        <v>6367</v>
      </c>
      <c r="B51" s="19" t="s">
        <v>9329</v>
      </c>
      <c r="C51" s="19" t="s">
        <v>9299</v>
      </c>
      <c r="D51" s="19" t="s">
        <v>9266</v>
      </c>
      <c r="E51" s="19" t="s">
        <v>9267</v>
      </c>
      <c r="H51" s="19">
        <v>700</v>
      </c>
      <c r="M51" s="19">
        <v>700</v>
      </c>
      <c r="R51" s="19">
        <v>700</v>
      </c>
      <c r="W51" s="19">
        <v>700</v>
      </c>
      <c r="AB51" s="19">
        <v>700</v>
      </c>
      <c r="AG51" s="19">
        <v>700</v>
      </c>
      <c r="AL51" s="19">
        <v>700</v>
      </c>
      <c r="AQ51" s="19">
        <v>700</v>
      </c>
      <c r="AV51" s="19">
        <v>700</v>
      </c>
      <c r="BA51" s="19">
        <v>700</v>
      </c>
      <c r="BF51" s="19">
        <v>700</v>
      </c>
      <c r="BK51" s="19">
        <v>700</v>
      </c>
      <c r="BO51" s="19" t="s">
        <v>9270</v>
      </c>
    </row>
    <row r="52" spans="1:67" s="19" customFormat="1">
      <c r="A52" s="19" t="s">
        <v>6809</v>
      </c>
      <c r="B52" s="19" t="s">
        <v>9330</v>
      </c>
      <c r="C52" s="19" t="s">
        <v>9299</v>
      </c>
      <c r="D52" s="19" t="s">
        <v>9266</v>
      </c>
      <c r="E52" s="19" t="s">
        <v>9267</v>
      </c>
      <c r="H52" s="19">
        <v>703</v>
      </c>
      <c r="M52" s="19">
        <v>703</v>
      </c>
      <c r="R52" s="19">
        <v>703</v>
      </c>
      <c r="W52" s="19">
        <v>703</v>
      </c>
      <c r="AB52" s="19">
        <v>703</v>
      </c>
      <c r="AG52" s="19">
        <v>703</v>
      </c>
      <c r="AL52" s="19">
        <v>703</v>
      </c>
      <c r="AQ52" s="19">
        <v>703</v>
      </c>
      <c r="AV52" s="19">
        <v>703</v>
      </c>
      <c r="BA52" s="19">
        <v>703</v>
      </c>
      <c r="BF52" s="19">
        <v>703</v>
      </c>
      <c r="BK52" s="19">
        <v>703</v>
      </c>
      <c r="BO52" s="19" t="s">
        <v>9270</v>
      </c>
    </row>
    <row r="53" spans="1:67" s="19" customFormat="1">
      <c r="A53" s="19" t="s">
        <v>6427</v>
      </c>
      <c r="B53" s="19" t="s">
        <v>9331</v>
      </c>
      <c r="C53" s="19" t="s">
        <v>9299</v>
      </c>
      <c r="D53" s="19" t="s">
        <v>9266</v>
      </c>
      <c r="E53" s="19" t="s">
        <v>9267</v>
      </c>
      <c r="H53" s="19">
        <v>778</v>
      </c>
      <c r="M53" s="19">
        <v>778</v>
      </c>
      <c r="R53" s="19">
        <v>778</v>
      </c>
      <c r="W53" s="19">
        <v>778</v>
      </c>
      <c r="AB53" s="19">
        <v>778</v>
      </c>
      <c r="AG53" s="19">
        <v>778</v>
      </c>
      <c r="AL53" s="19">
        <v>778</v>
      </c>
      <c r="AQ53" s="19">
        <v>778</v>
      </c>
      <c r="AV53" s="19">
        <v>778</v>
      </c>
      <c r="BA53" s="19">
        <v>778</v>
      </c>
      <c r="BF53" s="19">
        <v>778</v>
      </c>
      <c r="BK53" s="19">
        <v>778</v>
      </c>
      <c r="BO53" s="19" t="s">
        <v>9270</v>
      </c>
    </row>
    <row r="54" spans="1:67" s="19" customFormat="1">
      <c r="A54" s="19" t="s">
        <v>9332</v>
      </c>
      <c r="B54" s="19" t="s">
        <v>9333</v>
      </c>
      <c r="C54" s="19" t="s">
        <v>9299</v>
      </c>
      <c r="D54" s="19" t="s">
        <v>9266</v>
      </c>
      <c r="E54" s="19" t="s">
        <v>9267</v>
      </c>
      <c r="AQ54" s="19">
        <v>824</v>
      </c>
      <c r="AV54" s="19">
        <v>824</v>
      </c>
      <c r="BA54" s="19">
        <v>824</v>
      </c>
      <c r="BF54" s="19">
        <v>824</v>
      </c>
      <c r="BK54" s="19">
        <v>824</v>
      </c>
      <c r="BO54" s="19" t="s">
        <v>9270</v>
      </c>
    </row>
    <row r="55" spans="1:67" s="19" customFormat="1">
      <c r="A55" s="19" t="s">
        <v>6422</v>
      </c>
      <c r="B55" s="19" t="s">
        <v>9334</v>
      </c>
      <c r="C55" s="19" t="s">
        <v>9299</v>
      </c>
      <c r="D55" s="19" t="s">
        <v>9266</v>
      </c>
      <c r="E55" s="19" t="s">
        <v>9267</v>
      </c>
      <c r="H55" s="19">
        <v>832</v>
      </c>
      <c r="M55" s="19">
        <v>832</v>
      </c>
      <c r="R55" s="19">
        <v>832</v>
      </c>
      <c r="W55" s="19">
        <v>832</v>
      </c>
      <c r="AB55" s="19">
        <v>832</v>
      </c>
      <c r="AG55" s="19">
        <v>832</v>
      </c>
      <c r="AL55" s="19">
        <v>832</v>
      </c>
      <c r="AQ55" s="19">
        <v>832</v>
      </c>
      <c r="AV55" s="19">
        <v>832</v>
      </c>
      <c r="BA55" s="19">
        <v>832</v>
      </c>
      <c r="BF55" s="19">
        <v>832</v>
      </c>
      <c r="BK55" s="19">
        <v>832</v>
      </c>
      <c r="BO55" s="19" t="s">
        <v>9270</v>
      </c>
    </row>
    <row r="56" spans="1:67" s="19" customFormat="1">
      <c r="A56" s="19" t="s">
        <v>6579</v>
      </c>
      <c r="B56" s="19" t="s">
        <v>9335</v>
      </c>
      <c r="C56" s="19" t="s">
        <v>9299</v>
      </c>
      <c r="D56" s="19" t="s">
        <v>9266</v>
      </c>
      <c r="E56" s="19" t="s">
        <v>9267</v>
      </c>
      <c r="H56" s="19">
        <v>847</v>
      </c>
      <c r="M56" s="19">
        <v>847</v>
      </c>
      <c r="R56" s="19">
        <v>847</v>
      </c>
      <c r="W56" s="19">
        <v>847</v>
      </c>
      <c r="AB56" s="19">
        <v>847</v>
      </c>
      <c r="AG56" s="19">
        <v>847</v>
      </c>
      <c r="AL56" s="19">
        <v>847</v>
      </c>
      <c r="AQ56" s="19">
        <v>847</v>
      </c>
      <c r="AV56" s="19">
        <v>847</v>
      </c>
      <c r="BA56" s="19">
        <v>847</v>
      </c>
      <c r="BF56" s="19">
        <v>847</v>
      </c>
      <c r="BK56" s="19">
        <v>847</v>
      </c>
      <c r="BO56" s="19" t="s">
        <v>9270</v>
      </c>
    </row>
    <row r="57" spans="1:67" s="19" customFormat="1">
      <c r="A57" s="19" t="s">
        <v>6515</v>
      </c>
      <c r="B57" s="19" t="s">
        <v>9336</v>
      </c>
      <c r="C57" s="19" t="s">
        <v>9299</v>
      </c>
      <c r="D57" s="19" t="s">
        <v>9266</v>
      </c>
      <c r="E57" s="19" t="s">
        <v>9267</v>
      </c>
      <c r="H57" s="19">
        <v>854</v>
      </c>
      <c r="M57" s="19">
        <v>854</v>
      </c>
      <c r="R57" s="19">
        <v>854</v>
      </c>
      <c r="W57" s="19">
        <v>854</v>
      </c>
      <c r="AB57" s="19">
        <v>854</v>
      </c>
      <c r="AG57" s="19">
        <v>854</v>
      </c>
      <c r="AL57" s="19">
        <v>854</v>
      </c>
      <c r="AQ57" s="19">
        <v>854</v>
      </c>
      <c r="AV57" s="19">
        <v>854</v>
      </c>
      <c r="BA57" s="19">
        <v>854</v>
      </c>
      <c r="BF57" s="19">
        <v>854</v>
      </c>
      <c r="BK57" s="19">
        <v>854</v>
      </c>
      <c r="BO57" s="19" t="s">
        <v>9270</v>
      </c>
    </row>
    <row r="58" spans="1:67" s="19" customFormat="1">
      <c r="A58" s="19" t="s">
        <v>6525</v>
      </c>
      <c r="B58" s="19" t="s">
        <v>9337</v>
      </c>
      <c r="C58" s="19" t="s">
        <v>9299</v>
      </c>
      <c r="D58" s="19" t="s">
        <v>9266</v>
      </c>
      <c r="E58" s="19" t="s">
        <v>9267</v>
      </c>
      <c r="H58" s="19">
        <v>867</v>
      </c>
      <c r="M58" s="19">
        <v>867</v>
      </c>
      <c r="R58" s="19">
        <v>867</v>
      </c>
      <c r="W58" s="19">
        <v>867</v>
      </c>
      <c r="AB58" s="19">
        <v>867</v>
      </c>
      <c r="AG58" s="19">
        <v>867</v>
      </c>
      <c r="AL58" s="19">
        <v>867</v>
      </c>
      <c r="AQ58" s="19">
        <v>867</v>
      </c>
      <c r="AV58" s="19">
        <v>867</v>
      </c>
      <c r="BA58" s="19">
        <v>867</v>
      </c>
      <c r="BF58" s="19">
        <v>867</v>
      </c>
      <c r="BK58" s="19">
        <v>867</v>
      </c>
      <c r="BO58" s="19" t="s">
        <v>9270</v>
      </c>
    </row>
    <row r="59" spans="1:67" s="19" customFormat="1">
      <c r="A59" s="19" t="s">
        <v>6769</v>
      </c>
      <c r="B59" s="19" t="s">
        <v>9338</v>
      </c>
      <c r="C59" s="19" t="s">
        <v>9299</v>
      </c>
      <c r="D59" s="19" t="s">
        <v>9266</v>
      </c>
      <c r="E59" s="19" t="s">
        <v>9267</v>
      </c>
      <c r="H59" s="19">
        <v>934</v>
      </c>
      <c r="M59" s="19">
        <v>934</v>
      </c>
      <c r="R59" s="19">
        <v>934</v>
      </c>
      <c r="W59" s="19">
        <v>934</v>
      </c>
      <c r="AB59" s="19">
        <v>934</v>
      </c>
      <c r="AG59" s="19">
        <v>934</v>
      </c>
      <c r="AL59" s="19">
        <v>934</v>
      </c>
      <c r="AQ59" s="19">
        <v>934</v>
      </c>
      <c r="AV59" s="19">
        <v>934</v>
      </c>
      <c r="BA59" s="19">
        <v>934</v>
      </c>
      <c r="BF59" s="19">
        <v>934</v>
      </c>
      <c r="BK59" s="19">
        <v>934</v>
      </c>
      <c r="BO59" s="19" t="s">
        <v>9274</v>
      </c>
    </row>
    <row r="60" spans="1:67" s="2" customFormat="1">
      <c r="A60" s="2" t="s">
        <v>7674</v>
      </c>
      <c r="B60" s="2" t="s">
        <v>9339</v>
      </c>
      <c r="C60" s="2" t="s">
        <v>9299</v>
      </c>
      <c r="D60" s="2" t="s">
        <v>9266</v>
      </c>
      <c r="E60" s="2" t="s">
        <v>9267</v>
      </c>
      <c r="AL60" s="2">
        <v>1026</v>
      </c>
      <c r="AQ60" s="2">
        <v>1026</v>
      </c>
      <c r="AV60" s="2">
        <v>1026</v>
      </c>
      <c r="BA60" s="2">
        <v>1026</v>
      </c>
      <c r="BF60" s="2">
        <v>1026</v>
      </c>
      <c r="BK60" s="2">
        <v>1026</v>
      </c>
      <c r="BO60" s="2" t="s">
        <v>9274</v>
      </c>
    </row>
    <row r="61" spans="1:67" s="19" customFormat="1">
      <c r="A61" s="19" t="s">
        <v>7130</v>
      </c>
      <c r="B61" s="19" t="s">
        <v>9340</v>
      </c>
      <c r="C61" s="19" t="s">
        <v>9299</v>
      </c>
      <c r="D61" s="19" t="s">
        <v>9266</v>
      </c>
      <c r="E61" s="19" t="s">
        <v>9267</v>
      </c>
      <c r="AL61" s="19">
        <v>1028</v>
      </c>
      <c r="AQ61" s="19">
        <v>1028</v>
      </c>
      <c r="AV61" s="19">
        <v>1028</v>
      </c>
      <c r="BA61" s="19">
        <v>1028</v>
      </c>
      <c r="BF61" s="19">
        <v>1028</v>
      </c>
      <c r="BK61" s="19">
        <v>1028</v>
      </c>
      <c r="BO61" s="19" t="s">
        <v>9274</v>
      </c>
    </row>
    <row r="62" spans="1:67" s="19" customFormat="1">
      <c r="A62" s="19" t="s">
        <v>6382</v>
      </c>
      <c r="B62" s="19" t="s">
        <v>9341</v>
      </c>
      <c r="C62" s="19" t="s">
        <v>9299</v>
      </c>
      <c r="D62" s="19" t="s">
        <v>9266</v>
      </c>
      <c r="E62" s="19" t="s">
        <v>9267</v>
      </c>
      <c r="H62" s="19">
        <v>1110</v>
      </c>
      <c r="M62" s="19">
        <v>1110</v>
      </c>
      <c r="R62" s="19">
        <v>1110</v>
      </c>
      <c r="W62" s="19">
        <v>1110</v>
      </c>
      <c r="AB62" s="19">
        <v>1110</v>
      </c>
      <c r="AG62" s="19">
        <v>1110</v>
      </c>
      <c r="AL62" s="19">
        <v>1110</v>
      </c>
      <c r="AQ62" s="19">
        <v>1110</v>
      </c>
      <c r="AV62" s="19">
        <v>1110</v>
      </c>
      <c r="BA62" s="19">
        <v>1110</v>
      </c>
      <c r="BF62" s="19">
        <v>1110</v>
      </c>
      <c r="BK62" s="19">
        <v>1110</v>
      </c>
      <c r="BO62" s="19" t="s">
        <v>9277</v>
      </c>
    </row>
    <row r="63" spans="1:67" s="19" customFormat="1">
      <c r="A63" s="19" t="s">
        <v>7155</v>
      </c>
      <c r="B63" s="19" t="s">
        <v>9342</v>
      </c>
      <c r="C63" s="19" t="s">
        <v>9299</v>
      </c>
      <c r="D63" s="19" t="s">
        <v>9266</v>
      </c>
      <c r="E63" s="19" t="s">
        <v>9267</v>
      </c>
      <c r="AL63" s="19">
        <v>1113</v>
      </c>
      <c r="AQ63" s="19">
        <v>1113</v>
      </c>
      <c r="AV63" s="19">
        <v>1113</v>
      </c>
      <c r="BA63" s="19">
        <v>1113</v>
      </c>
      <c r="BF63" s="19">
        <v>1113</v>
      </c>
      <c r="BK63" s="19">
        <v>1113</v>
      </c>
      <c r="BO63" s="19" t="s">
        <v>9277</v>
      </c>
    </row>
    <row r="64" spans="1:67" s="19" customFormat="1">
      <c r="A64" s="19" t="s">
        <v>6589</v>
      </c>
      <c r="B64" s="19" t="s">
        <v>9343</v>
      </c>
      <c r="C64" s="19" t="s">
        <v>9299</v>
      </c>
      <c r="D64" s="19" t="s">
        <v>9266</v>
      </c>
      <c r="E64" s="19" t="s">
        <v>9267</v>
      </c>
      <c r="H64" s="19">
        <v>1118</v>
      </c>
      <c r="M64" s="19">
        <v>1118</v>
      </c>
      <c r="R64" s="19">
        <v>1118</v>
      </c>
      <c r="W64" s="19">
        <v>1118</v>
      </c>
      <c r="AB64" s="19">
        <v>1118</v>
      </c>
      <c r="AG64" s="19">
        <v>1118</v>
      </c>
      <c r="AL64" s="19">
        <v>1118</v>
      </c>
      <c r="AQ64" s="19">
        <v>1118</v>
      </c>
      <c r="AV64" s="19">
        <v>1118</v>
      </c>
      <c r="BA64" s="19">
        <v>1118</v>
      </c>
      <c r="BF64" s="19">
        <v>1118</v>
      </c>
      <c r="BK64" s="19">
        <v>1118</v>
      </c>
      <c r="BO64" s="19" t="s">
        <v>9277</v>
      </c>
    </row>
    <row r="65" spans="1:67" s="19" customFormat="1">
      <c r="A65" s="19" t="s">
        <v>6784</v>
      </c>
      <c r="B65" s="19" t="s">
        <v>9344</v>
      </c>
      <c r="C65" s="19" t="s">
        <v>9299</v>
      </c>
      <c r="D65" s="19" t="s">
        <v>9266</v>
      </c>
      <c r="E65" s="19" t="s">
        <v>9267</v>
      </c>
      <c r="AL65" s="19">
        <v>1162</v>
      </c>
      <c r="AQ65" s="19">
        <v>1162</v>
      </c>
      <c r="AV65" s="19">
        <v>1162</v>
      </c>
      <c r="BA65" s="19">
        <v>1162</v>
      </c>
      <c r="BF65" s="19">
        <v>1162</v>
      </c>
      <c r="BK65" s="19">
        <v>1162</v>
      </c>
      <c r="BO65" s="19" t="s">
        <v>9277</v>
      </c>
    </row>
    <row r="66" spans="1:67" s="19" customFormat="1">
      <c r="A66" s="19" t="s">
        <v>6535</v>
      </c>
      <c r="B66" s="19" t="s">
        <v>9345</v>
      </c>
      <c r="C66" s="19" t="s">
        <v>9299</v>
      </c>
      <c r="D66" s="19" t="s">
        <v>9266</v>
      </c>
      <c r="E66" s="19" t="s">
        <v>9267</v>
      </c>
      <c r="H66" s="19">
        <v>1220</v>
      </c>
      <c r="M66" s="19">
        <v>1220</v>
      </c>
      <c r="R66" s="19">
        <v>1220</v>
      </c>
      <c r="W66" s="19">
        <v>1220</v>
      </c>
      <c r="AB66" s="19">
        <v>1220</v>
      </c>
      <c r="AG66" s="19">
        <v>1220</v>
      </c>
      <c r="AL66" s="19">
        <v>1220</v>
      </c>
      <c r="AQ66" s="19">
        <v>1220</v>
      </c>
      <c r="AV66" s="19">
        <v>1220</v>
      </c>
      <c r="BA66" s="19">
        <v>1220</v>
      </c>
      <c r="BF66" s="19">
        <v>1220</v>
      </c>
      <c r="BK66" s="19">
        <v>1220</v>
      </c>
      <c r="BO66" s="19" t="s">
        <v>9277</v>
      </c>
    </row>
    <row r="67" spans="1:67" s="19" customFormat="1">
      <c r="A67" s="19" t="s">
        <v>6432</v>
      </c>
      <c r="B67" s="19" t="s">
        <v>9346</v>
      </c>
      <c r="C67" s="19" t="s">
        <v>9299</v>
      </c>
      <c r="D67" s="19" t="s">
        <v>9266</v>
      </c>
      <c r="E67" s="19" t="s">
        <v>9267</v>
      </c>
      <c r="H67" s="19">
        <v>1414</v>
      </c>
      <c r="M67" s="19">
        <v>1414</v>
      </c>
      <c r="R67" s="19">
        <v>1414</v>
      </c>
      <c r="W67" s="19">
        <v>1414</v>
      </c>
      <c r="AB67" s="19">
        <v>1414</v>
      </c>
      <c r="AG67" s="19">
        <v>1414</v>
      </c>
      <c r="AL67" s="19">
        <v>1414</v>
      </c>
      <c r="AQ67" s="19">
        <v>1414</v>
      </c>
      <c r="AV67" s="19">
        <v>1414</v>
      </c>
      <c r="BA67" s="19">
        <v>1414</v>
      </c>
      <c r="BF67" s="19">
        <v>1414</v>
      </c>
      <c r="BK67" s="19">
        <v>1414</v>
      </c>
      <c r="BO67" s="19" t="s">
        <v>9277</v>
      </c>
    </row>
    <row r="68" spans="1:67" s="19" customFormat="1">
      <c r="A68" s="19" t="s">
        <v>6838</v>
      </c>
      <c r="B68" s="19" t="s">
        <v>9347</v>
      </c>
      <c r="C68" s="19" t="s">
        <v>9299</v>
      </c>
      <c r="D68" s="19" t="s">
        <v>9266</v>
      </c>
      <c r="E68" s="19" t="s">
        <v>9267</v>
      </c>
      <c r="H68" s="19">
        <v>1485</v>
      </c>
      <c r="M68" s="19">
        <v>1485</v>
      </c>
      <c r="R68" s="19">
        <v>1485</v>
      </c>
      <c r="W68" s="19">
        <v>1485</v>
      </c>
      <c r="AB68" s="19">
        <v>1485</v>
      </c>
      <c r="AG68" s="19">
        <v>1485</v>
      </c>
      <c r="AL68" s="19">
        <v>1485</v>
      </c>
      <c r="AQ68" s="19">
        <v>1485</v>
      </c>
      <c r="AV68" s="19">
        <v>1485</v>
      </c>
      <c r="BA68" s="19">
        <v>1485</v>
      </c>
      <c r="BF68" s="19">
        <v>1485</v>
      </c>
      <c r="BK68" s="19">
        <v>1485</v>
      </c>
      <c r="BO68" s="19" t="s">
        <v>9277</v>
      </c>
    </row>
    <row r="69" spans="1:67" s="19" customFormat="1">
      <c r="A69" s="19" t="s">
        <v>6269</v>
      </c>
      <c r="B69" s="19" t="s">
        <v>9348</v>
      </c>
      <c r="C69" s="19" t="s">
        <v>9299</v>
      </c>
      <c r="D69" s="19" t="s">
        <v>9266</v>
      </c>
      <c r="E69" s="19" t="s">
        <v>9267</v>
      </c>
      <c r="H69" s="19">
        <v>1537</v>
      </c>
      <c r="M69" s="19">
        <v>1537</v>
      </c>
      <c r="R69" s="19">
        <v>1537</v>
      </c>
      <c r="W69" s="19">
        <v>1537</v>
      </c>
      <c r="AB69" s="19">
        <v>1537</v>
      </c>
      <c r="AG69" s="19">
        <v>1537</v>
      </c>
      <c r="AL69" s="19">
        <v>1537</v>
      </c>
      <c r="AQ69" s="19">
        <v>1537</v>
      </c>
      <c r="AV69" s="19">
        <v>1537</v>
      </c>
      <c r="BA69" s="19">
        <v>1537</v>
      </c>
      <c r="BF69" s="19">
        <v>1537</v>
      </c>
      <c r="BK69" s="19">
        <v>1537</v>
      </c>
      <c r="BO69" s="19" t="s">
        <v>9277</v>
      </c>
    </row>
    <row r="70" spans="1:67" s="19" customFormat="1">
      <c r="A70" s="19" t="s">
        <v>6892</v>
      </c>
      <c r="B70" s="19" t="s">
        <v>9349</v>
      </c>
      <c r="C70" s="19" t="s">
        <v>9299</v>
      </c>
      <c r="D70" s="19" t="s">
        <v>9266</v>
      </c>
      <c r="E70" s="19" t="s">
        <v>9267</v>
      </c>
      <c r="H70" s="19">
        <v>1940</v>
      </c>
      <c r="M70" s="19">
        <v>1940</v>
      </c>
      <c r="R70" s="19">
        <v>1940</v>
      </c>
      <c r="W70" s="19">
        <v>1940</v>
      </c>
      <c r="AB70" s="19">
        <v>1940</v>
      </c>
      <c r="AG70" s="19">
        <v>1940</v>
      </c>
      <c r="AL70" s="19">
        <v>1940</v>
      </c>
      <c r="AQ70" s="19">
        <v>1940</v>
      </c>
      <c r="AV70" s="19">
        <v>1940</v>
      </c>
      <c r="BA70" s="19">
        <v>1940</v>
      </c>
      <c r="BF70" s="19">
        <v>1940</v>
      </c>
      <c r="BK70" s="19">
        <v>1940</v>
      </c>
      <c r="BO70" s="19" t="s">
        <v>9277</v>
      </c>
    </row>
    <row r="71" spans="1:67" hidden="1" outlineLevel="1">
      <c r="A71" s="312" t="s">
        <v>6495</v>
      </c>
      <c r="B71" s="312" t="s">
        <v>9350</v>
      </c>
      <c r="C71" s="312" t="s">
        <v>9351</v>
      </c>
      <c r="D71" s="312" t="s">
        <v>9266</v>
      </c>
      <c r="E71" s="312" t="s">
        <v>9267</v>
      </c>
      <c r="F71" s="312"/>
      <c r="G71" s="312"/>
      <c r="H71" s="312">
        <v>591</v>
      </c>
      <c r="I71" s="312"/>
      <c r="J71" s="312"/>
      <c r="K71" s="312"/>
      <c r="L71" s="312"/>
      <c r="M71" s="312">
        <v>591</v>
      </c>
      <c r="N71" s="312"/>
      <c r="O71" s="312"/>
      <c r="P71" s="312"/>
      <c r="Q71" s="312"/>
      <c r="R71" s="312">
        <v>591</v>
      </c>
      <c r="S71" s="312"/>
      <c r="T71" s="312"/>
      <c r="U71" s="312"/>
      <c r="V71" s="312"/>
      <c r="W71" s="312">
        <v>591</v>
      </c>
      <c r="X71" s="312"/>
      <c r="Y71" s="312"/>
      <c r="Z71" s="312"/>
      <c r="AA71" s="312"/>
      <c r="AB71" s="312">
        <v>591</v>
      </c>
      <c r="AC71" s="312"/>
      <c r="AD71" s="312"/>
      <c r="AE71" s="312"/>
      <c r="AF71" s="312"/>
      <c r="AG71" s="312">
        <v>591</v>
      </c>
      <c r="AH71" s="312"/>
      <c r="AI71" s="312"/>
      <c r="AJ71" s="312"/>
      <c r="AK71" s="312"/>
      <c r="AL71" s="312">
        <v>591</v>
      </c>
      <c r="AM71" s="312"/>
      <c r="AN71" s="312"/>
      <c r="AO71" s="312"/>
      <c r="AP71" s="312"/>
      <c r="AQ71" s="312">
        <v>591</v>
      </c>
      <c r="AR71" s="312"/>
      <c r="AS71" s="312"/>
      <c r="AT71" s="312"/>
      <c r="AU71" s="312"/>
      <c r="AV71" s="312">
        <v>591</v>
      </c>
      <c r="AW71" s="312"/>
      <c r="AX71" s="312"/>
      <c r="AY71" s="312"/>
      <c r="AZ71" s="312"/>
      <c r="BA71" s="312">
        <v>591</v>
      </c>
      <c r="BB71" s="312"/>
      <c r="BC71" s="312"/>
      <c r="BD71" s="312"/>
      <c r="BE71" s="312"/>
      <c r="BF71" s="312">
        <v>591</v>
      </c>
      <c r="BG71" s="312"/>
      <c r="BH71" s="312"/>
      <c r="BI71" s="312"/>
      <c r="BJ71" s="312"/>
      <c r="BK71" s="312">
        <v>591</v>
      </c>
      <c r="BL71" s="312"/>
      <c r="BM71" s="312"/>
      <c r="BN71" s="312"/>
      <c r="BO71" s="312" t="s">
        <v>9270</v>
      </c>
    </row>
    <row r="72" spans="1:67" hidden="1" outlineLevel="1">
      <c r="A72" s="312" t="s">
        <v>6902</v>
      </c>
      <c r="B72" s="312" t="s">
        <v>9352</v>
      </c>
      <c r="C72" s="312" t="s">
        <v>9351</v>
      </c>
      <c r="D72" s="312" t="s">
        <v>9266</v>
      </c>
      <c r="E72" s="312" t="s">
        <v>9267</v>
      </c>
      <c r="F72" s="312"/>
      <c r="G72" s="312"/>
      <c r="H72" s="312">
        <v>758</v>
      </c>
      <c r="I72" s="312"/>
      <c r="J72" s="312"/>
      <c r="K72" s="312"/>
      <c r="L72" s="312"/>
      <c r="M72" s="312">
        <v>758</v>
      </c>
      <c r="N72" s="312"/>
      <c r="O72" s="312"/>
      <c r="P72" s="312"/>
      <c r="Q72" s="312"/>
      <c r="R72" s="312">
        <v>758</v>
      </c>
      <c r="S72" s="312"/>
      <c r="T72" s="312"/>
      <c r="U72" s="312"/>
      <c r="V72" s="312"/>
      <c r="W72" s="312">
        <v>758</v>
      </c>
      <c r="X72" s="312"/>
      <c r="Y72" s="312"/>
      <c r="Z72" s="312"/>
      <c r="AA72" s="312"/>
      <c r="AB72" s="312">
        <v>758</v>
      </c>
      <c r="AC72" s="312"/>
      <c r="AD72" s="312"/>
      <c r="AE72" s="312"/>
      <c r="AF72" s="312"/>
      <c r="AG72" s="312">
        <v>758</v>
      </c>
      <c r="AH72" s="312"/>
      <c r="AI72" s="312"/>
      <c r="AJ72" s="312"/>
      <c r="AK72" s="312"/>
      <c r="AL72" s="312">
        <v>758</v>
      </c>
      <c r="AM72" s="312"/>
      <c r="AN72" s="312"/>
      <c r="AO72" s="312"/>
      <c r="AP72" s="312"/>
      <c r="AQ72" s="312">
        <v>758</v>
      </c>
      <c r="AR72" s="312"/>
      <c r="AS72" s="312"/>
      <c r="AT72" s="312"/>
      <c r="AU72" s="312"/>
      <c r="AV72" s="312">
        <v>758</v>
      </c>
      <c r="AW72" s="312"/>
      <c r="AX72" s="312"/>
      <c r="AY72" s="312"/>
      <c r="AZ72" s="312"/>
      <c r="BA72" s="312">
        <v>758</v>
      </c>
      <c r="BB72" s="312"/>
      <c r="BC72" s="312"/>
      <c r="BD72" s="312"/>
      <c r="BE72" s="312"/>
      <c r="BF72" s="312">
        <v>758</v>
      </c>
      <c r="BG72" s="312"/>
      <c r="BH72" s="312"/>
      <c r="BI72" s="312"/>
      <c r="BJ72" s="312"/>
      <c r="BK72" s="312">
        <v>758</v>
      </c>
      <c r="BL72" s="312"/>
      <c r="BM72" s="312"/>
      <c r="BN72" s="312"/>
      <c r="BO72" s="312" t="s">
        <v>9270</v>
      </c>
    </row>
    <row r="73" spans="1:67" hidden="1" outlineLevel="1">
      <c r="A73" s="312" t="s">
        <v>7914</v>
      </c>
      <c r="B73" s="312" t="s">
        <v>9353</v>
      </c>
      <c r="C73" s="312" t="s">
        <v>9351</v>
      </c>
      <c r="D73" s="312" t="s">
        <v>9266</v>
      </c>
      <c r="E73" s="312" t="s">
        <v>9267</v>
      </c>
      <c r="F73" s="312"/>
      <c r="G73" s="312"/>
      <c r="H73" s="312">
        <v>1030</v>
      </c>
      <c r="I73" s="312"/>
      <c r="J73" s="312"/>
      <c r="K73" s="312"/>
      <c r="L73" s="312"/>
      <c r="M73" s="312">
        <v>1030</v>
      </c>
      <c r="N73" s="312"/>
      <c r="O73" s="312"/>
      <c r="P73" s="312"/>
      <c r="Q73" s="312"/>
      <c r="R73" s="312">
        <v>1030</v>
      </c>
      <c r="S73" s="312"/>
      <c r="T73" s="312"/>
      <c r="U73" s="312"/>
      <c r="V73" s="312"/>
      <c r="W73" s="312">
        <v>1030</v>
      </c>
      <c r="X73" s="312"/>
      <c r="Y73" s="312"/>
      <c r="Z73" s="312"/>
      <c r="AA73" s="312"/>
      <c r="AB73" s="312">
        <v>1030</v>
      </c>
      <c r="AC73" s="312"/>
      <c r="AD73" s="312"/>
      <c r="AE73" s="312"/>
      <c r="AF73" s="312"/>
      <c r="AG73" s="312">
        <v>1030</v>
      </c>
      <c r="AH73" s="312"/>
      <c r="AI73" s="312"/>
      <c r="AJ73" s="312"/>
      <c r="AK73" s="312"/>
      <c r="AL73" s="312">
        <v>1030</v>
      </c>
      <c r="AM73" s="312"/>
      <c r="AN73" s="312"/>
      <c r="AO73" s="312"/>
      <c r="AP73" s="312"/>
      <c r="AQ73" s="312">
        <v>1030</v>
      </c>
      <c r="AR73" s="312"/>
      <c r="AS73" s="312"/>
      <c r="AT73" s="312"/>
      <c r="AU73" s="312"/>
      <c r="AV73" s="312">
        <v>1030</v>
      </c>
      <c r="AW73" s="312"/>
      <c r="AX73" s="312"/>
      <c r="AY73" s="312"/>
      <c r="AZ73" s="312"/>
      <c r="BA73" s="312">
        <v>1030</v>
      </c>
      <c r="BB73" s="312"/>
      <c r="BC73" s="312"/>
      <c r="BD73" s="312"/>
      <c r="BE73" s="312"/>
      <c r="BF73" s="312">
        <v>1030</v>
      </c>
      <c r="BG73" s="312"/>
      <c r="BH73" s="312"/>
      <c r="BI73" s="312"/>
      <c r="BJ73" s="312"/>
      <c r="BK73" s="312">
        <v>1030</v>
      </c>
      <c r="BL73" s="312"/>
      <c r="BM73" s="312"/>
      <c r="BN73" s="312"/>
      <c r="BO73" s="312" t="s">
        <v>9274</v>
      </c>
    </row>
    <row r="74" spans="1:67" hidden="1" outlineLevel="1">
      <c r="A74" s="312" t="s">
        <v>7486</v>
      </c>
      <c r="B74" s="312" t="s">
        <v>9354</v>
      </c>
      <c r="C74" s="312" t="s">
        <v>9351</v>
      </c>
      <c r="D74" s="312" t="s">
        <v>9266</v>
      </c>
      <c r="E74" s="312" t="s">
        <v>9267</v>
      </c>
      <c r="F74" s="312"/>
      <c r="G74" s="312"/>
      <c r="H74" s="312">
        <v>1130</v>
      </c>
      <c r="I74" s="312"/>
      <c r="J74" s="312"/>
      <c r="K74" s="312"/>
      <c r="L74" s="312"/>
      <c r="M74" s="312">
        <v>1130</v>
      </c>
      <c r="N74" s="312"/>
      <c r="O74" s="312"/>
      <c r="P74" s="312"/>
      <c r="Q74" s="312"/>
      <c r="R74" s="312">
        <v>1130</v>
      </c>
      <c r="S74" s="312"/>
      <c r="T74" s="312"/>
      <c r="U74" s="312"/>
      <c r="V74" s="312"/>
      <c r="W74" s="312">
        <v>1130</v>
      </c>
      <c r="X74" s="312"/>
      <c r="Y74" s="312"/>
      <c r="Z74" s="312"/>
      <c r="AA74" s="312"/>
      <c r="AB74" s="312">
        <v>1130</v>
      </c>
      <c r="AC74" s="312"/>
      <c r="AD74" s="312"/>
      <c r="AE74" s="312"/>
      <c r="AF74" s="312"/>
      <c r="AG74" s="312">
        <v>1130</v>
      </c>
      <c r="AH74" s="312"/>
      <c r="AI74" s="312"/>
      <c r="AJ74" s="312"/>
      <c r="AK74" s="312"/>
      <c r="AL74" s="312">
        <v>1130</v>
      </c>
      <c r="AM74" s="312"/>
      <c r="AN74" s="312"/>
      <c r="AO74" s="312"/>
      <c r="AP74" s="312"/>
      <c r="AQ74" s="312">
        <v>1130</v>
      </c>
      <c r="AR74" s="312"/>
      <c r="AS74" s="312"/>
      <c r="AT74" s="312"/>
      <c r="AU74" s="312"/>
      <c r="AV74" s="312">
        <v>1130</v>
      </c>
      <c r="AW74" s="312"/>
      <c r="AX74" s="312"/>
      <c r="AY74" s="312"/>
      <c r="AZ74" s="312"/>
      <c r="BA74" s="312">
        <v>1130</v>
      </c>
      <c r="BB74" s="312"/>
      <c r="BC74" s="312"/>
      <c r="BD74" s="312"/>
      <c r="BE74" s="312"/>
      <c r="BF74" s="312">
        <v>1130</v>
      </c>
      <c r="BG74" s="312"/>
      <c r="BH74" s="312"/>
      <c r="BI74" s="312"/>
      <c r="BJ74" s="312"/>
      <c r="BK74" s="312">
        <v>1130</v>
      </c>
      <c r="BL74" s="312"/>
      <c r="BM74" s="312"/>
      <c r="BN74" s="312"/>
      <c r="BO74" s="312" t="s">
        <v>9277</v>
      </c>
    </row>
    <row r="75" spans="1:67" hidden="1" outlineLevel="1">
      <c r="A75" s="312" t="s">
        <v>9355</v>
      </c>
      <c r="B75" s="312" t="s">
        <v>9356</v>
      </c>
      <c r="C75" s="312" t="s">
        <v>9351</v>
      </c>
      <c r="D75" s="312" t="s">
        <v>9266</v>
      </c>
      <c r="E75" s="312" t="s">
        <v>9267</v>
      </c>
      <c r="F75" s="312"/>
      <c r="G75" s="312"/>
      <c r="H75" s="312">
        <v>1146</v>
      </c>
      <c r="I75" s="312"/>
      <c r="J75" s="312"/>
      <c r="K75" s="312"/>
      <c r="L75" s="312"/>
      <c r="M75" s="312">
        <v>1146</v>
      </c>
      <c r="N75" s="312"/>
      <c r="O75" s="312"/>
      <c r="P75" s="312"/>
      <c r="Q75" s="312"/>
      <c r="R75" s="312">
        <v>1146</v>
      </c>
      <c r="S75" s="312"/>
      <c r="T75" s="312"/>
      <c r="U75" s="312"/>
      <c r="V75" s="312"/>
      <c r="W75" s="312">
        <v>1146</v>
      </c>
      <c r="X75" s="312"/>
      <c r="Y75" s="312"/>
      <c r="Z75" s="312"/>
      <c r="AA75" s="312"/>
      <c r="AB75" s="312">
        <v>1146</v>
      </c>
      <c r="AC75" s="312"/>
      <c r="AD75" s="312"/>
      <c r="AE75" s="312"/>
      <c r="AF75" s="312"/>
      <c r="AG75" s="312">
        <v>1146</v>
      </c>
      <c r="AH75" s="312"/>
      <c r="AI75" s="312"/>
      <c r="AJ75" s="312"/>
      <c r="AK75" s="312"/>
      <c r="AL75" s="312">
        <v>1146</v>
      </c>
      <c r="AM75" s="312"/>
      <c r="AN75" s="312"/>
      <c r="AO75" s="312"/>
      <c r="AP75" s="312"/>
      <c r="AQ75" s="312">
        <v>1146</v>
      </c>
      <c r="AR75" s="312"/>
      <c r="AS75" s="312"/>
      <c r="AT75" s="312"/>
      <c r="AU75" s="312"/>
      <c r="AV75" s="312">
        <v>1146</v>
      </c>
      <c r="AW75" s="312"/>
      <c r="AX75" s="312"/>
      <c r="AY75" s="312"/>
      <c r="AZ75" s="312"/>
      <c r="BA75" s="312">
        <v>1146</v>
      </c>
      <c r="BB75" s="312"/>
      <c r="BC75" s="312"/>
      <c r="BD75" s="312"/>
      <c r="BE75" s="312"/>
      <c r="BF75" s="312">
        <v>1146</v>
      </c>
      <c r="BG75" s="312"/>
      <c r="BH75" s="312"/>
      <c r="BI75" s="312"/>
      <c r="BJ75" s="312"/>
      <c r="BK75" s="312">
        <v>1146</v>
      </c>
      <c r="BL75" s="312"/>
      <c r="BM75" s="312"/>
      <c r="BN75" s="312"/>
      <c r="BO75" s="312" t="s">
        <v>9277</v>
      </c>
    </row>
    <row r="76" spans="1:67" hidden="1" outlineLevel="1">
      <c r="A76" s="312" t="s">
        <v>9357</v>
      </c>
      <c r="B76" s="312" t="s">
        <v>9358</v>
      </c>
      <c r="C76" s="312" t="s">
        <v>9351</v>
      </c>
      <c r="D76" s="312" t="s">
        <v>9266</v>
      </c>
      <c r="E76" s="312" t="s">
        <v>9267</v>
      </c>
      <c r="F76" s="312"/>
      <c r="G76" s="312"/>
      <c r="H76" s="312">
        <v>1292</v>
      </c>
      <c r="I76" s="312"/>
      <c r="J76" s="312"/>
      <c r="K76" s="312"/>
      <c r="L76" s="312"/>
      <c r="M76" s="312">
        <v>1292</v>
      </c>
      <c r="N76" s="312"/>
      <c r="O76" s="312"/>
      <c r="P76" s="312"/>
      <c r="Q76" s="312"/>
      <c r="R76" s="312">
        <v>1292</v>
      </c>
      <c r="S76" s="312"/>
      <c r="T76" s="312"/>
      <c r="U76" s="312"/>
      <c r="V76" s="312"/>
      <c r="W76" s="312">
        <v>1292</v>
      </c>
      <c r="X76" s="312"/>
      <c r="Y76" s="312"/>
      <c r="Z76" s="312"/>
      <c r="AA76" s="312"/>
      <c r="AB76" s="312">
        <v>1292</v>
      </c>
      <c r="AC76" s="312"/>
      <c r="AD76" s="312"/>
      <c r="AE76" s="312"/>
      <c r="AF76" s="312"/>
      <c r="AG76" s="312">
        <v>1292</v>
      </c>
      <c r="AH76" s="312"/>
      <c r="AI76" s="312"/>
      <c r="AJ76" s="312"/>
      <c r="AK76" s="312"/>
      <c r="AL76" s="312">
        <v>1292</v>
      </c>
      <c r="AM76" s="312"/>
      <c r="AN76" s="312"/>
      <c r="AO76" s="312"/>
      <c r="AP76" s="312"/>
      <c r="AQ76" s="312">
        <v>1292</v>
      </c>
      <c r="AR76" s="312"/>
      <c r="AS76" s="312"/>
      <c r="AT76" s="312"/>
      <c r="AU76" s="312"/>
      <c r="AV76" s="312">
        <v>1292</v>
      </c>
      <c r="AW76" s="312"/>
      <c r="AX76" s="312"/>
      <c r="AY76" s="312"/>
      <c r="AZ76" s="312"/>
      <c r="BA76" s="312">
        <v>1292</v>
      </c>
      <c r="BB76" s="312"/>
      <c r="BC76" s="312"/>
      <c r="BD76" s="312"/>
      <c r="BE76" s="312"/>
      <c r="BF76" s="312">
        <v>1292</v>
      </c>
      <c r="BG76" s="312"/>
      <c r="BH76" s="312"/>
      <c r="BI76" s="312"/>
      <c r="BJ76" s="312"/>
      <c r="BK76" s="312">
        <v>1292</v>
      </c>
      <c r="BL76" s="312"/>
      <c r="BM76" s="312"/>
      <c r="BN76" s="312"/>
      <c r="BO76" s="312" t="s">
        <v>9277</v>
      </c>
    </row>
    <row r="77" spans="1:67" hidden="1" outlineLevel="1">
      <c r="A77" s="312" t="s">
        <v>7684</v>
      </c>
      <c r="B77" s="312" t="s">
        <v>9359</v>
      </c>
      <c r="C77" s="312" t="s">
        <v>9351</v>
      </c>
      <c r="D77" s="312" t="s">
        <v>9266</v>
      </c>
      <c r="E77" s="312" t="s">
        <v>9267</v>
      </c>
      <c r="F77" s="312"/>
      <c r="G77" s="312"/>
      <c r="H77" s="312">
        <v>1300</v>
      </c>
      <c r="I77" s="312"/>
      <c r="J77" s="312"/>
      <c r="K77" s="312"/>
      <c r="L77" s="312"/>
      <c r="M77" s="312">
        <v>1300</v>
      </c>
      <c r="N77" s="312"/>
      <c r="O77" s="312"/>
      <c r="P77" s="312"/>
      <c r="Q77" s="312"/>
      <c r="R77" s="312">
        <v>1300</v>
      </c>
      <c r="S77" s="312"/>
      <c r="T77" s="312"/>
      <c r="U77" s="312"/>
      <c r="V77" s="312"/>
      <c r="W77" s="312">
        <v>1300</v>
      </c>
      <c r="X77" s="312"/>
      <c r="Y77" s="312"/>
      <c r="Z77" s="312"/>
      <c r="AA77" s="312"/>
      <c r="AB77" s="312">
        <v>1300</v>
      </c>
      <c r="AC77" s="312"/>
      <c r="AD77" s="312"/>
      <c r="AE77" s="312"/>
      <c r="AF77" s="312"/>
      <c r="AG77" s="312">
        <v>1300</v>
      </c>
      <c r="AH77" s="312"/>
      <c r="AI77" s="312"/>
      <c r="AJ77" s="312"/>
      <c r="AK77" s="312"/>
      <c r="AL77" s="312">
        <v>1300</v>
      </c>
      <c r="AM77" s="312"/>
      <c r="AN77" s="312"/>
      <c r="AO77" s="312"/>
      <c r="AP77" s="312"/>
      <c r="AQ77" s="312">
        <v>1300</v>
      </c>
      <c r="AR77" s="312"/>
      <c r="AS77" s="312"/>
      <c r="AT77" s="312"/>
      <c r="AU77" s="312"/>
      <c r="AV77" s="312">
        <v>1300</v>
      </c>
      <c r="AW77" s="312"/>
      <c r="AX77" s="312"/>
      <c r="AY77" s="312"/>
      <c r="AZ77" s="312"/>
      <c r="BA77" s="312">
        <v>1300</v>
      </c>
      <c r="BB77" s="312"/>
      <c r="BC77" s="312"/>
      <c r="BD77" s="312"/>
      <c r="BE77" s="312"/>
      <c r="BF77" s="312">
        <v>1300</v>
      </c>
      <c r="BG77" s="312"/>
      <c r="BH77" s="312"/>
      <c r="BI77" s="312"/>
      <c r="BJ77" s="312"/>
      <c r="BK77" s="312">
        <v>1300</v>
      </c>
      <c r="BL77" s="312"/>
      <c r="BM77" s="312"/>
      <c r="BN77" s="312"/>
      <c r="BO77" s="312" t="s">
        <v>9277</v>
      </c>
    </row>
    <row r="78" spans="1:67" hidden="1" outlineLevel="1">
      <c r="A78" s="312" t="s">
        <v>7543</v>
      </c>
      <c r="B78" s="312" t="s">
        <v>9360</v>
      </c>
      <c r="C78" s="312" t="s">
        <v>9351</v>
      </c>
      <c r="D78" s="312" t="s">
        <v>9266</v>
      </c>
      <c r="E78" s="312" t="s">
        <v>9267</v>
      </c>
      <c r="F78" s="312"/>
      <c r="G78" s="312"/>
      <c r="H78" s="312">
        <v>1335</v>
      </c>
      <c r="I78" s="312"/>
      <c r="J78" s="312"/>
      <c r="K78" s="312"/>
      <c r="L78" s="312"/>
      <c r="M78" s="312">
        <v>1335</v>
      </c>
      <c r="N78" s="312"/>
      <c r="O78" s="312"/>
      <c r="P78" s="312"/>
      <c r="Q78" s="312"/>
      <c r="R78" s="312">
        <v>1335</v>
      </c>
      <c r="S78" s="312"/>
      <c r="T78" s="312"/>
      <c r="U78" s="312"/>
      <c r="V78" s="312"/>
      <c r="W78" s="312">
        <v>1335</v>
      </c>
      <c r="X78" s="312"/>
      <c r="Y78" s="312"/>
      <c r="Z78" s="312"/>
      <c r="AA78" s="312"/>
      <c r="AB78" s="312">
        <v>1335</v>
      </c>
      <c r="AC78" s="312"/>
      <c r="AD78" s="312"/>
      <c r="AE78" s="312"/>
      <c r="AF78" s="312"/>
      <c r="AG78" s="312">
        <v>1335</v>
      </c>
      <c r="AH78" s="312"/>
      <c r="AI78" s="312"/>
      <c r="AJ78" s="312"/>
      <c r="AK78" s="312"/>
      <c r="AL78" s="312">
        <v>1335</v>
      </c>
      <c r="AM78" s="312"/>
      <c r="AN78" s="312"/>
      <c r="AO78" s="312"/>
      <c r="AP78" s="312"/>
      <c r="AQ78" s="312">
        <v>1335</v>
      </c>
      <c r="AR78" s="312"/>
      <c r="AS78" s="312"/>
      <c r="AT78" s="312"/>
      <c r="AU78" s="312"/>
      <c r="AV78" s="312">
        <v>1335</v>
      </c>
      <c r="AW78" s="312"/>
      <c r="AX78" s="312"/>
      <c r="AY78" s="312"/>
      <c r="AZ78" s="312"/>
      <c r="BA78" s="312">
        <v>1335</v>
      </c>
      <c r="BB78" s="312"/>
      <c r="BC78" s="312"/>
      <c r="BD78" s="312"/>
      <c r="BE78" s="312"/>
      <c r="BF78" s="312">
        <v>1335</v>
      </c>
      <c r="BG78" s="312"/>
      <c r="BH78" s="312"/>
      <c r="BI78" s="312"/>
      <c r="BJ78" s="312"/>
      <c r="BK78" s="312">
        <v>1335</v>
      </c>
      <c r="BL78" s="312"/>
      <c r="BM78" s="312"/>
      <c r="BN78" s="312"/>
      <c r="BO78" s="312" t="s">
        <v>9277</v>
      </c>
    </row>
    <row r="79" spans="1:67" hidden="1" outlineLevel="1">
      <c r="A79" s="312" t="s">
        <v>7293</v>
      </c>
      <c r="B79" s="312" t="s">
        <v>9361</v>
      </c>
      <c r="C79" s="312" t="s">
        <v>9351</v>
      </c>
      <c r="D79" s="312" t="s">
        <v>9266</v>
      </c>
      <c r="E79" s="312" t="s">
        <v>9267</v>
      </c>
      <c r="F79" s="312"/>
      <c r="G79" s="312"/>
      <c r="H79" s="312">
        <v>1410</v>
      </c>
      <c r="I79" s="312"/>
      <c r="J79" s="312"/>
      <c r="K79" s="312"/>
      <c r="L79" s="312"/>
      <c r="M79" s="312">
        <v>1410</v>
      </c>
      <c r="N79" s="312"/>
      <c r="O79" s="312"/>
      <c r="P79" s="312"/>
      <c r="Q79" s="312"/>
      <c r="R79" s="312">
        <v>1410</v>
      </c>
      <c r="S79" s="312"/>
      <c r="T79" s="312"/>
      <c r="U79" s="312"/>
      <c r="V79" s="312"/>
      <c r="W79" s="312">
        <v>1410</v>
      </c>
      <c r="X79" s="312"/>
      <c r="Y79" s="312"/>
      <c r="Z79" s="312"/>
      <c r="AA79" s="312"/>
      <c r="AB79" s="312">
        <v>1410</v>
      </c>
      <c r="AC79" s="312"/>
      <c r="AD79" s="312"/>
      <c r="AE79" s="312"/>
      <c r="AF79" s="312"/>
      <c r="AG79" s="312">
        <v>1410</v>
      </c>
      <c r="AH79" s="312"/>
      <c r="AI79" s="312"/>
      <c r="AJ79" s="312"/>
      <c r="AK79" s="312"/>
      <c r="AL79" s="312">
        <v>1410</v>
      </c>
      <c r="AM79" s="312"/>
      <c r="AN79" s="312"/>
      <c r="AO79" s="312"/>
      <c r="AP79" s="312"/>
      <c r="AQ79" s="312">
        <v>1410</v>
      </c>
      <c r="AR79" s="312"/>
      <c r="AS79" s="312"/>
      <c r="AT79" s="312"/>
      <c r="AU79" s="312"/>
      <c r="AV79" s="312">
        <v>1410</v>
      </c>
      <c r="AW79" s="312"/>
      <c r="AX79" s="312"/>
      <c r="AY79" s="312"/>
      <c r="AZ79" s="312"/>
      <c r="BA79" s="312">
        <v>1410</v>
      </c>
      <c r="BB79" s="312"/>
      <c r="BC79" s="312"/>
      <c r="BD79" s="312"/>
      <c r="BE79" s="312"/>
      <c r="BF79" s="312">
        <v>1410</v>
      </c>
      <c r="BG79" s="312"/>
      <c r="BH79" s="312"/>
      <c r="BI79" s="312"/>
      <c r="BJ79" s="312"/>
      <c r="BK79" s="312">
        <v>1410</v>
      </c>
      <c r="BL79" s="312"/>
      <c r="BM79" s="312"/>
      <c r="BN79" s="312"/>
      <c r="BO79" s="312" t="s">
        <v>9277</v>
      </c>
    </row>
    <row r="80" spans="1:67" hidden="1" outlineLevel="1">
      <c r="A80" s="312" t="s">
        <v>7841</v>
      </c>
      <c r="B80" s="312" t="s">
        <v>9362</v>
      </c>
      <c r="C80" s="312" t="s">
        <v>9351</v>
      </c>
      <c r="D80" s="312" t="s">
        <v>9266</v>
      </c>
      <c r="E80" s="312" t="s">
        <v>9267</v>
      </c>
      <c r="F80" s="312"/>
      <c r="G80" s="312"/>
      <c r="H80" s="312">
        <v>1422</v>
      </c>
      <c r="I80" s="312"/>
      <c r="J80" s="312"/>
      <c r="K80" s="312"/>
      <c r="L80" s="312"/>
      <c r="M80" s="312">
        <v>1422</v>
      </c>
      <c r="N80" s="312"/>
      <c r="O80" s="312"/>
      <c r="P80" s="312"/>
      <c r="Q80" s="312"/>
      <c r="R80" s="312">
        <v>1422</v>
      </c>
      <c r="S80" s="312"/>
      <c r="T80" s="312"/>
      <c r="U80" s="312"/>
      <c r="V80" s="312"/>
      <c r="W80" s="312">
        <v>1422</v>
      </c>
      <c r="X80" s="312"/>
      <c r="Y80" s="312"/>
      <c r="Z80" s="312"/>
      <c r="AA80" s="312"/>
      <c r="AB80" s="312">
        <v>1422</v>
      </c>
      <c r="AC80" s="312"/>
      <c r="AD80" s="312"/>
      <c r="AE80" s="312"/>
      <c r="AF80" s="312"/>
      <c r="AG80" s="312">
        <v>1422</v>
      </c>
      <c r="AH80" s="312"/>
      <c r="AI80" s="312"/>
      <c r="AJ80" s="312"/>
      <c r="AK80" s="312"/>
      <c r="AL80" s="312">
        <v>1422</v>
      </c>
      <c r="AM80" s="312"/>
      <c r="AN80" s="312"/>
      <c r="AO80" s="312"/>
      <c r="AP80" s="312"/>
      <c r="AQ80" s="312">
        <v>1422</v>
      </c>
      <c r="AR80" s="312"/>
      <c r="AS80" s="312"/>
      <c r="AT80" s="312"/>
      <c r="AU80" s="312"/>
      <c r="AV80" s="312">
        <v>1422</v>
      </c>
      <c r="AW80" s="312"/>
      <c r="AX80" s="312"/>
      <c r="AY80" s="312"/>
      <c r="AZ80" s="312"/>
      <c r="BA80" s="312">
        <v>1422</v>
      </c>
      <c r="BB80" s="312"/>
      <c r="BC80" s="312"/>
      <c r="BD80" s="312"/>
      <c r="BE80" s="312"/>
      <c r="BF80" s="312">
        <v>1422</v>
      </c>
      <c r="BG80" s="312"/>
      <c r="BH80" s="312"/>
      <c r="BI80" s="312"/>
      <c r="BJ80" s="312"/>
      <c r="BK80" s="312">
        <v>1422</v>
      </c>
      <c r="BL80" s="312"/>
      <c r="BM80" s="312"/>
      <c r="BN80" s="312"/>
      <c r="BO80" s="312" t="s">
        <v>9277</v>
      </c>
    </row>
    <row r="81" spans="1:67" hidden="1" outlineLevel="1">
      <c r="A81" s="312" t="s">
        <v>9363</v>
      </c>
      <c r="B81" s="312" t="s">
        <v>9364</v>
      </c>
      <c r="C81" s="312" t="s">
        <v>9351</v>
      </c>
      <c r="D81" s="312" t="s">
        <v>9266</v>
      </c>
      <c r="E81" s="312" t="s">
        <v>9267</v>
      </c>
      <c r="F81" s="312"/>
      <c r="G81" s="312"/>
      <c r="H81" s="312">
        <v>1427</v>
      </c>
      <c r="I81" s="312"/>
      <c r="J81" s="312"/>
      <c r="K81" s="312"/>
      <c r="L81" s="312"/>
      <c r="M81" s="312">
        <v>1427</v>
      </c>
      <c r="N81" s="312"/>
      <c r="O81" s="312"/>
      <c r="P81" s="312"/>
      <c r="Q81" s="312"/>
      <c r="R81" s="312">
        <v>1427</v>
      </c>
      <c r="S81" s="312"/>
      <c r="T81" s="312"/>
      <c r="U81" s="312"/>
      <c r="V81" s="312"/>
      <c r="W81" s="312">
        <v>1427</v>
      </c>
      <c r="X81" s="312"/>
      <c r="Y81" s="312"/>
      <c r="Z81" s="312"/>
      <c r="AA81" s="312"/>
      <c r="AB81" s="312">
        <v>1427</v>
      </c>
      <c r="AC81" s="312"/>
      <c r="AD81" s="312"/>
      <c r="AE81" s="312"/>
      <c r="AF81" s="312"/>
      <c r="AG81" s="312">
        <v>1427</v>
      </c>
      <c r="AH81" s="312"/>
      <c r="AI81" s="312"/>
      <c r="AJ81" s="312"/>
      <c r="AK81" s="312"/>
      <c r="AL81" s="312">
        <v>1427</v>
      </c>
      <c r="AM81" s="312"/>
      <c r="AN81" s="312"/>
      <c r="AO81" s="312"/>
      <c r="AP81" s="312"/>
      <c r="AQ81" s="312">
        <v>1427</v>
      </c>
      <c r="AR81" s="312"/>
      <c r="AS81" s="312"/>
      <c r="AT81" s="312"/>
      <c r="AU81" s="312"/>
      <c r="AV81" s="312">
        <v>1427</v>
      </c>
      <c r="AW81" s="312"/>
      <c r="AX81" s="312"/>
      <c r="AY81" s="312"/>
      <c r="AZ81" s="312"/>
      <c r="BA81" s="312">
        <v>1427</v>
      </c>
      <c r="BB81" s="312"/>
      <c r="BC81" s="312"/>
      <c r="BD81" s="312"/>
      <c r="BE81" s="312"/>
      <c r="BF81" s="312">
        <v>1427</v>
      </c>
      <c r="BG81" s="312"/>
      <c r="BH81" s="312"/>
      <c r="BI81" s="312"/>
      <c r="BJ81" s="312"/>
      <c r="BK81" s="312">
        <v>1427</v>
      </c>
      <c r="BL81" s="312"/>
      <c r="BM81" s="312"/>
      <c r="BN81" s="312"/>
      <c r="BO81" s="312" t="s">
        <v>9277</v>
      </c>
    </row>
    <row r="82" spans="1:67" hidden="1" outlineLevel="1">
      <c r="A82" s="312" t="s">
        <v>7566</v>
      </c>
      <c r="B82" s="312" t="s">
        <v>9365</v>
      </c>
      <c r="C82" s="312" t="s">
        <v>9351</v>
      </c>
      <c r="D82" s="312" t="s">
        <v>9266</v>
      </c>
      <c r="E82" s="312" t="s">
        <v>9267</v>
      </c>
      <c r="F82" s="312"/>
      <c r="G82" s="312"/>
      <c r="H82" s="312">
        <v>1440</v>
      </c>
      <c r="I82" s="312"/>
      <c r="J82" s="312"/>
      <c r="K82" s="312"/>
      <c r="L82" s="312"/>
      <c r="M82" s="312">
        <v>1440</v>
      </c>
      <c r="N82" s="312"/>
      <c r="O82" s="312"/>
      <c r="P82" s="312"/>
      <c r="Q82" s="312"/>
      <c r="R82" s="312">
        <v>1440</v>
      </c>
      <c r="S82" s="312"/>
      <c r="T82" s="312"/>
      <c r="U82" s="312"/>
      <c r="V82" s="312"/>
      <c r="W82" s="312">
        <v>1440</v>
      </c>
      <c r="X82" s="312"/>
      <c r="Y82" s="312"/>
      <c r="Z82" s="312"/>
      <c r="AA82" s="312"/>
      <c r="AB82" s="312">
        <v>1440</v>
      </c>
      <c r="AC82" s="312"/>
      <c r="AD82" s="312"/>
      <c r="AE82" s="312"/>
      <c r="AF82" s="312"/>
      <c r="AG82" s="312">
        <v>1440</v>
      </c>
      <c r="AH82" s="312"/>
      <c r="AI82" s="312"/>
      <c r="AJ82" s="312"/>
      <c r="AK82" s="312"/>
      <c r="AL82" s="312">
        <v>1440</v>
      </c>
      <c r="AM82" s="312"/>
      <c r="AN82" s="312"/>
      <c r="AO82" s="312"/>
      <c r="AP82" s="312"/>
      <c r="AQ82" s="312">
        <v>1440</v>
      </c>
      <c r="AR82" s="312"/>
      <c r="AS82" s="312"/>
      <c r="AT82" s="312"/>
      <c r="AU82" s="312"/>
      <c r="AV82" s="312">
        <v>1440</v>
      </c>
      <c r="AW82" s="312"/>
      <c r="AX82" s="312"/>
      <c r="AY82" s="312"/>
      <c r="AZ82" s="312"/>
      <c r="BA82" s="312">
        <v>1440</v>
      </c>
      <c r="BB82" s="312"/>
      <c r="BC82" s="312"/>
      <c r="BD82" s="312"/>
      <c r="BE82" s="312"/>
      <c r="BF82" s="312">
        <v>1440</v>
      </c>
      <c r="BG82" s="312"/>
      <c r="BH82" s="312"/>
      <c r="BI82" s="312"/>
      <c r="BJ82" s="312"/>
      <c r="BK82" s="312">
        <v>1440</v>
      </c>
      <c r="BL82" s="312"/>
      <c r="BM82" s="312"/>
      <c r="BN82" s="312"/>
      <c r="BO82" s="312" t="s">
        <v>9277</v>
      </c>
    </row>
    <row r="83" spans="1:67" hidden="1" outlineLevel="1">
      <c r="A83" s="312" t="s">
        <v>6624</v>
      </c>
      <c r="B83" s="312" t="s">
        <v>9366</v>
      </c>
      <c r="C83" s="312" t="s">
        <v>9351</v>
      </c>
      <c r="D83" s="312" t="s">
        <v>9266</v>
      </c>
      <c r="E83" s="312" t="s">
        <v>9267</v>
      </c>
      <c r="F83" s="312"/>
      <c r="G83" s="312"/>
      <c r="H83" s="312">
        <v>1522</v>
      </c>
      <c r="I83" s="312"/>
      <c r="J83" s="312"/>
      <c r="K83" s="312"/>
      <c r="L83" s="312"/>
      <c r="M83" s="312">
        <v>1522</v>
      </c>
      <c r="N83" s="312"/>
      <c r="O83" s="312"/>
      <c r="P83" s="312"/>
      <c r="Q83" s="312"/>
      <c r="R83" s="312">
        <v>1522</v>
      </c>
      <c r="S83" s="312"/>
      <c r="T83" s="312"/>
      <c r="U83" s="312"/>
      <c r="V83" s="312"/>
      <c r="W83" s="312">
        <v>1522</v>
      </c>
      <c r="X83" s="312"/>
      <c r="Y83" s="312"/>
      <c r="Z83" s="312"/>
      <c r="AA83" s="312"/>
      <c r="AB83" s="312">
        <v>1522</v>
      </c>
      <c r="AC83" s="312"/>
      <c r="AD83" s="312"/>
      <c r="AE83" s="312"/>
      <c r="AF83" s="312"/>
      <c r="AG83" s="312">
        <v>1522</v>
      </c>
      <c r="AH83" s="312"/>
      <c r="AI83" s="312"/>
      <c r="AJ83" s="312"/>
      <c r="AK83" s="312"/>
      <c r="AL83" s="312">
        <v>1522</v>
      </c>
      <c r="AM83" s="312"/>
      <c r="AN83" s="312"/>
      <c r="AO83" s="312"/>
      <c r="AP83" s="312"/>
      <c r="AQ83" s="312">
        <v>1522</v>
      </c>
      <c r="AR83" s="312"/>
      <c r="AS83" s="312"/>
      <c r="AT83" s="312"/>
      <c r="AU83" s="312"/>
      <c r="AV83" s="312">
        <v>1522</v>
      </c>
      <c r="AW83" s="312"/>
      <c r="AX83" s="312"/>
      <c r="AY83" s="312"/>
      <c r="AZ83" s="312"/>
      <c r="BA83" s="312">
        <v>1522</v>
      </c>
      <c r="BB83" s="312"/>
      <c r="BC83" s="312"/>
      <c r="BD83" s="312"/>
      <c r="BE83" s="312"/>
      <c r="BF83" s="312">
        <v>1522</v>
      </c>
      <c r="BG83" s="312"/>
      <c r="BH83" s="312"/>
      <c r="BI83" s="312"/>
      <c r="BJ83" s="312"/>
      <c r="BK83" s="312">
        <v>1522</v>
      </c>
      <c r="BL83" s="312"/>
      <c r="BM83" s="312"/>
      <c r="BN83" s="312"/>
      <c r="BO83" s="312" t="s">
        <v>9277</v>
      </c>
    </row>
    <row r="84" spans="1:67" hidden="1" outlineLevel="1">
      <c r="A84" s="312" t="s">
        <v>9367</v>
      </c>
      <c r="B84" s="312" t="s">
        <v>9368</v>
      </c>
      <c r="C84" s="312" t="s">
        <v>9351</v>
      </c>
      <c r="D84" s="312" t="s">
        <v>9266</v>
      </c>
      <c r="E84" s="312" t="s">
        <v>9267</v>
      </c>
      <c r="F84" s="312"/>
      <c r="G84" s="312"/>
      <c r="H84" s="312">
        <v>1583</v>
      </c>
      <c r="I84" s="312"/>
      <c r="J84" s="312"/>
      <c r="K84" s="312"/>
      <c r="L84" s="312"/>
      <c r="M84" s="312">
        <v>1583</v>
      </c>
      <c r="N84" s="312"/>
      <c r="O84" s="312"/>
      <c r="P84" s="312"/>
      <c r="Q84" s="312"/>
      <c r="R84" s="312">
        <v>1583</v>
      </c>
      <c r="S84" s="312"/>
      <c r="T84" s="312"/>
      <c r="U84" s="312"/>
      <c r="V84" s="312"/>
      <c r="W84" s="312">
        <v>1583</v>
      </c>
      <c r="X84" s="312"/>
      <c r="Y84" s="312"/>
      <c r="Z84" s="312"/>
      <c r="AA84" s="312"/>
      <c r="AB84" s="312">
        <v>1583</v>
      </c>
      <c r="AC84" s="312"/>
      <c r="AD84" s="312"/>
      <c r="AE84" s="312"/>
      <c r="AF84" s="312"/>
      <c r="AG84" s="312">
        <v>1583</v>
      </c>
      <c r="AH84" s="312"/>
      <c r="AI84" s="312"/>
      <c r="AJ84" s="312"/>
      <c r="AK84" s="312"/>
      <c r="AL84" s="312">
        <v>1583</v>
      </c>
      <c r="AM84" s="312"/>
      <c r="AN84" s="312"/>
      <c r="AO84" s="312"/>
      <c r="AP84" s="312"/>
      <c r="AQ84" s="312">
        <v>1583</v>
      </c>
      <c r="AR84" s="312"/>
      <c r="AS84" s="312"/>
      <c r="AT84" s="312"/>
      <c r="AU84" s="312"/>
      <c r="AV84" s="312">
        <v>1583</v>
      </c>
      <c r="AW84" s="312"/>
      <c r="AX84" s="312"/>
      <c r="AY84" s="312"/>
      <c r="AZ84" s="312"/>
      <c r="BA84" s="312">
        <v>1583</v>
      </c>
      <c r="BB84" s="312"/>
      <c r="BC84" s="312"/>
      <c r="BD84" s="312"/>
      <c r="BE84" s="312"/>
      <c r="BF84" s="312">
        <v>1583</v>
      </c>
      <c r="BG84" s="312"/>
      <c r="BH84" s="312"/>
      <c r="BI84" s="312"/>
      <c r="BJ84" s="312"/>
      <c r="BK84" s="312">
        <v>1583</v>
      </c>
      <c r="BL84" s="312"/>
      <c r="BM84" s="312"/>
      <c r="BN84" s="312"/>
      <c r="BO84" s="312" t="s">
        <v>9277</v>
      </c>
    </row>
    <row r="85" spans="1:67" hidden="1" outlineLevel="1">
      <c r="A85" s="312" t="s">
        <v>7954</v>
      </c>
      <c r="B85" s="312" t="s">
        <v>9369</v>
      </c>
      <c r="C85" s="312" t="s">
        <v>9351</v>
      </c>
      <c r="D85" s="312" t="s">
        <v>9266</v>
      </c>
      <c r="E85" s="312" t="s">
        <v>9267</v>
      </c>
      <c r="F85" s="312"/>
      <c r="G85" s="312"/>
      <c r="H85" s="312">
        <v>1705</v>
      </c>
      <c r="I85" s="312"/>
      <c r="J85" s="312"/>
      <c r="K85" s="312"/>
      <c r="L85" s="312"/>
      <c r="M85" s="312">
        <v>1705</v>
      </c>
      <c r="N85" s="312"/>
      <c r="O85" s="312"/>
      <c r="P85" s="312"/>
      <c r="Q85" s="312"/>
      <c r="R85" s="312">
        <v>1705</v>
      </c>
      <c r="S85" s="312"/>
      <c r="T85" s="312"/>
      <c r="U85" s="312"/>
      <c r="V85" s="312"/>
      <c r="W85" s="312">
        <v>1705</v>
      </c>
      <c r="X85" s="312"/>
      <c r="Y85" s="312"/>
      <c r="Z85" s="312"/>
      <c r="AA85" s="312"/>
      <c r="AB85" s="312">
        <v>1705</v>
      </c>
      <c r="AC85" s="312"/>
      <c r="AD85" s="312"/>
      <c r="AE85" s="312"/>
      <c r="AF85" s="312"/>
      <c r="AG85" s="312">
        <v>1705</v>
      </c>
      <c r="AH85" s="312"/>
      <c r="AI85" s="312"/>
      <c r="AJ85" s="312"/>
      <c r="AK85" s="312"/>
      <c r="AL85" s="312">
        <v>1705</v>
      </c>
      <c r="AM85" s="312"/>
      <c r="AN85" s="312"/>
      <c r="AO85" s="312"/>
      <c r="AP85" s="312"/>
      <c r="AQ85" s="312">
        <v>1705</v>
      </c>
      <c r="AR85" s="312"/>
      <c r="AS85" s="312"/>
      <c r="AT85" s="312"/>
      <c r="AU85" s="312"/>
      <c r="AV85" s="312">
        <v>1705</v>
      </c>
      <c r="AW85" s="312"/>
      <c r="AX85" s="312"/>
      <c r="AY85" s="312"/>
      <c r="AZ85" s="312"/>
      <c r="BA85" s="312">
        <v>1705</v>
      </c>
      <c r="BB85" s="312"/>
      <c r="BC85" s="312"/>
      <c r="BD85" s="312"/>
      <c r="BE85" s="312"/>
      <c r="BF85" s="312">
        <v>1705</v>
      </c>
      <c r="BG85" s="312"/>
      <c r="BH85" s="312"/>
      <c r="BI85" s="312"/>
      <c r="BJ85" s="312"/>
      <c r="BK85" s="312">
        <v>1705</v>
      </c>
      <c r="BL85" s="312"/>
      <c r="BM85" s="312"/>
      <c r="BN85" s="312"/>
      <c r="BO85" s="312" t="s">
        <v>9277</v>
      </c>
    </row>
    <row r="86" spans="1:67" hidden="1" outlineLevel="1">
      <c r="A86" s="312" t="s">
        <v>6303</v>
      </c>
      <c r="B86" s="312" t="s">
        <v>9370</v>
      </c>
      <c r="C86" s="312" t="s">
        <v>9351</v>
      </c>
      <c r="D86" s="312" t="s">
        <v>9266</v>
      </c>
      <c r="E86" s="312" t="s">
        <v>9267</v>
      </c>
      <c r="F86" s="312"/>
      <c r="G86" s="312"/>
      <c r="H86" s="312">
        <v>1738</v>
      </c>
      <c r="I86" s="312"/>
      <c r="J86" s="312"/>
      <c r="K86" s="312"/>
      <c r="L86" s="312"/>
      <c r="M86" s="312">
        <v>1738</v>
      </c>
      <c r="N86" s="312"/>
      <c r="O86" s="312"/>
      <c r="P86" s="312"/>
      <c r="Q86" s="312"/>
      <c r="R86" s="312">
        <v>1738</v>
      </c>
      <c r="S86" s="312"/>
      <c r="T86" s="312"/>
      <c r="U86" s="312"/>
      <c r="V86" s="312"/>
      <c r="W86" s="312">
        <v>1738</v>
      </c>
      <c r="X86" s="312"/>
      <c r="Y86" s="312"/>
      <c r="Z86" s="312"/>
      <c r="AA86" s="312"/>
      <c r="AB86" s="312">
        <v>1738</v>
      </c>
      <c r="AC86" s="312"/>
      <c r="AD86" s="312"/>
      <c r="AE86" s="312"/>
      <c r="AF86" s="312"/>
      <c r="AG86" s="312">
        <v>1738</v>
      </c>
      <c r="AH86" s="312"/>
      <c r="AI86" s="312"/>
      <c r="AJ86" s="312"/>
      <c r="AK86" s="312"/>
      <c r="AL86" s="312">
        <v>1738</v>
      </c>
      <c r="AM86" s="312"/>
      <c r="AN86" s="312"/>
      <c r="AO86" s="312"/>
      <c r="AP86" s="312"/>
      <c r="AQ86" s="312">
        <v>1738</v>
      </c>
      <c r="AR86" s="312"/>
      <c r="AS86" s="312"/>
      <c r="AT86" s="312"/>
      <c r="AU86" s="312"/>
      <c r="AV86" s="312">
        <v>1738</v>
      </c>
      <c r="AW86" s="312"/>
      <c r="AX86" s="312"/>
      <c r="AY86" s="312"/>
      <c r="AZ86" s="312"/>
      <c r="BA86" s="312">
        <v>1738</v>
      </c>
      <c r="BB86" s="312"/>
      <c r="BC86" s="312"/>
      <c r="BD86" s="312"/>
      <c r="BE86" s="312"/>
      <c r="BF86" s="312">
        <v>1738</v>
      </c>
      <c r="BG86" s="312"/>
      <c r="BH86" s="312"/>
      <c r="BI86" s="312"/>
      <c r="BJ86" s="312"/>
      <c r="BK86" s="312">
        <v>1738</v>
      </c>
      <c r="BL86" s="312"/>
      <c r="BM86" s="312"/>
      <c r="BN86" s="312"/>
      <c r="BO86" s="312" t="s">
        <v>9277</v>
      </c>
    </row>
    <row r="87" spans="1:67" hidden="1" outlineLevel="1">
      <c r="A87" s="312" t="s">
        <v>6342</v>
      </c>
      <c r="B87" s="312" t="s">
        <v>9371</v>
      </c>
      <c r="C87" s="312" t="s">
        <v>9351</v>
      </c>
      <c r="D87" s="312" t="s">
        <v>9266</v>
      </c>
      <c r="E87" s="312" t="s">
        <v>9267</v>
      </c>
      <c r="F87" s="312"/>
      <c r="G87" s="312"/>
      <c r="H87" s="312">
        <v>1761</v>
      </c>
      <c r="I87" s="312"/>
      <c r="J87" s="312"/>
      <c r="K87" s="312"/>
      <c r="L87" s="312"/>
      <c r="M87" s="312">
        <v>1761</v>
      </c>
      <c r="N87" s="312"/>
      <c r="O87" s="312"/>
      <c r="P87" s="312"/>
      <c r="Q87" s="312"/>
      <c r="R87" s="312">
        <v>1761</v>
      </c>
      <c r="S87" s="312"/>
      <c r="T87" s="312"/>
      <c r="U87" s="312"/>
      <c r="V87" s="312"/>
      <c r="W87" s="312">
        <v>1761</v>
      </c>
      <c r="X87" s="312"/>
      <c r="Y87" s="312"/>
      <c r="Z87" s="312"/>
      <c r="AA87" s="312"/>
      <c r="AB87" s="312">
        <v>1761</v>
      </c>
      <c r="AC87" s="312"/>
      <c r="AD87" s="312"/>
      <c r="AE87" s="312"/>
      <c r="AF87" s="312"/>
      <c r="AG87" s="312">
        <v>1761</v>
      </c>
      <c r="AH87" s="312"/>
      <c r="AI87" s="312"/>
      <c r="AJ87" s="312"/>
      <c r="AK87" s="312"/>
      <c r="AL87" s="312">
        <v>1761</v>
      </c>
      <c r="AM87" s="312"/>
      <c r="AN87" s="312"/>
      <c r="AO87" s="312"/>
      <c r="AP87" s="312"/>
      <c r="AQ87" s="312">
        <v>1761</v>
      </c>
      <c r="AR87" s="312"/>
      <c r="AS87" s="312"/>
      <c r="AT87" s="312"/>
      <c r="AU87" s="312"/>
      <c r="AV87" s="312">
        <v>1761</v>
      </c>
      <c r="AW87" s="312"/>
      <c r="AX87" s="312"/>
      <c r="AY87" s="312"/>
      <c r="AZ87" s="312"/>
      <c r="BA87" s="312">
        <v>1761</v>
      </c>
      <c r="BB87" s="312"/>
      <c r="BC87" s="312"/>
      <c r="BD87" s="312"/>
      <c r="BE87" s="312"/>
      <c r="BF87" s="312">
        <v>1761</v>
      </c>
      <c r="BG87" s="312"/>
      <c r="BH87" s="312"/>
      <c r="BI87" s="312"/>
      <c r="BJ87" s="312"/>
      <c r="BK87" s="312">
        <v>1761</v>
      </c>
      <c r="BL87" s="312"/>
      <c r="BM87" s="312"/>
      <c r="BN87" s="312"/>
      <c r="BO87" s="312" t="s">
        <v>9277</v>
      </c>
    </row>
    <row r="88" spans="1:67" hidden="1" outlineLevel="1">
      <c r="A88" s="312" t="s">
        <v>6724</v>
      </c>
      <c r="B88" s="312" t="s">
        <v>9372</v>
      </c>
      <c r="C88" s="312" t="s">
        <v>9351</v>
      </c>
      <c r="D88" s="312" t="s">
        <v>9266</v>
      </c>
      <c r="E88" s="312" t="s">
        <v>9267</v>
      </c>
      <c r="F88" s="312"/>
      <c r="G88" s="312"/>
      <c r="H88" s="312">
        <v>1784</v>
      </c>
      <c r="I88" s="312"/>
      <c r="J88" s="312"/>
      <c r="K88" s="312"/>
      <c r="L88" s="312"/>
      <c r="M88" s="312">
        <v>1784</v>
      </c>
      <c r="N88" s="312"/>
      <c r="O88" s="312"/>
      <c r="P88" s="312"/>
      <c r="Q88" s="312"/>
      <c r="R88" s="312">
        <v>1784</v>
      </c>
      <c r="S88" s="312"/>
      <c r="T88" s="312"/>
      <c r="U88" s="312"/>
      <c r="V88" s="312"/>
      <c r="W88" s="312">
        <v>1784</v>
      </c>
      <c r="X88" s="312"/>
      <c r="Y88" s="312"/>
      <c r="Z88" s="312"/>
      <c r="AA88" s="312"/>
      <c r="AB88" s="312">
        <v>1784</v>
      </c>
      <c r="AC88" s="312"/>
      <c r="AD88" s="312"/>
      <c r="AE88" s="312"/>
      <c r="AF88" s="312"/>
      <c r="AG88" s="312">
        <v>1784</v>
      </c>
      <c r="AH88" s="312"/>
      <c r="AI88" s="312"/>
      <c r="AJ88" s="312"/>
      <c r="AK88" s="312"/>
      <c r="AL88" s="312">
        <v>1784</v>
      </c>
      <c r="AM88" s="312"/>
      <c r="AN88" s="312"/>
      <c r="AO88" s="312"/>
      <c r="AP88" s="312"/>
      <c r="AQ88" s="312">
        <v>1784</v>
      </c>
      <c r="AR88" s="312"/>
      <c r="AS88" s="312"/>
      <c r="AT88" s="312"/>
      <c r="AU88" s="312"/>
      <c r="AV88" s="312">
        <v>1784</v>
      </c>
      <c r="AW88" s="312"/>
      <c r="AX88" s="312"/>
      <c r="AY88" s="312"/>
      <c r="AZ88" s="312"/>
      <c r="BA88" s="312">
        <v>1784</v>
      </c>
      <c r="BB88" s="312"/>
      <c r="BC88" s="312"/>
      <c r="BD88" s="312"/>
      <c r="BE88" s="312"/>
      <c r="BF88" s="312">
        <v>1784</v>
      </c>
      <c r="BG88" s="312"/>
      <c r="BH88" s="312"/>
      <c r="BI88" s="312"/>
      <c r="BJ88" s="312"/>
      <c r="BK88" s="312">
        <v>1784</v>
      </c>
      <c r="BL88" s="312"/>
      <c r="BM88" s="312"/>
      <c r="BN88" s="312"/>
      <c r="BO88" s="312" t="s">
        <v>9277</v>
      </c>
    </row>
    <row r="89" spans="1:67" hidden="1" outlineLevel="1">
      <c r="A89" s="312" t="s">
        <v>7377</v>
      </c>
      <c r="B89" s="312" t="s">
        <v>9373</v>
      </c>
      <c r="C89" s="312" t="s">
        <v>9351</v>
      </c>
      <c r="D89" s="312" t="s">
        <v>9266</v>
      </c>
      <c r="E89" s="312" t="s">
        <v>9267</v>
      </c>
      <c r="F89" s="312"/>
      <c r="G89" s="312"/>
      <c r="H89" s="312">
        <v>1976</v>
      </c>
      <c r="I89" s="312"/>
      <c r="J89" s="312"/>
      <c r="K89" s="312"/>
      <c r="L89" s="312"/>
      <c r="M89" s="312">
        <v>1976</v>
      </c>
      <c r="N89" s="312"/>
      <c r="O89" s="312"/>
      <c r="P89" s="312"/>
      <c r="Q89" s="312"/>
      <c r="R89" s="312">
        <v>1976</v>
      </c>
      <c r="S89" s="312"/>
      <c r="T89" s="312"/>
      <c r="U89" s="312"/>
      <c r="V89" s="312"/>
      <c r="W89" s="312">
        <v>1976</v>
      </c>
      <c r="X89" s="312"/>
      <c r="Y89" s="312"/>
      <c r="Z89" s="312"/>
      <c r="AA89" s="312"/>
      <c r="AB89" s="312">
        <v>1976</v>
      </c>
      <c r="AC89" s="312"/>
      <c r="AD89" s="312"/>
      <c r="AE89" s="312"/>
      <c r="AF89" s="312"/>
      <c r="AG89" s="312">
        <v>1976</v>
      </c>
      <c r="AH89" s="312"/>
      <c r="AI89" s="312"/>
      <c r="AJ89" s="312"/>
      <c r="AK89" s="312"/>
      <c r="AL89" s="312">
        <v>1976</v>
      </c>
      <c r="AM89" s="312"/>
      <c r="AN89" s="312"/>
      <c r="AO89" s="312"/>
      <c r="AP89" s="312"/>
      <c r="AQ89" s="312">
        <v>1976</v>
      </c>
      <c r="AR89" s="312"/>
      <c r="AS89" s="312"/>
      <c r="AT89" s="312"/>
      <c r="AU89" s="312"/>
      <c r="AV89" s="312">
        <v>1976</v>
      </c>
      <c r="AW89" s="312"/>
      <c r="AX89" s="312"/>
      <c r="AY89" s="312"/>
      <c r="AZ89" s="312"/>
      <c r="BA89" s="312">
        <v>1976</v>
      </c>
      <c r="BB89" s="312"/>
      <c r="BC89" s="312"/>
      <c r="BD89" s="312"/>
      <c r="BE89" s="312"/>
      <c r="BF89" s="312">
        <v>1976</v>
      </c>
      <c r="BG89" s="312"/>
      <c r="BH89" s="312"/>
      <c r="BI89" s="312"/>
      <c r="BJ89" s="312"/>
      <c r="BK89" s="312">
        <v>1976</v>
      </c>
      <c r="BL89" s="312"/>
      <c r="BM89" s="312"/>
      <c r="BN89" s="312"/>
      <c r="BO89" s="312" t="s">
        <v>9374</v>
      </c>
    </row>
    <row r="90" spans="1:67" hidden="1" outlineLevel="1">
      <c r="A90" s="312" t="s">
        <v>7045</v>
      </c>
      <c r="B90" s="312" t="s">
        <v>9375</v>
      </c>
      <c r="C90" s="312" t="s">
        <v>9351</v>
      </c>
      <c r="D90" s="312" t="s">
        <v>9266</v>
      </c>
      <c r="E90" s="312" t="s">
        <v>9267</v>
      </c>
      <c r="F90" s="312"/>
      <c r="G90" s="312"/>
      <c r="H90" s="312">
        <v>1996</v>
      </c>
      <c r="I90" s="312"/>
      <c r="J90" s="312"/>
      <c r="K90" s="312"/>
      <c r="L90" s="312"/>
      <c r="M90" s="312">
        <v>1996</v>
      </c>
      <c r="N90" s="312"/>
      <c r="O90" s="312"/>
      <c r="P90" s="312"/>
      <c r="Q90" s="312"/>
      <c r="R90" s="312">
        <v>1996</v>
      </c>
      <c r="S90" s="312"/>
      <c r="T90" s="312"/>
      <c r="U90" s="312"/>
      <c r="V90" s="312"/>
      <c r="W90" s="312">
        <v>1996</v>
      </c>
      <c r="X90" s="312"/>
      <c r="Y90" s="312"/>
      <c r="Z90" s="312"/>
      <c r="AA90" s="312"/>
      <c r="AB90" s="312">
        <v>1996</v>
      </c>
      <c r="AC90" s="312"/>
      <c r="AD90" s="312"/>
      <c r="AE90" s="312"/>
      <c r="AF90" s="312"/>
      <c r="AG90" s="312">
        <v>1996</v>
      </c>
      <c r="AH90" s="312"/>
      <c r="AI90" s="312"/>
      <c r="AJ90" s="312"/>
      <c r="AK90" s="312"/>
      <c r="AL90" s="312">
        <v>1996</v>
      </c>
      <c r="AM90" s="312"/>
      <c r="AN90" s="312"/>
      <c r="AO90" s="312"/>
      <c r="AP90" s="312"/>
      <c r="AQ90" s="312">
        <v>1996</v>
      </c>
      <c r="AR90" s="312"/>
      <c r="AS90" s="312"/>
      <c r="AT90" s="312"/>
      <c r="AU90" s="312"/>
      <c r="AV90" s="312">
        <v>1996</v>
      </c>
      <c r="AW90" s="312"/>
      <c r="AX90" s="312"/>
      <c r="AY90" s="312"/>
      <c r="AZ90" s="312"/>
      <c r="BA90" s="312">
        <v>1996</v>
      </c>
      <c r="BB90" s="312"/>
      <c r="BC90" s="312"/>
      <c r="BD90" s="312"/>
      <c r="BE90" s="312"/>
      <c r="BF90" s="312">
        <v>1996</v>
      </c>
      <c r="BG90" s="312"/>
      <c r="BH90" s="312"/>
      <c r="BI90" s="312"/>
      <c r="BJ90" s="312"/>
      <c r="BK90" s="312">
        <v>1996</v>
      </c>
      <c r="BL90" s="312"/>
      <c r="BM90" s="312"/>
      <c r="BN90" s="312"/>
      <c r="BO90" s="312" t="s">
        <v>9374</v>
      </c>
    </row>
    <row r="91" spans="1:67" hidden="1" outlineLevel="1">
      <c r="A91" s="312" t="s">
        <v>9376</v>
      </c>
      <c r="B91" s="312" t="s">
        <v>9377</v>
      </c>
      <c r="C91" s="312" t="s">
        <v>9351</v>
      </c>
      <c r="D91" s="312" t="s">
        <v>9266</v>
      </c>
      <c r="E91" s="312" t="s">
        <v>9267</v>
      </c>
      <c r="F91" s="312"/>
      <c r="G91" s="312"/>
      <c r="H91" s="312">
        <v>2044</v>
      </c>
      <c r="I91" s="312"/>
      <c r="J91" s="312"/>
      <c r="K91" s="312"/>
      <c r="L91" s="312"/>
      <c r="M91" s="312">
        <v>2044</v>
      </c>
      <c r="N91" s="312"/>
      <c r="O91" s="312"/>
      <c r="P91" s="312"/>
      <c r="Q91" s="312"/>
      <c r="R91" s="312">
        <v>2044</v>
      </c>
      <c r="S91" s="312"/>
      <c r="T91" s="312"/>
      <c r="U91" s="312"/>
      <c r="V91" s="312"/>
      <c r="W91" s="312">
        <v>2044</v>
      </c>
      <c r="X91" s="312"/>
      <c r="Y91" s="312"/>
      <c r="Z91" s="312"/>
      <c r="AA91" s="312"/>
      <c r="AB91" s="312">
        <v>2044</v>
      </c>
      <c r="AC91" s="312"/>
      <c r="AD91" s="312"/>
      <c r="AE91" s="312"/>
      <c r="AF91" s="312"/>
      <c r="AG91" s="312">
        <v>2044</v>
      </c>
      <c r="AH91" s="312"/>
      <c r="AI91" s="312"/>
      <c r="AJ91" s="312"/>
      <c r="AK91" s="312"/>
      <c r="AL91" s="312">
        <v>2044</v>
      </c>
      <c r="AM91" s="312"/>
      <c r="AN91" s="312"/>
      <c r="AO91" s="312"/>
      <c r="AP91" s="312"/>
      <c r="AQ91" s="312">
        <v>2044</v>
      </c>
      <c r="AR91" s="312"/>
      <c r="AS91" s="312"/>
      <c r="AT91" s="312"/>
      <c r="AU91" s="312"/>
      <c r="AV91" s="312">
        <v>2044</v>
      </c>
      <c r="AW91" s="312"/>
      <c r="AX91" s="312"/>
      <c r="AY91" s="312"/>
      <c r="AZ91" s="312"/>
      <c r="BA91" s="312">
        <v>2044</v>
      </c>
      <c r="BB91" s="312"/>
      <c r="BC91" s="312"/>
      <c r="BD91" s="312"/>
      <c r="BE91" s="312"/>
      <c r="BF91" s="312">
        <v>2044</v>
      </c>
      <c r="BG91" s="312"/>
      <c r="BH91" s="312"/>
      <c r="BI91" s="312"/>
      <c r="BJ91" s="312"/>
      <c r="BK91" s="312">
        <v>2044</v>
      </c>
      <c r="BL91" s="312"/>
      <c r="BM91" s="312"/>
      <c r="BN91" s="312"/>
      <c r="BO91" s="312" t="s">
        <v>9374</v>
      </c>
    </row>
    <row r="92" spans="1:67" hidden="1" outlineLevel="1">
      <c r="A92" s="312" t="s">
        <v>6951</v>
      </c>
      <c r="B92" s="312" t="s">
        <v>9378</v>
      </c>
      <c r="C92" s="312" t="s">
        <v>9351</v>
      </c>
      <c r="D92" s="312" t="s">
        <v>9266</v>
      </c>
      <c r="E92" s="312" t="s">
        <v>9267</v>
      </c>
      <c r="F92" s="312"/>
      <c r="G92" s="312"/>
      <c r="H92" s="312">
        <v>2051</v>
      </c>
      <c r="I92" s="312"/>
      <c r="J92" s="312"/>
      <c r="K92" s="312"/>
      <c r="L92" s="312"/>
      <c r="M92" s="312">
        <v>2051</v>
      </c>
      <c r="N92" s="312"/>
      <c r="O92" s="312"/>
      <c r="P92" s="312"/>
      <c r="Q92" s="312"/>
      <c r="R92" s="312">
        <v>2051</v>
      </c>
      <c r="S92" s="312"/>
      <c r="T92" s="312"/>
      <c r="U92" s="312"/>
      <c r="V92" s="312"/>
      <c r="W92" s="312">
        <v>2051</v>
      </c>
      <c r="X92" s="312"/>
      <c r="Y92" s="312"/>
      <c r="Z92" s="312"/>
      <c r="AA92" s="312"/>
      <c r="AB92" s="312">
        <v>2051</v>
      </c>
      <c r="AC92" s="312"/>
      <c r="AD92" s="312"/>
      <c r="AE92" s="312"/>
      <c r="AF92" s="312"/>
      <c r="AG92" s="312">
        <v>2051</v>
      </c>
      <c r="AH92" s="312"/>
      <c r="AI92" s="312"/>
      <c r="AJ92" s="312"/>
      <c r="AK92" s="312"/>
      <c r="AL92" s="312">
        <v>2051</v>
      </c>
      <c r="AM92" s="312"/>
      <c r="AN92" s="312"/>
      <c r="AO92" s="312"/>
      <c r="AP92" s="312"/>
      <c r="AQ92" s="312">
        <v>2051</v>
      </c>
      <c r="AR92" s="312"/>
      <c r="AS92" s="312"/>
      <c r="AT92" s="312"/>
      <c r="AU92" s="312"/>
      <c r="AV92" s="312">
        <v>2051</v>
      </c>
      <c r="AW92" s="312"/>
      <c r="AX92" s="312"/>
      <c r="AY92" s="312"/>
      <c r="AZ92" s="312"/>
      <c r="BA92" s="312">
        <v>2051</v>
      </c>
      <c r="BB92" s="312"/>
      <c r="BC92" s="312"/>
      <c r="BD92" s="312"/>
      <c r="BE92" s="312"/>
      <c r="BF92" s="312">
        <v>2051</v>
      </c>
      <c r="BG92" s="312"/>
      <c r="BH92" s="312"/>
      <c r="BI92" s="312"/>
      <c r="BJ92" s="312"/>
      <c r="BK92" s="312">
        <v>2051</v>
      </c>
      <c r="BL92" s="312"/>
      <c r="BM92" s="312"/>
      <c r="BN92" s="312"/>
      <c r="BO92" s="312" t="s">
        <v>9374</v>
      </c>
    </row>
    <row r="93" spans="1:67" hidden="1" outlineLevel="1">
      <c r="A93" s="312" t="s">
        <v>7491</v>
      </c>
      <c r="B93" s="312" t="s">
        <v>9379</v>
      </c>
      <c r="C93" s="312" t="s">
        <v>9351</v>
      </c>
      <c r="D93" s="312" t="s">
        <v>9266</v>
      </c>
      <c r="E93" s="312" t="s">
        <v>9267</v>
      </c>
      <c r="F93" s="312"/>
      <c r="G93" s="312"/>
      <c r="H93" s="312">
        <v>2054</v>
      </c>
      <c r="I93" s="312"/>
      <c r="J93" s="312"/>
      <c r="K93" s="312"/>
      <c r="L93" s="312"/>
      <c r="M93" s="312">
        <v>2054</v>
      </c>
      <c r="N93" s="312"/>
      <c r="O93" s="312"/>
      <c r="P93" s="312"/>
      <c r="Q93" s="312"/>
      <c r="R93" s="312">
        <v>2054</v>
      </c>
      <c r="S93" s="312"/>
      <c r="T93" s="312"/>
      <c r="U93" s="312"/>
      <c r="V93" s="312"/>
      <c r="W93" s="312">
        <v>2054</v>
      </c>
      <c r="X93" s="312"/>
      <c r="Y93" s="312"/>
      <c r="Z93" s="312"/>
      <c r="AA93" s="312"/>
      <c r="AB93" s="312">
        <v>2054</v>
      </c>
      <c r="AC93" s="312"/>
      <c r="AD93" s="312"/>
      <c r="AE93" s="312"/>
      <c r="AF93" s="312"/>
      <c r="AG93" s="312">
        <v>2054</v>
      </c>
      <c r="AH93" s="312"/>
      <c r="AI93" s="312"/>
      <c r="AJ93" s="312"/>
      <c r="AK93" s="312"/>
      <c r="AL93" s="312">
        <v>2054</v>
      </c>
      <c r="AM93" s="312"/>
      <c r="AN93" s="312"/>
      <c r="AO93" s="312"/>
      <c r="AP93" s="312"/>
      <c r="AQ93" s="312">
        <v>2054</v>
      </c>
      <c r="AR93" s="312"/>
      <c r="AS93" s="312"/>
      <c r="AT93" s="312"/>
      <c r="AU93" s="312"/>
      <c r="AV93" s="312">
        <v>2054</v>
      </c>
      <c r="AW93" s="312"/>
      <c r="AX93" s="312"/>
      <c r="AY93" s="312"/>
      <c r="AZ93" s="312"/>
      <c r="BA93" s="312">
        <v>2054</v>
      </c>
      <c r="BB93" s="312"/>
      <c r="BC93" s="312"/>
      <c r="BD93" s="312"/>
      <c r="BE93" s="312"/>
      <c r="BF93" s="312">
        <v>2054</v>
      </c>
      <c r="BG93" s="312"/>
      <c r="BH93" s="312"/>
      <c r="BI93" s="312"/>
      <c r="BJ93" s="312"/>
      <c r="BK93" s="312">
        <v>2054</v>
      </c>
      <c r="BL93" s="312"/>
      <c r="BM93" s="312"/>
      <c r="BN93" s="312"/>
      <c r="BO93" s="312" t="s">
        <v>9374</v>
      </c>
    </row>
    <row r="94" spans="1:67" hidden="1" outlineLevel="1">
      <c r="A94" s="312" t="s">
        <v>7886</v>
      </c>
      <c r="B94" s="312" t="s">
        <v>9380</v>
      </c>
      <c r="C94" s="312" t="s">
        <v>9351</v>
      </c>
      <c r="D94" s="312" t="s">
        <v>9266</v>
      </c>
      <c r="E94" s="312" t="s">
        <v>9267</v>
      </c>
      <c r="F94" s="312"/>
      <c r="G94" s="312"/>
      <c r="H94" s="312">
        <v>2083</v>
      </c>
      <c r="I94" s="312"/>
      <c r="J94" s="312"/>
      <c r="K94" s="312"/>
      <c r="L94" s="312"/>
      <c r="M94" s="312">
        <v>2083</v>
      </c>
      <c r="N94" s="312"/>
      <c r="O94" s="312"/>
      <c r="P94" s="312"/>
      <c r="Q94" s="312"/>
      <c r="R94" s="312">
        <v>2083</v>
      </c>
      <c r="S94" s="312"/>
      <c r="T94" s="312"/>
      <c r="U94" s="312"/>
      <c r="V94" s="312"/>
      <c r="W94" s="312">
        <v>2083</v>
      </c>
      <c r="X94" s="312"/>
      <c r="Y94" s="312"/>
      <c r="Z94" s="312"/>
      <c r="AA94" s="312"/>
      <c r="AB94" s="312">
        <v>2083</v>
      </c>
      <c r="AC94" s="312"/>
      <c r="AD94" s="312"/>
      <c r="AE94" s="312"/>
      <c r="AF94" s="312"/>
      <c r="AG94" s="312">
        <v>2083</v>
      </c>
      <c r="AH94" s="312"/>
      <c r="AI94" s="312"/>
      <c r="AJ94" s="312"/>
      <c r="AK94" s="312"/>
      <c r="AL94" s="312">
        <v>2083</v>
      </c>
      <c r="AM94" s="312"/>
      <c r="AN94" s="312"/>
      <c r="AO94" s="312"/>
      <c r="AP94" s="312"/>
      <c r="AQ94" s="312">
        <v>2083</v>
      </c>
      <c r="AR94" s="312"/>
      <c r="AS94" s="312"/>
      <c r="AT94" s="312"/>
      <c r="AU94" s="312"/>
      <c r="AV94" s="312">
        <v>2083</v>
      </c>
      <c r="AW94" s="312"/>
      <c r="AX94" s="312"/>
      <c r="AY94" s="312"/>
      <c r="AZ94" s="312"/>
      <c r="BA94" s="312">
        <v>2083</v>
      </c>
      <c r="BB94" s="312"/>
      <c r="BC94" s="312"/>
      <c r="BD94" s="312"/>
      <c r="BE94" s="312"/>
      <c r="BF94" s="312">
        <v>2083</v>
      </c>
      <c r="BG94" s="312"/>
      <c r="BH94" s="312"/>
      <c r="BI94" s="312"/>
      <c r="BJ94" s="312"/>
      <c r="BK94" s="312">
        <v>2083</v>
      </c>
      <c r="BL94" s="312"/>
      <c r="BM94" s="312"/>
      <c r="BN94" s="312"/>
      <c r="BO94" s="312" t="s">
        <v>9374</v>
      </c>
    </row>
    <row r="95" spans="1:67" hidden="1" outlineLevel="1">
      <c r="A95" s="312" t="s">
        <v>7561</v>
      </c>
      <c r="B95" s="312" t="s">
        <v>9381</v>
      </c>
      <c r="C95" s="312" t="s">
        <v>9351</v>
      </c>
      <c r="D95" s="312" t="s">
        <v>9266</v>
      </c>
      <c r="E95" s="312" t="s">
        <v>9267</v>
      </c>
      <c r="F95" s="312"/>
      <c r="G95" s="312"/>
      <c r="H95" s="312">
        <v>2200</v>
      </c>
      <c r="I95" s="312"/>
      <c r="J95" s="312"/>
      <c r="K95" s="312"/>
      <c r="L95" s="312"/>
      <c r="M95" s="312">
        <v>2200</v>
      </c>
      <c r="N95" s="312"/>
      <c r="O95" s="312"/>
      <c r="P95" s="312"/>
      <c r="Q95" s="312"/>
      <c r="R95" s="312">
        <v>2200</v>
      </c>
      <c r="S95" s="312"/>
      <c r="T95" s="312"/>
      <c r="U95" s="312"/>
      <c r="V95" s="312"/>
      <c r="W95" s="312">
        <v>2200</v>
      </c>
      <c r="X95" s="312"/>
      <c r="Y95" s="312"/>
      <c r="Z95" s="312"/>
      <c r="AA95" s="312"/>
      <c r="AB95" s="312">
        <v>2200</v>
      </c>
      <c r="AC95" s="312"/>
      <c r="AD95" s="312"/>
      <c r="AE95" s="312"/>
      <c r="AF95" s="312"/>
      <c r="AG95" s="312">
        <v>2200</v>
      </c>
      <c r="AH95" s="312"/>
      <c r="AI95" s="312"/>
      <c r="AJ95" s="312"/>
      <c r="AK95" s="312"/>
      <c r="AL95" s="312">
        <v>2200</v>
      </c>
      <c r="AM95" s="312"/>
      <c r="AN95" s="312"/>
      <c r="AO95" s="312"/>
      <c r="AP95" s="312"/>
      <c r="AQ95" s="312">
        <v>2200</v>
      </c>
      <c r="AR95" s="312"/>
      <c r="AS95" s="312"/>
      <c r="AT95" s="312"/>
      <c r="AU95" s="312"/>
      <c r="AV95" s="312">
        <v>2200</v>
      </c>
      <c r="AW95" s="312"/>
      <c r="AX95" s="312"/>
      <c r="AY95" s="312"/>
      <c r="AZ95" s="312"/>
      <c r="BA95" s="312">
        <v>2200</v>
      </c>
      <c r="BB95" s="312"/>
      <c r="BC95" s="312"/>
      <c r="BD95" s="312"/>
      <c r="BE95" s="312"/>
      <c r="BF95" s="312">
        <v>2200</v>
      </c>
      <c r="BG95" s="312"/>
      <c r="BH95" s="312"/>
      <c r="BI95" s="312"/>
      <c r="BJ95" s="312"/>
      <c r="BK95" s="312">
        <v>2200</v>
      </c>
      <c r="BL95" s="312"/>
      <c r="BM95" s="312"/>
      <c r="BN95" s="312"/>
      <c r="BO95" s="312" t="s">
        <v>9374</v>
      </c>
    </row>
    <row r="96" spans="1:67" hidden="1" outlineLevel="1">
      <c r="A96" s="312" t="s">
        <v>6897</v>
      </c>
      <c r="B96" s="312" t="s">
        <v>9382</v>
      </c>
      <c r="C96" s="312" t="s">
        <v>9351</v>
      </c>
      <c r="D96" s="312" t="s">
        <v>9266</v>
      </c>
      <c r="E96" s="312" t="s">
        <v>9267</v>
      </c>
      <c r="F96" s="312"/>
      <c r="G96" s="312"/>
      <c r="H96" s="312">
        <v>2274</v>
      </c>
      <c r="I96" s="312"/>
      <c r="J96" s="312"/>
      <c r="K96" s="312"/>
      <c r="L96" s="312"/>
      <c r="M96" s="312">
        <v>2274</v>
      </c>
      <c r="N96" s="312"/>
      <c r="O96" s="312"/>
      <c r="P96" s="312"/>
      <c r="Q96" s="312"/>
      <c r="R96" s="312">
        <v>2274</v>
      </c>
      <c r="S96" s="312"/>
      <c r="T96" s="312"/>
      <c r="U96" s="312"/>
      <c r="V96" s="312"/>
      <c r="W96" s="312">
        <v>2274</v>
      </c>
      <c r="X96" s="312"/>
      <c r="Y96" s="312"/>
      <c r="Z96" s="312"/>
      <c r="AA96" s="312"/>
      <c r="AB96" s="312">
        <v>2274</v>
      </c>
      <c r="AC96" s="312"/>
      <c r="AD96" s="312"/>
      <c r="AE96" s="312"/>
      <c r="AF96" s="312"/>
      <c r="AG96" s="312">
        <v>2274</v>
      </c>
      <c r="AH96" s="312"/>
      <c r="AI96" s="312"/>
      <c r="AJ96" s="312"/>
      <c r="AK96" s="312"/>
      <c r="AL96" s="312">
        <v>2274</v>
      </c>
      <c r="AM96" s="312"/>
      <c r="AN96" s="312"/>
      <c r="AO96" s="312"/>
      <c r="AP96" s="312"/>
      <c r="AQ96" s="312">
        <v>2274</v>
      </c>
      <c r="AR96" s="312"/>
      <c r="AS96" s="312"/>
      <c r="AT96" s="312"/>
      <c r="AU96" s="312"/>
      <c r="AV96" s="312">
        <v>2274</v>
      </c>
      <c r="AW96" s="312"/>
      <c r="AX96" s="312"/>
      <c r="AY96" s="312"/>
      <c r="AZ96" s="312"/>
      <c r="BA96" s="312">
        <v>2274</v>
      </c>
      <c r="BB96" s="312"/>
      <c r="BC96" s="312"/>
      <c r="BD96" s="312"/>
      <c r="BE96" s="312"/>
      <c r="BF96" s="312">
        <v>2274</v>
      </c>
      <c r="BG96" s="312"/>
      <c r="BH96" s="312"/>
      <c r="BI96" s="312"/>
      <c r="BJ96" s="312"/>
      <c r="BK96" s="312">
        <v>2274</v>
      </c>
      <c r="BL96" s="312"/>
      <c r="BM96" s="312"/>
      <c r="BN96" s="312"/>
      <c r="BO96" s="312" t="s">
        <v>9374</v>
      </c>
    </row>
    <row r="97" spans="1:67" hidden="1" outlineLevel="1">
      <c r="A97" s="312" t="s">
        <v>7654</v>
      </c>
      <c r="B97" s="312" t="s">
        <v>9383</v>
      </c>
      <c r="C97" s="312" t="s">
        <v>9351</v>
      </c>
      <c r="D97" s="312" t="s">
        <v>9266</v>
      </c>
      <c r="E97" s="312" t="s">
        <v>9267</v>
      </c>
      <c r="F97" s="312"/>
      <c r="G97" s="312"/>
      <c r="H97" s="312">
        <v>2280</v>
      </c>
      <c r="I97" s="312"/>
      <c r="J97" s="312"/>
      <c r="K97" s="312"/>
      <c r="L97" s="312"/>
      <c r="M97" s="312">
        <v>2280</v>
      </c>
      <c r="N97" s="312"/>
      <c r="O97" s="312"/>
      <c r="P97" s="312"/>
      <c r="Q97" s="312"/>
      <c r="R97" s="312">
        <v>2280</v>
      </c>
      <c r="S97" s="312"/>
      <c r="T97" s="312"/>
      <c r="U97" s="312"/>
      <c r="V97" s="312"/>
      <c r="W97" s="312">
        <v>2280</v>
      </c>
      <c r="X97" s="312"/>
      <c r="Y97" s="312"/>
      <c r="Z97" s="312"/>
      <c r="AA97" s="312"/>
      <c r="AB97" s="312">
        <v>2280</v>
      </c>
      <c r="AC97" s="312"/>
      <c r="AD97" s="312"/>
      <c r="AE97" s="312"/>
      <c r="AF97" s="312"/>
      <c r="AG97" s="312">
        <v>2280</v>
      </c>
      <c r="AH97" s="312"/>
      <c r="AI97" s="312"/>
      <c r="AJ97" s="312"/>
      <c r="AK97" s="312"/>
      <c r="AL97" s="312">
        <v>2280</v>
      </c>
      <c r="AM97" s="312"/>
      <c r="AN97" s="312"/>
      <c r="AO97" s="312"/>
      <c r="AP97" s="312"/>
      <c r="AQ97" s="312">
        <v>2280</v>
      </c>
      <c r="AR97" s="312"/>
      <c r="AS97" s="312"/>
      <c r="AT97" s="312"/>
      <c r="AU97" s="312"/>
      <c r="AV97" s="312">
        <v>2280</v>
      </c>
      <c r="AW97" s="312"/>
      <c r="AX97" s="312"/>
      <c r="AY97" s="312"/>
      <c r="AZ97" s="312"/>
      <c r="BA97" s="312">
        <v>2280</v>
      </c>
      <c r="BB97" s="312"/>
      <c r="BC97" s="312"/>
      <c r="BD97" s="312"/>
      <c r="BE97" s="312"/>
      <c r="BF97" s="312">
        <v>2280</v>
      </c>
      <c r="BG97" s="312"/>
      <c r="BH97" s="312"/>
      <c r="BI97" s="312"/>
      <c r="BJ97" s="312"/>
      <c r="BK97" s="312">
        <v>2280</v>
      </c>
      <c r="BL97" s="312"/>
      <c r="BM97" s="312"/>
      <c r="BN97" s="312"/>
      <c r="BO97" s="312" t="s">
        <v>9374</v>
      </c>
    </row>
    <row r="98" spans="1:67" hidden="1" outlineLevel="1">
      <c r="A98" s="312" t="s">
        <v>9384</v>
      </c>
      <c r="B98" s="312" t="s">
        <v>9385</v>
      </c>
      <c r="C98" s="312" t="s">
        <v>9351</v>
      </c>
      <c r="D98" s="312" t="s">
        <v>9266</v>
      </c>
      <c r="E98" s="312" t="s">
        <v>9267</v>
      </c>
      <c r="F98" s="312"/>
      <c r="G98" s="312"/>
      <c r="H98" s="312">
        <v>2301</v>
      </c>
      <c r="I98" s="312"/>
      <c r="J98" s="312"/>
      <c r="K98" s="312"/>
      <c r="L98" s="312"/>
      <c r="M98" s="312">
        <v>2301</v>
      </c>
      <c r="N98" s="312"/>
      <c r="O98" s="312"/>
      <c r="P98" s="312"/>
      <c r="Q98" s="312"/>
      <c r="R98" s="312">
        <v>2301</v>
      </c>
      <c r="S98" s="312"/>
      <c r="T98" s="312"/>
      <c r="U98" s="312"/>
      <c r="V98" s="312"/>
      <c r="W98" s="312">
        <v>2301</v>
      </c>
      <c r="X98" s="312"/>
      <c r="Y98" s="312"/>
      <c r="Z98" s="312"/>
      <c r="AA98" s="312"/>
      <c r="AB98" s="312">
        <v>2301</v>
      </c>
      <c r="AC98" s="312"/>
      <c r="AD98" s="312"/>
      <c r="AE98" s="312"/>
      <c r="AF98" s="312"/>
      <c r="AG98" s="312">
        <v>2301</v>
      </c>
      <c r="AH98" s="312"/>
      <c r="AI98" s="312"/>
      <c r="AJ98" s="312"/>
      <c r="AK98" s="312"/>
      <c r="AL98" s="312">
        <v>2301</v>
      </c>
      <c r="AM98" s="312"/>
      <c r="AN98" s="312"/>
      <c r="AO98" s="312"/>
      <c r="AP98" s="312"/>
      <c r="AQ98" s="312">
        <v>2301</v>
      </c>
      <c r="AR98" s="312"/>
      <c r="AS98" s="312"/>
      <c r="AT98" s="312"/>
      <c r="AU98" s="312"/>
      <c r="AV98" s="312">
        <v>2301</v>
      </c>
      <c r="AW98" s="312"/>
      <c r="AX98" s="312"/>
      <c r="AY98" s="312"/>
      <c r="AZ98" s="312"/>
      <c r="BA98" s="312">
        <v>2301</v>
      </c>
      <c r="BB98" s="312"/>
      <c r="BC98" s="312"/>
      <c r="BD98" s="312"/>
      <c r="BE98" s="312"/>
      <c r="BF98" s="312">
        <v>2301</v>
      </c>
      <c r="BG98" s="312"/>
      <c r="BH98" s="312"/>
      <c r="BI98" s="312"/>
      <c r="BJ98" s="312"/>
      <c r="BK98" s="312">
        <v>2301</v>
      </c>
      <c r="BL98" s="312"/>
      <c r="BM98" s="312"/>
      <c r="BN98" s="312"/>
      <c r="BO98" s="312" t="s">
        <v>9374</v>
      </c>
    </row>
    <row r="99" spans="1:67" hidden="1" outlineLevel="1">
      <c r="A99" s="312" t="s">
        <v>7978</v>
      </c>
      <c r="B99" s="312" t="s">
        <v>9386</v>
      </c>
      <c r="C99" s="312" t="s">
        <v>9351</v>
      </c>
      <c r="D99" s="312" t="s">
        <v>9266</v>
      </c>
      <c r="E99" s="312" t="s">
        <v>9267</v>
      </c>
      <c r="F99" s="312"/>
      <c r="G99" s="312"/>
      <c r="H99" s="312">
        <v>2331</v>
      </c>
      <c r="I99" s="312"/>
      <c r="J99" s="312"/>
      <c r="K99" s="312"/>
      <c r="L99" s="312"/>
      <c r="M99" s="312">
        <v>2331</v>
      </c>
      <c r="N99" s="312"/>
      <c r="O99" s="312"/>
      <c r="P99" s="312"/>
      <c r="Q99" s="312"/>
      <c r="R99" s="312">
        <v>2331</v>
      </c>
      <c r="S99" s="312"/>
      <c r="T99" s="312"/>
      <c r="U99" s="312"/>
      <c r="V99" s="312"/>
      <c r="W99" s="312">
        <v>2331</v>
      </c>
      <c r="X99" s="312"/>
      <c r="Y99" s="312"/>
      <c r="Z99" s="312"/>
      <c r="AA99" s="312"/>
      <c r="AB99" s="312">
        <v>2331</v>
      </c>
      <c r="AC99" s="312"/>
      <c r="AD99" s="312"/>
      <c r="AE99" s="312"/>
      <c r="AF99" s="312"/>
      <c r="AG99" s="312">
        <v>2331</v>
      </c>
      <c r="AH99" s="312"/>
      <c r="AI99" s="312"/>
      <c r="AJ99" s="312"/>
      <c r="AK99" s="312"/>
      <c r="AL99" s="312">
        <v>2331</v>
      </c>
      <c r="AM99" s="312"/>
      <c r="AN99" s="312"/>
      <c r="AO99" s="312"/>
      <c r="AP99" s="312"/>
      <c r="AQ99" s="312">
        <v>2331</v>
      </c>
      <c r="AR99" s="312"/>
      <c r="AS99" s="312"/>
      <c r="AT99" s="312"/>
      <c r="AU99" s="312"/>
      <c r="AV99" s="312">
        <v>2331</v>
      </c>
      <c r="AW99" s="312"/>
      <c r="AX99" s="312"/>
      <c r="AY99" s="312"/>
      <c r="AZ99" s="312"/>
      <c r="BA99" s="312">
        <v>2331</v>
      </c>
      <c r="BB99" s="312"/>
      <c r="BC99" s="312"/>
      <c r="BD99" s="312"/>
      <c r="BE99" s="312"/>
      <c r="BF99" s="312">
        <v>2331</v>
      </c>
      <c r="BG99" s="312"/>
      <c r="BH99" s="312"/>
      <c r="BI99" s="312"/>
      <c r="BJ99" s="312"/>
      <c r="BK99" s="312">
        <v>2331</v>
      </c>
      <c r="BL99" s="312"/>
      <c r="BM99" s="312"/>
      <c r="BN99" s="312"/>
      <c r="BO99" s="312" t="s">
        <v>9374</v>
      </c>
    </row>
    <row r="100" spans="1:67" hidden="1" outlineLevel="1">
      <c r="A100" s="312" t="s">
        <v>7861</v>
      </c>
      <c r="B100" s="312" t="s">
        <v>9387</v>
      </c>
      <c r="C100" s="312" t="s">
        <v>9351</v>
      </c>
      <c r="D100" s="312" t="s">
        <v>9266</v>
      </c>
      <c r="E100" s="312" t="s">
        <v>9267</v>
      </c>
      <c r="F100" s="312"/>
      <c r="G100" s="312"/>
      <c r="H100" s="312">
        <v>2387</v>
      </c>
      <c r="I100" s="312"/>
      <c r="J100" s="312"/>
      <c r="K100" s="312"/>
      <c r="L100" s="312"/>
      <c r="M100" s="312">
        <v>2387</v>
      </c>
      <c r="N100" s="312"/>
      <c r="O100" s="312"/>
      <c r="P100" s="312"/>
      <c r="Q100" s="312"/>
      <c r="R100" s="312">
        <v>2387</v>
      </c>
      <c r="S100" s="312"/>
      <c r="T100" s="312"/>
      <c r="U100" s="312"/>
      <c r="V100" s="312"/>
      <c r="W100" s="312">
        <v>2387</v>
      </c>
      <c r="X100" s="312"/>
      <c r="Y100" s="312"/>
      <c r="Z100" s="312"/>
      <c r="AA100" s="312"/>
      <c r="AB100" s="312">
        <v>2387</v>
      </c>
      <c r="AC100" s="312"/>
      <c r="AD100" s="312"/>
      <c r="AE100" s="312"/>
      <c r="AF100" s="312"/>
      <c r="AG100" s="312">
        <v>2387</v>
      </c>
      <c r="AH100" s="312"/>
      <c r="AI100" s="312"/>
      <c r="AJ100" s="312"/>
      <c r="AK100" s="312"/>
      <c r="AL100" s="312">
        <v>2387</v>
      </c>
      <c r="AM100" s="312"/>
      <c r="AN100" s="312"/>
      <c r="AO100" s="312"/>
      <c r="AP100" s="312"/>
      <c r="AQ100" s="312">
        <v>2387</v>
      </c>
      <c r="AR100" s="312"/>
      <c r="AS100" s="312"/>
      <c r="AT100" s="312"/>
      <c r="AU100" s="312"/>
      <c r="AV100" s="312">
        <v>2387</v>
      </c>
      <c r="AW100" s="312"/>
      <c r="AX100" s="312"/>
      <c r="AY100" s="312"/>
      <c r="AZ100" s="312"/>
      <c r="BA100" s="312">
        <v>2387</v>
      </c>
      <c r="BB100" s="312"/>
      <c r="BC100" s="312"/>
      <c r="BD100" s="312"/>
      <c r="BE100" s="312"/>
      <c r="BF100" s="312">
        <v>2387</v>
      </c>
      <c r="BG100" s="312"/>
      <c r="BH100" s="312"/>
      <c r="BI100" s="312"/>
      <c r="BJ100" s="312"/>
      <c r="BK100" s="312">
        <v>2387</v>
      </c>
      <c r="BL100" s="312"/>
      <c r="BM100" s="312"/>
      <c r="BN100" s="312"/>
      <c r="BO100" s="312" t="s">
        <v>9374</v>
      </c>
    </row>
    <row r="101" spans="1:67" hidden="1" outlineLevel="1">
      <c r="A101" s="312" t="s">
        <v>6684</v>
      </c>
      <c r="B101" s="312" t="s">
        <v>9388</v>
      </c>
      <c r="C101" s="312" t="s">
        <v>9351</v>
      </c>
      <c r="D101" s="312" t="s">
        <v>9266</v>
      </c>
      <c r="E101" s="312" t="s">
        <v>9267</v>
      </c>
      <c r="F101" s="312"/>
      <c r="G101" s="312"/>
      <c r="H101" s="312">
        <v>2926</v>
      </c>
      <c r="I101" s="312"/>
      <c r="J101" s="312"/>
      <c r="K101" s="312"/>
      <c r="L101" s="312"/>
      <c r="M101" s="312">
        <v>2926</v>
      </c>
      <c r="N101" s="312"/>
      <c r="O101" s="312"/>
      <c r="P101" s="312"/>
      <c r="Q101" s="312"/>
      <c r="R101" s="312">
        <v>2926</v>
      </c>
      <c r="S101" s="312"/>
      <c r="T101" s="312"/>
      <c r="U101" s="312"/>
      <c r="V101" s="312"/>
      <c r="W101" s="312">
        <v>2926</v>
      </c>
      <c r="X101" s="312"/>
      <c r="Y101" s="312"/>
      <c r="Z101" s="312"/>
      <c r="AA101" s="312"/>
      <c r="AB101" s="312">
        <v>2926</v>
      </c>
      <c r="AC101" s="312"/>
      <c r="AD101" s="312"/>
      <c r="AE101" s="312"/>
      <c r="AF101" s="312"/>
      <c r="AG101" s="312">
        <v>2926</v>
      </c>
      <c r="AH101" s="312"/>
      <c r="AI101" s="312"/>
      <c r="AJ101" s="312"/>
      <c r="AK101" s="312"/>
      <c r="AL101" s="312">
        <v>2926</v>
      </c>
      <c r="AM101" s="312"/>
      <c r="AN101" s="312"/>
      <c r="AO101" s="312"/>
      <c r="AP101" s="312"/>
      <c r="AQ101" s="312">
        <v>2926</v>
      </c>
      <c r="AR101" s="312"/>
      <c r="AS101" s="312"/>
      <c r="AT101" s="312"/>
      <c r="AU101" s="312"/>
      <c r="AV101" s="312">
        <v>2926</v>
      </c>
      <c r="AW101" s="312"/>
      <c r="AX101" s="312"/>
      <c r="AY101" s="312"/>
      <c r="AZ101" s="312"/>
      <c r="BA101" s="312">
        <v>2926</v>
      </c>
      <c r="BB101" s="312"/>
      <c r="BC101" s="312"/>
      <c r="BD101" s="312"/>
      <c r="BE101" s="312"/>
      <c r="BF101" s="312">
        <v>2926</v>
      </c>
      <c r="BG101" s="312"/>
      <c r="BH101" s="312"/>
      <c r="BI101" s="312"/>
      <c r="BJ101" s="312"/>
      <c r="BK101" s="312">
        <v>2926</v>
      </c>
      <c r="BL101" s="312"/>
      <c r="BM101" s="312"/>
      <c r="BN101" s="312"/>
      <c r="BO101" s="312" t="s">
        <v>9374</v>
      </c>
    </row>
    <row r="102" spans="1:67" hidden="1" outlineLevel="1">
      <c r="A102" s="312" t="s">
        <v>7278</v>
      </c>
      <c r="B102" s="312" t="s">
        <v>9389</v>
      </c>
      <c r="C102" s="312" t="s">
        <v>9351</v>
      </c>
      <c r="D102" s="312" t="s">
        <v>9266</v>
      </c>
      <c r="E102" s="312" t="s">
        <v>9267</v>
      </c>
      <c r="F102" s="312"/>
      <c r="G102" s="312"/>
      <c r="H102" s="312">
        <v>2928</v>
      </c>
      <c r="I102" s="312"/>
      <c r="J102" s="312"/>
      <c r="K102" s="312"/>
      <c r="L102" s="312"/>
      <c r="M102" s="312">
        <v>2928</v>
      </c>
      <c r="N102" s="312"/>
      <c r="O102" s="312"/>
      <c r="P102" s="312"/>
      <c r="Q102" s="312"/>
      <c r="R102" s="312">
        <v>2928</v>
      </c>
      <c r="S102" s="312"/>
      <c r="T102" s="312"/>
      <c r="U102" s="312"/>
      <c r="V102" s="312"/>
      <c r="W102" s="312">
        <v>2928</v>
      </c>
      <c r="X102" s="312"/>
      <c r="Y102" s="312"/>
      <c r="Z102" s="312"/>
      <c r="AA102" s="312"/>
      <c r="AB102" s="312">
        <v>2928</v>
      </c>
      <c r="AC102" s="312"/>
      <c r="AD102" s="312"/>
      <c r="AE102" s="312"/>
      <c r="AF102" s="312"/>
      <c r="AG102" s="312">
        <v>2928</v>
      </c>
      <c r="AH102" s="312"/>
      <c r="AI102" s="312"/>
      <c r="AJ102" s="312"/>
      <c r="AK102" s="312"/>
      <c r="AL102" s="312">
        <v>2928</v>
      </c>
      <c r="AM102" s="312"/>
      <c r="AN102" s="312"/>
      <c r="AO102" s="312"/>
      <c r="AP102" s="312"/>
      <c r="AQ102" s="312">
        <v>2928</v>
      </c>
      <c r="AR102" s="312"/>
      <c r="AS102" s="312"/>
      <c r="AT102" s="312"/>
      <c r="AU102" s="312"/>
      <c r="AV102" s="312">
        <v>2928</v>
      </c>
      <c r="AW102" s="312"/>
      <c r="AX102" s="312"/>
      <c r="AY102" s="312"/>
      <c r="AZ102" s="312"/>
      <c r="BA102" s="312">
        <v>2928</v>
      </c>
      <c r="BB102" s="312"/>
      <c r="BC102" s="312"/>
      <c r="BD102" s="312"/>
      <c r="BE102" s="312"/>
      <c r="BF102" s="312">
        <v>2928</v>
      </c>
      <c r="BG102" s="312"/>
      <c r="BH102" s="312"/>
      <c r="BI102" s="312"/>
      <c r="BJ102" s="312"/>
      <c r="BK102" s="312">
        <v>2928</v>
      </c>
      <c r="BL102" s="312"/>
      <c r="BM102" s="312"/>
      <c r="BN102" s="312"/>
      <c r="BO102" s="312" t="s">
        <v>9374</v>
      </c>
    </row>
    <row r="103" spans="1:67" hidden="1" outlineLevel="1">
      <c r="A103" s="312" t="s">
        <v>6981</v>
      </c>
      <c r="B103" s="312" t="s">
        <v>9390</v>
      </c>
      <c r="C103" s="312" t="s">
        <v>9351</v>
      </c>
      <c r="D103" s="312" t="s">
        <v>9266</v>
      </c>
      <c r="E103" s="312" t="s">
        <v>9267</v>
      </c>
      <c r="F103" s="312"/>
      <c r="G103" s="312"/>
      <c r="H103" s="312">
        <v>3240</v>
      </c>
      <c r="I103" s="312"/>
      <c r="J103" s="312"/>
      <c r="K103" s="312"/>
      <c r="L103" s="312"/>
      <c r="M103" s="312">
        <v>3240</v>
      </c>
      <c r="N103" s="312"/>
      <c r="O103" s="312"/>
      <c r="P103" s="312"/>
      <c r="Q103" s="312"/>
      <c r="R103" s="312">
        <v>3240</v>
      </c>
      <c r="S103" s="312"/>
      <c r="T103" s="312"/>
      <c r="U103" s="312"/>
      <c r="V103" s="312"/>
      <c r="W103" s="312">
        <v>3240</v>
      </c>
      <c r="X103" s="312"/>
      <c r="Y103" s="312"/>
      <c r="Z103" s="312"/>
      <c r="AA103" s="312"/>
      <c r="AB103" s="312">
        <v>3240</v>
      </c>
      <c r="AC103" s="312"/>
      <c r="AD103" s="312"/>
      <c r="AE103" s="312"/>
      <c r="AF103" s="312"/>
      <c r="AG103" s="312">
        <v>3240</v>
      </c>
      <c r="AH103" s="312"/>
      <c r="AI103" s="312"/>
      <c r="AJ103" s="312"/>
      <c r="AK103" s="312"/>
      <c r="AL103" s="312">
        <v>3240</v>
      </c>
      <c r="AM103" s="312"/>
      <c r="AN103" s="312"/>
      <c r="AO103" s="312"/>
      <c r="AP103" s="312"/>
      <c r="AQ103" s="312">
        <v>3240</v>
      </c>
      <c r="AR103" s="312"/>
      <c r="AS103" s="312"/>
      <c r="AT103" s="312"/>
      <c r="AU103" s="312"/>
      <c r="AV103" s="312">
        <v>3240</v>
      </c>
      <c r="AW103" s="312"/>
      <c r="AX103" s="312"/>
      <c r="AY103" s="312"/>
      <c r="AZ103" s="312"/>
      <c r="BA103" s="312">
        <v>3240</v>
      </c>
      <c r="BB103" s="312"/>
      <c r="BC103" s="312"/>
      <c r="BD103" s="312"/>
      <c r="BE103" s="312"/>
      <c r="BF103" s="312">
        <v>3240</v>
      </c>
      <c r="BG103" s="312"/>
      <c r="BH103" s="312"/>
      <c r="BI103" s="312"/>
      <c r="BJ103" s="312"/>
      <c r="BK103" s="312">
        <v>3240</v>
      </c>
      <c r="BL103" s="312"/>
      <c r="BM103" s="312"/>
      <c r="BN103" s="312"/>
      <c r="BO103" s="312" t="s">
        <v>9374</v>
      </c>
    </row>
    <row r="104" spans="1:67" hidden="1" outlineLevel="1">
      <c r="A104" s="312" t="s">
        <v>7849</v>
      </c>
      <c r="B104" s="312" t="s">
        <v>9391</v>
      </c>
      <c r="C104" s="312" t="s">
        <v>9351</v>
      </c>
      <c r="D104" s="312" t="s">
        <v>9266</v>
      </c>
      <c r="E104" s="312" t="s">
        <v>9267</v>
      </c>
      <c r="F104" s="312"/>
      <c r="G104" s="312"/>
      <c r="H104" s="312">
        <v>2350</v>
      </c>
      <c r="I104" s="312"/>
      <c r="J104" s="312"/>
      <c r="K104" s="312"/>
      <c r="L104" s="312"/>
      <c r="M104" s="312">
        <v>2350</v>
      </c>
      <c r="N104" s="312"/>
      <c r="O104" s="312"/>
      <c r="P104" s="312"/>
      <c r="Q104" s="312"/>
      <c r="R104" s="312">
        <v>2350</v>
      </c>
      <c r="S104" s="312"/>
      <c r="T104" s="312"/>
      <c r="U104" s="312"/>
      <c r="V104" s="312"/>
      <c r="W104" s="312">
        <v>2350</v>
      </c>
      <c r="X104" s="312"/>
      <c r="Y104" s="312"/>
      <c r="Z104" s="312"/>
      <c r="AA104" s="312"/>
      <c r="AB104" s="312">
        <v>2350</v>
      </c>
      <c r="AC104" s="312"/>
      <c r="AD104" s="312"/>
      <c r="AE104" s="312"/>
      <c r="AF104" s="312"/>
      <c r="AG104" s="312">
        <v>2350</v>
      </c>
      <c r="AH104" s="312"/>
      <c r="AI104" s="312"/>
      <c r="AJ104" s="312"/>
      <c r="AK104" s="312"/>
      <c r="AL104" s="312">
        <v>2350</v>
      </c>
      <c r="AM104" s="312"/>
      <c r="AN104" s="312"/>
      <c r="AO104" s="312"/>
      <c r="AP104" s="312"/>
      <c r="AQ104" s="312">
        <v>2350</v>
      </c>
      <c r="AR104" s="312"/>
      <c r="AS104" s="312"/>
      <c r="AT104" s="312"/>
      <c r="AU104" s="312"/>
      <c r="AV104" s="312">
        <v>2350</v>
      </c>
      <c r="AW104" s="312"/>
      <c r="AX104" s="312"/>
      <c r="AY104" s="312"/>
      <c r="AZ104" s="312"/>
      <c r="BA104" s="312">
        <v>2350</v>
      </c>
      <c r="BB104" s="312"/>
      <c r="BC104" s="312"/>
      <c r="BD104" s="312"/>
      <c r="BE104" s="312"/>
      <c r="BF104" s="312">
        <v>2350</v>
      </c>
      <c r="BG104" s="312"/>
      <c r="BH104" s="312">
        <v>2350</v>
      </c>
      <c r="BI104" s="312"/>
      <c r="BJ104" s="312"/>
      <c r="BK104" s="312"/>
      <c r="BL104" s="312"/>
      <c r="BM104" s="312"/>
      <c r="BN104" s="312"/>
      <c r="BO104" s="312"/>
    </row>
    <row r="105" spans="1:67" hidden="1" outlineLevel="1" collapsed="1">
      <c r="A105" s="312" t="s">
        <v>9392</v>
      </c>
      <c r="B105" s="312" t="s">
        <v>9393</v>
      </c>
      <c r="C105" s="312" t="s">
        <v>9394</v>
      </c>
      <c r="D105" s="312" t="s">
        <v>9266</v>
      </c>
      <c r="E105" s="312" t="s">
        <v>9267</v>
      </c>
      <c r="F105" s="312"/>
      <c r="G105" s="312"/>
      <c r="H105" s="312">
        <v>18.100000000000001</v>
      </c>
      <c r="I105" s="312"/>
      <c r="J105" s="312"/>
      <c r="K105" s="312"/>
      <c r="L105" s="312"/>
      <c r="M105" s="312">
        <v>18.100000000000001</v>
      </c>
      <c r="N105" s="312"/>
      <c r="O105" s="312"/>
      <c r="P105" s="312"/>
      <c r="Q105" s="312"/>
      <c r="R105" s="312">
        <v>18.100000000000001</v>
      </c>
      <c r="S105" s="312"/>
      <c r="T105" s="312"/>
      <c r="U105" s="312"/>
      <c r="V105" s="312"/>
      <c r="W105" s="312">
        <v>18.100000000000001</v>
      </c>
      <c r="X105" s="312"/>
      <c r="Y105" s="312"/>
      <c r="Z105" s="312"/>
      <c r="AA105" s="312"/>
      <c r="AB105" s="312">
        <v>18.100000000000001</v>
      </c>
      <c r="AC105" s="312"/>
      <c r="AD105" s="312"/>
      <c r="AE105" s="312"/>
      <c r="AF105" s="312"/>
      <c r="AG105" s="312">
        <v>18.100000000000001</v>
      </c>
      <c r="AH105" s="312"/>
      <c r="AI105" s="312"/>
      <c r="AJ105" s="312"/>
      <c r="AK105" s="312"/>
      <c r="AL105" s="312">
        <v>18.100000000000001</v>
      </c>
      <c r="AM105" s="312"/>
      <c r="AN105" s="312"/>
      <c r="AO105" s="312"/>
      <c r="AP105" s="312"/>
      <c r="AQ105" s="312">
        <v>18.100000000000001</v>
      </c>
      <c r="AR105" s="312"/>
      <c r="AS105" s="312"/>
      <c r="AT105" s="312"/>
      <c r="AU105" s="312"/>
      <c r="AV105" s="312">
        <v>18.100000000000001</v>
      </c>
      <c r="AW105" s="312"/>
      <c r="AX105" s="312"/>
      <c r="AY105" s="312"/>
      <c r="AZ105" s="312"/>
      <c r="BA105" s="312">
        <v>18.100000000000001</v>
      </c>
      <c r="BB105" s="312"/>
      <c r="BC105" s="312"/>
      <c r="BD105" s="312"/>
      <c r="BE105" s="312"/>
      <c r="BF105" s="312">
        <v>18.100000000000001</v>
      </c>
      <c r="BG105" s="312"/>
      <c r="BH105" s="312"/>
      <c r="BI105" s="312"/>
      <c r="BJ105" s="312"/>
      <c r="BK105" s="312">
        <v>18.100000000000001</v>
      </c>
      <c r="BL105" s="312"/>
      <c r="BM105" s="312"/>
      <c r="BN105" s="312"/>
      <c r="BO105" s="312" t="s">
        <v>9268</v>
      </c>
    </row>
    <row r="106" spans="1:67" hidden="1" outlineLevel="1">
      <c r="A106" s="312" t="s">
        <v>7105</v>
      </c>
      <c r="B106" s="312" t="s">
        <v>9395</v>
      </c>
      <c r="C106" s="312" t="s">
        <v>9394</v>
      </c>
      <c r="D106" s="312" t="s">
        <v>9266</v>
      </c>
      <c r="E106" s="312" t="s">
        <v>9267</v>
      </c>
      <c r="F106" s="312"/>
      <c r="G106" s="312"/>
      <c r="H106" s="312">
        <v>56</v>
      </c>
      <c r="I106" s="312"/>
      <c r="J106" s="312"/>
      <c r="K106" s="312"/>
      <c r="L106" s="312"/>
      <c r="M106" s="312">
        <v>56</v>
      </c>
      <c r="N106" s="312"/>
      <c r="O106" s="312"/>
      <c r="P106" s="312"/>
      <c r="Q106" s="312"/>
      <c r="R106" s="312">
        <v>56</v>
      </c>
      <c r="S106" s="312"/>
      <c r="T106" s="312"/>
      <c r="U106" s="312"/>
      <c r="V106" s="312"/>
      <c r="W106" s="312">
        <v>56</v>
      </c>
      <c r="X106" s="312"/>
      <c r="Y106" s="312"/>
      <c r="Z106" s="312"/>
      <c r="AA106" s="312"/>
      <c r="AB106" s="312">
        <v>56</v>
      </c>
      <c r="AC106" s="312"/>
      <c r="AD106" s="312"/>
      <c r="AE106" s="312"/>
      <c r="AF106" s="312"/>
      <c r="AG106" s="312">
        <v>56</v>
      </c>
      <c r="AH106" s="312"/>
      <c r="AI106" s="312"/>
      <c r="AJ106" s="312"/>
      <c r="AK106" s="312"/>
      <c r="AL106" s="312">
        <v>56</v>
      </c>
      <c r="AM106" s="312"/>
      <c r="AN106" s="312"/>
      <c r="AO106" s="312"/>
      <c r="AP106" s="312"/>
      <c r="AQ106" s="312">
        <v>56</v>
      </c>
      <c r="AR106" s="312"/>
      <c r="AS106" s="312"/>
      <c r="AT106" s="312"/>
      <c r="AU106" s="312"/>
      <c r="AV106" s="312">
        <v>56</v>
      </c>
      <c r="AW106" s="312"/>
      <c r="AX106" s="312"/>
      <c r="AY106" s="312"/>
      <c r="AZ106" s="312"/>
      <c r="BA106" s="312">
        <v>56</v>
      </c>
      <c r="BB106" s="312"/>
      <c r="BC106" s="312"/>
      <c r="BD106" s="312"/>
      <c r="BE106" s="312"/>
      <c r="BF106" s="312">
        <v>56</v>
      </c>
      <c r="BG106" s="312"/>
      <c r="BH106" s="312"/>
      <c r="BI106" s="312"/>
      <c r="BJ106" s="312"/>
      <c r="BK106" s="312">
        <v>56</v>
      </c>
      <c r="BL106" s="312"/>
      <c r="BM106" s="312"/>
      <c r="BN106" s="312"/>
      <c r="BO106" s="312" t="s">
        <v>9268</v>
      </c>
    </row>
    <row r="107" spans="1:67" hidden="1" outlineLevel="1">
      <c r="A107" s="312" t="s">
        <v>7233</v>
      </c>
      <c r="B107" s="312" t="s">
        <v>9396</v>
      </c>
      <c r="C107" s="312" t="s">
        <v>9394</v>
      </c>
      <c r="D107" s="312" t="s">
        <v>9266</v>
      </c>
      <c r="E107" s="312" t="s">
        <v>9267</v>
      </c>
      <c r="F107" s="312"/>
      <c r="G107" s="312"/>
      <c r="H107" s="312">
        <v>59</v>
      </c>
      <c r="I107" s="312"/>
      <c r="J107" s="312"/>
      <c r="K107" s="312"/>
      <c r="L107" s="312"/>
      <c r="M107" s="312">
        <v>59</v>
      </c>
      <c r="N107" s="312"/>
      <c r="O107" s="312"/>
      <c r="P107" s="312"/>
      <c r="Q107" s="312"/>
      <c r="R107" s="312">
        <v>59</v>
      </c>
      <c r="S107" s="312"/>
      <c r="T107" s="312"/>
      <c r="U107" s="312"/>
      <c r="V107" s="312"/>
      <c r="W107" s="312">
        <v>59</v>
      </c>
      <c r="X107" s="312"/>
      <c r="Y107" s="312"/>
      <c r="Z107" s="312"/>
      <c r="AA107" s="312"/>
      <c r="AB107" s="312">
        <v>59</v>
      </c>
      <c r="AC107" s="312"/>
      <c r="AD107" s="312"/>
      <c r="AE107" s="312"/>
      <c r="AF107" s="312"/>
      <c r="AG107" s="312">
        <v>59</v>
      </c>
      <c r="AH107" s="312"/>
      <c r="AI107" s="312"/>
      <c r="AJ107" s="312"/>
      <c r="AK107" s="312"/>
      <c r="AL107" s="312">
        <v>59</v>
      </c>
      <c r="AM107" s="312"/>
      <c r="AN107" s="312"/>
      <c r="AO107" s="312"/>
      <c r="AP107" s="312"/>
      <c r="AQ107" s="312">
        <v>59</v>
      </c>
      <c r="AR107" s="312"/>
      <c r="AS107" s="312"/>
      <c r="AT107" s="312"/>
      <c r="AU107" s="312"/>
      <c r="AV107" s="312">
        <v>59</v>
      </c>
      <c r="AW107" s="312"/>
      <c r="AX107" s="312"/>
      <c r="AY107" s="312"/>
      <c r="AZ107" s="312"/>
      <c r="BA107" s="312">
        <v>59</v>
      </c>
      <c r="BB107" s="312"/>
      <c r="BC107" s="312"/>
      <c r="BD107" s="312"/>
      <c r="BE107" s="312"/>
      <c r="BF107" s="312">
        <v>59</v>
      </c>
      <c r="BG107" s="312"/>
      <c r="BH107" s="312"/>
      <c r="BI107" s="312"/>
      <c r="BJ107" s="312"/>
      <c r="BK107" s="312">
        <v>59</v>
      </c>
      <c r="BL107" s="312"/>
      <c r="BM107" s="312"/>
      <c r="BN107" s="312"/>
      <c r="BO107" s="312" t="s">
        <v>9268</v>
      </c>
    </row>
    <row r="108" spans="1:67" hidden="1" outlineLevel="1">
      <c r="A108" s="312" t="s">
        <v>6976</v>
      </c>
      <c r="B108" s="312" t="s">
        <v>9397</v>
      </c>
      <c r="C108" s="312" t="s">
        <v>9394</v>
      </c>
      <c r="D108" s="312" t="s">
        <v>9266</v>
      </c>
      <c r="E108" s="312" t="s">
        <v>9267</v>
      </c>
      <c r="F108" s="312"/>
      <c r="G108" s="312"/>
      <c r="H108" s="312">
        <v>74</v>
      </c>
      <c r="I108" s="312"/>
      <c r="J108" s="312"/>
      <c r="K108" s="312"/>
      <c r="L108" s="312"/>
      <c r="M108" s="312">
        <v>74</v>
      </c>
      <c r="N108" s="312"/>
      <c r="O108" s="312"/>
      <c r="P108" s="312"/>
      <c r="Q108" s="312"/>
      <c r="R108" s="312">
        <v>74</v>
      </c>
      <c r="S108" s="312"/>
      <c r="T108" s="312"/>
      <c r="U108" s="312"/>
      <c r="V108" s="312"/>
      <c r="W108" s="312">
        <v>74</v>
      </c>
      <c r="X108" s="312"/>
      <c r="Y108" s="312"/>
      <c r="Z108" s="312"/>
      <c r="AA108" s="312"/>
      <c r="AB108" s="312">
        <v>74</v>
      </c>
      <c r="AC108" s="312"/>
      <c r="AD108" s="312"/>
      <c r="AE108" s="312"/>
      <c r="AF108" s="312"/>
      <c r="AG108" s="312">
        <v>74</v>
      </c>
      <c r="AH108" s="312"/>
      <c r="AI108" s="312"/>
      <c r="AJ108" s="312"/>
      <c r="AK108" s="312"/>
      <c r="AL108" s="312">
        <v>74</v>
      </c>
      <c r="AM108" s="312"/>
      <c r="AN108" s="312"/>
      <c r="AO108" s="312"/>
      <c r="AP108" s="312"/>
      <c r="AQ108" s="312">
        <v>74</v>
      </c>
      <c r="AR108" s="312"/>
      <c r="AS108" s="312"/>
      <c r="AT108" s="312"/>
      <c r="AU108" s="312"/>
      <c r="AV108" s="312">
        <v>74</v>
      </c>
      <c r="AW108" s="312"/>
      <c r="AX108" s="312"/>
      <c r="AY108" s="312"/>
      <c r="AZ108" s="312"/>
      <c r="BA108" s="312">
        <v>74</v>
      </c>
      <c r="BB108" s="312"/>
      <c r="BC108" s="312"/>
      <c r="BD108" s="312"/>
      <c r="BE108" s="312"/>
      <c r="BF108" s="312">
        <v>74</v>
      </c>
      <c r="BG108" s="312"/>
      <c r="BH108" s="312"/>
      <c r="BI108" s="312"/>
      <c r="BJ108" s="312"/>
      <c r="BK108" s="312">
        <v>74</v>
      </c>
      <c r="BL108" s="312"/>
      <c r="BM108" s="312"/>
      <c r="BN108" s="312"/>
      <c r="BO108" s="312" t="s">
        <v>9268</v>
      </c>
    </row>
    <row r="109" spans="1:67" hidden="1" outlineLevel="1">
      <c r="A109" s="312" t="s">
        <v>7774</v>
      </c>
      <c r="B109" s="312" t="s">
        <v>9398</v>
      </c>
      <c r="C109" s="312" t="s">
        <v>9394</v>
      </c>
      <c r="D109" s="312" t="s">
        <v>9266</v>
      </c>
      <c r="E109" s="312" t="s">
        <v>9267</v>
      </c>
      <c r="F109" s="312"/>
      <c r="G109" s="312"/>
      <c r="H109" s="312">
        <v>78</v>
      </c>
      <c r="I109" s="312"/>
      <c r="J109" s="312"/>
      <c r="K109" s="312"/>
      <c r="L109" s="312"/>
      <c r="M109" s="312">
        <v>78</v>
      </c>
      <c r="N109" s="312"/>
      <c r="O109" s="312"/>
      <c r="P109" s="312"/>
      <c r="Q109" s="312"/>
      <c r="R109" s="312">
        <v>78</v>
      </c>
      <c r="S109" s="312"/>
      <c r="T109" s="312"/>
      <c r="U109" s="312"/>
      <c r="V109" s="312"/>
      <c r="W109" s="312">
        <v>78</v>
      </c>
      <c r="X109" s="312"/>
      <c r="Y109" s="312"/>
      <c r="Z109" s="312"/>
      <c r="AA109" s="312"/>
      <c r="AB109" s="312">
        <v>78</v>
      </c>
      <c r="AC109" s="312"/>
      <c r="AD109" s="312"/>
      <c r="AE109" s="312"/>
      <c r="AF109" s="312"/>
      <c r="AG109" s="312">
        <v>78</v>
      </c>
      <c r="AH109" s="312"/>
      <c r="AI109" s="312"/>
      <c r="AJ109" s="312"/>
      <c r="AK109" s="312"/>
      <c r="AL109" s="312">
        <v>78</v>
      </c>
      <c r="AM109" s="312"/>
      <c r="AN109" s="312"/>
      <c r="AO109" s="312"/>
      <c r="AP109" s="312"/>
      <c r="AQ109" s="312">
        <v>78</v>
      </c>
      <c r="AR109" s="312"/>
      <c r="AS109" s="312"/>
      <c r="AT109" s="312"/>
      <c r="AU109" s="312"/>
      <c r="AV109" s="312">
        <v>78</v>
      </c>
      <c r="AW109" s="312"/>
      <c r="AX109" s="312"/>
      <c r="AY109" s="312"/>
      <c r="AZ109" s="312"/>
      <c r="BA109" s="312">
        <v>78</v>
      </c>
      <c r="BB109" s="312"/>
      <c r="BC109" s="312"/>
      <c r="BD109" s="312"/>
      <c r="BE109" s="312"/>
      <c r="BF109" s="312">
        <v>78</v>
      </c>
      <c r="BG109" s="312"/>
      <c r="BH109" s="312"/>
      <c r="BI109" s="312"/>
      <c r="BJ109" s="312"/>
      <c r="BK109" s="312">
        <v>78</v>
      </c>
      <c r="BL109" s="312"/>
      <c r="BM109" s="312"/>
      <c r="BN109" s="312"/>
      <c r="BO109" s="312" t="s">
        <v>9268</v>
      </c>
    </row>
    <row r="110" spans="1:67" hidden="1" outlineLevel="1">
      <c r="A110" s="312" t="s">
        <v>6362</v>
      </c>
      <c r="B110" s="312" t="s">
        <v>9399</v>
      </c>
      <c r="C110" s="312" t="s">
        <v>9394</v>
      </c>
      <c r="D110" s="312" t="s">
        <v>9266</v>
      </c>
      <c r="E110" s="312" t="s">
        <v>9267</v>
      </c>
      <c r="F110" s="312"/>
      <c r="G110" s="312"/>
      <c r="H110" s="312">
        <v>83</v>
      </c>
      <c r="I110" s="312"/>
      <c r="J110" s="312"/>
      <c r="K110" s="312"/>
      <c r="L110" s="312"/>
      <c r="M110" s="312">
        <v>83</v>
      </c>
      <c r="N110" s="312"/>
      <c r="O110" s="312"/>
      <c r="P110" s="312"/>
      <c r="Q110" s="312"/>
      <c r="R110" s="312">
        <v>83</v>
      </c>
      <c r="S110" s="312"/>
      <c r="T110" s="312"/>
      <c r="U110" s="312"/>
      <c r="V110" s="312"/>
      <c r="W110" s="312">
        <v>83</v>
      </c>
      <c r="X110" s="312"/>
      <c r="Y110" s="312"/>
      <c r="Z110" s="312"/>
      <c r="AA110" s="312"/>
      <c r="AB110" s="312">
        <v>83</v>
      </c>
      <c r="AC110" s="312"/>
      <c r="AD110" s="312"/>
      <c r="AE110" s="312"/>
      <c r="AF110" s="312"/>
      <c r="AG110" s="312">
        <v>83</v>
      </c>
      <c r="AH110" s="312"/>
      <c r="AI110" s="312"/>
      <c r="AJ110" s="312"/>
      <c r="AK110" s="312"/>
      <c r="AL110" s="312">
        <v>83</v>
      </c>
      <c r="AM110" s="312"/>
      <c r="AN110" s="312"/>
      <c r="AO110" s="312"/>
      <c r="AP110" s="312"/>
      <c r="AQ110" s="312">
        <v>83</v>
      </c>
      <c r="AR110" s="312"/>
      <c r="AS110" s="312"/>
      <c r="AT110" s="312"/>
      <c r="AU110" s="312"/>
      <c r="AV110" s="312">
        <v>83</v>
      </c>
      <c r="AW110" s="312"/>
      <c r="AX110" s="312"/>
      <c r="AY110" s="312"/>
      <c r="AZ110" s="312"/>
      <c r="BA110" s="312">
        <v>83</v>
      </c>
      <c r="BB110" s="312"/>
      <c r="BC110" s="312"/>
      <c r="BD110" s="312"/>
      <c r="BE110" s="312"/>
      <c r="BF110" s="312">
        <v>83</v>
      </c>
      <c r="BG110" s="312"/>
      <c r="BH110" s="312"/>
      <c r="BI110" s="312"/>
      <c r="BJ110" s="312"/>
      <c r="BK110" s="312">
        <v>83</v>
      </c>
      <c r="BL110" s="312"/>
      <c r="BM110" s="312"/>
      <c r="BN110" s="312"/>
      <c r="BO110" s="312" t="s">
        <v>9268</v>
      </c>
    </row>
    <row r="111" spans="1:67" hidden="1" outlineLevel="1">
      <c r="A111" s="312" t="s">
        <v>7412</v>
      </c>
      <c r="B111" s="312" t="s">
        <v>9400</v>
      </c>
      <c r="C111" s="312" t="s">
        <v>9394</v>
      </c>
      <c r="D111" s="312" t="s">
        <v>9266</v>
      </c>
      <c r="E111" s="312" t="s">
        <v>9267</v>
      </c>
      <c r="F111" s="312"/>
      <c r="G111" s="312"/>
      <c r="H111" s="312">
        <v>89</v>
      </c>
      <c r="I111" s="312"/>
      <c r="J111" s="312"/>
      <c r="K111" s="312"/>
      <c r="L111" s="312"/>
      <c r="M111" s="312">
        <v>89</v>
      </c>
      <c r="N111" s="312"/>
      <c r="O111" s="312"/>
      <c r="P111" s="312"/>
      <c r="Q111" s="312"/>
      <c r="R111" s="312">
        <v>89</v>
      </c>
      <c r="S111" s="312"/>
      <c r="T111" s="312"/>
      <c r="U111" s="312"/>
      <c r="V111" s="312"/>
      <c r="W111" s="312">
        <v>89</v>
      </c>
      <c r="X111" s="312"/>
      <c r="Y111" s="312"/>
      <c r="Z111" s="312"/>
      <c r="AA111" s="312"/>
      <c r="AB111" s="312">
        <v>89</v>
      </c>
      <c r="AC111" s="312"/>
      <c r="AD111" s="312"/>
      <c r="AE111" s="312"/>
      <c r="AF111" s="312"/>
      <c r="AG111" s="312">
        <v>89</v>
      </c>
      <c r="AH111" s="312"/>
      <c r="AI111" s="312"/>
      <c r="AJ111" s="312"/>
      <c r="AK111" s="312"/>
      <c r="AL111" s="312">
        <v>89</v>
      </c>
      <c r="AM111" s="312"/>
      <c r="AN111" s="312"/>
      <c r="AO111" s="312"/>
      <c r="AP111" s="312"/>
      <c r="AQ111" s="312">
        <v>89</v>
      </c>
      <c r="AR111" s="312"/>
      <c r="AS111" s="312"/>
      <c r="AT111" s="312"/>
      <c r="AU111" s="312"/>
      <c r="AV111" s="312">
        <v>89</v>
      </c>
      <c r="AW111" s="312"/>
      <c r="AX111" s="312"/>
      <c r="AY111" s="312"/>
      <c r="AZ111" s="312"/>
      <c r="BA111" s="312">
        <v>89</v>
      </c>
      <c r="BB111" s="312"/>
      <c r="BC111" s="312"/>
      <c r="BD111" s="312"/>
      <c r="BE111" s="312"/>
      <c r="BF111" s="312">
        <v>89</v>
      </c>
      <c r="BG111" s="312"/>
      <c r="BH111" s="312"/>
      <c r="BI111" s="312"/>
      <c r="BJ111" s="312"/>
      <c r="BK111" s="312">
        <v>89</v>
      </c>
      <c r="BL111" s="312"/>
      <c r="BM111" s="312"/>
      <c r="BN111" s="312"/>
      <c r="BO111" s="312" t="s">
        <v>9268</v>
      </c>
    </row>
    <row r="112" spans="1:67" hidden="1" outlineLevel="1">
      <c r="A112" s="312" t="s">
        <v>7769</v>
      </c>
      <c r="B112" s="312" t="s">
        <v>9401</v>
      </c>
      <c r="C112" s="312" t="s">
        <v>9394</v>
      </c>
      <c r="D112" s="312" t="s">
        <v>9266</v>
      </c>
      <c r="E112" s="312" t="s">
        <v>9267</v>
      </c>
      <c r="F112" s="312"/>
      <c r="G112" s="312"/>
      <c r="H112" s="312">
        <v>111</v>
      </c>
      <c r="I112" s="312"/>
      <c r="J112" s="312"/>
      <c r="K112" s="312"/>
      <c r="L112" s="312"/>
      <c r="M112" s="312">
        <v>111</v>
      </c>
      <c r="N112" s="312"/>
      <c r="O112" s="312"/>
      <c r="P112" s="312"/>
      <c r="Q112" s="312"/>
      <c r="R112" s="312">
        <v>111</v>
      </c>
      <c r="S112" s="312"/>
      <c r="T112" s="312"/>
      <c r="U112" s="312"/>
      <c r="V112" s="312"/>
      <c r="W112" s="312">
        <v>111</v>
      </c>
      <c r="X112" s="312"/>
      <c r="Y112" s="312"/>
      <c r="Z112" s="312"/>
      <c r="AA112" s="312"/>
      <c r="AB112" s="312">
        <v>111</v>
      </c>
      <c r="AC112" s="312"/>
      <c r="AD112" s="312"/>
      <c r="AE112" s="312"/>
      <c r="AF112" s="312"/>
      <c r="AG112" s="312">
        <v>111</v>
      </c>
      <c r="AH112" s="312"/>
      <c r="AI112" s="312"/>
      <c r="AJ112" s="312"/>
      <c r="AK112" s="312"/>
      <c r="AL112" s="312">
        <v>111</v>
      </c>
      <c r="AM112" s="312"/>
      <c r="AN112" s="312"/>
      <c r="AO112" s="312"/>
      <c r="AP112" s="312"/>
      <c r="AQ112" s="312">
        <v>111</v>
      </c>
      <c r="AR112" s="312"/>
      <c r="AS112" s="312"/>
      <c r="AT112" s="312"/>
      <c r="AU112" s="312"/>
      <c r="AV112" s="312">
        <v>111</v>
      </c>
      <c r="AW112" s="312"/>
      <c r="AX112" s="312"/>
      <c r="AY112" s="312"/>
      <c r="AZ112" s="312"/>
      <c r="BA112" s="312">
        <v>111</v>
      </c>
      <c r="BB112" s="312"/>
      <c r="BC112" s="312"/>
      <c r="BD112" s="312"/>
      <c r="BE112" s="312"/>
      <c r="BF112" s="312">
        <v>111</v>
      </c>
      <c r="BG112" s="312"/>
      <c r="BH112" s="312"/>
      <c r="BI112" s="312"/>
      <c r="BJ112" s="312"/>
      <c r="BK112" s="312">
        <v>111</v>
      </c>
      <c r="BL112" s="312"/>
      <c r="BM112" s="312"/>
      <c r="BN112" s="312"/>
      <c r="BO112" s="312" t="s">
        <v>9268</v>
      </c>
    </row>
    <row r="113" spans="1:67" hidden="1" outlineLevel="1">
      <c r="A113" s="312" t="s">
        <v>6372</v>
      </c>
      <c r="B113" s="312" t="s">
        <v>9402</v>
      </c>
      <c r="C113" s="312" t="s">
        <v>9394</v>
      </c>
      <c r="D113" s="312" t="s">
        <v>9266</v>
      </c>
      <c r="E113" s="312" t="s">
        <v>9267</v>
      </c>
      <c r="F113" s="312"/>
      <c r="G113" s="312"/>
      <c r="H113" s="312">
        <v>121</v>
      </c>
      <c r="I113" s="312"/>
      <c r="J113" s="312"/>
      <c r="K113" s="312"/>
      <c r="L113" s="312"/>
      <c r="M113" s="312">
        <v>121</v>
      </c>
      <c r="N113" s="312"/>
      <c r="O113" s="312"/>
      <c r="P113" s="312"/>
      <c r="Q113" s="312"/>
      <c r="R113" s="312">
        <v>121</v>
      </c>
      <c r="S113" s="312"/>
      <c r="T113" s="312"/>
      <c r="U113" s="312"/>
      <c r="V113" s="312"/>
      <c r="W113" s="312">
        <v>121</v>
      </c>
      <c r="X113" s="312"/>
      <c r="Y113" s="312"/>
      <c r="Z113" s="312"/>
      <c r="AA113" s="312"/>
      <c r="AB113" s="312">
        <v>121</v>
      </c>
      <c r="AC113" s="312"/>
      <c r="AD113" s="312"/>
      <c r="AE113" s="312"/>
      <c r="AF113" s="312"/>
      <c r="AG113" s="312">
        <v>121</v>
      </c>
      <c r="AH113" s="312"/>
      <c r="AI113" s="312"/>
      <c r="AJ113" s="312"/>
      <c r="AK113" s="312"/>
      <c r="AL113" s="312">
        <v>121</v>
      </c>
      <c r="AM113" s="312"/>
      <c r="AN113" s="312"/>
      <c r="AO113" s="312"/>
      <c r="AP113" s="312"/>
      <c r="AQ113" s="312">
        <v>121</v>
      </c>
      <c r="AR113" s="312"/>
      <c r="AS113" s="312"/>
      <c r="AT113" s="312"/>
      <c r="AU113" s="312"/>
      <c r="AV113" s="312">
        <v>121</v>
      </c>
      <c r="AW113" s="312"/>
      <c r="AX113" s="312"/>
      <c r="AY113" s="312"/>
      <c r="AZ113" s="312"/>
      <c r="BA113" s="312">
        <v>121</v>
      </c>
      <c r="BB113" s="312"/>
      <c r="BC113" s="312"/>
      <c r="BD113" s="312"/>
      <c r="BE113" s="312"/>
      <c r="BF113" s="312">
        <v>121</v>
      </c>
      <c r="BG113" s="312"/>
      <c r="BH113" s="312"/>
      <c r="BI113" s="312"/>
      <c r="BJ113" s="312"/>
      <c r="BK113" s="312">
        <v>121</v>
      </c>
      <c r="BL113" s="312"/>
      <c r="BM113" s="312"/>
      <c r="BN113" s="312"/>
      <c r="BO113" s="312" t="s">
        <v>9268</v>
      </c>
    </row>
    <row r="114" spans="1:67" hidden="1" outlineLevel="1">
      <c r="A114" s="312" t="s">
        <v>7189</v>
      </c>
      <c r="B114" s="312" t="s">
        <v>9403</v>
      </c>
      <c r="C114" s="312" t="s">
        <v>9394</v>
      </c>
      <c r="D114" s="312" t="s">
        <v>9266</v>
      </c>
      <c r="E114" s="312" t="s">
        <v>9267</v>
      </c>
      <c r="F114" s="312"/>
      <c r="G114" s="312"/>
      <c r="H114" s="312">
        <v>125</v>
      </c>
      <c r="I114" s="312"/>
      <c r="J114" s="312"/>
      <c r="K114" s="312"/>
      <c r="L114" s="312"/>
      <c r="M114" s="312">
        <v>125</v>
      </c>
      <c r="N114" s="312"/>
      <c r="O114" s="312"/>
      <c r="P114" s="312"/>
      <c r="Q114" s="312"/>
      <c r="R114" s="312">
        <v>125</v>
      </c>
      <c r="S114" s="312"/>
      <c r="T114" s="312"/>
      <c r="U114" s="312"/>
      <c r="V114" s="312"/>
      <c r="W114" s="312">
        <v>125</v>
      </c>
      <c r="X114" s="312"/>
      <c r="Y114" s="312"/>
      <c r="Z114" s="312"/>
      <c r="AA114" s="312"/>
      <c r="AB114" s="312">
        <v>125</v>
      </c>
      <c r="AC114" s="312"/>
      <c r="AD114" s="312"/>
      <c r="AE114" s="312"/>
      <c r="AF114" s="312"/>
      <c r="AG114" s="312">
        <v>125</v>
      </c>
      <c r="AH114" s="312"/>
      <c r="AI114" s="312"/>
      <c r="AJ114" s="312"/>
      <c r="AK114" s="312"/>
      <c r="AL114" s="312">
        <v>125</v>
      </c>
      <c r="AM114" s="312"/>
      <c r="AN114" s="312"/>
      <c r="AO114" s="312"/>
      <c r="AP114" s="312"/>
      <c r="AQ114" s="312">
        <v>125</v>
      </c>
      <c r="AR114" s="312"/>
      <c r="AS114" s="312"/>
      <c r="AT114" s="312"/>
      <c r="AU114" s="312"/>
      <c r="AV114" s="312">
        <v>125</v>
      </c>
      <c r="AW114" s="312"/>
      <c r="AX114" s="312"/>
      <c r="AY114" s="312"/>
      <c r="AZ114" s="312"/>
      <c r="BA114" s="312">
        <v>125</v>
      </c>
      <c r="BB114" s="312"/>
      <c r="BC114" s="312"/>
      <c r="BD114" s="312"/>
      <c r="BE114" s="312"/>
      <c r="BF114" s="312">
        <v>125</v>
      </c>
      <c r="BG114" s="312"/>
      <c r="BH114" s="312"/>
      <c r="BI114" s="312"/>
      <c r="BJ114" s="312"/>
      <c r="BK114" s="312">
        <v>125</v>
      </c>
      <c r="BL114" s="312"/>
      <c r="BM114" s="312"/>
      <c r="BN114" s="312"/>
      <c r="BO114" s="312" t="s">
        <v>9268</v>
      </c>
    </row>
    <row r="115" spans="1:67" hidden="1" outlineLevel="1">
      <c r="A115" s="312" t="s">
        <v>9404</v>
      </c>
      <c r="B115" s="312" t="s">
        <v>9405</v>
      </c>
      <c r="C115" s="312" t="s">
        <v>9394</v>
      </c>
      <c r="D115" s="312" t="s">
        <v>9266</v>
      </c>
      <c r="E115" s="312" t="s">
        <v>9267</v>
      </c>
      <c r="F115" s="312"/>
      <c r="G115" s="312"/>
      <c r="H115" s="312">
        <v>167</v>
      </c>
      <c r="I115" s="312"/>
      <c r="J115" s="312"/>
      <c r="K115" s="312"/>
      <c r="L115" s="312"/>
      <c r="M115" s="312">
        <v>167</v>
      </c>
      <c r="N115" s="312"/>
      <c r="O115" s="312"/>
      <c r="P115" s="312"/>
      <c r="Q115" s="312"/>
      <c r="R115" s="312">
        <v>167</v>
      </c>
      <c r="S115" s="312"/>
      <c r="T115" s="312"/>
      <c r="U115" s="312"/>
      <c r="V115" s="312"/>
      <c r="W115" s="312">
        <v>167</v>
      </c>
      <c r="X115" s="312"/>
      <c r="Y115" s="312"/>
      <c r="Z115" s="312"/>
      <c r="AA115" s="312"/>
      <c r="AB115" s="312">
        <v>167</v>
      </c>
      <c r="AC115" s="312"/>
      <c r="AD115" s="312"/>
      <c r="AE115" s="312"/>
      <c r="AF115" s="312"/>
      <c r="AG115" s="312">
        <v>167</v>
      </c>
      <c r="AH115" s="312"/>
      <c r="AI115" s="312"/>
      <c r="AJ115" s="312"/>
      <c r="AK115" s="312"/>
      <c r="AL115" s="312">
        <v>167</v>
      </c>
      <c r="AM115" s="312"/>
      <c r="AN115" s="312"/>
      <c r="AO115" s="312"/>
      <c r="AP115" s="312"/>
      <c r="AQ115" s="312">
        <v>167</v>
      </c>
      <c r="AR115" s="312"/>
      <c r="AS115" s="312"/>
      <c r="AT115" s="312"/>
      <c r="AU115" s="312"/>
      <c r="AV115" s="312">
        <v>167</v>
      </c>
      <c r="AW115" s="312"/>
      <c r="AX115" s="312"/>
      <c r="AY115" s="312"/>
      <c r="AZ115" s="312"/>
      <c r="BA115" s="312">
        <v>167</v>
      </c>
      <c r="BB115" s="312"/>
      <c r="BC115" s="312"/>
      <c r="BD115" s="312"/>
      <c r="BE115" s="312"/>
      <c r="BF115" s="312">
        <v>167</v>
      </c>
      <c r="BG115" s="312"/>
      <c r="BH115" s="312"/>
      <c r="BI115" s="312"/>
      <c r="BJ115" s="312"/>
      <c r="BK115" s="312">
        <v>167</v>
      </c>
      <c r="BL115" s="312"/>
      <c r="BM115" s="312"/>
      <c r="BN115" s="312"/>
      <c r="BO115" s="312" t="s">
        <v>9268</v>
      </c>
    </row>
    <row r="116" spans="1:67" hidden="1" outlineLevel="1">
      <c r="A116" s="312" t="s">
        <v>7031</v>
      </c>
      <c r="B116" s="312" t="s">
        <v>9406</v>
      </c>
      <c r="C116" s="312" t="s">
        <v>9394</v>
      </c>
      <c r="D116" s="312" t="s">
        <v>9266</v>
      </c>
      <c r="E116" s="312" t="s">
        <v>9267</v>
      </c>
      <c r="F116" s="312"/>
      <c r="G116" s="312"/>
      <c r="H116" s="312">
        <v>207</v>
      </c>
      <c r="I116" s="312"/>
      <c r="J116" s="312"/>
      <c r="K116" s="312"/>
      <c r="L116" s="312"/>
      <c r="M116" s="312">
        <v>207</v>
      </c>
      <c r="N116" s="312"/>
      <c r="O116" s="312"/>
      <c r="P116" s="312"/>
      <c r="Q116" s="312"/>
      <c r="R116" s="312">
        <v>207</v>
      </c>
      <c r="S116" s="312"/>
      <c r="T116" s="312"/>
      <c r="U116" s="312"/>
      <c r="V116" s="312"/>
      <c r="W116" s="312">
        <v>207</v>
      </c>
      <c r="X116" s="312"/>
      <c r="Y116" s="312"/>
      <c r="Z116" s="312"/>
      <c r="AA116" s="312"/>
      <c r="AB116" s="312">
        <v>207</v>
      </c>
      <c r="AC116" s="312"/>
      <c r="AD116" s="312"/>
      <c r="AE116" s="312"/>
      <c r="AF116" s="312"/>
      <c r="AG116" s="312">
        <v>207</v>
      </c>
      <c r="AH116" s="312"/>
      <c r="AI116" s="312"/>
      <c r="AJ116" s="312"/>
      <c r="AK116" s="312"/>
      <c r="AL116" s="312">
        <v>207</v>
      </c>
      <c r="AM116" s="312"/>
      <c r="AN116" s="312"/>
      <c r="AO116" s="312"/>
      <c r="AP116" s="312"/>
      <c r="AQ116" s="312">
        <v>207</v>
      </c>
      <c r="AR116" s="312"/>
      <c r="AS116" s="312"/>
      <c r="AT116" s="312"/>
      <c r="AU116" s="312"/>
      <c r="AV116" s="312">
        <v>207</v>
      </c>
      <c r="AW116" s="312"/>
      <c r="AX116" s="312"/>
      <c r="AY116" s="312"/>
      <c r="AZ116" s="312"/>
      <c r="BA116" s="312">
        <v>207</v>
      </c>
      <c r="BB116" s="312"/>
      <c r="BC116" s="312"/>
      <c r="BD116" s="312"/>
      <c r="BE116" s="312"/>
      <c r="BF116" s="312">
        <v>207</v>
      </c>
      <c r="BG116" s="312"/>
      <c r="BH116" s="312"/>
      <c r="BI116" s="312"/>
      <c r="BJ116" s="312"/>
      <c r="BK116" s="312">
        <v>207</v>
      </c>
      <c r="BL116" s="312"/>
      <c r="BM116" s="312"/>
      <c r="BN116" s="312"/>
      <c r="BO116" s="312" t="s">
        <v>9268</v>
      </c>
    </row>
    <row r="117" spans="1:67" hidden="1" outlineLevel="1">
      <c r="A117" s="312" t="s">
        <v>6956</v>
      </c>
      <c r="B117" s="312" t="s">
        <v>9407</v>
      </c>
      <c r="C117" s="312" t="s">
        <v>9394</v>
      </c>
      <c r="D117" s="312" t="s">
        <v>9266</v>
      </c>
      <c r="E117" s="312" t="s">
        <v>9267</v>
      </c>
      <c r="F117" s="312"/>
      <c r="G117" s="312"/>
      <c r="H117" s="312">
        <v>216</v>
      </c>
      <c r="I117" s="312"/>
      <c r="J117" s="312"/>
      <c r="K117" s="312"/>
      <c r="L117" s="312"/>
      <c r="M117" s="312">
        <v>216</v>
      </c>
      <c r="N117" s="312"/>
      <c r="O117" s="312"/>
      <c r="P117" s="312"/>
      <c r="Q117" s="312"/>
      <c r="R117" s="312">
        <v>216</v>
      </c>
      <c r="S117" s="312"/>
      <c r="T117" s="312"/>
      <c r="U117" s="312"/>
      <c r="V117" s="312"/>
      <c r="W117" s="312">
        <v>216</v>
      </c>
      <c r="X117" s="312"/>
      <c r="Y117" s="312"/>
      <c r="Z117" s="312"/>
      <c r="AA117" s="312"/>
      <c r="AB117" s="312">
        <v>216</v>
      </c>
      <c r="AC117" s="312"/>
      <c r="AD117" s="312"/>
      <c r="AE117" s="312"/>
      <c r="AF117" s="312"/>
      <c r="AG117" s="312">
        <v>216</v>
      </c>
      <c r="AH117" s="312"/>
      <c r="AI117" s="312"/>
      <c r="AJ117" s="312"/>
      <c r="AK117" s="312"/>
      <c r="AL117" s="312">
        <v>216</v>
      </c>
      <c r="AM117" s="312"/>
      <c r="AN117" s="312"/>
      <c r="AO117" s="312"/>
      <c r="AP117" s="312"/>
      <c r="AQ117" s="312">
        <v>216</v>
      </c>
      <c r="AR117" s="312"/>
      <c r="AS117" s="312"/>
      <c r="AT117" s="312"/>
      <c r="AU117" s="312"/>
      <c r="AV117" s="312">
        <v>216</v>
      </c>
      <c r="AW117" s="312"/>
      <c r="AX117" s="312"/>
      <c r="AY117" s="312"/>
      <c r="AZ117" s="312"/>
      <c r="BA117" s="312">
        <v>216</v>
      </c>
      <c r="BB117" s="312"/>
      <c r="BC117" s="312"/>
      <c r="BD117" s="312"/>
      <c r="BE117" s="312"/>
      <c r="BF117" s="312">
        <v>216</v>
      </c>
      <c r="BG117" s="312"/>
      <c r="BH117" s="312"/>
      <c r="BI117" s="312"/>
      <c r="BJ117" s="312"/>
      <c r="BK117" s="312">
        <v>216</v>
      </c>
      <c r="BL117" s="312"/>
      <c r="BM117" s="312"/>
      <c r="BN117" s="312"/>
      <c r="BO117" s="312" t="s">
        <v>9268</v>
      </c>
    </row>
    <row r="118" spans="1:67" hidden="1" outlineLevel="1">
      <c r="A118" s="312" t="s">
        <v>8170</v>
      </c>
      <c r="B118" s="312" t="s">
        <v>9408</v>
      </c>
      <c r="C118" s="312" t="s">
        <v>9394</v>
      </c>
      <c r="D118" s="312" t="s">
        <v>9266</v>
      </c>
      <c r="E118" s="312" t="s">
        <v>9267</v>
      </c>
      <c r="F118" s="312"/>
      <c r="G118" s="312"/>
      <c r="H118" s="312">
        <v>220</v>
      </c>
      <c r="I118" s="312"/>
      <c r="J118" s="312"/>
      <c r="K118" s="312"/>
      <c r="L118" s="312"/>
      <c r="M118" s="312">
        <v>220</v>
      </c>
      <c r="N118" s="312"/>
      <c r="O118" s="312"/>
      <c r="P118" s="312"/>
      <c r="Q118" s="312"/>
      <c r="R118" s="312">
        <v>220</v>
      </c>
      <c r="S118" s="312"/>
      <c r="T118" s="312"/>
      <c r="U118" s="312"/>
      <c r="V118" s="312"/>
      <c r="W118" s="312">
        <v>220</v>
      </c>
      <c r="X118" s="312"/>
      <c r="Y118" s="312"/>
      <c r="Z118" s="312"/>
      <c r="AA118" s="312"/>
      <c r="AB118" s="312">
        <v>220</v>
      </c>
      <c r="AC118" s="312"/>
      <c r="AD118" s="312"/>
      <c r="AE118" s="312"/>
      <c r="AF118" s="312"/>
      <c r="AG118" s="312">
        <v>220</v>
      </c>
      <c r="AH118" s="312"/>
      <c r="AI118" s="312"/>
      <c r="AJ118" s="312"/>
      <c r="AK118" s="312"/>
      <c r="AL118" s="312">
        <v>220</v>
      </c>
      <c r="AM118" s="312"/>
      <c r="AN118" s="312"/>
      <c r="AO118" s="312"/>
      <c r="AP118" s="312"/>
      <c r="AQ118" s="312">
        <v>220</v>
      </c>
      <c r="AR118" s="312"/>
      <c r="AS118" s="312"/>
      <c r="AT118" s="312"/>
      <c r="AU118" s="312"/>
      <c r="AV118" s="312">
        <v>220</v>
      </c>
      <c r="AW118" s="312"/>
      <c r="AX118" s="312"/>
      <c r="AY118" s="312"/>
      <c r="AZ118" s="312"/>
      <c r="BA118" s="312">
        <v>220</v>
      </c>
      <c r="BB118" s="312"/>
      <c r="BC118" s="312"/>
      <c r="BD118" s="312"/>
      <c r="BE118" s="312"/>
      <c r="BF118" s="312">
        <v>220</v>
      </c>
      <c r="BG118" s="312"/>
      <c r="BH118" s="312"/>
      <c r="BI118" s="312"/>
      <c r="BJ118" s="312"/>
      <c r="BK118" s="312">
        <v>220</v>
      </c>
      <c r="BL118" s="312"/>
      <c r="BM118" s="312"/>
      <c r="BN118" s="312"/>
      <c r="BO118" s="312" t="s">
        <v>9268</v>
      </c>
    </row>
    <row r="119" spans="1:67" hidden="1" outlineLevel="1">
      <c r="A119" s="312" t="s">
        <v>9409</v>
      </c>
      <c r="B119" s="312" t="s">
        <v>9410</v>
      </c>
      <c r="C119" s="312" t="s">
        <v>9394</v>
      </c>
      <c r="D119" s="312" t="s">
        <v>9266</v>
      </c>
      <c r="E119" s="312" t="s">
        <v>9267</v>
      </c>
      <c r="F119" s="312"/>
      <c r="G119" s="312"/>
      <c r="H119" s="312">
        <v>228</v>
      </c>
      <c r="I119" s="312"/>
      <c r="J119" s="312"/>
      <c r="K119" s="312"/>
      <c r="L119" s="312"/>
      <c r="M119" s="312">
        <v>228</v>
      </c>
      <c r="N119" s="312"/>
      <c r="O119" s="312"/>
      <c r="P119" s="312"/>
      <c r="Q119" s="312"/>
      <c r="R119" s="312">
        <v>228</v>
      </c>
      <c r="S119" s="312"/>
      <c r="T119" s="312"/>
      <c r="U119" s="312"/>
      <c r="V119" s="312"/>
      <c r="W119" s="312">
        <v>228</v>
      </c>
      <c r="X119" s="312"/>
      <c r="Y119" s="312"/>
      <c r="Z119" s="312"/>
      <c r="AA119" s="312"/>
      <c r="AB119" s="312">
        <v>228</v>
      </c>
      <c r="AC119" s="312"/>
      <c r="AD119" s="312"/>
      <c r="AE119" s="312"/>
      <c r="AF119" s="312"/>
      <c r="AG119" s="312">
        <v>228</v>
      </c>
      <c r="AH119" s="312"/>
      <c r="AI119" s="312"/>
      <c r="AJ119" s="312"/>
      <c r="AK119" s="312"/>
      <c r="AL119" s="312">
        <v>228</v>
      </c>
      <c r="AM119" s="312"/>
      <c r="AN119" s="312"/>
      <c r="AO119" s="312"/>
      <c r="AP119" s="312"/>
      <c r="AQ119" s="312">
        <v>228</v>
      </c>
      <c r="AR119" s="312"/>
      <c r="AS119" s="312"/>
      <c r="AT119" s="312"/>
      <c r="AU119" s="312"/>
      <c r="AV119" s="312">
        <v>228</v>
      </c>
      <c r="AW119" s="312"/>
      <c r="AX119" s="312"/>
      <c r="AY119" s="312"/>
      <c r="AZ119" s="312"/>
      <c r="BA119" s="312">
        <v>228</v>
      </c>
      <c r="BB119" s="312"/>
      <c r="BC119" s="312"/>
      <c r="BD119" s="312"/>
      <c r="BE119" s="312"/>
      <c r="BF119" s="312">
        <v>228</v>
      </c>
      <c r="BG119" s="312"/>
      <c r="BH119" s="312"/>
      <c r="BI119" s="312"/>
      <c r="BJ119" s="312"/>
      <c r="BK119" s="312">
        <v>228</v>
      </c>
      <c r="BL119" s="312"/>
      <c r="BM119" s="312"/>
      <c r="BN119" s="312"/>
      <c r="BO119" s="312" t="s">
        <v>9268</v>
      </c>
    </row>
    <row r="120" spans="1:67" hidden="1" outlineLevel="1">
      <c r="A120" s="312" t="s">
        <v>6912</v>
      </c>
      <c r="B120" s="312" t="s">
        <v>9411</v>
      </c>
      <c r="C120" s="312" t="s">
        <v>9394</v>
      </c>
      <c r="D120" s="312" t="s">
        <v>9266</v>
      </c>
      <c r="E120" s="312" t="s">
        <v>9267</v>
      </c>
      <c r="F120" s="312"/>
      <c r="G120" s="312"/>
      <c r="H120" s="312">
        <v>252</v>
      </c>
      <c r="I120" s="312"/>
      <c r="J120" s="312"/>
      <c r="K120" s="312"/>
      <c r="L120" s="312"/>
      <c r="M120" s="312">
        <v>252</v>
      </c>
      <c r="N120" s="312"/>
      <c r="O120" s="312"/>
      <c r="P120" s="312"/>
      <c r="Q120" s="312"/>
      <c r="R120" s="312">
        <v>252</v>
      </c>
      <c r="S120" s="312"/>
      <c r="T120" s="312"/>
      <c r="U120" s="312"/>
      <c r="V120" s="312"/>
      <c r="W120" s="312">
        <v>252</v>
      </c>
      <c r="X120" s="312"/>
      <c r="Y120" s="312"/>
      <c r="Z120" s="312"/>
      <c r="AA120" s="312"/>
      <c r="AB120" s="312">
        <v>252</v>
      </c>
      <c r="AC120" s="312"/>
      <c r="AD120" s="312"/>
      <c r="AE120" s="312"/>
      <c r="AF120" s="312"/>
      <c r="AG120" s="312">
        <v>252</v>
      </c>
      <c r="AH120" s="312"/>
      <c r="AI120" s="312"/>
      <c r="AJ120" s="312"/>
      <c r="AK120" s="312"/>
      <c r="AL120" s="312">
        <v>252</v>
      </c>
      <c r="AM120" s="312"/>
      <c r="AN120" s="312"/>
      <c r="AO120" s="312"/>
      <c r="AP120" s="312"/>
      <c r="AQ120" s="312">
        <v>252</v>
      </c>
      <c r="AR120" s="312"/>
      <c r="AS120" s="312"/>
      <c r="AT120" s="312"/>
      <c r="AU120" s="312"/>
      <c r="AV120" s="312">
        <v>252</v>
      </c>
      <c r="AW120" s="312"/>
      <c r="AX120" s="312"/>
      <c r="AY120" s="312"/>
      <c r="AZ120" s="312"/>
      <c r="BA120" s="312">
        <v>252</v>
      </c>
      <c r="BB120" s="312"/>
      <c r="BC120" s="312"/>
      <c r="BD120" s="312"/>
      <c r="BE120" s="312"/>
      <c r="BF120" s="312">
        <v>252</v>
      </c>
      <c r="BG120" s="312"/>
      <c r="BH120" s="312"/>
      <c r="BI120" s="312"/>
      <c r="BJ120" s="312"/>
      <c r="BK120" s="312">
        <v>252</v>
      </c>
      <c r="BL120" s="312"/>
      <c r="BM120" s="312"/>
      <c r="BN120" s="312"/>
      <c r="BO120" s="312" t="s">
        <v>9268</v>
      </c>
    </row>
    <row r="121" spans="1:67" hidden="1" outlineLevel="1">
      <c r="A121" s="312" t="s">
        <v>6654</v>
      </c>
      <c r="B121" s="312" t="s">
        <v>9412</v>
      </c>
      <c r="C121" s="312" t="s">
        <v>9394</v>
      </c>
      <c r="D121" s="312" t="s">
        <v>9266</v>
      </c>
      <c r="E121" s="312" t="s">
        <v>9267</v>
      </c>
      <c r="F121" s="312"/>
      <c r="G121" s="312"/>
      <c r="H121" s="312">
        <v>346</v>
      </c>
      <c r="I121" s="312"/>
      <c r="J121" s="312"/>
      <c r="K121" s="312"/>
      <c r="L121" s="312"/>
      <c r="M121" s="312">
        <v>346</v>
      </c>
      <c r="N121" s="312"/>
      <c r="O121" s="312"/>
      <c r="P121" s="312"/>
      <c r="Q121" s="312"/>
      <c r="R121" s="312">
        <v>346</v>
      </c>
      <c r="S121" s="312"/>
      <c r="T121" s="312"/>
      <c r="U121" s="312"/>
      <c r="V121" s="312"/>
      <c r="W121" s="312">
        <v>346</v>
      </c>
      <c r="X121" s="312"/>
      <c r="Y121" s="312"/>
      <c r="Z121" s="312"/>
      <c r="AA121" s="312"/>
      <c r="AB121" s="312">
        <v>346</v>
      </c>
      <c r="AC121" s="312"/>
      <c r="AD121" s="312"/>
      <c r="AE121" s="312"/>
      <c r="AF121" s="312"/>
      <c r="AG121" s="312">
        <v>346</v>
      </c>
      <c r="AH121" s="312"/>
      <c r="AI121" s="312"/>
      <c r="AJ121" s="312"/>
      <c r="AK121" s="312"/>
      <c r="AL121" s="312">
        <v>346</v>
      </c>
      <c r="AM121" s="312"/>
      <c r="AN121" s="312"/>
      <c r="AO121" s="312"/>
      <c r="AP121" s="312"/>
      <c r="AQ121" s="312">
        <v>346</v>
      </c>
      <c r="AR121" s="312"/>
      <c r="AS121" s="312"/>
      <c r="AT121" s="312"/>
      <c r="AU121" s="312"/>
      <c r="AV121" s="312">
        <v>346</v>
      </c>
      <c r="AW121" s="312"/>
      <c r="AX121" s="312"/>
      <c r="AY121" s="312"/>
      <c r="AZ121" s="312"/>
      <c r="BA121" s="312">
        <v>346</v>
      </c>
      <c r="BB121" s="312"/>
      <c r="BC121" s="312"/>
      <c r="BD121" s="312"/>
      <c r="BE121" s="312"/>
      <c r="BF121" s="312">
        <v>346</v>
      </c>
      <c r="BG121" s="312"/>
      <c r="BH121" s="312"/>
      <c r="BI121" s="312"/>
      <c r="BJ121" s="312"/>
      <c r="BK121" s="312">
        <v>346</v>
      </c>
      <c r="BL121" s="312"/>
      <c r="BM121" s="312"/>
      <c r="BN121" s="312"/>
      <c r="BO121" s="312" t="s">
        <v>9268</v>
      </c>
    </row>
    <row r="122" spans="1:67" hidden="1" outlineLevel="1">
      <c r="A122" s="312" t="s">
        <v>7328</v>
      </c>
      <c r="B122" s="312" t="s">
        <v>9413</v>
      </c>
      <c r="C122" s="312" t="s">
        <v>9394</v>
      </c>
      <c r="D122" s="312" t="s">
        <v>9266</v>
      </c>
      <c r="E122" s="312" t="s">
        <v>9267</v>
      </c>
      <c r="F122" s="312"/>
      <c r="G122" s="312"/>
      <c r="H122" s="312">
        <v>435</v>
      </c>
      <c r="I122" s="312"/>
      <c r="J122" s="312"/>
      <c r="K122" s="312"/>
      <c r="L122" s="312"/>
      <c r="M122" s="312">
        <v>435</v>
      </c>
      <c r="N122" s="312"/>
      <c r="O122" s="312"/>
      <c r="P122" s="312"/>
      <c r="Q122" s="312"/>
      <c r="R122" s="312">
        <v>435</v>
      </c>
      <c r="S122" s="312"/>
      <c r="T122" s="312"/>
      <c r="U122" s="312"/>
      <c r="V122" s="312"/>
      <c r="W122" s="312">
        <v>435</v>
      </c>
      <c r="X122" s="312"/>
      <c r="Y122" s="312"/>
      <c r="Z122" s="312"/>
      <c r="AA122" s="312"/>
      <c r="AB122" s="312">
        <v>435</v>
      </c>
      <c r="AC122" s="312"/>
      <c r="AD122" s="312"/>
      <c r="AE122" s="312"/>
      <c r="AF122" s="312"/>
      <c r="AG122" s="312">
        <v>435</v>
      </c>
      <c r="AH122" s="312"/>
      <c r="AI122" s="312"/>
      <c r="AJ122" s="312"/>
      <c r="AK122" s="312"/>
      <c r="AL122" s="312">
        <v>435</v>
      </c>
      <c r="AM122" s="312"/>
      <c r="AN122" s="312"/>
      <c r="AO122" s="312"/>
      <c r="AP122" s="312"/>
      <c r="AQ122" s="312">
        <v>435</v>
      </c>
      <c r="AR122" s="312"/>
      <c r="AS122" s="312"/>
      <c r="AT122" s="312"/>
      <c r="AU122" s="312"/>
      <c r="AV122" s="312">
        <v>435</v>
      </c>
      <c r="AW122" s="312"/>
      <c r="AX122" s="312"/>
      <c r="AY122" s="312"/>
      <c r="AZ122" s="312"/>
      <c r="BA122" s="312">
        <v>435</v>
      </c>
      <c r="BB122" s="312"/>
      <c r="BC122" s="312"/>
      <c r="BD122" s="312"/>
      <c r="BE122" s="312"/>
      <c r="BF122" s="312">
        <v>435</v>
      </c>
      <c r="BG122" s="312"/>
      <c r="BH122" s="312"/>
      <c r="BI122" s="312"/>
      <c r="BJ122" s="312"/>
      <c r="BK122" s="312">
        <v>435</v>
      </c>
      <c r="BL122" s="312"/>
      <c r="BM122" s="312"/>
      <c r="BN122" s="312"/>
      <c r="BO122" s="312" t="s">
        <v>9268</v>
      </c>
    </row>
    <row r="123" spans="1:67" hidden="1" outlineLevel="1">
      <c r="A123" s="312" t="s">
        <v>6659</v>
      </c>
      <c r="B123" s="312" t="s">
        <v>9414</v>
      </c>
      <c r="C123" s="312" t="s">
        <v>9394</v>
      </c>
      <c r="D123" s="312" t="s">
        <v>9266</v>
      </c>
      <c r="E123" s="312" t="s">
        <v>9267</v>
      </c>
      <c r="F123" s="312"/>
      <c r="G123" s="312"/>
      <c r="H123" s="312">
        <v>560</v>
      </c>
      <c r="I123" s="312"/>
      <c r="J123" s="312"/>
      <c r="K123" s="312"/>
      <c r="L123" s="312"/>
      <c r="M123" s="312">
        <v>560</v>
      </c>
      <c r="N123" s="312"/>
      <c r="O123" s="312"/>
      <c r="P123" s="312"/>
      <c r="Q123" s="312"/>
      <c r="R123" s="312">
        <v>560</v>
      </c>
      <c r="S123" s="312"/>
      <c r="T123" s="312"/>
      <c r="U123" s="312"/>
      <c r="V123" s="312"/>
      <c r="W123" s="312">
        <v>560</v>
      </c>
      <c r="X123" s="312"/>
      <c r="Y123" s="312"/>
      <c r="Z123" s="312"/>
      <c r="AA123" s="312"/>
      <c r="AB123" s="312">
        <v>560</v>
      </c>
      <c r="AC123" s="312"/>
      <c r="AD123" s="312"/>
      <c r="AE123" s="312"/>
      <c r="AF123" s="312"/>
      <c r="AG123" s="312">
        <v>560</v>
      </c>
      <c r="AH123" s="312"/>
      <c r="AI123" s="312"/>
      <c r="AJ123" s="312"/>
      <c r="AK123" s="312"/>
      <c r="AL123" s="312">
        <v>560</v>
      </c>
      <c r="AM123" s="312"/>
      <c r="AN123" s="312"/>
      <c r="AO123" s="312"/>
      <c r="AP123" s="312"/>
      <c r="AQ123" s="312">
        <v>560</v>
      </c>
      <c r="AR123" s="312"/>
      <c r="AS123" s="312"/>
      <c r="AT123" s="312"/>
      <c r="AU123" s="312"/>
      <c r="AV123" s="312">
        <v>560</v>
      </c>
      <c r="AW123" s="312"/>
      <c r="AX123" s="312"/>
      <c r="AY123" s="312"/>
      <c r="AZ123" s="312"/>
      <c r="BA123" s="312">
        <v>560</v>
      </c>
      <c r="BB123" s="312"/>
      <c r="BC123" s="312"/>
      <c r="BD123" s="312"/>
      <c r="BE123" s="312"/>
      <c r="BF123" s="312">
        <v>560</v>
      </c>
      <c r="BG123" s="312"/>
      <c r="BH123" s="312"/>
      <c r="BI123" s="312"/>
      <c r="BJ123" s="312"/>
      <c r="BK123" s="312">
        <v>560</v>
      </c>
      <c r="BL123" s="312"/>
      <c r="BM123" s="312"/>
      <c r="BN123" s="312"/>
      <c r="BO123" s="312" t="s">
        <v>9270</v>
      </c>
    </row>
    <row r="124" spans="1:67" hidden="1" outlineLevel="1">
      <c r="A124" s="312" t="s">
        <v>7283</v>
      </c>
      <c r="B124" s="312" t="s">
        <v>9415</v>
      </c>
      <c r="C124" s="312" t="s">
        <v>9394</v>
      </c>
      <c r="D124" s="312" t="s">
        <v>9266</v>
      </c>
      <c r="E124" s="312" t="s">
        <v>9267</v>
      </c>
      <c r="F124" s="312"/>
      <c r="G124" s="312"/>
      <c r="H124" s="312">
        <v>661</v>
      </c>
      <c r="I124" s="312"/>
      <c r="J124" s="312"/>
      <c r="K124" s="312"/>
      <c r="L124" s="312"/>
      <c r="M124" s="312">
        <v>661</v>
      </c>
      <c r="N124" s="312"/>
      <c r="O124" s="312"/>
      <c r="P124" s="312"/>
      <c r="Q124" s="312"/>
      <c r="R124" s="312">
        <v>661</v>
      </c>
      <c r="S124" s="312"/>
      <c r="T124" s="312"/>
      <c r="U124" s="312"/>
      <c r="V124" s="312"/>
      <c r="W124" s="312">
        <v>661</v>
      </c>
      <c r="X124" s="312"/>
      <c r="Y124" s="312"/>
      <c r="Z124" s="312"/>
      <c r="AA124" s="312"/>
      <c r="AB124" s="312">
        <v>661</v>
      </c>
      <c r="AC124" s="312"/>
      <c r="AD124" s="312"/>
      <c r="AE124" s="312"/>
      <c r="AF124" s="312"/>
      <c r="AG124" s="312">
        <v>661</v>
      </c>
      <c r="AH124" s="312"/>
      <c r="AI124" s="312"/>
      <c r="AJ124" s="312"/>
      <c r="AK124" s="312"/>
      <c r="AL124" s="312">
        <v>661</v>
      </c>
      <c r="AM124" s="312"/>
      <c r="AN124" s="312"/>
      <c r="AO124" s="312"/>
      <c r="AP124" s="312"/>
      <c r="AQ124" s="312">
        <v>661</v>
      </c>
      <c r="AR124" s="312"/>
      <c r="AS124" s="312"/>
      <c r="AT124" s="312"/>
      <c r="AU124" s="312"/>
      <c r="AV124" s="312">
        <v>661</v>
      </c>
      <c r="AW124" s="312"/>
      <c r="AX124" s="312"/>
      <c r="AY124" s="312"/>
      <c r="AZ124" s="312"/>
      <c r="BA124" s="312">
        <v>661</v>
      </c>
      <c r="BB124" s="312"/>
      <c r="BC124" s="312"/>
      <c r="BD124" s="312"/>
      <c r="BE124" s="312"/>
      <c r="BF124" s="312">
        <v>661</v>
      </c>
      <c r="BG124" s="312"/>
      <c r="BH124" s="312"/>
      <c r="BI124" s="312"/>
      <c r="BJ124" s="312"/>
      <c r="BK124" s="312">
        <v>661</v>
      </c>
      <c r="BL124" s="312"/>
      <c r="BM124" s="312"/>
      <c r="BN124" s="312"/>
      <c r="BO124" s="312" t="s">
        <v>9270</v>
      </c>
    </row>
    <row r="125" spans="1:67" hidden="1" outlineLevel="1">
      <c r="A125" s="312" t="s">
        <v>9416</v>
      </c>
      <c r="B125" s="312" t="s">
        <v>9417</v>
      </c>
      <c r="C125" s="312" t="s">
        <v>9394</v>
      </c>
      <c r="D125" s="312" t="s">
        <v>9266</v>
      </c>
      <c r="E125" s="312" t="s">
        <v>9267</v>
      </c>
      <c r="F125" s="312"/>
      <c r="G125" s="312"/>
      <c r="H125" s="312">
        <v>402</v>
      </c>
      <c r="I125" s="312"/>
      <c r="J125" s="312"/>
      <c r="K125" s="312"/>
      <c r="L125" s="312"/>
      <c r="M125" s="312">
        <v>402</v>
      </c>
      <c r="N125" s="312"/>
      <c r="O125" s="312"/>
      <c r="P125" s="312"/>
      <c r="Q125" s="312"/>
      <c r="R125" s="312">
        <v>402</v>
      </c>
      <c r="S125" s="312"/>
      <c r="T125" s="312"/>
      <c r="U125" s="312"/>
      <c r="V125" s="312"/>
      <c r="W125" s="312">
        <v>402</v>
      </c>
      <c r="X125" s="312"/>
      <c r="Y125" s="312"/>
      <c r="Z125" s="312"/>
      <c r="AA125" s="312"/>
      <c r="AB125" s="312">
        <v>402</v>
      </c>
      <c r="AC125" s="312"/>
      <c r="AD125" s="312"/>
      <c r="AE125" s="312"/>
      <c r="AF125" s="312"/>
      <c r="AG125" s="312">
        <v>402</v>
      </c>
      <c r="AH125" s="312"/>
      <c r="AI125" s="312"/>
      <c r="AJ125" s="312"/>
      <c r="AK125" s="312"/>
      <c r="AL125" s="312">
        <v>402</v>
      </c>
      <c r="AM125" s="312"/>
      <c r="AN125" s="312"/>
      <c r="AO125" s="312"/>
      <c r="AP125" s="312"/>
      <c r="AQ125" s="312">
        <v>402</v>
      </c>
      <c r="AR125" s="312"/>
      <c r="AS125" s="312"/>
      <c r="AT125" s="312"/>
      <c r="AU125" s="312"/>
      <c r="AV125" s="312">
        <v>402</v>
      </c>
      <c r="AW125" s="312"/>
      <c r="AX125" s="312"/>
      <c r="AY125" s="312"/>
      <c r="AZ125" s="312"/>
      <c r="BA125" s="312">
        <v>402</v>
      </c>
      <c r="BB125" s="312"/>
      <c r="BC125" s="312"/>
      <c r="BD125" s="312"/>
      <c r="BE125" s="312"/>
      <c r="BF125" s="312">
        <v>402</v>
      </c>
      <c r="BG125" s="312"/>
      <c r="BH125" s="312">
        <v>402</v>
      </c>
      <c r="BI125" s="312"/>
      <c r="BJ125" s="312"/>
      <c r="BK125" s="312"/>
      <c r="BL125" s="312"/>
      <c r="BM125" s="312"/>
      <c r="BN125" s="312"/>
      <c r="BO125" s="312" t="s">
        <v>9268</v>
      </c>
    </row>
    <row r="126" spans="1:67" collapsed="1">
      <c r="A126" s="312" t="s">
        <v>8136</v>
      </c>
      <c r="B126" s="312" t="s">
        <v>9418</v>
      </c>
      <c r="C126" s="312" t="s">
        <v>9419</v>
      </c>
      <c r="D126" s="312" t="s">
        <v>9266</v>
      </c>
      <c r="E126" s="312" t="s">
        <v>9267</v>
      </c>
      <c r="F126" s="312"/>
      <c r="G126" s="312"/>
      <c r="H126" s="312"/>
      <c r="I126" s="312"/>
      <c r="J126" s="312"/>
      <c r="K126" s="312"/>
      <c r="L126" s="312"/>
      <c r="M126" s="312"/>
      <c r="N126" s="312"/>
      <c r="O126" s="312"/>
      <c r="P126" s="312"/>
      <c r="Q126" s="312"/>
      <c r="R126" s="312"/>
      <c r="S126" s="312"/>
      <c r="T126" s="312"/>
      <c r="U126" s="312"/>
      <c r="V126" s="312"/>
      <c r="W126" s="312"/>
      <c r="X126" s="312"/>
      <c r="Y126" s="312"/>
      <c r="Z126" s="312"/>
      <c r="AA126" s="312"/>
      <c r="AB126" s="312"/>
      <c r="AC126" s="312"/>
      <c r="AD126" s="312"/>
      <c r="AE126" s="312"/>
      <c r="AF126" s="312"/>
      <c r="AG126" s="312"/>
      <c r="AH126" s="312"/>
      <c r="AI126" s="312"/>
      <c r="AJ126" s="312"/>
      <c r="AK126" s="312"/>
      <c r="AL126" s="312"/>
      <c r="AM126" s="312"/>
      <c r="AN126" s="312"/>
      <c r="AO126" s="312"/>
      <c r="AP126" s="312"/>
      <c r="AQ126" s="312"/>
      <c r="AR126" s="312"/>
      <c r="AS126" s="312"/>
      <c r="AT126" s="312"/>
      <c r="AU126" s="312"/>
      <c r="AV126" s="312"/>
      <c r="AW126" s="312"/>
      <c r="AX126" s="312"/>
      <c r="AY126" s="312"/>
      <c r="AZ126" s="312"/>
      <c r="BA126" s="312"/>
      <c r="BB126" s="312"/>
      <c r="BC126" s="312"/>
      <c r="BD126" s="312"/>
      <c r="BE126" s="312"/>
      <c r="BF126" s="312"/>
      <c r="BG126" s="312"/>
      <c r="BH126" s="312"/>
      <c r="BI126" s="312"/>
      <c r="BJ126" s="312"/>
      <c r="BK126" s="312"/>
      <c r="BL126" s="312"/>
      <c r="BM126" s="312"/>
      <c r="BN126" s="312"/>
      <c r="BO126" s="312"/>
    </row>
    <row r="127" spans="1:67" s="16" customFormat="1">
      <c r="A127" s="16" t="s">
        <v>6927</v>
      </c>
      <c r="B127" s="16" t="s">
        <v>9420</v>
      </c>
      <c r="C127" s="16" t="s">
        <v>9419</v>
      </c>
      <c r="D127" s="16" t="s">
        <v>9266</v>
      </c>
      <c r="E127" s="16" t="s">
        <v>9267</v>
      </c>
      <c r="H127" s="16">
        <v>537</v>
      </c>
      <c r="M127" s="16">
        <v>537</v>
      </c>
      <c r="R127" s="16">
        <v>537</v>
      </c>
      <c r="W127" s="16">
        <v>537</v>
      </c>
      <c r="AB127" s="16">
        <v>537</v>
      </c>
      <c r="AG127" s="16">
        <v>537</v>
      </c>
      <c r="AL127" s="16">
        <v>537</v>
      </c>
      <c r="AQ127" s="16">
        <v>537</v>
      </c>
      <c r="AV127" s="16">
        <v>537</v>
      </c>
      <c r="BA127" s="16">
        <v>537</v>
      </c>
      <c r="BF127" s="16">
        <v>537</v>
      </c>
      <c r="BK127" s="16">
        <v>537</v>
      </c>
      <c r="BO127" s="16" t="s">
        <v>9270</v>
      </c>
    </row>
    <row r="128" spans="1:67" s="16" customFormat="1">
      <c r="A128" s="16" t="s">
        <v>6402</v>
      </c>
      <c r="B128" s="16" t="s">
        <v>9421</v>
      </c>
      <c r="C128" s="16" t="s">
        <v>9419</v>
      </c>
      <c r="D128" s="16" t="s">
        <v>9266</v>
      </c>
      <c r="E128" s="16" t="s">
        <v>9267</v>
      </c>
      <c r="H128" s="16">
        <v>715</v>
      </c>
      <c r="M128" s="16">
        <v>715</v>
      </c>
      <c r="R128" s="16">
        <v>715</v>
      </c>
      <c r="W128" s="16">
        <v>715</v>
      </c>
      <c r="AB128" s="16">
        <v>715</v>
      </c>
      <c r="AG128" s="16">
        <v>715</v>
      </c>
      <c r="AL128" s="16">
        <v>715</v>
      </c>
      <c r="AQ128" s="16">
        <v>715</v>
      </c>
      <c r="AV128" s="16">
        <v>715</v>
      </c>
      <c r="BA128" s="16">
        <v>715</v>
      </c>
      <c r="BF128" s="16">
        <v>715</v>
      </c>
      <c r="BK128" s="16">
        <v>715</v>
      </c>
      <c r="BO128" s="16" t="s">
        <v>9270</v>
      </c>
    </row>
    <row r="129" spans="1:67" hidden="1" outlineLevel="1">
      <c r="A129" s="312" t="s">
        <v>7986</v>
      </c>
      <c r="B129" s="312" t="s">
        <v>9422</v>
      </c>
      <c r="C129" s="312" t="s">
        <v>7597</v>
      </c>
      <c r="D129" s="312" t="s">
        <v>9266</v>
      </c>
      <c r="E129" s="312" t="s">
        <v>9267</v>
      </c>
      <c r="F129" s="312"/>
      <c r="G129" s="312"/>
      <c r="H129" s="312">
        <v>327</v>
      </c>
      <c r="I129" s="312"/>
      <c r="J129" s="312"/>
      <c r="K129" s="312"/>
      <c r="L129" s="312"/>
      <c r="M129" s="312">
        <v>327</v>
      </c>
      <c r="N129" s="312"/>
      <c r="O129" s="312"/>
      <c r="P129" s="312"/>
      <c r="Q129" s="312"/>
      <c r="R129" s="312">
        <v>327</v>
      </c>
      <c r="S129" s="312"/>
      <c r="T129" s="312"/>
      <c r="U129" s="312"/>
      <c r="V129" s="312"/>
      <c r="W129" s="312">
        <v>327</v>
      </c>
      <c r="X129" s="312"/>
      <c r="Y129" s="312"/>
      <c r="Z129" s="312"/>
      <c r="AA129" s="312"/>
      <c r="AB129" s="312">
        <v>327</v>
      </c>
      <c r="AC129" s="312"/>
      <c r="AD129" s="312"/>
      <c r="AE129" s="312"/>
      <c r="AF129" s="312"/>
      <c r="AG129" s="312">
        <v>327</v>
      </c>
      <c r="AH129" s="312"/>
      <c r="AI129" s="312"/>
      <c r="AJ129" s="312"/>
      <c r="AK129" s="312"/>
      <c r="AL129" s="312">
        <v>327</v>
      </c>
      <c r="AM129" s="312"/>
      <c r="AN129" s="312"/>
      <c r="AO129" s="312"/>
      <c r="AP129" s="312"/>
      <c r="AQ129" s="312">
        <v>327</v>
      </c>
      <c r="AR129" s="312"/>
      <c r="AS129" s="312"/>
      <c r="AT129" s="312"/>
      <c r="AU129" s="312"/>
      <c r="AV129" s="312">
        <v>327</v>
      </c>
      <c r="AW129" s="312"/>
      <c r="AX129" s="312"/>
      <c r="AY129" s="312"/>
      <c r="AZ129" s="312"/>
      <c r="BA129" s="312">
        <v>327</v>
      </c>
      <c r="BB129" s="312"/>
      <c r="BC129" s="312"/>
      <c r="BD129" s="312"/>
      <c r="BE129" s="312"/>
      <c r="BF129" s="312">
        <v>327</v>
      </c>
      <c r="BG129" s="312"/>
      <c r="BH129" s="312"/>
      <c r="BI129" s="312"/>
      <c r="BJ129" s="312"/>
      <c r="BK129" s="312">
        <v>327</v>
      </c>
      <c r="BL129" s="312"/>
      <c r="BM129" s="312"/>
      <c r="BN129" s="312"/>
      <c r="BO129" s="312" t="s">
        <v>9268</v>
      </c>
    </row>
    <row r="130" spans="1:67" hidden="1" outlineLevel="1">
      <c r="A130" s="312" t="s">
        <v>7724</v>
      </c>
      <c r="B130" s="312" t="s">
        <v>9423</v>
      </c>
      <c r="C130" s="312" t="s">
        <v>7597</v>
      </c>
      <c r="D130" s="312" t="s">
        <v>9266</v>
      </c>
      <c r="E130" s="312" t="s">
        <v>9267</v>
      </c>
      <c r="F130" s="312"/>
      <c r="G130" s="312"/>
      <c r="H130" s="312">
        <v>494</v>
      </c>
      <c r="I130" s="312"/>
      <c r="J130" s="312"/>
      <c r="K130" s="312"/>
      <c r="L130" s="312"/>
      <c r="M130" s="312">
        <v>494</v>
      </c>
      <c r="N130" s="312"/>
      <c r="O130" s="312"/>
      <c r="P130" s="312"/>
      <c r="Q130" s="312"/>
      <c r="R130" s="312">
        <v>494</v>
      </c>
      <c r="S130" s="312"/>
      <c r="T130" s="312"/>
      <c r="U130" s="312"/>
      <c r="V130" s="312"/>
      <c r="W130" s="312">
        <v>494</v>
      </c>
      <c r="X130" s="312"/>
      <c r="Y130" s="312"/>
      <c r="Z130" s="312"/>
      <c r="AA130" s="312"/>
      <c r="AB130" s="312">
        <v>494</v>
      </c>
      <c r="AC130" s="312"/>
      <c r="AD130" s="312"/>
      <c r="AE130" s="312"/>
      <c r="AF130" s="312"/>
      <c r="AG130" s="312">
        <v>494</v>
      </c>
      <c r="AH130" s="312"/>
      <c r="AI130" s="312"/>
      <c r="AJ130" s="312"/>
      <c r="AK130" s="312"/>
      <c r="AL130" s="312">
        <v>494</v>
      </c>
      <c r="AM130" s="312"/>
      <c r="AN130" s="312"/>
      <c r="AO130" s="312"/>
      <c r="AP130" s="312"/>
      <c r="AQ130" s="312">
        <v>494</v>
      </c>
      <c r="AR130" s="312"/>
      <c r="AS130" s="312"/>
      <c r="AT130" s="312"/>
      <c r="AU130" s="312"/>
      <c r="AV130" s="312">
        <v>494</v>
      </c>
      <c r="AW130" s="312"/>
      <c r="AX130" s="312"/>
      <c r="AY130" s="312"/>
      <c r="AZ130" s="312"/>
      <c r="BA130" s="312">
        <v>494</v>
      </c>
      <c r="BB130" s="312"/>
      <c r="BC130" s="312"/>
      <c r="BD130" s="312"/>
      <c r="BE130" s="312"/>
      <c r="BF130" s="312">
        <v>494</v>
      </c>
      <c r="BG130" s="312"/>
      <c r="BH130" s="312"/>
      <c r="BI130" s="312"/>
      <c r="BJ130" s="312"/>
      <c r="BK130" s="312">
        <v>494</v>
      </c>
      <c r="BL130" s="312"/>
      <c r="BM130" s="312"/>
      <c r="BN130" s="312"/>
      <c r="BO130" s="312" t="s">
        <v>9268</v>
      </c>
    </row>
    <row r="131" spans="1:67" hidden="1" outlineLevel="1">
      <c r="A131" s="312" t="s">
        <v>6574</v>
      </c>
      <c r="B131" s="312" t="s">
        <v>9424</v>
      </c>
      <c r="C131" s="312" t="s">
        <v>7597</v>
      </c>
      <c r="D131" s="312" t="s">
        <v>9266</v>
      </c>
      <c r="E131" s="312" t="s">
        <v>9267</v>
      </c>
      <c r="F131" s="312"/>
      <c r="G131" s="312"/>
      <c r="H131" s="312">
        <v>1083</v>
      </c>
      <c r="I131" s="312"/>
      <c r="J131" s="312"/>
      <c r="K131" s="312"/>
      <c r="L131" s="312"/>
      <c r="M131" s="312">
        <v>1083</v>
      </c>
      <c r="N131" s="312"/>
      <c r="O131" s="312"/>
      <c r="P131" s="312"/>
      <c r="Q131" s="312"/>
      <c r="R131" s="312">
        <v>1083</v>
      </c>
      <c r="S131" s="312"/>
      <c r="T131" s="312"/>
      <c r="U131" s="312"/>
      <c r="V131" s="312"/>
      <c r="W131" s="312">
        <v>1083</v>
      </c>
      <c r="X131" s="312"/>
      <c r="Y131" s="312"/>
      <c r="Z131" s="312"/>
      <c r="AA131" s="312"/>
      <c r="AB131" s="312">
        <v>1083</v>
      </c>
      <c r="AC131" s="312"/>
      <c r="AD131" s="312"/>
      <c r="AE131" s="312"/>
      <c r="AF131" s="312"/>
      <c r="AG131" s="312">
        <v>1083</v>
      </c>
      <c r="AH131" s="312"/>
      <c r="AI131" s="312"/>
      <c r="AJ131" s="312"/>
      <c r="AK131" s="312"/>
      <c r="AL131" s="312">
        <v>1083</v>
      </c>
      <c r="AM131" s="312"/>
      <c r="AN131" s="312"/>
      <c r="AO131" s="312"/>
      <c r="AP131" s="312"/>
      <c r="AQ131" s="312">
        <v>1083</v>
      </c>
      <c r="AR131" s="312"/>
      <c r="AS131" s="312"/>
      <c r="AT131" s="312"/>
      <c r="AU131" s="312"/>
      <c r="AV131" s="312">
        <v>1083</v>
      </c>
      <c r="AW131" s="312"/>
      <c r="AX131" s="312"/>
      <c r="AY131" s="312"/>
      <c r="AZ131" s="312"/>
      <c r="BA131" s="312">
        <v>1083</v>
      </c>
      <c r="BB131" s="312"/>
      <c r="BC131" s="312"/>
      <c r="BD131" s="312"/>
      <c r="BE131" s="312"/>
      <c r="BF131" s="312">
        <v>1083</v>
      </c>
      <c r="BG131" s="312"/>
      <c r="BH131" s="312"/>
      <c r="BI131" s="312"/>
      <c r="BJ131" s="312"/>
      <c r="BK131" s="312">
        <v>1083</v>
      </c>
      <c r="BL131" s="312"/>
      <c r="BM131" s="312"/>
      <c r="BN131" s="312"/>
      <c r="BO131" s="312" t="s">
        <v>9274</v>
      </c>
    </row>
    <row r="132" spans="1:67" hidden="1" outlineLevel="1">
      <c r="A132" s="312" t="s">
        <v>7288</v>
      </c>
      <c r="B132" s="312" t="s">
        <v>9425</v>
      </c>
      <c r="C132" s="312" t="s">
        <v>7597</v>
      </c>
      <c r="D132" s="312" t="s">
        <v>9266</v>
      </c>
      <c r="E132" s="312" t="s">
        <v>9267</v>
      </c>
      <c r="F132" s="312"/>
      <c r="G132" s="312"/>
      <c r="H132" s="312">
        <v>1500</v>
      </c>
      <c r="I132" s="312"/>
      <c r="J132" s="312"/>
      <c r="K132" s="312"/>
      <c r="L132" s="312"/>
      <c r="M132" s="312">
        <v>1500</v>
      </c>
      <c r="N132" s="312"/>
      <c r="O132" s="312"/>
      <c r="P132" s="312"/>
      <c r="Q132" s="312"/>
      <c r="R132" s="312">
        <v>1500</v>
      </c>
      <c r="S132" s="312"/>
      <c r="T132" s="312"/>
      <c r="U132" s="312"/>
      <c r="V132" s="312"/>
      <c r="W132" s="312">
        <v>1500</v>
      </c>
      <c r="X132" s="312"/>
      <c r="Y132" s="312"/>
      <c r="Z132" s="312"/>
      <c r="AA132" s="312"/>
      <c r="AB132" s="312">
        <v>1500</v>
      </c>
      <c r="AC132" s="312"/>
      <c r="AD132" s="312"/>
      <c r="AE132" s="312"/>
      <c r="AF132" s="312"/>
      <c r="AG132" s="312">
        <v>1500</v>
      </c>
      <c r="AH132" s="312"/>
      <c r="AI132" s="312"/>
      <c r="AJ132" s="312"/>
      <c r="AK132" s="312"/>
      <c r="AL132" s="312">
        <v>1500</v>
      </c>
      <c r="AM132" s="312"/>
      <c r="AN132" s="312"/>
      <c r="AO132" s="312"/>
      <c r="AP132" s="312"/>
      <c r="AQ132" s="312">
        <v>1500</v>
      </c>
      <c r="AR132" s="312"/>
      <c r="AS132" s="312"/>
      <c r="AT132" s="312"/>
      <c r="AU132" s="312"/>
      <c r="AV132" s="312">
        <v>1500</v>
      </c>
      <c r="AW132" s="312"/>
      <c r="AX132" s="312"/>
      <c r="AY132" s="312"/>
      <c r="AZ132" s="312"/>
      <c r="BA132" s="312">
        <v>1500</v>
      </c>
      <c r="BB132" s="312"/>
      <c r="BC132" s="312"/>
      <c r="BD132" s="312"/>
      <c r="BE132" s="312"/>
      <c r="BF132" s="312">
        <v>1500</v>
      </c>
      <c r="BG132" s="312"/>
      <c r="BH132" s="312"/>
      <c r="BI132" s="312"/>
      <c r="BJ132" s="312"/>
      <c r="BK132" s="312">
        <v>1500</v>
      </c>
      <c r="BL132" s="312"/>
      <c r="BM132" s="312"/>
      <c r="BN132" s="312"/>
      <c r="BO132" s="312" t="s">
        <v>9277</v>
      </c>
    </row>
    <row r="133" spans="1:67" hidden="1" outlineLevel="1">
      <c r="A133" s="312" t="s">
        <v>7238</v>
      </c>
      <c r="B133" s="312" t="s">
        <v>9426</v>
      </c>
      <c r="C133" s="312" t="s">
        <v>7597</v>
      </c>
      <c r="D133" s="312" t="s">
        <v>9266</v>
      </c>
      <c r="E133" s="312" t="s">
        <v>9267</v>
      </c>
      <c r="F133" s="312"/>
      <c r="G133" s="312"/>
      <c r="H133" s="312">
        <v>1712</v>
      </c>
      <c r="I133" s="312"/>
      <c r="J133" s="312"/>
      <c r="K133" s="312"/>
      <c r="L133" s="312"/>
      <c r="M133" s="312">
        <v>1712</v>
      </c>
      <c r="N133" s="312"/>
      <c r="O133" s="312"/>
      <c r="P133" s="312"/>
      <c r="Q133" s="312"/>
      <c r="R133" s="312">
        <v>1712</v>
      </c>
      <c r="S133" s="312"/>
      <c r="T133" s="312"/>
      <c r="U133" s="312"/>
      <c r="V133" s="312"/>
      <c r="W133" s="312">
        <v>1712</v>
      </c>
      <c r="X133" s="312"/>
      <c r="Y133" s="312"/>
      <c r="Z133" s="312"/>
      <c r="AA133" s="312"/>
      <c r="AB133" s="312">
        <v>1712</v>
      </c>
      <c r="AC133" s="312"/>
      <c r="AD133" s="312"/>
      <c r="AE133" s="312"/>
      <c r="AF133" s="312"/>
      <c r="AG133" s="312">
        <v>1712</v>
      </c>
      <c r="AH133" s="312"/>
      <c r="AI133" s="312"/>
      <c r="AJ133" s="312"/>
      <c r="AK133" s="312"/>
      <c r="AL133" s="312">
        <v>1712</v>
      </c>
      <c r="AM133" s="312"/>
      <c r="AN133" s="312"/>
      <c r="AO133" s="312"/>
      <c r="AP133" s="312"/>
      <c r="AQ133" s="312">
        <v>1712</v>
      </c>
      <c r="AR133" s="312"/>
      <c r="AS133" s="312"/>
      <c r="AT133" s="312"/>
      <c r="AU133" s="312"/>
      <c r="AV133" s="312">
        <v>1712</v>
      </c>
      <c r="AW133" s="312"/>
      <c r="AX133" s="312"/>
      <c r="AY133" s="312"/>
      <c r="AZ133" s="312"/>
      <c r="BA133" s="312">
        <v>1712</v>
      </c>
      <c r="BB133" s="312"/>
      <c r="BC133" s="312"/>
      <c r="BD133" s="312"/>
      <c r="BE133" s="312"/>
      <c r="BF133" s="312">
        <v>1712</v>
      </c>
      <c r="BG133" s="312"/>
      <c r="BH133" s="312"/>
      <c r="BI133" s="312"/>
      <c r="BJ133" s="312"/>
      <c r="BK133" s="312">
        <v>1712</v>
      </c>
      <c r="BL133" s="312"/>
      <c r="BM133" s="312"/>
      <c r="BN133" s="312"/>
      <c r="BO133" s="312" t="s">
        <v>9277</v>
      </c>
    </row>
    <row r="134" spans="1:67" hidden="1" outlineLevel="1">
      <c r="A134" s="312" t="s">
        <v>8309</v>
      </c>
      <c r="B134" s="312" t="s">
        <v>9427</v>
      </c>
      <c r="C134" s="312" t="s">
        <v>7597</v>
      </c>
      <c r="D134" s="312" t="s">
        <v>9266</v>
      </c>
      <c r="E134" s="312" t="s">
        <v>9267</v>
      </c>
      <c r="F134" s="312"/>
      <c r="G134" s="312"/>
      <c r="H134" s="312">
        <v>1972</v>
      </c>
      <c r="I134" s="312"/>
      <c r="J134" s="312"/>
      <c r="K134" s="312"/>
      <c r="L134" s="312"/>
      <c r="M134" s="312">
        <v>1972</v>
      </c>
      <c r="N134" s="312"/>
      <c r="O134" s="312"/>
      <c r="P134" s="312"/>
      <c r="Q134" s="312"/>
      <c r="R134" s="312">
        <v>1972</v>
      </c>
      <c r="S134" s="312"/>
      <c r="T134" s="312"/>
      <c r="U134" s="312"/>
      <c r="V134" s="312"/>
      <c r="W134" s="312">
        <v>1972</v>
      </c>
      <c r="X134" s="312"/>
      <c r="Y134" s="312"/>
      <c r="Z134" s="312"/>
      <c r="AA134" s="312"/>
      <c r="AB134" s="312">
        <v>1972</v>
      </c>
      <c r="AC134" s="312"/>
      <c r="AD134" s="312"/>
      <c r="AE134" s="312"/>
      <c r="AF134" s="312"/>
      <c r="AG134" s="312">
        <v>1972</v>
      </c>
      <c r="AH134" s="312"/>
      <c r="AI134" s="312"/>
      <c r="AJ134" s="312"/>
      <c r="AK134" s="312"/>
      <c r="AL134" s="312">
        <v>1972</v>
      </c>
      <c r="AM134" s="312"/>
      <c r="AN134" s="312"/>
      <c r="AO134" s="312"/>
      <c r="AP134" s="312"/>
      <c r="AQ134" s="312">
        <v>1972</v>
      </c>
      <c r="AR134" s="312"/>
      <c r="AS134" s="312"/>
      <c r="AT134" s="312"/>
      <c r="AU134" s="312"/>
      <c r="AV134" s="312">
        <v>1972</v>
      </c>
      <c r="AW134" s="312"/>
      <c r="AX134" s="312"/>
      <c r="AY134" s="312"/>
      <c r="AZ134" s="312"/>
      <c r="BA134" s="312">
        <v>1972</v>
      </c>
      <c r="BB134" s="312"/>
      <c r="BC134" s="312"/>
      <c r="BD134" s="312"/>
      <c r="BE134" s="312"/>
      <c r="BF134" s="312">
        <v>1972</v>
      </c>
      <c r="BG134" s="312"/>
      <c r="BH134" s="312"/>
      <c r="BI134" s="312"/>
      <c r="BJ134" s="312"/>
      <c r="BK134" s="312">
        <v>1972</v>
      </c>
      <c r="BL134" s="312"/>
      <c r="BM134" s="312"/>
      <c r="BN134" s="312"/>
      <c r="BO134" s="312" t="s">
        <v>9374</v>
      </c>
    </row>
    <row r="135" spans="1:67" hidden="1" outlineLevel="1">
      <c r="A135" s="312" t="s">
        <v>8140</v>
      </c>
      <c r="B135" s="312" t="s">
        <v>9428</v>
      </c>
      <c r="C135" s="312" t="s">
        <v>7597</v>
      </c>
      <c r="D135" s="312" t="s">
        <v>9266</v>
      </c>
      <c r="E135" s="312" t="s">
        <v>9267</v>
      </c>
      <c r="F135" s="312"/>
      <c r="G135" s="312"/>
      <c r="H135" s="312">
        <v>2200</v>
      </c>
      <c r="I135" s="312"/>
      <c r="J135" s="312"/>
      <c r="K135" s="312"/>
      <c r="L135" s="312"/>
      <c r="M135" s="312">
        <v>2200</v>
      </c>
      <c r="N135" s="312"/>
      <c r="O135" s="312"/>
      <c r="P135" s="312"/>
      <c r="Q135" s="312"/>
      <c r="R135" s="312">
        <v>2200</v>
      </c>
      <c r="S135" s="312"/>
      <c r="T135" s="312"/>
      <c r="U135" s="312"/>
      <c r="V135" s="312"/>
      <c r="W135" s="312">
        <v>2200</v>
      </c>
      <c r="X135" s="312"/>
      <c r="Y135" s="312"/>
      <c r="Z135" s="312"/>
      <c r="AA135" s="312"/>
      <c r="AB135" s="312">
        <v>2200</v>
      </c>
      <c r="AC135" s="312"/>
      <c r="AD135" s="312"/>
      <c r="AE135" s="312"/>
      <c r="AF135" s="312"/>
      <c r="AG135" s="312">
        <v>2200</v>
      </c>
      <c r="AH135" s="312"/>
      <c r="AI135" s="312"/>
      <c r="AJ135" s="312"/>
      <c r="AK135" s="312"/>
      <c r="AL135" s="312">
        <v>2200</v>
      </c>
      <c r="AM135" s="312"/>
      <c r="AN135" s="312"/>
      <c r="AO135" s="312"/>
      <c r="AP135" s="312"/>
      <c r="AQ135" s="312">
        <v>2200</v>
      </c>
      <c r="AR135" s="312"/>
      <c r="AS135" s="312"/>
      <c r="AT135" s="312"/>
      <c r="AU135" s="312"/>
      <c r="AV135" s="312">
        <v>2200</v>
      </c>
      <c r="AW135" s="312"/>
      <c r="AX135" s="312"/>
      <c r="AY135" s="312"/>
      <c r="AZ135" s="312"/>
      <c r="BA135" s="312">
        <v>2200</v>
      </c>
      <c r="BB135" s="312"/>
      <c r="BC135" s="312"/>
      <c r="BD135" s="312"/>
      <c r="BE135" s="312"/>
      <c r="BF135" s="312">
        <v>2200</v>
      </c>
      <c r="BG135" s="312"/>
      <c r="BH135" s="312"/>
      <c r="BI135" s="312"/>
      <c r="BJ135" s="312"/>
      <c r="BK135" s="312">
        <v>2200</v>
      </c>
      <c r="BL135" s="312"/>
      <c r="BM135" s="312"/>
      <c r="BN135" s="312"/>
      <c r="BO135" s="312" t="s">
        <v>9374</v>
      </c>
    </row>
    <row r="136" spans="1:67" hidden="1" outlineLevel="1">
      <c r="A136" s="312" t="s">
        <v>7125</v>
      </c>
      <c r="B136" s="312" t="s">
        <v>9429</v>
      </c>
      <c r="C136" s="312" t="s">
        <v>7597</v>
      </c>
      <c r="D136" s="312" t="s">
        <v>9266</v>
      </c>
      <c r="E136" s="312" t="s">
        <v>9267</v>
      </c>
      <c r="F136" s="312"/>
      <c r="G136" s="312"/>
      <c r="H136" s="312">
        <v>2666</v>
      </c>
      <c r="I136" s="312"/>
      <c r="J136" s="312"/>
      <c r="K136" s="312"/>
      <c r="L136" s="312"/>
      <c r="M136" s="312">
        <v>2666</v>
      </c>
      <c r="N136" s="312"/>
      <c r="O136" s="312"/>
      <c r="P136" s="312"/>
      <c r="Q136" s="312"/>
      <c r="R136" s="312">
        <v>2666</v>
      </c>
      <c r="S136" s="312"/>
      <c r="T136" s="312"/>
      <c r="U136" s="312"/>
      <c r="V136" s="312"/>
      <c r="W136" s="312">
        <v>2666</v>
      </c>
      <c r="X136" s="312"/>
      <c r="Y136" s="312"/>
      <c r="Z136" s="312"/>
      <c r="AA136" s="312"/>
      <c r="AB136" s="312">
        <v>2666</v>
      </c>
      <c r="AC136" s="312"/>
      <c r="AD136" s="312"/>
      <c r="AE136" s="312"/>
      <c r="AF136" s="312"/>
      <c r="AG136" s="312">
        <v>2666</v>
      </c>
      <c r="AH136" s="312"/>
      <c r="AI136" s="312"/>
      <c r="AJ136" s="312"/>
      <c r="AK136" s="312"/>
      <c r="AL136" s="312">
        <v>2666</v>
      </c>
      <c r="AM136" s="312"/>
      <c r="AN136" s="312"/>
      <c r="AO136" s="312"/>
      <c r="AP136" s="312"/>
      <c r="AQ136" s="312">
        <v>2666</v>
      </c>
      <c r="AR136" s="312"/>
      <c r="AS136" s="312"/>
      <c r="AT136" s="312"/>
      <c r="AU136" s="312"/>
      <c r="AV136" s="312">
        <v>2666</v>
      </c>
      <c r="AW136" s="312"/>
      <c r="AX136" s="312"/>
      <c r="AY136" s="312"/>
      <c r="AZ136" s="312"/>
      <c r="BA136" s="312">
        <v>2666</v>
      </c>
      <c r="BB136" s="312"/>
      <c r="BC136" s="312"/>
      <c r="BD136" s="312"/>
      <c r="BE136" s="312"/>
      <c r="BF136" s="312">
        <v>2666</v>
      </c>
      <c r="BG136" s="312"/>
      <c r="BH136" s="312"/>
      <c r="BI136" s="312"/>
      <c r="BJ136" s="312"/>
      <c r="BK136" s="312">
        <v>2666</v>
      </c>
      <c r="BL136" s="312"/>
      <c r="BM136" s="312"/>
      <c r="BN136" s="312"/>
      <c r="BO136" s="312" t="s">
        <v>9374</v>
      </c>
    </row>
    <row r="137" spans="1:67" hidden="1" outlineLevel="1" collapsed="1">
      <c r="A137" s="312" t="s">
        <v>7938</v>
      </c>
      <c r="B137" s="312" t="s">
        <v>9430</v>
      </c>
      <c r="C137" s="312" t="s">
        <v>9431</v>
      </c>
      <c r="D137" s="312" t="s">
        <v>9266</v>
      </c>
      <c r="E137" s="312" t="s">
        <v>9267</v>
      </c>
      <c r="F137" s="312"/>
      <c r="G137" s="312"/>
      <c r="H137" s="312">
        <v>3200</v>
      </c>
      <c r="I137" s="312"/>
      <c r="J137" s="312"/>
      <c r="K137" s="312"/>
      <c r="L137" s="312"/>
      <c r="M137" s="312">
        <v>3200</v>
      </c>
      <c r="N137" s="312"/>
      <c r="O137" s="312"/>
      <c r="P137" s="312"/>
      <c r="Q137" s="312"/>
      <c r="R137" s="312">
        <v>3200</v>
      </c>
      <c r="S137" s="312"/>
      <c r="T137" s="312"/>
      <c r="U137" s="312"/>
      <c r="V137" s="312"/>
      <c r="W137" s="312">
        <v>3200</v>
      </c>
      <c r="X137" s="312"/>
      <c r="Y137" s="312"/>
      <c r="Z137" s="312"/>
      <c r="AA137" s="312"/>
      <c r="AB137" s="312">
        <v>3200</v>
      </c>
      <c r="AC137" s="312"/>
      <c r="AD137" s="312"/>
      <c r="AE137" s="312"/>
      <c r="AF137" s="312"/>
      <c r="AG137" s="312">
        <v>3200</v>
      </c>
      <c r="AH137" s="312"/>
      <c r="AI137" s="312"/>
      <c r="AJ137" s="312"/>
      <c r="AK137" s="312"/>
      <c r="AL137" s="312">
        <v>3200</v>
      </c>
      <c r="AM137" s="312"/>
      <c r="AN137" s="312"/>
      <c r="AO137" s="312"/>
      <c r="AP137" s="312"/>
      <c r="AQ137" s="312">
        <v>3200</v>
      </c>
      <c r="AR137" s="312"/>
      <c r="AS137" s="312"/>
      <c r="AT137" s="312"/>
      <c r="AU137" s="312"/>
      <c r="AV137" s="312">
        <v>3200</v>
      </c>
      <c r="AW137" s="312"/>
      <c r="AX137" s="312"/>
      <c r="AY137" s="312"/>
      <c r="AZ137" s="312"/>
      <c r="BA137" s="312">
        <v>3200</v>
      </c>
      <c r="BB137" s="312"/>
      <c r="BC137" s="312"/>
      <c r="BD137" s="312"/>
      <c r="BE137" s="312"/>
      <c r="BF137" s="312">
        <v>3200</v>
      </c>
      <c r="BG137" s="312"/>
      <c r="BH137" s="312"/>
      <c r="BI137" s="312"/>
      <c r="BJ137" s="312"/>
      <c r="BK137" s="312">
        <v>3200</v>
      </c>
      <c r="BL137" s="312"/>
      <c r="BM137" s="312"/>
      <c r="BN137" s="312"/>
      <c r="BO137" s="312" t="s">
        <v>9374</v>
      </c>
    </row>
    <row r="138" spans="1:67" hidden="1" outlineLevel="1">
      <c r="A138" s="312" t="s">
        <v>8002</v>
      </c>
      <c r="B138" s="312" t="s">
        <v>9432</v>
      </c>
      <c r="C138" s="312" t="s">
        <v>9431</v>
      </c>
      <c r="D138" s="312" t="s">
        <v>9266</v>
      </c>
      <c r="E138" s="312" t="s">
        <v>9267</v>
      </c>
      <c r="F138" s="312"/>
      <c r="G138" s="312"/>
      <c r="H138" s="312">
        <v>2526</v>
      </c>
      <c r="I138" s="312"/>
      <c r="J138" s="312"/>
      <c r="K138" s="312"/>
      <c r="L138" s="312"/>
      <c r="M138" s="312">
        <v>2526</v>
      </c>
      <c r="N138" s="312"/>
      <c r="O138" s="312"/>
      <c r="P138" s="312"/>
      <c r="Q138" s="312"/>
      <c r="R138" s="312">
        <v>2526</v>
      </c>
      <c r="S138" s="312"/>
      <c r="T138" s="312"/>
      <c r="U138" s="312"/>
      <c r="V138" s="312"/>
      <c r="W138" s="312">
        <v>2526</v>
      </c>
      <c r="X138" s="312"/>
      <c r="Y138" s="312"/>
      <c r="Z138" s="312"/>
      <c r="AA138" s="312"/>
      <c r="AB138" s="312">
        <v>2526</v>
      </c>
      <c r="AC138" s="312"/>
      <c r="AD138" s="312"/>
      <c r="AE138" s="312"/>
      <c r="AF138" s="312"/>
      <c r="AG138" s="312">
        <v>2526</v>
      </c>
      <c r="AH138" s="312"/>
      <c r="AI138" s="312"/>
      <c r="AJ138" s="312"/>
      <c r="AK138" s="312"/>
      <c r="AL138" s="312">
        <v>2526</v>
      </c>
      <c r="AM138" s="312"/>
      <c r="AN138" s="312"/>
      <c r="AO138" s="312"/>
      <c r="AP138" s="312"/>
      <c r="AQ138" s="312">
        <v>2526</v>
      </c>
      <c r="AR138" s="312"/>
      <c r="AS138" s="312"/>
      <c r="AT138" s="312"/>
      <c r="AU138" s="312"/>
      <c r="AV138" s="312">
        <v>2526</v>
      </c>
      <c r="AW138" s="312"/>
      <c r="AX138" s="312"/>
      <c r="AY138" s="312"/>
      <c r="AZ138" s="312"/>
      <c r="BA138" s="312">
        <v>2526</v>
      </c>
      <c r="BB138" s="312"/>
      <c r="BC138" s="312"/>
      <c r="BD138" s="312"/>
      <c r="BE138" s="312"/>
      <c r="BF138" s="312">
        <v>2526</v>
      </c>
      <c r="BG138" s="312"/>
      <c r="BH138" s="312"/>
      <c r="BI138" s="312"/>
      <c r="BJ138" s="312"/>
      <c r="BK138" s="312">
        <v>2526</v>
      </c>
      <c r="BL138" s="312"/>
      <c r="BM138" s="312"/>
      <c r="BN138" s="312"/>
      <c r="BO138" s="312" t="s">
        <v>9374</v>
      </c>
    </row>
    <row r="139" spans="1:67" hidden="1" outlineLevel="1">
      <c r="A139" s="312" t="s">
        <v>7817</v>
      </c>
      <c r="B139" s="312" t="s">
        <v>9433</v>
      </c>
      <c r="C139" s="312" t="s">
        <v>9431</v>
      </c>
      <c r="D139" s="312" t="s">
        <v>9266</v>
      </c>
      <c r="E139" s="312" t="s">
        <v>9267</v>
      </c>
      <c r="F139" s="312"/>
      <c r="G139" s="312"/>
      <c r="H139" s="312">
        <v>2391</v>
      </c>
      <c r="I139" s="312"/>
      <c r="J139" s="312"/>
      <c r="K139" s="312"/>
      <c r="L139" s="312"/>
      <c r="M139" s="312">
        <v>2391</v>
      </c>
      <c r="N139" s="312"/>
      <c r="O139" s="312"/>
      <c r="P139" s="312"/>
      <c r="Q139" s="312"/>
      <c r="R139" s="312">
        <v>2391</v>
      </c>
      <c r="S139" s="312"/>
      <c r="T139" s="312"/>
      <c r="U139" s="312"/>
      <c r="V139" s="312"/>
      <c r="W139" s="312">
        <v>2391</v>
      </c>
      <c r="X139" s="312"/>
      <c r="Y139" s="312"/>
      <c r="Z139" s="312"/>
      <c r="AA139" s="312"/>
      <c r="AB139" s="312">
        <v>2391</v>
      </c>
      <c r="AC139" s="312"/>
      <c r="AD139" s="312"/>
      <c r="AE139" s="312"/>
      <c r="AF139" s="312"/>
      <c r="AG139" s="312">
        <v>2391</v>
      </c>
      <c r="AH139" s="312"/>
      <c r="AI139" s="312"/>
      <c r="AJ139" s="312"/>
      <c r="AK139" s="312"/>
      <c r="AL139" s="312">
        <v>2391</v>
      </c>
      <c r="AM139" s="312"/>
      <c r="AN139" s="312"/>
      <c r="AO139" s="312"/>
      <c r="AP139" s="312"/>
      <c r="AQ139" s="312">
        <v>2391</v>
      </c>
      <c r="AR139" s="312"/>
      <c r="AS139" s="312"/>
      <c r="AT139" s="312"/>
      <c r="AU139" s="312"/>
      <c r="AV139" s="312">
        <v>2391</v>
      </c>
      <c r="AW139" s="312"/>
      <c r="AX139" s="312"/>
      <c r="AY139" s="312"/>
      <c r="AZ139" s="312"/>
      <c r="BA139" s="312">
        <v>2391</v>
      </c>
      <c r="BB139" s="312"/>
      <c r="BC139" s="312"/>
      <c r="BD139" s="312"/>
      <c r="BE139" s="312"/>
      <c r="BF139" s="312">
        <v>2391</v>
      </c>
      <c r="BG139" s="312"/>
      <c r="BH139" s="312"/>
      <c r="BI139" s="312"/>
      <c r="BJ139" s="312"/>
      <c r="BK139" s="312">
        <v>2391</v>
      </c>
      <c r="BL139" s="312"/>
      <c r="BM139" s="312"/>
      <c r="BN139" s="312"/>
      <c r="BO139" s="312" t="s">
        <v>9374</v>
      </c>
    </row>
    <row r="140" spans="1:67" hidden="1" outlineLevel="1">
      <c r="A140" s="312" t="s">
        <v>8382</v>
      </c>
      <c r="B140" s="312" t="s">
        <v>9434</v>
      </c>
      <c r="C140" s="312" t="s">
        <v>9431</v>
      </c>
      <c r="D140" s="312" t="s">
        <v>9266</v>
      </c>
      <c r="E140" s="312" t="s">
        <v>9267</v>
      </c>
      <c r="F140" s="312"/>
      <c r="G140" s="312"/>
      <c r="H140" s="312">
        <v>2330</v>
      </c>
      <c r="I140" s="312"/>
      <c r="J140" s="312"/>
      <c r="K140" s="312"/>
      <c r="L140" s="312"/>
      <c r="M140" s="312">
        <v>2330</v>
      </c>
      <c r="N140" s="312"/>
      <c r="O140" s="312"/>
      <c r="P140" s="312"/>
      <c r="Q140" s="312"/>
      <c r="R140" s="312">
        <v>2330</v>
      </c>
      <c r="S140" s="312"/>
      <c r="T140" s="312"/>
      <c r="U140" s="312"/>
      <c r="V140" s="312"/>
      <c r="W140" s="312">
        <v>2330</v>
      </c>
      <c r="X140" s="312"/>
      <c r="Y140" s="312"/>
      <c r="Z140" s="312"/>
      <c r="AA140" s="312"/>
      <c r="AB140" s="312">
        <v>2330</v>
      </c>
      <c r="AC140" s="312"/>
      <c r="AD140" s="312"/>
      <c r="AE140" s="312"/>
      <c r="AF140" s="312"/>
      <c r="AG140" s="312">
        <v>2330</v>
      </c>
      <c r="AH140" s="312"/>
      <c r="AI140" s="312"/>
      <c r="AJ140" s="312"/>
      <c r="AK140" s="312"/>
      <c r="AL140" s="312">
        <v>2330</v>
      </c>
      <c r="AM140" s="312"/>
      <c r="AN140" s="312"/>
      <c r="AO140" s="312"/>
      <c r="AP140" s="312"/>
      <c r="AQ140" s="312">
        <v>2330</v>
      </c>
      <c r="AR140" s="312"/>
      <c r="AS140" s="312"/>
      <c r="AT140" s="312"/>
      <c r="AU140" s="312"/>
      <c r="AV140" s="312">
        <v>2330</v>
      </c>
      <c r="AW140" s="312"/>
      <c r="AX140" s="312"/>
      <c r="AY140" s="312"/>
      <c r="AZ140" s="312"/>
      <c r="BA140" s="312">
        <v>2330</v>
      </c>
      <c r="BB140" s="312"/>
      <c r="BC140" s="312"/>
      <c r="BD140" s="312"/>
      <c r="BE140" s="312"/>
      <c r="BF140" s="312">
        <v>2330</v>
      </c>
      <c r="BG140" s="312"/>
      <c r="BH140" s="312"/>
      <c r="BI140" s="312"/>
      <c r="BJ140" s="312"/>
      <c r="BK140" s="312">
        <v>2330</v>
      </c>
      <c r="BL140" s="312"/>
      <c r="BM140" s="312"/>
      <c r="BN140" s="312"/>
      <c r="BO140" s="312" t="s">
        <v>9374</v>
      </c>
    </row>
    <row r="141" spans="1:67" hidden="1" outlineLevel="1">
      <c r="A141" s="312" t="s">
        <v>7440</v>
      </c>
      <c r="B141" s="312" t="s">
        <v>9435</v>
      </c>
      <c r="C141" s="312" t="s">
        <v>9431</v>
      </c>
      <c r="D141" s="312" t="s">
        <v>9266</v>
      </c>
      <c r="E141" s="312" t="s">
        <v>9267</v>
      </c>
      <c r="F141" s="312"/>
      <c r="G141" s="312"/>
      <c r="H141" s="312">
        <v>2156</v>
      </c>
      <c r="I141" s="312"/>
      <c r="J141" s="312"/>
      <c r="K141" s="312"/>
      <c r="L141" s="312"/>
      <c r="M141" s="312">
        <v>2156</v>
      </c>
      <c r="N141" s="312"/>
      <c r="O141" s="312"/>
      <c r="P141" s="312"/>
      <c r="Q141" s="312"/>
      <c r="R141" s="312">
        <v>2156</v>
      </c>
      <c r="S141" s="312"/>
      <c r="T141" s="312"/>
      <c r="U141" s="312"/>
      <c r="V141" s="312"/>
      <c r="W141" s="312">
        <v>2156</v>
      </c>
      <c r="X141" s="312"/>
      <c r="Y141" s="312"/>
      <c r="Z141" s="312"/>
      <c r="AA141" s="312"/>
      <c r="AB141" s="312">
        <v>2156</v>
      </c>
      <c r="AC141" s="312"/>
      <c r="AD141" s="312"/>
      <c r="AE141" s="312"/>
      <c r="AF141" s="312"/>
      <c r="AG141" s="312">
        <v>2156</v>
      </c>
      <c r="AH141" s="312"/>
      <c r="AI141" s="312"/>
      <c r="AJ141" s="312"/>
      <c r="AK141" s="312"/>
      <c r="AL141" s="312">
        <v>2156</v>
      </c>
      <c r="AM141" s="312"/>
      <c r="AN141" s="312"/>
      <c r="AO141" s="312"/>
      <c r="AP141" s="312"/>
      <c r="AQ141" s="312">
        <v>2156</v>
      </c>
      <c r="AR141" s="312"/>
      <c r="AS141" s="312"/>
      <c r="AT141" s="312"/>
      <c r="AU141" s="312"/>
      <c r="AV141" s="312">
        <v>2156</v>
      </c>
      <c r="AW141" s="312"/>
      <c r="AX141" s="312"/>
      <c r="AY141" s="312"/>
      <c r="AZ141" s="312"/>
      <c r="BA141" s="312">
        <v>2156</v>
      </c>
      <c r="BB141" s="312"/>
      <c r="BC141" s="312"/>
      <c r="BD141" s="312"/>
      <c r="BE141" s="312"/>
      <c r="BF141" s="312">
        <v>2156</v>
      </c>
      <c r="BG141" s="312"/>
      <c r="BH141" s="312"/>
      <c r="BI141" s="312"/>
      <c r="BJ141" s="312"/>
      <c r="BK141" s="312">
        <v>2156</v>
      </c>
      <c r="BL141" s="312"/>
      <c r="BM141" s="312"/>
      <c r="BN141" s="312"/>
      <c r="BO141" s="312" t="s">
        <v>9374</v>
      </c>
    </row>
    <row r="142" spans="1:67" hidden="1" outlineLevel="1">
      <c r="A142" s="312" t="s">
        <v>7714</v>
      </c>
      <c r="B142" s="312" t="s">
        <v>9436</v>
      </c>
      <c r="C142" s="312" t="s">
        <v>9431</v>
      </c>
      <c r="D142" s="312" t="s">
        <v>9266</v>
      </c>
      <c r="E142" s="312" t="s">
        <v>9267</v>
      </c>
      <c r="F142" s="312"/>
      <c r="G142" s="312"/>
      <c r="H142" s="312">
        <v>2041</v>
      </c>
      <c r="I142" s="312"/>
      <c r="J142" s="312"/>
      <c r="K142" s="312"/>
      <c r="L142" s="312"/>
      <c r="M142" s="312">
        <v>2041</v>
      </c>
      <c r="N142" s="312"/>
      <c r="O142" s="312"/>
      <c r="P142" s="312"/>
      <c r="Q142" s="312"/>
      <c r="R142" s="312">
        <v>2041</v>
      </c>
      <c r="S142" s="312"/>
      <c r="T142" s="312"/>
      <c r="U142" s="312"/>
      <c r="V142" s="312"/>
      <c r="W142" s="312">
        <v>2041</v>
      </c>
      <c r="X142" s="312"/>
      <c r="Y142" s="312"/>
      <c r="Z142" s="312"/>
      <c r="AA142" s="312"/>
      <c r="AB142" s="312">
        <v>2041</v>
      </c>
      <c r="AC142" s="312"/>
      <c r="AD142" s="312"/>
      <c r="AE142" s="312"/>
      <c r="AF142" s="312"/>
      <c r="AG142" s="312">
        <v>2041</v>
      </c>
      <c r="AH142" s="312"/>
      <c r="AI142" s="312"/>
      <c r="AJ142" s="312"/>
      <c r="AK142" s="312"/>
      <c r="AL142" s="312">
        <v>2041</v>
      </c>
      <c r="AM142" s="312"/>
      <c r="AN142" s="312"/>
      <c r="AO142" s="312"/>
      <c r="AP142" s="312"/>
      <c r="AQ142" s="312">
        <v>2041</v>
      </c>
      <c r="AR142" s="312"/>
      <c r="AS142" s="312"/>
      <c r="AT142" s="312"/>
      <c r="AU142" s="312"/>
      <c r="AV142" s="312">
        <v>2041</v>
      </c>
      <c r="AW142" s="312"/>
      <c r="AX142" s="312"/>
      <c r="AY142" s="312"/>
      <c r="AZ142" s="312"/>
      <c r="BA142" s="312">
        <v>2041</v>
      </c>
      <c r="BB142" s="312"/>
      <c r="BC142" s="312"/>
      <c r="BD142" s="312"/>
      <c r="BE142" s="312"/>
      <c r="BF142" s="312">
        <v>2041</v>
      </c>
      <c r="BG142" s="312"/>
      <c r="BH142" s="312"/>
      <c r="BI142" s="312"/>
      <c r="BJ142" s="312"/>
      <c r="BK142" s="312">
        <v>2041</v>
      </c>
      <c r="BL142" s="312"/>
      <c r="BM142" s="312"/>
      <c r="BN142" s="312"/>
      <c r="BO142" s="312" t="s">
        <v>9374</v>
      </c>
    </row>
    <row r="143" spans="1:67" hidden="1" outlineLevel="1">
      <c r="A143" s="312" t="s">
        <v>7347</v>
      </c>
      <c r="B143" s="312" t="s">
        <v>9437</v>
      </c>
      <c r="C143" s="312" t="s">
        <v>9431</v>
      </c>
      <c r="D143" s="312" t="s">
        <v>9266</v>
      </c>
      <c r="E143" s="312" t="s">
        <v>9267</v>
      </c>
      <c r="F143" s="312"/>
      <c r="G143" s="312"/>
      <c r="H143" s="312">
        <v>1831</v>
      </c>
      <c r="I143" s="312"/>
      <c r="J143" s="312"/>
      <c r="K143" s="312"/>
      <c r="L143" s="312"/>
      <c r="M143" s="312">
        <v>1831</v>
      </c>
      <c r="N143" s="312"/>
      <c r="O143" s="312"/>
      <c r="P143" s="312"/>
      <c r="Q143" s="312"/>
      <c r="R143" s="312">
        <v>1831</v>
      </c>
      <c r="S143" s="312"/>
      <c r="T143" s="312"/>
      <c r="U143" s="312"/>
      <c r="V143" s="312"/>
      <c r="W143" s="312">
        <v>1831</v>
      </c>
      <c r="X143" s="312"/>
      <c r="Y143" s="312"/>
      <c r="Z143" s="312"/>
      <c r="AA143" s="312"/>
      <c r="AB143" s="312">
        <v>1831</v>
      </c>
      <c r="AC143" s="312"/>
      <c r="AD143" s="312"/>
      <c r="AE143" s="312"/>
      <c r="AF143" s="312"/>
      <c r="AG143" s="312">
        <v>1831</v>
      </c>
      <c r="AH143" s="312"/>
      <c r="AI143" s="312"/>
      <c r="AJ143" s="312"/>
      <c r="AK143" s="312"/>
      <c r="AL143" s="312">
        <v>1831</v>
      </c>
      <c r="AM143" s="312"/>
      <c r="AN143" s="312"/>
      <c r="AO143" s="312"/>
      <c r="AP143" s="312"/>
      <c r="AQ143" s="312">
        <v>1831</v>
      </c>
      <c r="AR143" s="312"/>
      <c r="AS143" s="312"/>
      <c r="AT143" s="312"/>
      <c r="AU143" s="312"/>
      <c r="AV143" s="312">
        <v>1831</v>
      </c>
      <c r="AW143" s="312"/>
      <c r="AX143" s="312"/>
      <c r="AY143" s="312"/>
      <c r="AZ143" s="312"/>
      <c r="BA143" s="312">
        <v>1831</v>
      </c>
      <c r="BB143" s="312"/>
      <c r="BC143" s="312"/>
      <c r="BD143" s="312"/>
      <c r="BE143" s="312"/>
      <c r="BF143" s="312">
        <v>1831</v>
      </c>
      <c r="BG143" s="312"/>
      <c r="BH143" s="312"/>
      <c r="BI143" s="312"/>
      <c r="BJ143" s="312"/>
      <c r="BK143" s="312">
        <v>1831</v>
      </c>
      <c r="BL143" s="312"/>
      <c r="BM143" s="312"/>
      <c r="BN143" s="312"/>
      <c r="BO143" s="312" t="s">
        <v>9277</v>
      </c>
    </row>
    <row r="144" spans="1:67" hidden="1" outlineLevel="1">
      <c r="A144" s="312" t="s">
        <v>7958</v>
      </c>
      <c r="B144" s="312" t="s">
        <v>9438</v>
      </c>
      <c r="C144" s="312" t="s">
        <v>9431</v>
      </c>
      <c r="D144" s="312" t="s">
        <v>9266</v>
      </c>
      <c r="E144" s="312" t="s">
        <v>9267</v>
      </c>
      <c r="F144" s="312"/>
      <c r="G144" s="312"/>
      <c r="H144" s="312">
        <v>1651</v>
      </c>
      <c r="I144" s="312"/>
      <c r="J144" s="312"/>
      <c r="K144" s="312"/>
      <c r="L144" s="312"/>
      <c r="M144" s="312">
        <v>1651</v>
      </c>
      <c r="N144" s="312"/>
      <c r="O144" s="312"/>
      <c r="P144" s="312"/>
      <c r="Q144" s="312"/>
      <c r="R144" s="312">
        <v>1651</v>
      </c>
      <c r="S144" s="312"/>
      <c r="T144" s="312"/>
      <c r="U144" s="312"/>
      <c r="V144" s="312"/>
      <c r="W144" s="312">
        <v>1651</v>
      </c>
      <c r="X144" s="312"/>
      <c r="Y144" s="312"/>
      <c r="Z144" s="312"/>
      <c r="AA144" s="312"/>
      <c r="AB144" s="312">
        <v>1651</v>
      </c>
      <c r="AC144" s="312"/>
      <c r="AD144" s="312"/>
      <c r="AE144" s="312"/>
      <c r="AF144" s="312"/>
      <c r="AG144" s="312">
        <v>1651</v>
      </c>
      <c r="AH144" s="312"/>
      <c r="AI144" s="312"/>
      <c r="AJ144" s="312"/>
      <c r="AK144" s="312"/>
      <c r="AL144" s="312">
        <v>1651</v>
      </c>
      <c r="AM144" s="312"/>
      <c r="AN144" s="312"/>
      <c r="AO144" s="312"/>
      <c r="AP144" s="312"/>
      <c r="AQ144" s="312">
        <v>1651</v>
      </c>
      <c r="AR144" s="312"/>
      <c r="AS144" s="312"/>
      <c r="AT144" s="312"/>
      <c r="AU144" s="312"/>
      <c r="AV144" s="312">
        <v>1651</v>
      </c>
      <c r="AW144" s="312"/>
      <c r="AX144" s="312"/>
      <c r="AY144" s="312"/>
      <c r="AZ144" s="312"/>
      <c r="BA144" s="312">
        <v>1651</v>
      </c>
      <c r="BB144" s="312"/>
      <c r="BC144" s="312"/>
      <c r="BD144" s="312"/>
      <c r="BE144" s="312"/>
      <c r="BF144" s="312">
        <v>1651</v>
      </c>
      <c r="BG144" s="312"/>
      <c r="BH144" s="312"/>
      <c r="BI144" s="312"/>
      <c r="BJ144" s="312"/>
      <c r="BK144" s="312">
        <v>1651</v>
      </c>
      <c r="BL144" s="312"/>
      <c r="BM144" s="312"/>
      <c r="BN144" s="312"/>
      <c r="BO144" s="312" t="s">
        <v>9277</v>
      </c>
    </row>
    <row r="145" spans="1:67" hidden="1" outlineLevel="1">
      <c r="A145" s="312" t="s">
        <v>9439</v>
      </c>
      <c r="B145" s="312" t="s">
        <v>9440</v>
      </c>
      <c r="C145" s="312" t="s">
        <v>9431</v>
      </c>
      <c r="D145" s="312" t="s">
        <v>9266</v>
      </c>
      <c r="E145" s="312" t="s">
        <v>9267</v>
      </c>
      <c r="F145" s="312"/>
      <c r="G145" s="312"/>
      <c r="H145" s="312">
        <v>1646</v>
      </c>
      <c r="I145" s="312"/>
      <c r="J145" s="312"/>
      <c r="K145" s="312"/>
      <c r="L145" s="312"/>
      <c r="M145" s="312">
        <v>1646</v>
      </c>
      <c r="N145" s="312"/>
      <c r="O145" s="312"/>
      <c r="P145" s="312"/>
      <c r="Q145" s="312"/>
      <c r="R145" s="312">
        <v>1646</v>
      </c>
      <c r="S145" s="312"/>
      <c r="T145" s="312"/>
      <c r="U145" s="312"/>
      <c r="V145" s="312"/>
      <c r="W145" s="312">
        <v>1646</v>
      </c>
      <c r="X145" s="312"/>
      <c r="Y145" s="312"/>
      <c r="Z145" s="312"/>
      <c r="AA145" s="312"/>
      <c r="AB145" s="312">
        <v>1646</v>
      </c>
      <c r="AC145" s="312"/>
      <c r="AD145" s="312"/>
      <c r="AE145" s="312"/>
      <c r="AF145" s="312"/>
      <c r="AG145" s="312">
        <v>1646</v>
      </c>
      <c r="AH145" s="312"/>
      <c r="AI145" s="312"/>
      <c r="AJ145" s="312"/>
      <c r="AK145" s="312"/>
      <c r="AL145" s="312">
        <v>1646</v>
      </c>
      <c r="AM145" s="312"/>
      <c r="AN145" s="312"/>
      <c r="AO145" s="312"/>
      <c r="AP145" s="312"/>
      <c r="AQ145" s="312">
        <v>1646</v>
      </c>
      <c r="AR145" s="312"/>
      <c r="AS145" s="312"/>
      <c r="AT145" s="312"/>
      <c r="AU145" s="312"/>
      <c r="AV145" s="312">
        <v>1646</v>
      </c>
      <c r="AW145" s="312"/>
      <c r="AX145" s="312"/>
      <c r="AY145" s="312"/>
      <c r="AZ145" s="312"/>
      <c r="BA145" s="312">
        <v>1646</v>
      </c>
      <c r="BB145" s="312"/>
      <c r="BC145" s="312"/>
      <c r="BD145" s="312"/>
      <c r="BE145" s="312"/>
      <c r="BF145" s="312">
        <v>1646</v>
      </c>
      <c r="BG145" s="312"/>
      <c r="BH145" s="312"/>
      <c r="BI145" s="312"/>
      <c r="BJ145" s="312"/>
      <c r="BK145" s="312">
        <v>1646</v>
      </c>
      <c r="BL145" s="312"/>
      <c r="BM145" s="312"/>
      <c r="BN145" s="312"/>
      <c r="BO145" s="312" t="s">
        <v>9277</v>
      </c>
    </row>
    <row r="146" spans="1:67" hidden="1" outlineLevel="1">
      <c r="A146" s="312" t="s">
        <v>7243</v>
      </c>
      <c r="B146" s="312" t="s">
        <v>9441</v>
      </c>
      <c r="C146" s="312" t="s">
        <v>9431</v>
      </c>
      <c r="D146" s="312" t="s">
        <v>9266</v>
      </c>
      <c r="E146" s="312" t="s">
        <v>9267</v>
      </c>
      <c r="F146" s="312"/>
      <c r="G146" s="312"/>
      <c r="H146" s="312">
        <v>1604</v>
      </c>
      <c r="I146" s="312"/>
      <c r="J146" s="312"/>
      <c r="K146" s="312"/>
      <c r="L146" s="312"/>
      <c r="M146" s="312">
        <v>1604</v>
      </c>
      <c r="N146" s="312"/>
      <c r="O146" s="312"/>
      <c r="P146" s="312"/>
      <c r="Q146" s="312"/>
      <c r="R146" s="312">
        <v>1604</v>
      </c>
      <c r="S146" s="312"/>
      <c r="T146" s="312"/>
      <c r="U146" s="312"/>
      <c r="V146" s="312"/>
      <c r="W146" s="312">
        <v>1604</v>
      </c>
      <c r="X146" s="312"/>
      <c r="Y146" s="312"/>
      <c r="Z146" s="312"/>
      <c r="AA146" s="312"/>
      <c r="AB146" s="312">
        <v>1604</v>
      </c>
      <c r="AC146" s="312"/>
      <c r="AD146" s="312"/>
      <c r="AE146" s="312"/>
      <c r="AF146" s="312"/>
      <c r="AG146" s="312">
        <v>1604</v>
      </c>
      <c r="AH146" s="312"/>
      <c r="AI146" s="312"/>
      <c r="AJ146" s="312"/>
      <c r="AK146" s="312"/>
      <c r="AL146" s="312">
        <v>1604</v>
      </c>
      <c r="AM146" s="312"/>
      <c r="AN146" s="312"/>
      <c r="AO146" s="312"/>
      <c r="AP146" s="312"/>
      <c r="AQ146" s="312">
        <v>1604</v>
      </c>
      <c r="AR146" s="312"/>
      <c r="AS146" s="312"/>
      <c r="AT146" s="312"/>
      <c r="AU146" s="312"/>
      <c r="AV146" s="312">
        <v>1604</v>
      </c>
      <c r="AW146" s="312"/>
      <c r="AX146" s="312"/>
      <c r="AY146" s="312"/>
      <c r="AZ146" s="312"/>
      <c r="BA146" s="312">
        <v>1604</v>
      </c>
      <c r="BB146" s="312"/>
      <c r="BC146" s="312"/>
      <c r="BD146" s="312"/>
      <c r="BE146" s="312"/>
      <c r="BF146" s="312">
        <v>1604</v>
      </c>
      <c r="BG146" s="312"/>
      <c r="BH146" s="312"/>
      <c r="BI146" s="312"/>
      <c r="BJ146" s="312"/>
      <c r="BK146" s="312">
        <v>1604</v>
      </c>
      <c r="BL146" s="312"/>
      <c r="BM146" s="312"/>
      <c r="BN146" s="312"/>
      <c r="BO146" s="312" t="s">
        <v>9277</v>
      </c>
    </row>
    <row r="147" spans="1:67" hidden="1" outlineLevel="1">
      <c r="A147" s="312" t="s">
        <v>8026</v>
      </c>
      <c r="B147" s="312" t="s">
        <v>9442</v>
      </c>
      <c r="C147" s="312" t="s">
        <v>9431</v>
      </c>
      <c r="D147" s="312" t="s">
        <v>9266</v>
      </c>
      <c r="E147" s="312" t="s">
        <v>9267</v>
      </c>
      <c r="F147" s="312"/>
      <c r="G147" s="312"/>
      <c r="H147" s="312">
        <v>1577</v>
      </c>
      <c r="I147" s="312"/>
      <c r="J147" s="312"/>
      <c r="K147" s="312"/>
      <c r="L147" s="312"/>
      <c r="M147" s="312">
        <v>1577</v>
      </c>
      <c r="N147" s="312"/>
      <c r="O147" s="312"/>
      <c r="P147" s="312"/>
      <c r="Q147" s="312"/>
      <c r="R147" s="312">
        <v>1577</v>
      </c>
      <c r="S147" s="312"/>
      <c r="T147" s="312"/>
      <c r="U147" s="312"/>
      <c r="V147" s="312"/>
      <c r="W147" s="312">
        <v>1577</v>
      </c>
      <c r="X147" s="312"/>
      <c r="Y147" s="312"/>
      <c r="Z147" s="312"/>
      <c r="AA147" s="312"/>
      <c r="AB147" s="312">
        <v>1577</v>
      </c>
      <c r="AC147" s="312"/>
      <c r="AD147" s="312"/>
      <c r="AE147" s="312"/>
      <c r="AF147" s="312"/>
      <c r="AG147" s="312">
        <v>1577</v>
      </c>
      <c r="AH147" s="312"/>
      <c r="AI147" s="312"/>
      <c r="AJ147" s="312"/>
      <c r="AK147" s="312"/>
      <c r="AL147" s="312">
        <v>1577</v>
      </c>
      <c r="AM147" s="312"/>
      <c r="AN147" s="312"/>
      <c r="AO147" s="312"/>
      <c r="AP147" s="312"/>
      <c r="AQ147" s="312">
        <v>1577</v>
      </c>
      <c r="AR147" s="312"/>
      <c r="AS147" s="312"/>
      <c r="AT147" s="312"/>
      <c r="AU147" s="312"/>
      <c r="AV147" s="312">
        <v>1577</v>
      </c>
      <c r="AW147" s="312"/>
      <c r="AX147" s="312"/>
      <c r="AY147" s="312"/>
      <c r="AZ147" s="312"/>
      <c r="BA147" s="312">
        <v>1577</v>
      </c>
      <c r="BB147" s="312"/>
      <c r="BC147" s="312"/>
      <c r="BD147" s="312"/>
      <c r="BE147" s="312"/>
      <c r="BF147" s="312">
        <v>1577</v>
      </c>
      <c r="BG147" s="312"/>
      <c r="BH147" s="312"/>
      <c r="BI147" s="312"/>
      <c r="BJ147" s="312"/>
      <c r="BK147" s="312">
        <v>1577</v>
      </c>
      <c r="BL147" s="312"/>
      <c r="BM147" s="312"/>
      <c r="BN147" s="312"/>
      <c r="BO147" s="312" t="s">
        <v>9277</v>
      </c>
    </row>
    <row r="148" spans="1:67" hidden="1" outlineLevel="1">
      <c r="A148" s="312" t="s">
        <v>9443</v>
      </c>
      <c r="B148" s="312" t="s">
        <v>9444</v>
      </c>
      <c r="C148" s="312" t="s">
        <v>9431</v>
      </c>
      <c r="D148" s="312" t="s">
        <v>9266</v>
      </c>
      <c r="E148" s="312" t="s">
        <v>9267</v>
      </c>
      <c r="F148" s="312"/>
      <c r="G148" s="312"/>
      <c r="H148" s="312">
        <v>1543</v>
      </c>
      <c r="I148" s="312"/>
      <c r="J148" s="312"/>
      <c r="K148" s="312"/>
      <c r="L148" s="312"/>
      <c r="M148" s="312">
        <v>1543</v>
      </c>
      <c r="N148" s="312"/>
      <c r="O148" s="312"/>
      <c r="P148" s="312"/>
      <c r="Q148" s="312"/>
      <c r="R148" s="312">
        <v>1543</v>
      </c>
      <c r="S148" s="312"/>
      <c r="T148" s="312"/>
      <c r="U148" s="312"/>
      <c r="V148" s="312"/>
      <c r="W148" s="312">
        <v>1543</v>
      </c>
      <c r="X148" s="312"/>
      <c r="Y148" s="312"/>
      <c r="Z148" s="312"/>
      <c r="AA148" s="312"/>
      <c r="AB148" s="312">
        <v>1543</v>
      </c>
      <c r="AC148" s="312"/>
      <c r="AD148" s="312"/>
      <c r="AE148" s="312"/>
      <c r="AF148" s="312"/>
      <c r="AG148" s="312">
        <v>1543</v>
      </c>
      <c r="AH148" s="312"/>
      <c r="AI148" s="312"/>
      <c r="AJ148" s="312"/>
      <c r="AK148" s="312"/>
      <c r="AL148" s="312">
        <v>1543</v>
      </c>
      <c r="AM148" s="312"/>
      <c r="AN148" s="312"/>
      <c r="AO148" s="312"/>
      <c r="AP148" s="312"/>
      <c r="AQ148" s="312">
        <v>1543</v>
      </c>
      <c r="AR148" s="312"/>
      <c r="AS148" s="312"/>
      <c r="AT148" s="312"/>
      <c r="AU148" s="312"/>
      <c r="AV148" s="312">
        <v>1543</v>
      </c>
      <c r="AW148" s="312"/>
      <c r="AX148" s="312"/>
      <c r="AY148" s="312"/>
      <c r="AZ148" s="312"/>
      <c r="BA148" s="312">
        <v>1543</v>
      </c>
      <c r="BB148" s="312"/>
      <c r="BC148" s="312"/>
      <c r="BD148" s="312"/>
      <c r="BE148" s="312"/>
      <c r="BF148" s="312">
        <v>1543</v>
      </c>
      <c r="BG148" s="312"/>
      <c r="BH148" s="312"/>
      <c r="BI148" s="312"/>
      <c r="BJ148" s="312"/>
      <c r="BK148" s="312">
        <v>1543</v>
      </c>
      <c r="BL148" s="312"/>
      <c r="BM148" s="312"/>
      <c r="BN148" s="312"/>
      <c r="BO148" s="312" t="s">
        <v>9277</v>
      </c>
    </row>
    <row r="149" spans="1:67" hidden="1" outlineLevel="1">
      <c r="A149" s="312" t="s">
        <v>6937</v>
      </c>
      <c r="B149" s="312" t="s">
        <v>9445</v>
      </c>
      <c r="C149" s="312" t="s">
        <v>9431</v>
      </c>
      <c r="D149" s="312" t="s">
        <v>9266</v>
      </c>
      <c r="E149" s="312" t="s">
        <v>9267</v>
      </c>
      <c r="F149" s="312"/>
      <c r="G149" s="312"/>
      <c r="H149" s="312">
        <v>1513</v>
      </c>
      <c r="I149" s="312"/>
      <c r="J149" s="312"/>
      <c r="K149" s="312"/>
      <c r="L149" s="312"/>
      <c r="M149" s="312">
        <v>1513</v>
      </c>
      <c r="N149" s="312"/>
      <c r="O149" s="312"/>
      <c r="P149" s="312"/>
      <c r="Q149" s="312"/>
      <c r="R149" s="312">
        <v>1513</v>
      </c>
      <c r="S149" s="312"/>
      <c r="T149" s="312"/>
      <c r="U149" s="312"/>
      <c r="V149" s="312"/>
      <c r="W149" s="312">
        <v>1513</v>
      </c>
      <c r="X149" s="312"/>
      <c r="Y149" s="312"/>
      <c r="Z149" s="312"/>
      <c r="AA149" s="312"/>
      <c r="AB149" s="312">
        <v>1513</v>
      </c>
      <c r="AC149" s="312"/>
      <c r="AD149" s="312"/>
      <c r="AE149" s="312"/>
      <c r="AF149" s="312"/>
      <c r="AG149" s="312">
        <v>1513</v>
      </c>
      <c r="AH149" s="312"/>
      <c r="AI149" s="312"/>
      <c r="AJ149" s="312"/>
      <c r="AK149" s="312"/>
      <c r="AL149" s="312">
        <v>1513</v>
      </c>
      <c r="AM149" s="312"/>
      <c r="AN149" s="312"/>
      <c r="AO149" s="312"/>
      <c r="AP149" s="312"/>
      <c r="AQ149" s="312">
        <v>1513</v>
      </c>
      <c r="AR149" s="312"/>
      <c r="AS149" s="312"/>
      <c r="AT149" s="312"/>
      <c r="AU149" s="312"/>
      <c r="AV149" s="312">
        <v>1513</v>
      </c>
      <c r="AW149" s="312"/>
      <c r="AX149" s="312"/>
      <c r="AY149" s="312"/>
      <c r="AZ149" s="312"/>
      <c r="BA149" s="312">
        <v>1513</v>
      </c>
      <c r="BB149" s="312"/>
      <c r="BC149" s="312"/>
      <c r="BD149" s="312"/>
      <c r="BE149" s="312"/>
      <c r="BF149" s="312">
        <v>1513</v>
      </c>
      <c r="BG149" s="312"/>
      <c r="BH149" s="312"/>
      <c r="BI149" s="312"/>
      <c r="BJ149" s="312"/>
      <c r="BK149" s="312">
        <v>1513</v>
      </c>
      <c r="BL149" s="312"/>
      <c r="BM149" s="312"/>
      <c r="BN149" s="312"/>
      <c r="BO149" s="312" t="s">
        <v>9277</v>
      </c>
    </row>
    <row r="150" spans="1:67" hidden="1" outlineLevel="1">
      <c r="A150" s="312" t="s">
        <v>6530</v>
      </c>
      <c r="B150" s="312" t="s">
        <v>9446</v>
      </c>
      <c r="C150" s="312" t="s">
        <v>9431</v>
      </c>
      <c r="D150" s="312" t="s">
        <v>9266</v>
      </c>
      <c r="E150" s="312" t="s">
        <v>9267</v>
      </c>
      <c r="F150" s="312"/>
      <c r="G150" s="312"/>
      <c r="H150" s="312">
        <v>1348</v>
      </c>
      <c r="I150" s="312"/>
      <c r="J150" s="312"/>
      <c r="K150" s="312"/>
      <c r="L150" s="312"/>
      <c r="M150" s="312">
        <v>1348</v>
      </c>
      <c r="N150" s="312"/>
      <c r="O150" s="312"/>
      <c r="P150" s="312"/>
      <c r="Q150" s="312"/>
      <c r="R150" s="312">
        <v>1348</v>
      </c>
      <c r="S150" s="312"/>
      <c r="T150" s="312"/>
      <c r="U150" s="312"/>
      <c r="V150" s="312"/>
      <c r="W150" s="312">
        <v>1348</v>
      </c>
      <c r="X150" s="312"/>
      <c r="Y150" s="312"/>
      <c r="Z150" s="312"/>
      <c r="AA150" s="312"/>
      <c r="AB150" s="312">
        <v>1348</v>
      </c>
      <c r="AC150" s="312"/>
      <c r="AD150" s="312"/>
      <c r="AE150" s="312"/>
      <c r="AF150" s="312"/>
      <c r="AG150" s="312">
        <v>1348</v>
      </c>
      <c r="AH150" s="312"/>
      <c r="AI150" s="312"/>
      <c r="AJ150" s="312"/>
      <c r="AK150" s="312"/>
      <c r="AL150" s="312">
        <v>1348</v>
      </c>
      <c r="AM150" s="312"/>
      <c r="AN150" s="312"/>
      <c r="AO150" s="312"/>
      <c r="AP150" s="312"/>
      <c r="AQ150" s="312">
        <v>1348</v>
      </c>
      <c r="AR150" s="312"/>
      <c r="AS150" s="312"/>
      <c r="AT150" s="312"/>
      <c r="AU150" s="312"/>
      <c r="AV150" s="312">
        <v>1348</v>
      </c>
      <c r="AW150" s="312"/>
      <c r="AX150" s="312"/>
      <c r="AY150" s="312"/>
      <c r="AZ150" s="312"/>
      <c r="BA150" s="312">
        <v>1348</v>
      </c>
      <c r="BB150" s="312"/>
      <c r="BC150" s="312"/>
      <c r="BD150" s="312"/>
      <c r="BE150" s="312"/>
      <c r="BF150" s="312">
        <v>1348</v>
      </c>
      <c r="BG150" s="312"/>
      <c r="BH150" s="312"/>
      <c r="BI150" s="312"/>
      <c r="BJ150" s="312"/>
      <c r="BK150" s="312">
        <v>1348</v>
      </c>
      <c r="BL150" s="312"/>
      <c r="BM150" s="312"/>
      <c r="BN150" s="312"/>
      <c r="BO150" s="312" t="s">
        <v>9277</v>
      </c>
    </row>
    <row r="151" spans="1:67" hidden="1" outlineLevel="1">
      <c r="A151" s="312" t="s">
        <v>8018</v>
      </c>
      <c r="B151" s="312" t="s">
        <v>9447</v>
      </c>
      <c r="C151" s="312" t="s">
        <v>9431</v>
      </c>
      <c r="D151" s="312" t="s">
        <v>9266</v>
      </c>
      <c r="E151" s="312" t="s">
        <v>9267</v>
      </c>
      <c r="F151" s="312"/>
      <c r="G151" s="312"/>
      <c r="H151" s="312">
        <v>1343</v>
      </c>
      <c r="I151" s="312"/>
      <c r="J151" s="312"/>
      <c r="K151" s="312"/>
      <c r="L151" s="312"/>
      <c r="M151" s="312">
        <v>1343</v>
      </c>
      <c r="N151" s="312"/>
      <c r="O151" s="312"/>
      <c r="P151" s="312"/>
      <c r="Q151" s="312"/>
      <c r="R151" s="312">
        <v>1343</v>
      </c>
      <c r="S151" s="312"/>
      <c r="T151" s="312"/>
      <c r="U151" s="312"/>
      <c r="V151" s="312"/>
      <c r="W151" s="312">
        <v>1343</v>
      </c>
      <c r="X151" s="312"/>
      <c r="Y151" s="312"/>
      <c r="Z151" s="312"/>
      <c r="AA151" s="312"/>
      <c r="AB151" s="312">
        <v>1343</v>
      </c>
      <c r="AC151" s="312"/>
      <c r="AD151" s="312"/>
      <c r="AE151" s="312"/>
      <c r="AF151" s="312"/>
      <c r="AG151" s="312">
        <v>1343</v>
      </c>
      <c r="AH151" s="312"/>
      <c r="AI151" s="312"/>
      <c r="AJ151" s="312"/>
      <c r="AK151" s="312"/>
      <c r="AL151" s="312">
        <v>1343</v>
      </c>
      <c r="AM151" s="312"/>
      <c r="AN151" s="312"/>
      <c r="AO151" s="312"/>
      <c r="AP151" s="312"/>
      <c r="AQ151" s="312">
        <v>1343</v>
      </c>
      <c r="AR151" s="312"/>
      <c r="AS151" s="312"/>
      <c r="AT151" s="312"/>
      <c r="AU151" s="312"/>
      <c r="AV151" s="312">
        <v>1343</v>
      </c>
      <c r="AW151" s="312"/>
      <c r="AX151" s="312"/>
      <c r="AY151" s="312"/>
      <c r="AZ151" s="312"/>
      <c r="BA151" s="312">
        <v>1343</v>
      </c>
      <c r="BB151" s="312"/>
      <c r="BC151" s="312"/>
      <c r="BD151" s="312"/>
      <c r="BE151" s="312"/>
      <c r="BF151" s="312">
        <v>1343</v>
      </c>
      <c r="BG151" s="312"/>
      <c r="BH151" s="312"/>
      <c r="BI151" s="312"/>
      <c r="BJ151" s="312"/>
      <c r="BK151" s="312">
        <v>1343</v>
      </c>
      <c r="BL151" s="312"/>
      <c r="BM151" s="312"/>
      <c r="BN151" s="312"/>
      <c r="BO151" s="312" t="s">
        <v>9277</v>
      </c>
    </row>
    <row r="152" spans="1:67" hidden="1" outlineLevel="1">
      <c r="A152" s="312" t="s">
        <v>8132</v>
      </c>
      <c r="B152" s="312" t="s">
        <v>9448</v>
      </c>
      <c r="C152" s="312" t="s">
        <v>9431</v>
      </c>
      <c r="D152" s="312" t="s">
        <v>9266</v>
      </c>
      <c r="E152" s="312" t="s">
        <v>9267</v>
      </c>
      <c r="F152" s="312"/>
      <c r="G152" s="312"/>
      <c r="H152" s="312">
        <v>1274</v>
      </c>
      <c r="I152" s="312"/>
      <c r="J152" s="312"/>
      <c r="K152" s="312"/>
      <c r="L152" s="312"/>
      <c r="M152" s="312">
        <v>1274</v>
      </c>
      <c r="N152" s="312"/>
      <c r="O152" s="312"/>
      <c r="P152" s="312"/>
      <c r="Q152" s="312"/>
      <c r="R152" s="312">
        <v>1274</v>
      </c>
      <c r="S152" s="312"/>
      <c r="T152" s="312"/>
      <c r="U152" s="312"/>
      <c r="V152" s="312"/>
      <c r="W152" s="312">
        <v>1274</v>
      </c>
      <c r="X152" s="312"/>
      <c r="Y152" s="312"/>
      <c r="Z152" s="312"/>
      <c r="AA152" s="312"/>
      <c r="AB152" s="312">
        <v>1274</v>
      </c>
      <c r="AC152" s="312"/>
      <c r="AD152" s="312"/>
      <c r="AE152" s="312"/>
      <c r="AF152" s="312"/>
      <c r="AG152" s="312">
        <v>1274</v>
      </c>
      <c r="AH152" s="312"/>
      <c r="AI152" s="312"/>
      <c r="AJ152" s="312"/>
      <c r="AK152" s="312"/>
      <c r="AL152" s="312">
        <v>1274</v>
      </c>
      <c r="AM152" s="312"/>
      <c r="AN152" s="312"/>
      <c r="AO152" s="312"/>
      <c r="AP152" s="312"/>
      <c r="AQ152" s="312">
        <v>1274</v>
      </c>
      <c r="AR152" s="312"/>
      <c r="AS152" s="312"/>
      <c r="AT152" s="312"/>
      <c r="AU152" s="312"/>
      <c r="AV152" s="312">
        <v>1274</v>
      </c>
      <c r="AW152" s="312"/>
      <c r="AX152" s="312"/>
      <c r="AY152" s="312"/>
      <c r="AZ152" s="312"/>
      <c r="BA152" s="312">
        <v>1274</v>
      </c>
      <c r="BB152" s="312"/>
      <c r="BC152" s="312"/>
      <c r="BD152" s="312"/>
      <c r="BE152" s="312"/>
      <c r="BF152" s="312">
        <v>1274</v>
      </c>
      <c r="BG152" s="312"/>
      <c r="BH152" s="312"/>
      <c r="BI152" s="312"/>
      <c r="BJ152" s="312"/>
      <c r="BK152" s="312">
        <v>1274</v>
      </c>
      <c r="BL152" s="312"/>
      <c r="BM152" s="312"/>
      <c r="BN152" s="312"/>
      <c r="BO152" s="312" t="s">
        <v>9277</v>
      </c>
    </row>
    <row r="153" spans="1:67" hidden="1" outlineLevel="1">
      <c r="A153" s="312" t="s">
        <v>7402</v>
      </c>
      <c r="B153" s="312" t="s">
        <v>9449</v>
      </c>
      <c r="C153" s="312" t="s">
        <v>9431</v>
      </c>
      <c r="D153" s="312" t="s">
        <v>9266</v>
      </c>
      <c r="E153" s="312" t="s">
        <v>9267</v>
      </c>
      <c r="F153" s="312"/>
      <c r="G153" s="312"/>
      <c r="H153" s="312">
        <v>1212</v>
      </c>
      <c r="I153" s="312"/>
      <c r="J153" s="312"/>
      <c r="K153" s="312"/>
      <c r="L153" s="312"/>
      <c r="M153" s="312">
        <v>1212</v>
      </c>
      <c r="N153" s="312"/>
      <c r="O153" s="312"/>
      <c r="P153" s="312"/>
      <c r="Q153" s="312"/>
      <c r="R153" s="312">
        <v>1212</v>
      </c>
      <c r="S153" s="312"/>
      <c r="T153" s="312"/>
      <c r="U153" s="312"/>
      <c r="V153" s="312"/>
      <c r="W153" s="312">
        <v>1212</v>
      </c>
      <c r="X153" s="312"/>
      <c r="Y153" s="312"/>
      <c r="Z153" s="312"/>
      <c r="AA153" s="312"/>
      <c r="AB153" s="312">
        <v>1212</v>
      </c>
      <c r="AC153" s="312"/>
      <c r="AD153" s="312"/>
      <c r="AE153" s="312"/>
      <c r="AF153" s="312"/>
      <c r="AG153" s="312">
        <v>1212</v>
      </c>
      <c r="AH153" s="312"/>
      <c r="AI153" s="312"/>
      <c r="AJ153" s="312"/>
      <c r="AK153" s="312"/>
      <c r="AL153" s="312">
        <v>1212</v>
      </c>
      <c r="AM153" s="312"/>
      <c r="AN153" s="312"/>
      <c r="AO153" s="312"/>
      <c r="AP153" s="312"/>
      <c r="AQ153" s="312">
        <v>1212</v>
      </c>
      <c r="AR153" s="312"/>
      <c r="AS153" s="312"/>
      <c r="AT153" s="312"/>
      <c r="AU153" s="312"/>
      <c r="AV153" s="312">
        <v>1212</v>
      </c>
      <c r="AW153" s="312"/>
      <c r="AX153" s="312"/>
      <c r="AY153" s="312"/>
      <c r="AZ153" s="312"/>
      <c r="BA153" s="312">
        <v>1212</v>
      </c>
      <c r="BB153" s="312"/>
      <c r="BC153" s="312"/>
      <c r="BD153" s="312"/>
      <c r="BE153" s="312"/>
      <c r="BF153" s="312">
        <v>1212</v>
      </c>
      <c r="BG153" s="312"/>
      <c r="BH153" s="312"/>
      <c r="BI153" s="312"/>
      <c r="BJ153" s="312"/>
      <c r="BK153" s="312">
        <v>1212</v>
      </c>
      <c r="BL153" s="312"/>
      <c r="BM153" s="312"/>
      <c r="BN153" s="312"/>
      <c r="BO153" s="312" t="s">
        <v>9277</v>
      </c>
    </row>
    <row r="154" spans="1:67" hidden="1" outlineLevel="1">
      <c r="A154" s="312" t="s">
        <v>6308</v>
      </c>
      <c r="B154" s="312" t="s">
        <v>9450</v>
      </c>
      <c r="C154" s="312" t="s">
        <v>9431</v>
      </c>
      <c r="D154" s="312" t="s">
        <v>9266</v>
      </c>
      <c r="E154" s="312" t="s">
        <v>9267</v>
      </c>
      <c r="F154" s="312"/>
      <c r="G154" s="312"/>
      <c r="H154" s="312">
        <v>1187</v>
      </c>
      <c r="I154" s="312"/>
      <c r="J154" s="312"/>
      <c r="K154" s="312"/>
      <c r="L154" s="312"/>
      <c r="M154" s="312">
        <v>1187</v>
      </c>
      <c r="N154" s="312"/>
      <c r="O154" s="312"/>
      <c r="P154" s="312"/>
      <c r="Q154" s="312"/>
      <c r="R154" s="312">
        <v>1187</v>
      </c>
      <c r="S154" s="312"/>
      <c r="T154" s="312"/>
      <c r="U154" s="312"/>
      <c r="V154" s="312"/>
      <c r="W154" s="312">
        <v>1187</v>
      </c>
      <c r="X154" s="312"/>
      <c r="Y154" s="312"/>
      <c r="Z154" s="312"/>
      <c r="AA154" s="312"/>
      <c r="AB154" s="312">
        <v>1187</v>
      </c>
      <c r="AC154" s="312"/>
      <c r="AD154" s="312"/>
      <c r="AE154" s="312"/>
      <c r="AF154" s="312"/>
      <c r="AG154" s="312">
        <v>1187</v>
      </c>
      <c r="AH154" s="312"/>
      <c r="AI154" s="312"/>
      <c r="AJ154" s="312"/>
      <c r="AK154" s="312"/>
      <c r="AL154" s="312">
        <v>1187</v>
      </c>
      <c r="AM154" s="312"/>
      <c r="AN154" s="312"/>
      <c r="AO154" s="312"/>
      <c r="AP154" s="312"/>
      <c r="AQ154" s="312">
        <v>1187</v>
      </c>
      <c r="AR154" s="312"/>
      <c r="AS154" s="312"/>
      <c r="AT154" s="312"/>
      <c r="AU154" s="312"/>
      <c r="AV154" s="312">
        <v>1187</v>
      </c>
      <c r="AW154" s="312"/>
      <c r="AX154" s="312"/>
      <c r="AY154" s="312"/>
      <c r="AZ154" s="312"/>
      <c r="BA154" s="312">
        <v>1187</v>
      </c>
      <c r="BB154" s="312"/>
      <c r="BC154" s="312"/>
      <c r="BD154" s="312"/>
      <c r="BE154" s="312"/>
      <c r="BF154" s="312">
        <v>1187</v>
      </c>
      <c r="BG154" s="312"/>
      <c r="BH154" s="312"/>
      <c r="BI154" s="312"/>
      <c r="BJ154" s="312"/>
      <c r="BK154" s="312">
        <v>1187</v>
      </c>
      <c r="BL154" s="312"/>
      <c r="BM154" s="312"/>
      <c r="BN154" s="312"/>
      <c r="BO154" s="312" t="s">
        <v>9277</v>
      </c>
    </row>
    <row r="155" spans="1:67" hidden="1" outlineLevel="1">
      <c r="A155" s="312" t="s">
        <v>8313</v>
      </c>
      <c r="B155" s="312" t="s">
        <v>9451</v>
      </c>
      <c r="C155" s="312" t="s">
        <v>9431</v>
      </c>
      <c r="D155" s="312" t="s">
        <v>9266</v>
      </c>
      <c r="E155" s="312" t="s">
        <v>9267</v>
      </c>
      <c r="F155" s="312"/>
      <c r="G155" s="312"/>
      <c r="H155" s="312">
        <v>1181</v>
      </c>
      <c r="I155" s="312"/>
      <c r="J155" s="312"/>
      <c r="K155" s="312"/>
      <c r="L155" s="312"/>
      <c r="M155" s="312">
        <v>1181</v>
      </c>
      <c r="N155" s="312"/>
      <c r="O155" s="312"/>
      <c r="P155" s="312"/>
      <c r="Q155" s="312"/>
      <c r="R155" s="312">
        <v>1181</v>
      </c>
      <c r="S155" s="312"/>
      <c r="T155" s="312"/>
      <c r="U155" s="312"/>
      <c r="V155" s="312"/>
      <c r="W155" s="312">
        <v>1181</v>
      </c>
      <c r="X155" s="312"/>
      <c r="Y155" s="312"/>
      <c r="Z155" s="312"/>
      <c r="AA155" s="312"/>
      <c r="AB155" s="312">
        <v>1181</v>
      </c>
      <c r="AC155" s="312"/>
      <c r="AD155" s="312"/>
      <c r="AE155" s="312"/>
      <c r="AF155" s="312"/>
      <c r="AG155" s="312">
        <v>1181</v>
      </c>
      <c r="AH155" s="312"/>
      <c r="AI155" s="312"/>
      <c r="AJ155" s="312"/>
      <c r="AK155" s="312"/>
      <c r="AL155" s="312">
        <v>1181</v>
      </c>
      <c r="AM155" s="312"/>
      <c r="AN155" s="312"/>
      <c r="AO155" s="312"/>
      <c r="AP155" s="312"/>
      <c r="AQ155" s="312">
        <v>1181</v>
      </c>
      <c r="AR155" s="312"/>
      <c r="AS155" s="312"/>
      <c r="AT155" s="312"/>
      <c r="AU155" s="312"/>
      <c r="AV155" s="312">
        <v>1181</v>
      </c>
      <c r="AW155" s="312"/>
      <c r="AX155" s="312"/>
      <c r="AY155" s="312"/>
      <c r="AZ155" s="312"/>
      <c r="BA155" s="312">
        <v>1181</v>
      </c>
      <c r="BB155" s="312"/>
      <c r="BC155" s="312"/>
      <c r="BD155" s="312"/>
      <c r="BE155" s="312"/>
      <c r="BF155" s="312">
        <v>1181</v>
      </c>
      <c r="BG155" s="312"/>
      <c r="BH155" s="312"/>
      <c r="BI155" s="312"/>
      <c r="BJ155" s="312"/>
      <c r="BK155" s="312">
        <v>1181</v>
      </c>
      <c r="BL155" s="312"/>
      <c r="BM155" s="312"/>
      <c r="BN155" s="312"/>
      <c r="BO155" s="312" t="s">
        <v>9277</v>
      </c>
    </row>
    <row r="156" spans="1:67" hidden="1" outlineLevel="1">
      <c r="A156" s="312" t="s">
        <v>8057</v>
      </c>
      <c r="B156" s="312" t="s">
        <v>9452</v>
      </c>
      <c r="C156" s="312" t="s">
        <v>9431</v>
      </c>
      <c r="D156" s="312" t="s">
        <v>9266</v>
      </c>
      <c r="E156" s="312" t="s">
        <v>9267</v>
      </c>
      <c r="F156" s="312"/>
      <c r="G156" s="312"/>
      <c r="H156" s="312">
        <v>1180</v>
      </c>
      <c r="I156" s="312"/>
      <c r="J156" s="312"/>
      <c r="K156" s="312"/>
      <c r="L156" s="312"/>
      <c r="M156" s="312">
        <v>1180</v>
      </c>
      <c r="N156" s="312"/>
      <c r="O156" s="312"/>
      <c r="P156" s="312"/>
      <c r="Q156" s="312"/>
      <c r="R156" s="312">
        <v>1180</v>
      </c>
      <c r="S156" s="312"/>
      <c r="T156" s="312"/>
      <c r="U156" s="312"/>
      <c r="V156" s="312"/>
      <c r="W156" s="312">
        <v>1180</v>
      </c>
      <c r="X156" s="312"/>
      <c r="Y156" s="312"/>
      <c r="Z156" s="312"/>
      <c r="AA156" s="312"/>
      <c r="AB156" s="312">
        <v>1180</v>
      </c>
      <c r="AC156" s="312"/>
      <c r="AD156" s="312"/>
      <c r="AE156" s="312"/>
      <c r="AF156" s="312"/>
      <c r="AG156" s="312">
        <v>1180</v>
      </c>
      <c r="AH156" s="312"/>
      <c r="AI156" s="312"/>
      <c r="AJ156" s="312"/>
      <c r="AK156" s="312"/>
      <c r="AL156" s="312">
        <v>1180</v>
      </c>
      <c r="AM156" s="312"/>
      <c r="AN156" s="312"/>
      <c r="AO156" s="312"/>
      <c r="AP156" s="312"/>
      <c r="AQ156" s="312">
        <v>1180</v>
      </c>
      <c r="AR156" s="312"/>
      <c r="AS156" s="312"/>
      <c r="AT156" s="312"/>
      <c r="AU156" s="312"/>
      <c r="AV156" s="312">
        <v>1180</v>
      </c>
      <c r="AW156" s="312"/>
      <c r="AX156" s="312"/>
      <c r="AY156" s="312"/>
      <c r="AZ156" s="312"/>
      <c r="BA156" s="312">
        <v>1180</v>
      </c>
      <c r="BB156" s="312"/>
      <c r="BC156" s="312"/>
      <c r="BD156" s="312"/>
      <c r="BE156" s="312"/>
      <c r="BF156" s="312">
        <v>1180</v>
      </c>
      <c r="BG156" s="312"/>
      <c r="BH156" s="312"/>
      <c r="BI156" s="312"/>
      <c r="BJ156" s="312"/>
      <c r="BK156" s="312">
        <v>1180</v>
      </c>
      <c r="BL156" s="312"/>
      <c r="BM156" s="312"/>
      <c r="BN156" s="312"/>
      <c r="BO156" s="312" t="s">
        <v>9277</v>
      </c>
    </row>
    <row r="157" spans="1:67" hidden="1" outlineLevel="1">
      <c r="A157" s="312" t="s">
        <v>7477</v>
      </c>
      <c r="B157" s="312" t="s">
        <v>9453</v>
      </c>
      <c r="C157" s="312" t="s">
        <v>9431</v>
      </c>
      <c r="D157" s="312" t="s">
        <v>9266</v>
      </c>
      <c r="E157" s="312" t="s">
        <v>9267</v>
      </c>
      <c r="F157" s="312"/>
      <c r="G157" s="312"/>
      <c r="H157" s="312">
        <v>1168</v>
      </c>
      <c r="I157" s="312"/>
      <c r="J157" s="312"/>
      <c r="K157" s="312"/>
      <c r="L157" s="312"/>
      <c r="M157" s="312">
        <v>1168</v>
      </c>
      <c r="N157" s="312"/>
      <c r="O157" s="312"/>
      <c r="P157" s="312"/>
      <c r="Q157" s="312"/>
      <c r="R157" s="312">
        <v>1168</v>
      </c>
      <c r="S157" s="312"/>
      <c r="T157" s="312"/>
      <c r="U157" s="312"/>
      <c r="V157" s="312"/>
      <c r="W157" s="312">
        <v>1168</v>
      </c>
      <c r="X157" s="312"/>
      <c r="Y157" s="312"/>
      <c r="Z157" s="312"/>
      <c r="AA157" s="312"/>
      <c r="AB157" s="312">
        <v>1168</v>
      </c>
      <c r="AC157" s="312"/>
      <c r="AD157" s="312"/>
      <c r="AE157" s="312"/>
      <c r="AF157" s="312"/>
      <c r="AG157" s="312">
        <v>1168</v>
      </c>
      <c r="AH157" s="312"/>
      <c r="AI157" s="312"/>
      <c r="AJ157" s="312"/>
      <c r="AK157" s="312"/>
      <c r="AL157" s="312">
        <v>1168</v>
      </c>
      <c r="AM157" s="312"/>
      <c r="AN157" s="312"/>
      <c r="AO157" s="312"/>
      <c r="AP157" s="312"/>
      <c r="AQ157" s="312">
        <v>1168</v>
      </c>
      <c r="AR157" s="312"/>
      <c r="AS157" s="312"/>
      <c r="AT157" s="312"/>
      <c r="AU157" s="312"/>
      <c r="AV157" s="312">
        <v>1168</v>
      </c>
      <c r="AW157" s="312"/>
      <c r="AX157" s="312"/>
      <c r="AY157" s="312"/>
      <c r="AZ157" s="312"/>
      <c r="BA157" s="312">
        <v>1168</v>
      </c>
      <c r="BB157" s="312"/>
      <c r="BC157" s="312"/>
      <c r="BD157" s="312"/>
      <c r="BE157" s="312"/>
      <c r="BF157" s="312">
        <v>1168</v>
      </c>
      <c r="BG157" s="312"/>
      <c r="BH157" s="312"/>
      <c r="BI157" s="312"/>
      <c r="BJ157" s="312"/>
      <c r="BK157" s="312">
        <v>1168</v>
      </c>
      <c r="BL157" s="312"/>
      <c r="BM157" s="312"/>
      <c r="BN157" s="312"/>
      <c r="BO157" s="312" t="s">
        <v>9277</v>
      </c>
    </row>
    <row r="158" spans="1:67" hidden="1" outlineLevel="1">
      <c r="A158" s="312" t="s">
        <v>7534</v>
      </c>
      <c r="B158" s="312" t="s">
        <v>9454</v>
      </c>
      <c r="C158" s="312" t="s">
        <v>9431</v>
      </c>
      <c r="D158" s="312" t="s">
        <v>9266</v>
      </c>
      <c r="E158" s="312" t="s">
        <v>9267</v>
      </c>
      <c r="F158" s="312"/>
      <c r="G158" s="312"/>
      <c r="H158" s="312">
        <v>1150</v>
      </c>
      <c r="I158" s="312"/>
      <c r="J158" s="312"/>
      <c r="K158" s="312"/>
      <c r="L158" s="312"/>
      <c r="M158" s="312">
        <v>1150</v>
      </c>
      <c r="N158" s="312"/>
      <c r="O158" s="312"/>
      <c r="P158" s="312"/>
      <c r="Q158" s="312"/>
      <c r="R158" s="312">
        <v>1150</v>
      </c>
      <c r="S158" s="312"/>
      <c r="T158" s="312"/>
      <c r="U158" s="312"/>
      <c r="V158" s="312"/>
      <c r="W158" s="312">
        <v>1150</v>
      </c>
      <c r="X158" s="312"/>
      <c r="Y158" s="312"/>
      <c r="Z158" s="312"/>
      <c r="AA158" s="312"/>
      <c r="AB158" s="312">
        <v>1150</v>
      </c>
      <c r="AC158" s="312"/>
      <c r="AD158" s="312"/>
      <c r="AE158" s="312"/>
      <c r="AF158" s="312"/>
      <c r="AG158" s="312">
        <v>1150</v>
      </c>
      <c r="AH158" s="312"/>
      <c r="AI158" s="312"/>
      <c r="AJ158" s="312"/>
      <c r="AK158" s="312"/>
      <c r="AL158" s="312">
        <v>1150</v>
      </c>
      <c r="AM158" s="312"/>
      <c r="AN158" s="312"/>
      <c r="AO158" s="312"/>
      <c r="AP158" s="312"/>
      <c r="AQ158" s="312">
        <v>1150</v>
      </c>
      <c r="AR158" s="312"/>
      <c r="AS158" s="312"/>
      <c r="AT158" s="312"/>
      <c r="AU158" s="312"/>
      <c r="AV158" s="312">
        <v>1150</v>
      </c>
      <c r="AW158" s="312"/>
      <c r="AX158" s="312"/>
      <c r="AY158" s="312"/>
      <c r="AZ158" s="312"/>
      <c r="BA158" s="312">
        <v>1150</v>
      </c>
      <c r="BB158" s="312"/>
      <c r="BC158" s="312"/>
      <c r="BD158" s="312"/>
      <c r="BE158" s="312"/>
      <c r="BF158" s="312">
        <v>1150</v>
      </c>
      <c r="BG158" s="312"/>
      <c r="BH158" s="312"/>
      <c r="BI158" s="312"/>
      <c r="BJ158" s="312"/>
      <c r="BK158" s="312">
        <v>1150</v>
      </c>
      <c r="BL158" s="312"/>
      <c r="BM158" s="312"/>
      <c r="BN158" s="312"/>
      <c r="BO158" s="312" t="s">
        <v>9277</v>
      </c>
    </row>
    <row r="159" spans="1:67" hidden="1" outlineLevel="1">
      <c r="A159" s="312" t="s">
        <v>9455</v>
      </c>
      <c r="B159" s="312" t="s">
        <v>9456</v>
      </c>
      <c r="C159" s="312" t="s">
        <v>9431</v>
      </c>
      <c r="D159" s="312" t="s">
        <v>9266</v>
      </c>
      <c r="E159" s="312" t="s">
        <v>9267</v>
      </c>
      <c r="F159" s="312"/>
      <c r="G159" s="312"/>
      <c r="H159" s="312">
        <v>1071</v>
      </c>
      <c r="I159" s="312"/>
      <c r="J159" s="312"/>
      <c r="K159" s="312"/>
      <c r="L159" s="312"/>
      <c r="M159" s="312">
        <v>1071</v>
      </c>
      <c r="N159" s="312"/>
      <c r="O159" s="312"/>
      <c r="P159" s="312"/>
      <c r="Q159" s="312"/>
      <c r="R159" s="312">
        <v>1071</v>
      </c>
      <c r="S159" s="312"/>
      <c r="T159" s="312"/>
      <c r="U159" s="312"/>
      <c r="V159" s="312"/>
      <c r="W159" s="312">
        <v>1071</v>
      </c>
      <c r="X159" s="312"/>
      <c r="Y159" s="312"/>
      <c r="Z159" s="312"/>
      <c r="AA159" s="312"/>
      <c r="AB159" s="312">
        <v>1071</v>
      </c>
      <c r="AC159" s="312"/>
      <c r="AD159" s="312"/>
      <c r="AE159" s="312"/>
      <c r="AF159" s="312"/>
      <c r="AG159" s="312">
        <v>1071</v>
      </c>
      <c r="AH159" s="312"/>
      <c r="AI159" s="312"/>
      <c r="AJ159" s="312"/>
      <c r="AK159" s="312"/>
      <c r="AL159" s="312">
        <v>1071</v>
      </c>
      <c r="AM159" s="312"/>
      <c r="AN159" s="312"/>
      <c r="AO159" s="312"/>
      <c r="AP159" s="312"/>
      <c r="AQ159" s="312">
        <v>1071</v>
      </c>
      <c r="AR159" s="312"/>
      <c r="AS159" s="312"/>
      <c r="AT159" s="312"/>
      <c r="AU159" s="312"/>
      <c r="AV159" s="312">
        <v>1071</v>
      </c>
      <c r="AW159" s="312"/>
      <c r="AX159" s="312"/>
      <c r="AY159" s="312"/>
      <c r="AZ159" s="312"/>
      <c r="BA159" s="312">
        <v>1071</v>
      </c>
      <c r="BB159" s="312"/>
      <c r="BC159" s="312"/>
      <c r="BD159" s="312"/>
      <c r="BE159" s="312"/>
      <c r="BF159" s="312">
        <v>1071</v>
      </c>
      <c r="BG159" s="312"/>
      <c r="BH159" s="312"/>
      <c r="BI159" s="312"/>
      <c r="BJ159" s="312"/>
      <c r="BK159" s="312">
        <v>1071</v>
      </c>
      <c r="BL159" s="312"/>
      <c r="BM159" s="312"/>
      <c r="BN159" s="312"/>
      <c r="BO159" s="312" t="s">
        <v>9274</v>
      </c>
    </row>
    <row r="160" spans="1:67" hidden="1" outlineLevel="1">
      <c r="A160" s="312" t="s">
        <v>7392</v>
      </c>
      <c r="B160" s="312" t="s">
        <v>9457</v>
      </c>
      <c r="C160" s="312" t="s">
        <v>9431</v>
      </c>
      <c r="D160" s="312" t="s">
        <v>9266</v>
      </c>
      <c r="E160" s="312" t="s">
        <v>9267</v>
      </c>
      <c r="F160" s="312"/>
      <c r="G160" s="312"/>
      <c r="H160" s="312">
        <v>1039</v>
      </c>
      <c r="I160" s="312"/>
      <c r="J160" s="312"/>
      <c r="K160" s="312"/>
      <c r="L160" s="312"/>
      <c r="M160" s="312">
        <v>1039</v>
      </c>
      <c r="N160" s="312"/>
      <c r="O160" s="312"/>
      <c r="P160" s="312"/>
      <c r="Q160" s="312"/>
      <c r="R160" s="312">
        <v>1039</v>
      </c>
      <c r="S160" s="312"/>
      <c r="T160" s="312"/>
      <c r="U160" s="312"/>
      <c r="V160" s="312"/>
      <c r="W160" s="312">
        <v>1039</v>
      </c>
      <c r="X160" s="312"/>
      <c r="Y160" s="312"/>
      <c r="Z160" s="312"/>
      <c r="AA160" s="312"/>
      <c r="AB160" s="312">
        <v>1039</v>
      </c>
      <c r="AC160" s="312"/>
      <c r="AD160" s="312"/>
      <c r="AE160" s="312"/>
      <c r="AF160" s="312"/>
      <c r="AG160" s="312">
        <v>1039</v>
      </c>
      <c r="AH160" s="312"/>
      <c r="AI160" s="312"/>
      <c r="AJ160" s="312"/>
      <c r="AK160" s="312"/>
      <c r="AL160" s="312">
        <v>1039</v>
      </c>
      <c r="AM160" s="312"/>
      <c r="AN160" s="312"/>
      <c r="AO160" s="312"/>
      <c r="AP160" s="312"/>
      <c r="AQ160" s="312">
        <v>1039</v>
      </c>
      <c r="AR160" s="312"/>
      <c r="AS160" s="312"/>
      <c r="AT160" s="312"/>
      <c r="AU160" s="312"/>
      <c r="AV160" s="312">
        <v>1039</v>
      </c>
      <c r="AW160" s="312"/>
      <c r="AX160" s="312"/>
      <c r="AY160" s="312"/>
      <c r="AZ160" s="312"/>
      <c r="BA160" s="312">
        <v>1039</v>
      </c>
      <c r="BB160" s="312"/>
      <c r="BC160" s="312"/>
      <c r="BD160" s="312"/>
      <c r="BE160" s="312"/>
      <c r="BF160" s="312">
        <v>1039</v>
      </c>
      <c r="BG160" s="312"/>
      <c r="BH160" s="312"/>
      <c r="BI160" s="312"/>
      <c r="BJ160" s="312"/>
      <c r="BK160" s="312">
        <v>1039</v>
      </c>
      <c r="BL160" s="312"/>
      <c r="BM160" s="312"/>
      <c r="BN160" s="312"/>
      <c r="BO160" s="312" t="s">
        <v>9274</v>
      </c>
    </row>
    <row r="161" spans="1:67" hidden="1" outlineLevel="1">
      <c r="A161" s="312" t="s">
        <v>7664</v>
      </c>
      <c r="B161" s="312" t="s">
        <v>9458</v>
      </c>
      <c r="C161" s="312" t="s">
        <v>9431</v>
      </c>
      <c r="D161" s="312" t="s">
        <v>9266</v>
      </c>
      <c r="E161" s="312" t="s">
        <v>9267</v>
      </c>
      <c r="F161" s="312"/>
      <c r="G161" s="312"/>
      <c r="H161" s="312">
        <v>1032</v>
      </c>
      <c r="I161" s="312"/>
      <c r="J161" s="312"/>
      <c r="K161" s="312"/>
      <c r="L161" s="312"/>
      <c r="M161" s="312">
        <v>1032</v>
      </c>
      <c r="N161" s="312"/>
      <c r="O161" s="312"/>
      <c r="P161" s="312"/>
      <c r="Q161" s="312"/>
      <c r="R161" s="312">
        <v>1032</v>
      </c>
      <c r="S161" s="312"/>
      <c r="T161" s="312"/>
      <c r="U161" s="312"/>
      <c r="V161" s="312"/>
      <c r="W161" s="312">
        <v>1032</v>
      </c>
      <c r="X161" s="312"/>
      <c r="Y161" s="312"/>
      <c r="Z161" s="312"/>
      <c r="AA161" s="312"/>
      <c r="AB161" s="312">
        <v>1032</v>
      </c>
      <c r="AC161" s="312"/>
      <c r="AD161" s="312"/>
      <c r="AE161" s="312"/>
      <c r="AF161" s="312"/>
      <c r="AG161" s="312">
        <v>1032</v>
      </c>
      <c r="AH161" s="312"/>
      <c r="AI161" s="312"/>
      <c r="AJ161" s="312"/>
      <c r="AK161" s="312"/>
      <c r="AL161" s="312">
        <v>1032</v>
      </c>
      <c r="AM161" s="312"/>
      <c r="AN161" s="312"/>
      <c r="AO161" s="312"/>
      <c r="AP161" s="312"/>
      <c r="AQ161" s="312">
        <v>1032</v>
      </c>
      <c r="AR161" s="312"/>
      <c r="AS161" s="312"/>
      <c r="AT161" s="312"/>
      <c r="AU161" s="312"/>
      <c r="AV161" s="312">
        <v>1032</v>
      </c>
      <c r="AW161" s="312"/>
      <c r="AX161" s="312"/>
      <c r="AY161" s="312"/>
      <c r="AZ161" s="312"/>
      <c r="BA161" s="312">
        <v>1032</v>
      </c>
      <c r="BB161" s="312"/>
      <c r="BC161" s="312"/>
      <c r="BD161" s="312"/>
      <c r="BE161" s="312"/>
      <c r="BF161" s="312">
        <v>1032</v>
      </c>
      <c r="BG161" s="312"/>
      <c r="BH161" s="312"/>
      <c r="BI161" s="312"/>
      <c r="BJ161" s="312"/>
      <c r="BK161" s="312">
        <v>1032</v>
      </c>
      <c r="BL161" s="312"/>
      <c r="BM161" s="312"/>
      <c r="BN161" s="312"/>
      <c r="BO161" s="312" t="s">
        <v>9274</v>
      </c>
    </row>
    <row r="162" spans="1:67" hidden="1" outlineLevel="1">
      <c r="A162" s="312" t="s">
        <v>6357</v>
      </c>
      <c r="B162" s="312" t="s">
        <v>9459</v>
      </c>
      <c r="C162" s="312" t="s">
        <v>9431</v>
      </c>
      <c r="D162" s="312" t="s">
        <v>9266</v>
      </c>
      <c r="E162" s="312" t="s">
        <v>9267</v>
      </c>
      <c r="F162" s="312"/>
      <c r="G162" s="312"/>
      <c r="H162" s="312">
        <v>1020</v>
      </c>
      <c r="I162" s="312"/>
      <c r="J162" s="312"/>
      <c r="K162" s="312"/>
      <c r="L162" s="312"/>
      <c r="M162" s="312">
        <v>1020</v>
      </c>
      <c r="N162" s="312"/>
      <c r="O162" s="312"/>
      <c r="P162" s="312"/>
      <c r="Q162" s="312"/>
      <c r="R162" s="312">
        <v>1020</v>
      </c>
      <c r="S162" s="312"/>
      <c r="T162" s="312"/>
      <c r="U162" s="312"/>
      <c r="V162" s="312"/>
      <c r="W162" s="312">
        <v>1020</v>
      </c>
      <c r="X162" s="312"/>
      <c r="Y162" s="312"/>
      <c r="Z162" s="312"/>
      <c r="AA162" s="312"/>
      <c r="AB162" s="312">
        <v>1020</v>
      </c>
      <c r="AC162" s="312"/>
      <c r="AD162" s="312"/>
      <c r="AE162" s="312"/>
      <c r="AF162" s="312"/>
      <c r="AG162" s="312">
        <v>1020</v>
      </c>
      <c r="AH162" s="312"/>
      <c r="AI162" s="312"/>
      <c r="AJ162" s="312"/>
      <c r="AK162" s="312"/>
      <c r="AL162" s="312">
        <v>1020</v>
      </c>
      <c r="AM162" s="312"/>
      <c r="AN162" s="312"/>
      <c r="AO162" s="312"/>
      <c r="AP162" s="312"/>
      <c r="AQ162" s="312">
        <v>1020</v>
      </c>
      <c r="AR162" s="312"/>
      <c r="AS162" s="312"/>
      <c r="AT162" s="312"/>
      <c r="AU162" s="312"/>
      <c r="AV162" s="312">
        <v>1020</v>
      </c>
      <c r="AW162" s="312"/>
      <c r="AX162" s="312"/>
      <c r="AY162" s="312"/>
      <c r="AZ162" s="312"/>
      <c r="BA162" s="312">
        <v>1020</v>
      </c>
      <c r="BB162" s="312"/>
      <c r="BC162" s="312"/>
      <c r="BD162" s="312"/>
      <c r="BE162" s="312"/>
      <c r="BF162" s="312">
        <v>1020</v>
      </c>
      <c r="BG162" s="312"/>
      <c r="BH162" s="312"/>
      <c r="BI162" s="312"/>
      <c r="BJ162" s="312"/>
      <c r="BK162" s="312">
        <v>1020</v>
      </c>
      <c r="BL162" s="312"/>
      <c r="BM162" s="312"/>
      <c r="BN162" s="312"/>
      <c r="BO162" s="312" t="s">
        <v>9274</v>
      </c>
    </row>
    <row r="163" spans="1:67" hidden="1" outlineLevel="1">
      <c r="A163" s="312" t="s">
        <v>7575</v>
      </c>
      <c r="B163" s="312" t="s">
        <v>9460</v>
      </c>
      <c r="C163" s="312" t="s">
        <v>9431</v>
      </c>
      <c r="D163" s="312" t="s">
        <v>9266</v>
      </c>
      <c r="E163" s="312" t="s">
        <v>9267</v>
      </c>
      <c r="F163" s="312"/>
      <c r="G163" s="312"/>
      <c r="H163" s="312">
        <v>1010</v>
      </c>
      <c r="I163" s="312"/>
      <c r="J163" s="312"/>
      <c r="K163" s="312"/>
      <c r="L163" s="312"/>
      <c r="M163" s="312">
        <v>1010</v>
      </c>
      <c r="N163" s="312"/>
      <c r="O163" s="312"/>
      <c r="P163" s="312"/>
      <c r="Q163" s="312"/>
      <c r="R163" s="312">
        <v>1010</v>
      </c>
      <c r="S163" s="312"/>
      <c r="T163" s="312"/>
      <c r="U163" s="312"/>
      <c r="V163" s="312"/>
      <c r="W163" s="312">
        <v>1010</v>
      </c>
      <c r="X163" s="312"/>
      <c r="Y163" s="312"/>
      <c r="Z163" s="312"/>
      <c r="AA163" s="312"/>
      <c r="AB163" s="312">
        <v>1010</v>
      </c>
      <c r="AC163" s="312"/>
      <c r="AD163" s="312"/>
      <c r="AE163" s="312"/>
      <c r="AF163" s="312"/>
      <c r="AG163" s="312">
        <v>1010</v>
      </c>
      <c r="AH163" s="312"/>
      <c r="AI163" s="312"/>
      <c r="AJ163" s="312"/>
      <c r="AK163" s="312"/>
      <c r="AL163" s="312">
        <v>1010</v>
      </c>
      <c r="AM163" s="312"/>
      <c r="AN163" s="312"/>
      <c r="AO163" s="312"/>
      <c r="AP163" s="312"/>
      <c r="AQ163" s="312">
        <v>1010</v>
      </c>
      <c r="AR163" s="312"/>
      <c r="AS163" s="312"/>
      <c r="AT163" s="312"/>
      <c r="AU163" s="312"/>
      <c r="AV163" s="312">
        <v>1010</v>
      </c>
      <c r="AW163" s="312"/>
      <c r="AX163" s="312"/>
      <c r="AY163" s="312"/>
      <c r="AZ163" s="312"/>
      <c r="BA163" s="312">
        <v>1010</v>
      </c>
      <c r="BB163" s="312"/>
      <c r="BC163" s="312"/>
      <c r="BD163" s="312"/>
      <c r="BE163" s="312"/>
      <c r="BF163" s="312">
        <v>1010</v>
      </c>
      <c r="BG163" s="312"/>
      <c r="BH163" s="312"/>
      <c r="BI163" s="312"/>
      <c r="BJ163" s="312"/>
      <c r="BK163" s="312">
        <v>1010</v>
      </c>
      <c r="BL163" s="312"/>
      <c r="BM163" s="312"/>
      <c r="BN163" s="312"/>
      <c r="BO163" s="312" t="s">
        <v>9274</v>
      </c>
    </row>
    <row r="164" spans="1:67" hidden="1" outlineLevel="1">
      <c r="A164" s="312" t="s">
        <v>7910</v>
      </c>
      <c r="B164" s="312" t="s">
        <v>9461</v>
      </c>
      <c r="C164" s="312" t="s">
        <v>9431</v>
      </c>
      <c r="D164" s="312" t="s">
        <v>9266</v>
      </c>
      <c r="E164" s="312" t="s">
        <v>9267</v>
      </c>
      <c r="F164" s="312"/>
      <c r="G164" s="312"/>
      <c r="H164" s="312">
        <v>900</v>
      </c>
      <c r="I164" s="312"/>
      <c r="J164" s="312"/>
      <c r="K164" s="312"/>
      <c r="L164" s="312"/>
      <c r="M164" s="312">
        <v>900</v>
      </c>
      <c r="N164" s="312"/>
      <c r="O164" s="312"/>
      <c r="P164" s="312"/>
      <c r="Q164" s="312"/>
      <c r="R164" s="312">
        <v>900</v>
      </c>
      <c r="S164" s="312"/>
      <c r="T164" s="312"/>
      <c r="U164" s="312"/>
      <c r="V164" s="312"/>
      <c r="W164" s="312">
        <v>900</v>
      </c>
      <c r="X164" s="312"/>
      <c r="Y164" s="312"/>
      <c r="Z164" s="312"/>
      <c r="AA164" s="312"/>
      <c r="AB164" s="312">
        <v>900</v>
      </c>
      <c r="AC164" s="312"/>
      <c r="AD164" s="312"/>
      <c r="AE164" s="312"/>
      <c r="AF164" s="312"/>
      <c r="AG164" s="312">
        <v>900</v>
      </c>
      <c r="AH164" s="312"/>
      <c r="AI164" s="312"/>
      <c r="AJ164" s="312"/>
      <c r="AK164" s="312"/>
      <c r="AL164" s="312">
        <v>900</v>
      </c>
      <c r="AM164" s="312"/>
      <c r="AN164" s="312"/>
      <c r="AO164" s="312"/>
      <c r="AP164" s="312"/>
      <c r="AQ164" s="312">
        <v>900</v>
      </c>
      <c r="AR164" s="312"/>
      <c r="AS164" s="312"/>
      <c r="AT164" s="312"/>
      <c r="AU164" s="312"/>
      <c r="AV164" s="312">
        <v>900</v>
      </c>
      <c r="AW164" s="312"/>
      <c r="AX164" s="312"/>
      <c r="AY164" s="312"/>
      <c r="AZ164" s="312"/>
      <c r="BA164" s="312">
        <v>900</v>
      </c>
      <c r="BB164" s="312"/>
      <c r="BC164" s="312"/>
      <c r="BD164" s="312"/>
      <c r="BE164" s="312"/>
      <c r="BF164" s="312">
        <v>900</v>
      </c>
      <c r="BG164" s="312"/>
      <c r="BH164" s="312"/>
      <c r="BI164" s="312"/>
      <c r="BJ164" s="312"/>
      <c r="BK164" s="312">
        <v>900</v>
      </c>
      <c r="BL164" s="312"/>
      <c r="BM164" s="312"/>
      <c r="BN164" s="312"/>
      <c r="BO164" s="312" t="s">
        <v>9274</v>
      </c>
    </row>
    <row r="165" spans="1:67" hidden="1" outlineLevel="1">
      <c r="A165" s="312" t="s">
        <v>7699</v>
      </c>
      <c r="B165" s="312" t="s">
        <v>9462</v>
      </c>
      <c r="C165" s="312" t="s">
        <v>9431</v>
      </c>
      <c r="D165" s="312" t="s">
        <v>9266</v>
      </c>
      <c r="E165" s="312" t="s">
        <v>9267</v>
      </c>
      <c r="F165" s="312"/>
      <c r="G165" s="312"/>
      <c r="H165" s="312"/>
      <c r="I165" s="312"/>
      <c r="J165" s="312"/>
      <c r="K165" s="312"/>
      <c r="L165" s="312"/>
      <c r="M165" s="312"/>
      <c r="N165" s="312"/>
      <c r="O165" s="312"/>
      <c r="P165" s="312"/>
      <c r="Q165" s="312"/>
      <c r="R165" s="312"/>
      <c r="S165" s="312"/>
      <c r="T165" s="312"/>
      <c r="U165" s="312"/>
      <c r="V165" s="312"/>
      <c r="W165" s="312"/>
      <c r="X165" s="312"/>
      <c r="Y165" s="312"/>
      <c r="Z165" s="312"/>
      <c r="AA165" s="312"/>
      <c r="AB165" s="312"/>
      <c r="AC165" s="312"/>
      <c r="AD165" s="312"/>
      <c r="AE165" s="312"/>
      <c r="AF165" s="312"/>
      <c r="AG165" s="312"/>
      <c r="AH165" s="312"/>
      <c r="AI165" s="312"/>
      <c r="AJ165" s="312"/>
      <c r="AK165" s="312"/>
      <c r="AL165" s="312"/>
      <c r="AM165" s="312"/>
      <c r="AN165" s="312"/>
      <c r="AO165" s="312"/>
      <c r="AP165" s="312"/>
      <c r="AQ165" s="312"/>
      <c r="AR165" s="312"/>
      <c r="AS165" s="312"/>
      <c r="AT165" s="312"/>
      <c r="AU165" s="312"/>
      <c r="AV165" s="312"/>
      <c r="AW165" s="312"/>
      <c r="AX165" s="312"/>
      <c r="AY165" s="312"/>
      <c r="AZ165" s="312"/>
      <c r="BA165" s="312"/>
      <c r="BB165" s="312"/>
      <c r="BC165" s="312"/>
      <c r="BD165" s="312"/>
      <c r="BE165" s="312"/>
      <c r="BF165" s="312">
        <v>900</v>
      </c>
      <c r="BG165" s="312"/>
      <c r="BH165" s="312"/>
      <c r="BI165" s="312"/>
      <c r="BJ165" s="312"/>
      <c r="BK165" s="312">
        <v>900</v>
      </c>
      <c r="BL165" s="312"/>
      <c r="BM165" s="312"/>
      <c r="BN165" s="312"/>
      <c r="BO165" s="312" t="s">
        <v>9274</v>
      </c>
    </row>
    <row r="166" spans="1:67" hidden="1" outlineLevel="1">
      <c r="A166" s="312" t="s">
        <v>6614</v>
      </c>
      <c r="B166" s="312" t="s">
        <v>9463</v>
      </c>
      <c r="C166" s="312" t="s">
        <v>9431</v>
      </c>
      <c r="D166" s="312" t="s">
        <v>9266</v>
      </c>
      <c r="E166" s="312" t="s">
        <v>9267</v>
      </c>
      <c r="F166" s="312"/>
      <c r="G166" s="312"/>
      <c r="H166" s="312"/>
      <c r="I166" s="312"/>
      <c r="J166" s="312"/>
      <c r="K166" s="312"/>
      <c r="L166" s="312"/>
      <c r="M166" s="312"/>
      <c r="N166" s="312"/>
      <c r="O166" s="312"/>
      <c r="P166" s="312"/>
      <c r="Q166" s="312"/>
      <c r="R166" s="312"/>
      <c r="S166" s="312"/>
      <c r="T166" s="312"/>
      <c r="U166" s="312"/>
      <c r="V166" s="312"/>
      <c r="W166" s="312"/>
      <c r="X166" s="312"/>
      <c r="Y166" s="312"/>
      <c r="Z166" s="312"/>
      <c r="AA166" s="312"/>
      <c r="AB166" s="312"/>
      <c r="AC166" s="312"/>
      <c r="AD166" s="312"/>
      <c r="AE166" s="312"/>
      <c r="AF166" s="312"/>
      <c r="AG166" s="312"/>
      <c r="AH166" s="312"/>
      <c r="AI166" s="312"/>
      <c r="AJ166" s="312"/>
      <c r="AK166" s="312"/>
      <c r="AL166" s="312"/>
      <c r="AM166" s="312"/>
      <c r="AN166" s="312"/>
      <c r="AO166" s="312"/>
      <c r="AP166" s="312"/>
      <c r="AQ166" s="312">
        <v>848</v>
      </c>
      <c r="AR166" s="312"/>
      <c r="AS166" s="312"/>
      <c r="AT166" s="312"/>
      <c r="AU166" s="312"/>
      <c r="AV166" s="312">
        <v>848</v>
      </c>
      <c r="AW166" s="312"/>
      <c r="AX166" s="312"/>
      <c r="AY166" s="312"/>
      <c r="AZ166" s="312"/>
      <c r="BA166" s="312">
        <v>848</v>
      </c>
      <c r="BB166" s="312"/>
      <c r="BC166" s="312"/>
      <c r="BD166" s="312"/>
      <c r="BE166" s="312"/>
      <c r="BF166" s="312">
        <v>848</v>
      </c>
      <c r="BG166" s="312"/>
      <c r="BH166" s="312"/>
      <c r="BI166" s="312"/>
      <c r="BJ166" s="312"/>
      <c r="BK166" s="312">
        <v>848</v>
      </c>
      <c r="BL166" s="312"/>
      <c r="BM166" s="312"/>
      <c r="BN166" s="312"/>
      <c r="BO166" s="312" t="s">
        <v>9270</v>
      </c>
    </row>
    <row r="167" spans="1:67" hidden="1" outlineLevel="1">
      <c r="A167" s="312" t="s">
        <v>9464</v>
      </c>
      <c r="B167" s="312" t="s">
        <v>9465</v>
      </c>
      <c r="C167" s="312" t="s">
        <v>9431</v>
      </c>
      <c r="D167" s="312" t="s">
        <v>9266</v>
      </c>
      <c r="E167" s="312" t="s">
        <v>9267</v>
      </c>
      <c r="F167" s="312"/>
      <c r="G167" s="312"/>
      <c r="H167" s="312">
        <v>836</v>
      </c>
      <c r="I167" s="312"/>
      <c r="J167" s="312"/>
      <c r="K167" s="312"/>
      <c r="L167" s="312"/>
      <c r="M167" s="312">
        <v>836</v>
      </c>
      <c r="N167" s="312"/>
      <c r="O167" s="312"/>
      <c r="P167" s="312"/>
      <c r="Q167" s="312"/>
      <c r="R167" s="312">
        <v>836</v>
      </c>
      <c r="S167" s="312"/>
      <c r="T167" s="312"/>
      <c r="U167" s="312"/>
      <c r="V167" s="312"/>
      <c r="W167" s="312">
        <v>836</v>
      </c>
      <c r="X167" s="312"/>
      <c r="Y167" s="312"/>
      <c r="Z167" s="312"/>
      <c r="AA167" s="312"/>
      <c r="AB167" s="312">
        <v>836</v>
      </c>
      <c r="AC167" s="312"/>
      <c r="AD167" s="312"/>
      <c r="AE167" s="312"/>
      <c r="AF167" s="312"/>
      <c r="AG167" s="312">
        <v>836</v>
      </c>
      <c r="AH167" s="312"/>
      <c r="AI167" s="312"/>
      <c r="AJ167" s="312"/>
      <c r="AK167" s="312"/>
      <c r="AL167" s="312">
        <v>836</v>
      </c>
      <c r="AM167" s="312"/>
      <c r="AN167" s="312"/>
      <c r="AO167" s="312"/>
      <c r="AP167" s="312"/>
      <c r="AQ167" s="312">
        <v>836</v>
      </c>
      <c r="AR167" s="312"/>
      <c r="AS167" s="312"/>
      <c r="AT167" s="312"/>
      <c r="AU167" s="312"/>
      <c r="AV167" s="312">
        <v>836</v>
      </c>
      <c r="AW167" s="312"/>
      <c r="AX167" s="312"/>
      <c r="AY167" s="312"/>
      <c r="AZ167" s="312"/>
      <c r="BA167" s="312">
        <v>836</v>
      </c>
      <c r="BB167" s="312"/>
      <c r="BC167" s="312"/>
      <c r="BD167" s="312"/>
      <c r="BE167" s="312"/>
      <c r="BF167" s="312">
        <v>836</v>
      </c>
      <c r="BG167" s="312"/>
      <c r="BH167" s="312"/>
      <c r="BI167" s="312"/>
      <c r="BJ167" s="312"/>
      <c r="BK167" s="312">
        <v>836</v>
      </c>
      <c r="BL167" s="312"/>
      <c r="BM167" s="312"/>
      <c r="BN167" s="312"/>
      <c r="BO167" s="312" t="s">
        <v>9270</v>
      </c>
    </row>
    <row r="168" spans="1:67" hidden="1" outlineLevel="1">
      <c r="A168" s="312" t="s">
        <v>8301</v>
      </c>
      <c r="B168" s="312" t="s">
        <v>9466</v>
      </c>
      <c r="C168" s="312" t="s">
        <v>9431</v>
      </c>
      <c r="D168" s="312" t="s">
        <v>9266</v>
      </c>
      <c r="E168" s="312" t="s">
        <v>9267</v>
      </c>
      <c r="F168" s="312"/>
      <c r="G168" s="312"/>
      <c r="H168" s="312">
        <v>788</v>
      </c>
      <c r="I168" s="312"/>
      <c r="J168" s="312"/>
      <c r="K168" s="312"/>
      <c r="L168" s="312"/>
      <c r="M168" s="312">
        <v>788</v>
      </c>
      <c r="N168" s="312"/>
      <c r="O168" s="312"/>
      <c r="P168" s="312"/>
      <c r="Q168" s="312"/>
      <c r="R168" s="312">
        <v>788</v>
      </c>
      <c r="S168" s="312"/>
      <c r="T168" s="312"/>
      <c r="U168" s="312"/>
      <c r="V168" s="312"/>
      <c r="W168" s="312">
        <v>788</v>
      </c>
      <c r="X168" s="312"/>
      <c r="Y168" s="312"/>
      <c r="Z168" s="312"/>
      <c r="AA168" s="312"/>
      <c r="AB168" s="312">
        <v>788</v>
      </c>
      <c r="AC168" s="312"/>
      <c r="AD168" s="312"/>
      <c r="AE168" s="312"/>
      <c r="AF168" s="312"/>
      <c r="AG168" s="312">
        <v>788</v>
      </c>
      <c r="AH168" s="312"/>
      <c r="AI168" s="312"/>
      <c r="AJ168" s="312"/>
      <c r="AK168" s="312"/>
      <c r="AL168" s="312">
        <v>788</v>
      </c>
      <c r="AM168" s="312"/>
      <c r="AN168" s="312"/>
      <c r="AO168" s="312"/>
      <c r="AP168" s="312"/>
      <c r="AQ168" s="312">
        <v>788</v>
      </c>
      <c r="AR168" s="312"/>
      <c r="AS168" s="312"/>
      <c r="AT168" s="312"/>
      <c r="AU168" s="312"/>
      <c r="AV168" s="312">
        <v>788</v>
      </c>
      <c r="AW168" s="312"/>
      <c r="AX168" s="312"/>
      <c r="AY168" s="312"/>
      <c r="AZ168" s="312"/>
      <c r="BA168" s="312">
        <v>788</v>
      </c>
      <c r="BB168" s="312"/>
      <c r="BC168" s="312"/>
      <c r="BD168" s="312"/>
      <c r="BE168" s="312"/>
      <c r="BF168" s="312">
        <v>788</v>
      </c>
      <c r="BG168" s="312"/>
      <c r="BH168" s="312"/>
      <c r="BI168" s="312"/>
      <c r="BJ168" s="312"/>
      <c r="BK168" s="312">
        <v>788</v>
      </c>
      <c r="BL168" s="312"/>
      <c r="BM168" s="312"/>
      <c r="BN168" s="312"/>
      <c r="BO168" s="312" t="s">
        <v>9270</v>
      </c>
    </row>
    <row r="169" spans="1:67" hidden="1" outlineLevel="1">
      <c r="A169" s="312" t="s">
        <v>7902</v>
      </c>
      <c r="B169" s="312" t="s">
        <v>9467</v>
      </c>
      <c r="C169" s="312" t="s">
        <v>9431</v>
      </c>
      <c r="D169" s="312" t="s">
        <v>9266</v>
      </c>
      <c r="E169" s="312" t="s">
        <v>9267</v>
      </c>
      <c r="F169" s="312"/>
      <c r="G169" s="312"/>
      <c r="H169" s="312">
        <v>788</v>
      </c>
      <c r="I169" s="312"/>
      <c r="J169" s="312"/>
      <c r="K169" s="312"/>
      <c r="L169" s="312"/>
      <c r="M169" s="312">
        <v>788</v>
      </c>
      <c r="N169" s="312"/>
      <c r="O169" s="312"/>
      <c r="P169" s="312"/>
      <c r="Q169" s="312"/>
      <c r="R169" s="312">
        <v>788</v>
      </c>
      <c r="S169" s="312"/>
      <c r="T169" s="312"/>
      <c r="U169" s="312"/>
      <c r="V169" s="312"/>
      <c r="W169" s="312">
        <v>788</v>
      </c>
      <c r="X169" s="312"/>
      <c r="Y169" s="312"/>
      <c r="Z169" s="312"/>
      <c r="AA169" s="312"/>
      <c r="AB169" s="312">
        <v>788</v>
      </c>
      <c r="AC169" s="312"/>
      <c r="AD169" s="312"/>
      <c r="AE169" s="312"/>
      <c r="AF169" s="312"/>
      <c r="AG169" s="312">
        <v>788</v>
      </c>
      <c r="AH169" s="312"/>
      <c r="AI169" s="312"/>
      <c r="AJ169" s="312"/>
      <c r="AK169" s="312"/>
      <c r="AL169" s="312">
        <v>788</v>
      </c>
      <c r="AM169" s="312"/>
      <c r="AN169" s="312"/>
      <c r="AO169" s="312"/>
      <c r="AP169" s="312"/>
      <c r="AQ169" s="312">
        <v>788</v>
      </c>
      <c r="AR169" s="312"/>
      <c r="AS169" s="312"/>
      <c r="AT169" s="312"/>
      <c r="AU169" s="312"/>
      <c r="AV169" s="312">
        <v>788</v>
      </c>
      <c r="AW169" s="312"/>
      <c r="AX169" s="312"/>
      <c r="AY169" s="312"/>
      <c r="AZ169" s="312"/>
      <c r="BA169" s="312">
        <v>788</v>
      </c>
      <c r="BB169" s="312"/>
      <c r="BC169" s="312"/>
      <c r="BD169" s="312"/>
      <c r="BE169" s="312"/>
      <c r="BF169" s="312">
        <v>788</v>
      </c>
      <c r="BG169" s="312"/>
      <c r="BH169" s="312"/>
      <c r="BI169" s="312"/>
      <c r="BJ169" s="312"/>
      <c r="BK169" s="312">
        <v>788</v>
      </c>
      <c r="BL169" s="312"/>
      <c r="BM169" s="312"/>
      <c r="BN169" s="312"/>
      <c r="BO169" s="312" t="s">
        <v>9270</v>
      </c>
    </row>
    <row r="170" spans="1:67" hidden="1" outlineLevel="1">
      <c r="A170" s="312" t="s">
        <v>7950</v>
      </c>
      <c r="B170" s="312" t="s">
        <v>9468</v>
      </c>
      <c r="C170" s="312" t="s">
        <v>9431</v>
      </c>
      <c r="D170" s="312" t="s">
        <v>9266</v>
      </c>
      <c r="E170" s="312" t="s">
        <v>9267</v>
      </c>
      <c r="F170" s="312"/>
      <c r="G170" s="312"/>
      <c r="H170" s="312">
        <v>748</v>
      </c>
      <c r="I170" s="312"/>
      <c r="J170" s="312"/>
      <c r="K170" s="312"/>
      <c r="L170" s="312"/>
      <c r="M170" s="312">
        <v>748</v>
      </c>
      <c r="N170" s="312"/>
      <c r="O170" s="312"/>
      <c r="P170" s="312"/>
      <c r="Q170" s="312"/>
      <c r="R170" s="312">
        <v>748</v>
      </c>
      <c r="S170" s="312"/>
      <c r="T170" s="312"/>
      <c r="U170" s="312"/>
      <c r="V170" s="312"/>
      <c r="W170" s="312">
        <v>748</v>
      </c>
      <c r="X170" s="312"/>
      <c r="Y170" s="312"/>
      <c r="Z170" s="312"/>
      <c r="AA170" s="312"/>
      <c r="AB170" s="312">
        <v>748</v>
      </c>
      <c r="AC170" s="312"/>
      <c r="AD170" s="312"/>
      <c r="AE170" s="312"/>
      <c r="AF170" s="312"/>
      <c r="AG170" s="312">
        <v>748</v>
      </c>
      <c r="AH170" s="312"/>
      <c r="AI170" s="312"/>
      <c r="AJ170" s="312"/>
      <c r="AK170" s="312"/>
      <c r="AL170" s="312">
        <v>748</v>
      </c>
      <c r="AM170" s="312"/>
      <c r="AN170" s="312"/>
      <c r="AO170" s="312"/>
      <c r="AP170" s="312"/>
      <c r="AQ170" s="312">
        <v>748</v>
      </c>
      <c r="AR170" s="312"/>
      <c r="AS170" s="312"/>
      <c r="AT170" s="312"/>
      <c r="AU170" s="312"/>
      <c r="AV170" s="312">
        <v>748</v>
      </c>
      <c r="AW170" s="312"/>
      <c r="AX170" s="312"/>
      <c r="AY170" s="312"/>
      <c r="AZ170" s="312"/>
      <c r="BA170" s="312">
        <v>748</v>
      </c>
      <c r="BB170" s="312"/>
      <c r="BC170" s="312"/>
      <c r="BD170" s="312"/>
      <c r="BE170" s="312"/>
      <c r="BF170" s="312">
        <v>748</v>
      </c>
      <c r="BG170" s="312"/>
      <c r="BH170" s="312"/>
      <c r="BI170" s="312"/>
      <c r="BJ170" s="312"/>
      <c r="BK170" s="312">
        <v>748</v>
      </c>
      <c r="BL170" s="312"/>
      <c r="BM170" s="312"/>
      <c r="BN170" s="312"/>
      <c r="BO170" s="312" t="s">
        <v>9270</v>
      </c>
    </row>
    <row r="171" spans="1:67" hidden="1" outlineLevel="1">
      <c r="A171" s="312" t="s">
        <v>7337</v>
      </c>
      <c r="B171" s="312" t="s">
        <v>9469</v>
      </c>
      <c r="C171" s="312" t="s">
        <v>9431</v>
      </c>
      <c r="D171" s="312" t="s">
        <v>9266</v>
      </c>
      <c r="E171" s="312" t="s">
        <v>9267</v>
      </c>
      <c r="F171" s="312"/>
      <c r="G171" s="312"/>
      <c r="H171" s="312">
        <v>686</v>
      </c>
      <c r="I171" s="312"/>
      <c r="J171" s="312"/>
      <c r="K171" s="312"/>
      <c r="L171" s="312"/>
      <c r="M171" s="312">
        <v>686</v>
      </c>
      <c r="N171" s="312"/>
      <c r="O171" s="312"/>
      <c r="P171" s="312"/>
      <c r="Q171" s="312"/>
      <c r="R171" s="312">
        <v>686</v>
      </c>
      <c r="S171" s="312"/>
      <c r="T171" s="312"/>
      <c r="U171" s="312"/>
      <c r="V171" s="312"/>
      <c r="W171" s="312">
        <v>686</v>
      </c>
      <c r="X171" s="312"/>
      <c r="Y171" s="312"/>
      <c r="Z171" s="312"/>
      <c r="AA171" s="312"/>
      <c r="AB171" s="312">
        <v>686</v>
      </c>
      <c r="AC171" s="312"/>
      <c r="AD171" s="312"/>
      <c r="AE171" s="312"/>
      <c r="AF171" s="312"/>
      <c r="AG171" s="312">
        <v>686</v>
      </c>
      <c r="AH171" s="312"/>
      <c r="AI171" s="312"/>
      <c r="AJ171" s="312"/>
      <c r="AK171" s="312"/>
      <c r="AL171" s="312">
        <v>686</v>
      </c>
      <c r="AM171" s="312"/>
      <c r="AN171" s="312"/>
      <c r="AO171" s="312"/>
      <c r="AP171" s="312"/>
      <c r="AQ171" s="312">
        <v>686</v>
      </c>
      <c r="AR171" s="312"/>
      <c r="AS171" s="312"/>
      <c r="AT171" s="312"/>
      <c r="AU171" s="312"/>
      <c r="AV171" s="312">
        <v>686</v>
      </c>
      <c r="AW171" s="312"/>
      <c r="AX171" s="312"/>
      <c r="AY171" s="312"/>
      <c r="AZ171" s="312"/>
      <c r="BA171" s="312">
        <v>686</v>
      </c>
      <c r="BB171" s="312"/>
      <c r="BC171" s="312"/>
      <c r="BD171" s="312"/>
      <c r="BE171" s="312"/>
      <c r="BF171" s="312">
        <v>686</v>
      </c>
      <c r="BG171" s="312"/>
      <c r="BH171" s="312"/>
      <c r="BI171" s="312"/>
      <c r="BJ171" s="312"/>
      <c r="BK171" s="312">
        <v>686</v>
      </c>
      <c r="BL171" s="312"/>
      <c r="BM171" s="312"/>
      <c r="BN171" s="312"/>
      <c r="BO171" s="312" t="s">
        <v>9270</v>
      </c>
    </row>
    <row r="172" spans="1:67" hidden="1" outlineLevel="1">
      <c r="A172" s="312" t="s">
        <v>7026</v>
      </c>
      <c r="B172" s="312" t="s">
        <v>9470</v>
      </c>
      <c r="C172" s="312" t="s">
        <v>9431</v>
      </c>
      <c r="D172" s="312" t="s">
        <v>9266</v>
      </c>
      <c r="E172" s="312" t="s">
        <v>9267</v>
      </c>
      <c r="F172" s="312"/>
      <c r="G172" s="312"/>
      <c r="H172" s="312">
        <v>657</v>
      </c>
      <c r="I172" s="312"/>
      <c r="J172" s="312"/>
      <c r="K172" s="312"/>
      <c r="L172" s="312"/>
      <c r="M172" s="312">
        <v>657</v>
      </c>
      <c r="N172" s="312"/>
      <c r="O172" s="312"/>
      <c r="P172" s="312"/>
      <c r="Q172" s="312"/>
      <c r="R172" s="312">
        <v>657</v>
      </c>
      <c r="S172" s="312"/>
      <c r="T172" s="312"/>
      <c r="U172" s="312"/>
      <c r="V172" s="312"/>
      <c r="W172" s="312">
        <v>657</v>
      </c>
      <c r="X172" s="312"/>
      <c r="Y172" s="312"/>
      <c r="Z172" s="312"/>
      <c r="AA172" s="312"/>
      <c r="AB172" s="312">
        <v>657</v>
      </c>
      <c r="AC172" s="312"/>
      <c r="AD172" s="312"/>
      <c r="AE172" s="312"/>
      <c r="AF172" s="312"/>
      <c r="AG172" s="312">
        <v>657</v>
      </c>
      <c r="AH172" s="312"/>
      <c r="AI172" s="312"/>
      <c r="AJ172" s="312"/>
      <c r="AK172" s="312"/>
      <c r="AL172" s="312">
        <v>657</v>
      </c>
      <c r="AM172" s="312"/>
      <c r="AN172" s="312"/>
      <c r="AO172" s="312"/>
      <c r="AP172" s="312"/>
      <c r="AQ172" s="312">
        <v>657</v>
      </c>
      <c r="AR172" s="312"/>
      <c r="AS172" s="312"/>
      <c r="AT172" s="312"/>
      <c r="AU172" s="312"/>
      <c r="AV172" s="312">
        <v>657</v>
      </c>
      <c r="AW172" s="312"/>
      <c r="AX172" s="312"/>
      <c r="AY172" s="312"/>
      <c r="AZ172" s="312"/>
      <c r="BA172" s="312">
        <v>657</v>
      </c>
      <c r="BB172" s="312"/>
      <c r="BC172" s="312"/>
      <c r="BD172" s="312"/>
      <c r="BE172" s="312"/>
      <c r="BF172" s="312">
        <v>657</v>
      </c>
      <c r="BG172" s="312"/>
      <c r="BH172" s="312"/>
      <c r="BI172" s="312"/>
      <c r="BJ172" s="312"/>
      <c r="BK172" s="312">
        <v>657</v>
      </c>
      <c r="BL172" s="312"/>
      <c r="BM172" s="312"/>
      <c r="BN172" s="312"/>
      <c r="BO172" s="312" t="s">
        <v>9270</v>
      </c>
    </row>
    <row r="173" spans="1:67" hidden="1" outlineLevel="1">
      <c r="A173" s="312" t="s">
        <v>6649</v>
      </c>
      <c r="B173" s="312" t="s">
        <v>9471</v>
      </c>
      <c r="C173" s="312" t="s">
        <v>9431</v>
      </c>
      <c r="D173" s="312" t="s">
        <v>9266</v>
      </c>
      <c r="E173" s="312" t="s">
        <v>9267</v>
      </c>
      <c r="F173" s="312"/>
      <c r="G173" s="312"/>
      <c r="H173" s="312">
        <v>630</v>
      </c>
      <c r="I173" s="312"/>
      <c r="J173" s="312"/>
      <c r="K173" s="312"/>
      <c r="L173" s="312"/>
      <c r="M173" s="312">
        <v>630</v>
      </c>
      <c r="N173" s="312"/>
      <c r="O173" s="312"/>
      <c r="P173" s="312"/>
      <c r="Q173" s="312"/>
      <c r="R173" s="312">
        <v>630</v>
      </c>
      <c r="S173" s="312"/>
      <c r="T173" s="312"/>
      <c r="U173" s="312"/>
      <c r="V173" s="312"/>
      <c r="W173" s="312">
        <v>630</v>
      </c>
      <c r="X173" s="312"/>
      <c r="Y173" s="312"/>
      <c r="Z173" s="312"/>
      <c r="AA173" s="312"/>
      <c r="AB173" s="312">
        <v>630</v>
      </c>
      <c r="AC173" s="312"/>
      <c r="AD173" s="312"/>
      <c r="AE173" s="312"/>
      <c r="AF173" s="312"/>
      <c r="AG173" s="312">
        <v>630</v>
      </c>
      <c r="AH173" s="312"/>
      <c r="AI173" s="312"/>
      <c r="AJ173" s="312"/>
      <c r="AK173" s="312"/>
      <c r="AL173" s="312">
        <v>630</v>
      </c>
      <c r="AM173" s="312"/>
      <c r="AN173" s="312"/>
      <c r="AO173" s="312"/>
      <c r="AP173" s="312"/>
      <c r="AQ173" s="312">
        <v>630</v>
      </c>
      <c r="AR173" s="312"/>
      <c r="AS173" s="312"/>
      <c r="AT173" s="312"/>
      <c r="AU173" s="312"/>
      <c r="AV173" s="312">
        <v>630</v>
      </c>
      <c r="AW173" s="312"/>
      <c r="AX173" s="312"/>
      <c r="AY173" s="312"/>
      <c r="AZ173" s="312"/>
      <c r="BA173" s="312">
        <v>630</v>
      </c>
      <c r="BB173" s="312"/>
      <c r="BC173" s="312"/>
      <c r="BD173" s="312"/>
      <c r="BE173" s="312"/>
      <c r="BF173" s="312">
        <v>630</v>
      </c>
      <c r="BG173" s="312"/>
      <c r="BH173" s="312"/>
      <c r="BI173" s="312"/>
      <c r="BJ173" s="312"/>
      <c r="BK173" s="312">
        <v>630</v>
      </c>
      <c r="BL173" s="312"/>
      <c r="BM173" s="312"/>
      <c r="BN173" s="312"/>
      <c r="BO173" s="312" t="s">
        <v>9270</v>
      </c>
    </row>
    <row r="174" spans="1:67" hidden="1" outlineLevel="1">
      <c r="A174" s="312" t="s">
        <v>6564</v>
      </c>
      <c r="B174" s="312" t="s">
        <v>9472</v>
      </c>
      <c r="C174" s="312" t="s">
        <v>9431</v>
      </c>
      <c r="D174" s="312" t="s">
        <v>9266</v>
      </c>
      <c r="E174" s="312" t="s">
        <v>9267</v>
      </c>
      <c r="F174" s="312"/>
      <c r="G174" s="312"/>
      <c r="H174" s="312">
        <v>495</v>
      </c>
      <c r="I174" s="312"/>
      <c r="J174" s="312"/>
      <c r="K174" s="312"/>
      <c r="L174" s="312"/>
      <c r="M174" s="312">
        <v>495</v>
      </c>
      <c r="N174" s="312"/>
      <c r="O174" s="312"/>
      <c r="P174" s="312"/>
      <c r="Q174" s="312"/>
      <c r="R174" s="312">
        <v>495</v>
      </c>
      <c r="S174" s="312"/>
      <c r="T174" s="312"/>
      <c r="U174" s="312"/>
      <c r="V174" s="312"/>
      <c r="W174" s="312">
        <v>495</v>
      </c>
      <c r="X174" s="312"/>
      <c r="Y174" s="312"/>
      <c r="Z174" s="312"/>
      <c r="AA174" s="312"/>
      <c r="AB174" s="312">
        <v>495</v>
      </c>
      <c r="AC174" s="312"/>
      <c r="AD174" s="312"/>
      <c r="AE174" s="312"/>
      <c r="AF174" s="312"/>
      <c r="AG174" s="312">
        <v>495</v>
      </c>
      <c r="AH174" s="312"/>
      <c r="AI174" s="312"/>
      <c r="AJ174" s="312"/>
      <c r="AK174" s="312"/>
      <c r="AL174" s="312">
        <v>495</v>
      </c>
      <c r="AM174" s="312"/>
      <c r="AN174" s="312"/>
      <c r="AO174" s="312"/>
      <c r="AP174" s="312"/>
      <c r="AQ174" s="312">
        <v>495</v>
      </c>
      <c r="AR174" s="312"/>
      <c r="AS174" s="312"/>
      <c r="AT174" s="312"/>
      <c r="AU174" s="312"/>
      <c r="AV174" s="312">
        <v>495</v>
      </c>
      <c r="AW174" s="312"/>
      <c r="AX174" s="312"/>
      <c r="AY174" s="312"/>
      <c r="AZ174" s="312"/>
      <c r="BA174" s="312">
        <v>495</v>
      </c>
      <c r="BB174" s="312"/>
      <c r="BC174" s="312"/>
      <c r="BD174" s="312"/>
      <c r="BE174" s="312"/>
      <c r="BF174" s="312">
        <v>495</v>
      </c>
      <c r="BG174" s="312"/>
      <c r="BH174" s="312"/>
      <c r="BI174" s="312"/>
      <c r="BJ174" s="312"/>
      <c r="BK174" s="312">
        <v>495</v>
      </c>
      <c r="BL174" s="312"/>
      <c r="BM174" s="312"/>
      <c r="BN174" s="312"/>
      <c r="BO174" s="312" t="s">
        <v>9268</v>
      </c>
    </row>
    <row r="175" spans="1:67" hidden="1" outlineLevel="1">
      <c r="A175" s="312" t="s">
        <v>7644</v>
      </c>
      <c r="B175" s="312" t="s">
        <v>9473</v>
      </c>
      <c r="C175" s="312" t="s">
        <v>9431</v>
      </c>
      <c r="D175" s="312" t="s">
        <v>9266</v>
      </c>
      <c r="E175" s="312" t="s">
        <v>9267</v>
      </c>
      <c r="F175" s="312"/>
      <c r="G175" s="312"/>
      <c r="H175" s="312">
        <v>416</v>
      </c>
      <c r="I175" s="312"/>
      <c r="J175" s="312"/>
      <c r="K175" s="312"/>
      <c r="L175" s="312"/>
      <c r="M175" s="312">
        <v>416</v>
      </c>
      <c r="N175" s="312"/>
      <c r="O175" s="312"/>
      <c r="P175" s="312"/>
      <c r="Q175" s="312"/>
      <c r="R175" s="312">
        <v>416</v>
      </c>
      <c r="S175" s="312"/>
      <c r="T175" s="312"/>
      <c r="U175" s="312"/>
      <c r="V175" s="312"/>
      <c r="W175" s="312">
        <v>416</v>
      </c>
      <c r="X175" s="312"/>
      <c r="Y175" s="312"/>
      <c r="Z175" s="312"/>
      <c r="AA175" s="312"/>
      <c r="AB175" s="312">
        <v>416</v>
      </c>
      <c r="AC175" s="312"/>
      <c r="AD175" s="312"/>
      <c r="AE175" s="312"/>
      <c r="AF175" s="312"/>
      <c r="AG175" s="312">
        <v>416</v>
      </c>
      <c r="AH175" s="312"/>
      <c r="AI175" s="312"/>
      <c r="AJ175" s="312"/>
      <c r="AK175" s="312"/>
      <c r="AL175" s="312">
        <v>416</v>
      </c>
      <c r="AM175" s="312"/>
      <c r="AN175" s="312"/>
      <c r="AO175" s="312"/>
      <c r="AP175" s="312"/>
      <c r="AQ175" s="312">
        <v>416</v>
      </c>
      <c r="AR175" s="312"/>
      <c r="AS175" s="312"/>
      <c r="AT175" s="312"/>
      <c r="AU175" s="312"/>
      <c r="AV175" s="312">
        <v>416</v>
      </c>
      <c r="AW175" s="312"/>
      <c r="AX175" s="312"/>
      <c r="AY175" s="312"/>
      <c r="AZ175" s="312"/>
      <c r="BA175" s="312">
        <v>416</v>
      </c>
      <c r="BB175" s="312"/>
      <c r="BC175" s="312"/>
      <c r="BD175" s="312"/>
      <c r="BE175" s="312"/>
      <c r="BF175" s="312">
        <v>416</v>
      </c>
      <c r="BG175" s="312"/>
      <c r="BH175" s="312"/>
      <c r="BI175" s="312"/>
      <c r="BJ175" s="312"/>
      <c r="BK175" s="312">
        <v>416</v>
      </c>
      <c r="BL175" s="312"/>
      <c r="BM175" s="312"/>
      <c r="BN175" s="312"/>
      <c r="BO175" s="312" t="s">
        <v>9268</v>
      </c>
    </row>
    <row r="176" spans="1:67" hidden="1" outlineLevel="1">
      <c r="A176" s="312" t="s">
        <v>7634</v>
      </c>
      <c r="B176" s="312" t="s">
        <v>9474</v>
      </c>
      <c r="C176" s="312" t="s">
        <v>9431</v>
      </c>
      <c r="D176" s="312" t="s">
        <v>9266</v>
      </c>
      <c r="E176" s="312" t="s">
        <v>9267</v>
      </c>
      <c r="F176" s="312"/>
      <c r="G176" s="312"/>
      <c r="H176" s="312"/>
      <c r="I176" s="312"/>
      <c r="J176" s="312"/>
      <c r="K176" s="312"/>
      <c r="L176" s="312"/>
      <c r="M176" s="312"/>
      <c r="N176" s="312"/>
      <c r="O176" s="312"/>
      <c r="P176" s="312"/>
      <c r="Q176" s="312"/>
      <c r="R176" s="312"/>
      <c r="S176" s="312"/>
      <c r="T176" s="312"/>
      <c r="U176" s="312"/>
      <c r="V176" s="312"/>
      <c r="W176" s="312"/>
      <c r="X176" s="312"/>
      <c r="Y176" s="312"/>
      <c r="Z176" s="312"/>
      <c r="AA176" s="312"/>
      <c r="AB176" s="312"/>
      <c r="AC176" s="312"/>
      <c r="AD176" s="312"/>
      <c r="AE176" s="312"/>
      <c r="AF176" s="312"/>
      <c r="AG176" s="312"/>
      <c r="AH176" s="312"/>
      <c r="AI176" s="312"/>
      <c r="AJ176" s="312"/>
      <c r="AK176" s="312"/>
      <c r="AL176" s="312"/>
      <c r="AM176" s="312"/>
      <c r="AN176" s="312"/>
      <c r="AO176" s="312"/>
      <c r="AP176" s="312"/>
      <c r="AQ176" s="312">
        <v>384</v>
      </c>
      <c r="AR176" s="312"/>
      <c r="AS176" s="312"/>
      <c r="AT176" s="312"/>
      <c r="AU176" s="312"/>
      <c r="AV176" s="312">
        <v>384</v>
      </c>
      <c r="AW176" s="312"/>
      <c r="AX176" s="312"/>
      <c r="AY176" s="312"/>
      <c r="AZ176" s="312"/>
      <c r="BA176" s="312">
        <v>384</v>
      </c>
      <c r="BB176" s="312"/>
      <c r="BC176" s="312"/>
      <c r="BD176" s="312"/>
      <c r="BE176" s="312"/>
      <c r="BF176" s="312">
        <v>384</v>
      </c>
      <c r="BG176" s="312"/>
      <c r="BH176" s="312"/>
      <c r="BI176" s="312"/>
      <c r="BJ176" s="312"/>
      <c r="BK176" s="312">
        <v>384</v>
      </c>
      <c r="BL176" s="312"/>
      <c r="BM176" s="312"/>
      <c r="BN176" s="312"/>
      <c r="BO176" s="312" t="s">
        <v>9268</v>
      </c>
    </row>
    <row r="177" spans="1:67" hidden="1" outlineLevel="1">
      <c r="A177" s="312" t="s">
        <v>8441</v>
      </c>
      <c r="B177" s="312" t="s">
        <v>9475</v>
      </c>
      <c r="C177" s="312" t="s">
        <v>9431</v>
      </c>
      <c r="D177" s="312" t="s">
        <v>9266</v>
      </c>
      <c r="E177" s="312" t="s">
        <v>9267</v>
      </c>
      <c r="F177" s="312"/>
      <c r="G177" s="312"/>
      <c r="H177" s="312">
        <v>322</v>
      </c>
      <c r="I177" s="312"/>
      <c r="J177" s="312"/>
      <c r="K177" s="312"/>
      <c r="L177" s="312"/>
      <c r="M177" s="312">
        <v>322</v>
      </c>
      <c r="N177" s="312"/>
      <c r="O177" s="312"/>
      <c r="P177" s="312"/>
      <c r="Q177" s="312"/>
      <c r="R177" s="312">
        <v>322</v>
      </c>
      <c r="S177" s="312"/>
      <c r="T177" s="312"/>
      <c r="U177" s="312"/>
      <c r="V177" s="312"/>
      <c r="W177" s="312">
        <v>322</v>
      </c>
      <c r="X177" s="312"/>
      <c r="Y177" s="312"/>
      <c r="Z177" s="312"/>
      <c r="AA177" s="312"/>
      <c r="AB177" s="312">
        <v>322</v>
      </c>
      <c r="AC177" s="312"/>
      <c r="AD177" s="312"/>
      <c r="AE177" s="312"/>
      <c r="AF177" s="312"/>
      <c r="AG177" s="312">
        <v>322</v>
      </c>
      <c r="AH177" s="312"/>
      <c r="AI177" s="312"/>
      <c r="AJ177" s="312"/>
      <c r="AK177" s="312"/>
      <c r="AL177" s="312">
        <v>322</v>
      </c>
      <c r="AM177" s="312"/>
      <c r="AN177" s="312"/>
      <c r="AO177" s="312"/>
      <c r="AP177" s="312"/>
      <c r="AQ177" s="312">
        <v>322</v>
      </c>
      <c r="AR177" s="312"/>
      <c r="AS177" s="312"/>
      <c r="AT177" s="312"/>
      <c r="AU177" s="312"/>
      <c r="AV177" s="312">
        <v>322</v>
      </c>
      <c r="AW177" s="312"/>
      <c r="AX177" s="312"/>
      <c r="AY177" s="312"/>
      <c r="AZ177" s="312"/>
      <c r="BA177" s="312">
        <v>322</v>
      </c>
      <c r="BB177" s="312"/>
      <c r="BC177" s="312"/>
      <c r="BD177" s="312"/>
      <c r="BE177" s="312"/>
      <c r="BF177" s="312">
        <v>322</v>
      </c>
      <c r="BG177" s="312"/>
      <c r="BH177" s="312"/>
      <c r="BI177" s="312"/>
      <c r="BJ177" s="312"/>
      <c r="BK177" s="312">
        <v>322</v>
      </c>
      <c r="BL177" s="312"/>
      <c r="BM177" s="312"/>
      <c r="BN177" s="312"/>
      <c r="BO177" s="312" t="s">
        <v>9268</v>
      </c>
    </row>
    <row r="178" spans="1:67" hidden="1" outlineLevel="1">
      <c r="A178" s="312" t="s">
        <v>7407</v>
      </c>
      <c r="B178" s="312" t="s">
        <v>9476</v>
      </c>
      <c r="C178" s="312" t="s">
        <v>9431</v>
      </c>
      <c r="D178" s="312" t="s">
        <v>9266</v>
      </c>
      <c r="E178" s="312" t="s">
        <v>9267</v>
      </c>
      <c r="F178" s="312"/>
      <c r="G178" s="312"/>
      <c r="H178" s="312">
        <v>285</v>
      </c>
      <c r="I178" s="312"/>
      <c r="J178" s="312"/>
      <c r="K178" s="312"/>
      <c r="L178" s="312"/>
      <c r="M178" s="312">
        <v>285</v>
      </c>
      <c r="N178" s="312"/>
      <c r="O178" s="312"/>
      <c r="P178" s="312"/>
      <c r="Q178" s="312"/>
      <c r="R178" s="312">
        <v>285</v>
      </c>
      <c r="S178" s="312"/>
      <c r="T178" s="312"/>
      <c r="U178" s="312"/>
      <c r="V178" s="312"/>
      <c r="W178" s="312">
        <v>285</v>
      </c>
      <c r="X178" s="312"/>
      <c r="Y178" s="312"/>
      <c r="Z178" s="312"/>
      <c r="AA178" s="312"/>
      <c r="AB178" s="312">
        <v>285</v>
      </c>
      <c r="AC178" s="312"/>
      <c r="AD178" s="312"/>
      <c r="AE178" s="312"/>
      <c r="AF178" s="312"/>
      <c r="AG178" s="312">
        <v>285</v>
      </c>
      <c r="AH178" s="312"/>
      <c r="AI178" s="312"/>
      <c r="AJ178" s="312"/>
      <c r="AK178" s="312"/>
      <c r="AL178" s="312">
        <v>285</v>
      </c>
      <c r="AM178" s="312"/>
      <c r="AN178" s="312"/>
      <c r="AO178" s="312"/>
      <c r="AP178" s="312"/>
      <c r="AQ178" s="312">
        <v>285</v>
      </c>
      <c r="AR178" s="312"/>
      <c r="AS178" s="312"/>
      <c r="AT178" s="312"/>
      <c r="AU178" s="312"/>
      <c r="AV178" s="312">
        <v>285</v>
      </c>
      <c r="AW178" s="312"/>
      <c r="AX178" s="312"/>
      <c r="AY178" s="312"/>
      <c r="AZ178" s="312"/>
      <c r="BA178" s="312">
        <v>285</v>
      </c>
      <c r="BB178" s="312"/>
      <c r="BC178" s="312"/>
      <c r="BD178" s="312"/>
      <c r="BE178" s="312"/>
      <c r="BF178" s="312">
        <v>285</v>
      </c>
      <c r="BG178" s="312"/>
      <c r="BH178" s="312"/>
      <c r="BI178" s="312"/>
      <c r="BJ178" s="312"/>
      <c r="BK178" s="312">
        <v>285</v>
      </c>
      <c r="BL178" s="312"/>
      <c r="BM178" s="312"/>
      <c r="BN178" s="312"/>
      <c r="BO178" s="312" t="s">
        <v>9268</v>
      </c>
    </row>
    <row r="179" spans="1:67" hidden="1" outlineLevel="1">
      <c r="A179" s="312" t="s">
        <v>8371</v>
      </c>
      <c r="B179" s="312" t="s">
        <v>9477</v>
      </c>
      <c r="C179" s="312" t="s">
        <v>9431</v>
      </c>
      <c r="D179" s="312" t="s">
        <v>9266</v>
      </c>
      <c r="E179" s="312" t="s">
        <v>9267</v>
      </c>
      <c r="F179" s="312"/>
      <c r="G179" s="312"/>
      <c r="H179" s="312">
        <v>282</v>
      </c>
      <c r="I179" s="312"/>
      <c r="J179" s="312"/>
      <c r="K179" s="312"/>
      <c r="L179" s="312"/>
      <c r="M179" s="312">
        <v>282</v>
      </c>
      <c r="N179" s="312"/>
      <c r="O179" s="312"/>
      <c r="P179" s="312"/>
      <c r="Q179" s="312"/>
      <c r="R179" s="312">
        <v>282</v>
      </c>
      <c r="S179" s="312"/>
      <c r="T179" s="312"/>
      <c r="U179" s="312"/>
      <c r="V179" s="312"/>
      <c r="W179" s="312">
        <v>282</v>
      </c>
      <c r="X179" s="312"/>
      <c r="Y179" s="312"/>
      <c r="Z179" s="312"/>
      <c r="AA179" s="312"/>
      <c r="AB179" s="312">
        <v>282</v>
      </c>
      <c r="AC179" s="312"/>
      <c r="AD179" s="312"/>
      <c r="AE179" s="312"/>
      <c r="AF179" s="312"/>
      <c r="AG179" s="312">
        <v>282</v>
      </c>
      <c r="AH179" s="312"/>
      <c r="AI179" s="312"/>
      <c r="AJ179" s="312"/>
      <c r="AK179" s="312"/>
      <c r="AL179" s="312">
        <v>282</v>
      </c>
      <c r="AM179" s="312"/>
      <c r="AN179" s="312"/>
      <c r="AO179" s="312"/>
      <c r="AP179" s="312"/>
      <c r="AQ179" s="312">
        <v>282</v>
      </c>
      <c r="AR179" s="312"/>
      <c r="AS179" s="312"/>
      <c r="AT179" s="312"/>
      <c r="AU179" s="312"/>
      <c r="AV179" s="312">
        <v>282</v>
      </c>
      <c r="AW179" s="312"/>
      <c r="AX179" s="312"/>
      <c r="AY179" s="312"/>
      <c r="AZ179" s="312"/>
      <c r="BA179" s="312">
        <v>282</v>
      </c>
      <c r="BB179" s="312"/>
      <c r="BC179" s="312"/>
      <c r="BD179" s="312"/>
      <c r="BE179" s="312"/>
      <c r="BF179" s="312">
        <v>282</v>
      </c>
      <c r="BG179" s="312"/>
      <c r="BH179" s="312"/>
      <c r="BI179" s="312"/>
      <c r="BJ179" s="312"/>
      <c r="BK179" s="312">
        <v>282</v>
      </c>
      <c r="BL179" s="312"/>
      <c r="BM179" s="312"/>
      <c r="BN179" s="312"/>
      <c r="BO179" s="312" t="s">
        <v>9268</v>
      </c>
    </row>
    <row r="180" spans="1:67" hidden="1" outlineLevel="1">
      <c r="A180" s="312" t="s">
        <v>8433</v>
      </c>
      <c r="B180" s="312" t="s">
        <v>9478</v>
      </c>
      <c r="C180" s="312" t="s">
        <v>9431</v>
      </c>
      <c r="D180" s="312" t="s">
        <v>9266</v>
      </c>
      <c r="E180" s="312" t="s">
        <v>9267</v>
      </c>
      <c r="F180" s="312"/>
      <c r="G180" s="312"/>
      <c r="H180" s="312">
        <v>282</v>
      </c>
      <c r="I180" s="312"/>
      <c r="J180" s="312"/>
      <c r="K180" s="312"/>
      <c r="L180" s="312"/>
      <c r="M180" s="312">
        <v>282</v>
      </c>
      <c r="N180" s="312"/>
      <c r="O180" s="312"/>
      <c r="P180" s="312"/>
      <c r="Q180" s="312"/>
      <c r="R180" s="312">
        <v>282</v>
      </c>
      <c r="S180" s="312"/>
      <c r="T180" s="312"/>
      <c r="U180" s="312"/>
      <c r="V180" s="312"/>
      <c r="W180" s="312">
        <v>282</v>
      </c>
      <c r="X180" s="312"/>
      <c r="Y180" s="312"/>
      <c r="Z180" s="312"/>
      <c r="AA180" s="312"/>
      <c r="AB180" s="312">
        <v>282</v>
      </c>
      <c r="AC180" s="312"/>
      <c r="AD180" s="312"/>
      <c r="AE180" s="312"/>
      <c r="AF180" s="312"/>
      <c r="AG180" s="312">
        <v>282</v>
      </c>
      <c r="AH180" s="312"/>
      <c r="AI180" s="312"/>
      <c r="AJ180" s="312"/>
      <c r="AK180" s="312"/>
      <c r="AL180" s="312">
        <v>282</v>
      </c>
      <c r="AM180" s="312"/>
      <c r="AN180" s="312"/>
      <c r="AO180" s="312"/>
      <c r="AP180" s="312"/>
      <c r="AQ180" s="312">
        <v>282</v>
      </c>
      <c r="AR180" s="312"/>
      <c r="AS180" s="312"/>
      <c r="AT180" s="312"/>
      <c r="AU180" s="312"/>
      <c r="AV180" s="312">
        <v>282</v>
      </c>
      <c r="AW180" s="312"/>
      <c r="AX180" s="312"/>
      <c r="AY180" s="312"/>
      <c r="AZ180" s="312"/>
      <c r="BA180" s="312">
        <v>282</v>
      </c>
      <c r="BB180" s="312"/>
      <c r="BC180" s="312"/>
      <c r="BD180" s="312"/>
      <c r="BE180" s="312"/>
      <c r="BF180" s="312">
        <v>282</v>
      </c>
      <c r="BG180" s="312"/>
      <c r="BH180" s="312"/>
      <c r="BI180" s="312"/>
      <c r="BJ180" s="312"/>
      <c r="BK180" s="312">
        <v>282</v>
      </c>
      <c r="BL180" s="312"/>
      <c r="BM180" s="312"/>
      <c r="BN180" s="312"/>
      <c r="BO180" s="312" t="s">
        <v>9268</v>
      </c>
    </row>
    <row r="181" spans="1:67" hidden="1" outlineLevel="1">
      <c r="A181" s="312" t="s">
        <v>6540</v>
      </c>
      <c r="B181" s="312" t="s">
        <v>9479</v>
      </c>
      <c r="C181" s="312" t="s">
        <v>9431</v>
      </c>
      <c r="D181" s="312" t="s">
        <v>9266</v>
      </c>
      <c r="E181" s="312" t="s">
        <v>9267</v>
      </c>
      <c r="F181" s="312"/>
      <c r="G181" s="312"/>
      <c r="H181" s="312"/>
      <c r="I181" s="312"/>
      <c r="J181" s="312"/>
      <c r="K181" s="312"/>
      <c r="L181" s="312"/>
      <c r="M181" s="312"/>
      <c r="N181" s="312"/>
      <c r="O181" s="312"/>
      <c r="P181" s="312"/>
      <c r="Q181" s="312"/>
      <c r="R181" s="312"/>
      <c r="S181" s="312"/>
      <c r="T181" s="312"/>
      <c r="U181" s="312"/>
      <c r="V181" s="312"/>
      <c r="W181" s="312"/>
      <c r="X181" s="312"/>
      <c r="Y181" s="312"/>
      <c r="Z181" s="312"/>
      <c r="AA181" s="312"/>
      <c r="AB181" s="312"/>
      <c r="AC181" s="312"/>
      <c r="AD181" s="312"/>
      <c r="AE181" s="312"/>
      <c r="AF181" s="312"/>
      <c r="AG181" s="312"/>
      <c r="AH181" s="312"/>
      <c r="AI181" s="312"/>
      <c r="AJ181" s="312"/>
      <c r="AK181" s="312"/>
      <c r="AL181" s="312"/>
      <c r="AM181" s="312"/>
      <c r="AN181" s="312"/>
      <c r="AO181" s="312"/>
      <c r="AP181" s="312"/>
      <c r="AQ181" s="312"/>
      <c r="AR181" s="312"/>
      <c r="AS181" s="312"/>
      <c r="AT181" s="312"/>
      <c r="AU181" s="312"/>
      <c r="AV181" s="312"/>
      <c r="AW181" s="312"/>
      <c r="AX181" s="312"/>
      <c r="AY181" s="312"/>
      <c r="AZ181" s="312"/>
      <c r="BA181" s="312"/>
      <c r="BB181" s="312"/>
      <c r="BC181" s="312"/>
      <c r="BD181" s="312"/>
      <c r="BE181" s="312"/>
      <c r="BF181" s="312">
        <v>250</v>
      </c>
      <c r="BG181" s="312"/>
      <c r="BH181" s="312"/>
      <c r="BI181" s="312"/>
      <c r="BJ181" s="312"/>
      <c r="BK181" s="312">
        <v>250</v>
      </c>
      <c r="BL181" s="312"/>
      <c r="BM181" s="312"/>
      <c r="BN181" s="312"/>
      <c r="BO181" s="312" t="s">
        <v>9268</v>
      </c>
    </row>
    <row r="182" spans="1:67" hidden="1" outlineLevel="1">
      <c r="A182" s="312" t="s">
        <v>9480</v>
      </c>
      <c r="B182" s="312" t="s">
        <v>9481</v>
      </c>
      <c r="C182" s="312" t="s">
        <v>9431</v>
      </c>
      <c r="D182" s="312" t="s">
        <v>9266</v>
      </c>
      <c r="E182" s="312" t="s">
        <v>9267</v>
      </c>
      <c r="F182" s="312"/>
      <c r="G182" s="312"/>
      <c r="H182" s="312">
        <v>228</v>
      </c>
      <c r="I182" s="312"/>
      <c r="J182" s="312"/>
      <c r="K182" s="312"/>
      <c r="L182" s="312"/>
      <c r="M182" s="312">
        <v>228</v>
      </c>
      <c r="N182" s="312"/>
      <c r="O182" s="312"/>
      <c r="P182" s="312"/>
      <c r="Q182" s="312"/>
      <c r="R182" s="312">
        <v>228</v>
      </c>
      <c r="S182" s="312"/>
      <c r="T182" s="312"/>
      <c r="U182" s="312"/>
      <c r="V182" s="312"/>
      <c r="W182" s="312">
        <v>228</v>
      </c>
      <c r="X182" s="312"/>
      <c r="Y182" s="312"/>
      <c r="Z182" s="312"/>
      <c r="AA182" s="312"/>
      <c r="AB182" s="312">
        <v>228</v>
      </c>
      <c r="AC182" s="312"/>
      <c r="AD182" s="312"/>
      <c r="AE182" s="312"/>
      <c r="AF182" s="312"/>
      <c r="AG182" s="312">
        <v>228</v>
      </c>
      <c r="AH182" s="312"/>
      <c r="AI182" s="312"/>
      <c r="AJ182" s="312"/>
      <c r="AK182" s="312"/>
      <c r="AL182" s="312">
        <v>228</v>
      </c>
      <c r="AM182" s="312"/>
      <c r="AN182" s="312"/>
      <c r="AO182" s="312"/>
      <c r="AP182" s="312"/>
      <c r="AQ182" s="312">
        <v>228</v>
      </c>
      <c r="AR182" s="312"/>
      <c r="AS182" s="312"/>
      <c r="AT182" s="312"/>
      <c r="AU182" s="312"/>
      <c r="AV182" s="312">
        <v>228</v>
      </c>
      <c r="AW182" s="312"/>
      <c r="AX182" s="312"/>
      <c r="AY182" s="312"/>
      <c r="AZ182" s="312"/>
      <c r="BA182" s="312">
        <v>228</v>
      </c>
      <c r="BB182" s="312"/>
      <c r="BC182" s="312"/>
      <c r="BD182" s="312"/>
      <c r="BE182" s="312"/>
      <c r="BF182" s="312">
        <v>228</v>
      </c>
      <c r="BG182" s="312"/>
      <c r="BH182" s="312"/>
      <c r="BI182" s="312"/>
      <c r="BJ182" s="312"/>
      <c r="BK182" s="312">
        <v>228</v>
      </c>
      <c r="BL182" s="312"/>
      <c r="BM182" s="312"/>
      <c r="BN182" s="312"/>
      <c r="BO182" s="312" t="s">
        <v>9268</v>
      </c>
    </row>
    <row r="183" spans="1:67" hidden="1" outlineLevel="1">
      <c r="A183" s="312" t="s">
        <v>7179</v>
      </c>
      <c r="B183" s="312" t="s">
        <v>9482</v>
      </c>
      <c r="C183" s="312" t="s">
        <v>9431</v>
      </c>
      <c r="D183" s="312" t="s">
        <v>9266</v>
      </c>
      <c r="E183" s="312" t="s">
        <v>9267</v>
      </c>
      <c r="F183" s="312"/>
      <c r="G183" s="312"/>
      <c r="H183" s="312">
        <v>151</v>
      </c>
      <c r="I183" s="312"/>
      <c r="J183" s="312"/>
      <c r="K183" s="312"/>
      <c r="L183" s="312"/>
      <c r="M183" s="312">
        <v>151</v>
      </c>
      <c r="N183" s="312"/>
      <c r="O183" s="312"/>
      <c r="P183" s="312"/>
      <c r="Q183" s="312"/>
      <c r="R183" s="312">
        <v>151</v>
      </c>
      <c r="S183" s="312"/>
      <c r="T183" s="312"/>
      <c r="U183" s="312"/>
      <c r="V183" s="312"/>
      <c r="W183" s="312">
        <v>151</v>
      </c>
      <c r="X183" s="312"/>
      <c r="Y183" s="312"/>
      <c r="Z183" s="312"/>
      <c r="AA183" s="312"/>
      <c r="AB183" s="312">
        <v>151</v>
      </c>
      <c r="AC183" s="312"/>
      <c r="AD183" s="312"/>
      <c r="AE183" s="312"/>
      <c r="AF183" s="312"/>
      <c r="AG183" s="312">
        <v>151</v>
      </c>
      <c r="AH183" s="312"/>
      <c r="AI183" s="312"/>
      <c r="AJ183" s="312"/>
      <c r="AK183" s="312"/>
      <c r="AL183" s="312">
        <v>151</v>
      </c>
      <c r="AM183" s="312"/>
      <c r="AN183" s="312"/>
      <c r="AO183" s="312"/>
      <c r="AP183" s="312"/>
      <c r="AQ183" s="312">
        <v>151</v>
      </c>
      <c r="AR183" s="312"/>
      <c r="AS183" s="312"/>
      <c r="AT183" s="312"/>
      <c r="AU183" s="312"/>
      <c r="AV183" s="312">
        <v>151</v>
      </c>
      <c r="AW183" s="312"/>
      <c r="AX183" s="312"/>
      <c r="AY183" s="312"/>
      <c r="AZ183" s="312"/>
      <c r="BA183" s="312">
        <v>151</v>
      </c>
      <c r="BB183" s="312"/>
      <c r="BC183" s="312"/>
      <c r="BD183" s="312"/>
      <c r="BE183" s="312"/>
      <c r="BF183" s="312">
        <v>151</v>
      </c>
      <c r="BG183" s="312"/>
      <c r="BH183" s="312"/>
      <c r="BI183" s="312"/>
      <c r="BJ183" s="312"/>
      <c r="BK183" s="312">
        <v>151</v>
      </c>
      <c r="BL183" s="312"/>
      <c r="BM183" s="312"/>
      <c r="BN183" s="312"/>
      <c r="BO183" s="312" t="s">
        <v>9268</v>
      </c>
    </row>
    <row r="184" spans="1:67" hidden="1" outlineLevel="1">
      <c r="A184" s="312" t="s">
        <v>8273</v>
      </c>
      <c r="B184" s="312" t="s">
        <v>9483</v>
      </c>
      <c r="C184" s="312" t="s">
        <v>9431</v>
      </c>
      <c r="D184" s="312" t="s">
        <v>9266</v>
      </c>
      <c r="E184" s="312" t="s">
        <v>9267</v>
      </c>
      <c r="F184" s="312"/>
      <c r="G184" s="312"/>
      <c r="H184" s="312">
        <v>92</v>
      </c>
      <c r="I184" s="312"/>
      <c r="J184" s="312"/>
      <c r="K184" s="312"/>
      <c r="L184" s="312"/>
      <c r="M184" s="312">
        <v>92</v>
      </c>
      <c r="N184" s="312"/>
      <c r="O184" s="312"/>
      <c r="P184" s="312"/>
      <c r="Q184" s="312"/>
      <c r="R184" s="312">
        <v>92</v>
      </c>
      <c r="S184" s="312"/>
      <c r="T184" s="312"/>
      <c r="U184" s="312"/>
      <c r="V184" s="312"/>
      <c r="W184" s="312">
        <v>92</v>
      </c>
      <c r="X184" s="312"/>
      <c r="Y184" s="312"/>
      <c r="Z184" s="312"/>
      <c r="AA184" s="312"/>
      <c r="AB184" s="312">
        <v>92</v>
      </c>
      <c r="AC184" s="312"/>
      <c r="AD184" s="312"/>
      <c r="AE184" s="312"/>
      <c r="AF184" s="312"/>
      <c r="AG184" s="312">
        <v>92</v>
      </c>
      <c r="AH184" s="312"/>
      <c r="AI184" s="312"/>
      <c r="AJ184" s="312"/>
      <c r="AK184" s="312"/>
      <c r="AL184" s="312">
        <v>92</v>
      </c>
      <c r="AM184" s="312"/>
      <c r="AN184" s="312"/>
      <c r="AO184" s="312"/>
      <c r="AP184" s="312"/>
      <c r="AQ184" s="312">
        <v>92</v>
      </c>
      <c r="AR184" s="312"/>
      <c r="AS184" s="312"/>
      <c r="AT184" s="312"/>
      <c r="AU184" s="312"/>
      <c r="AV184" s="312">
        <v>92</v>
      </c>
      <c r="AW184" s="312"/>
      <c r="AX184" s="312"/>
      <c r="AY184" s="312"/>
      <c r="AZ184" s="312"/>
      <c r="BA184" s="312">
        <v>92</v>
      </c>
      <c r="BB184" s="312"/>
      <c r="BC184" s="312"/>
      <c r="BD184" s="312"/>
      <c r="BE184" s="312"/>
      <c r="BF184" s="312">
        <v>92</v>
      </c>
      <c r="BG184" s="312"/>
      <c r="BH184" s="312"/>
      <c r="BI184" s="312"/>
      <c r="BJ184" s="312"/>
      <c r="BK184" s="312">
        <v>92</v>
      </c>
      <c r="BL184" s="312"/>
      <c r="BM184" s="312"/>
      <c r="BN184" s="312"/>
      <c r="BO184" s="312" t="s">
        <v>9268</v>
      </c>
    </row>
    <row r="185" spans="1:67" collapsed="1">
      <c r="A185" s="312"/>
      <c r="B185" s="312"/>
      <c r="C185" s="312"/>
      <c r="D185" s="312"/>
      <c r="E185" s="312"/>
      <c r="F185" s="312"/>
      <c r="G185" s="312"/>
      <c r="H185" s="312"/>
      <c r="I185" s="312"/>
      <c r="J185" s="312"/>
      <c r="K185" s="312"/>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c r="AS185" s="312"/>
      <c r="AT185" s="312"/>
      <c r="AU185" s="312"/>
      <c r="AV185" s="312"/>
      <c r="AW185" s="312"/>
      <c r="AX185" s="312"/>
      <c r="AY185" s="312"/>
      <c r="AZ185" s="312"/>
      <c r="BA185" s="312"/>
      <c r="BB185" s="312"/>
      <c r="BC185" s="312"/>
      <c r="BD185" s="312"/>
      <c r="BE185" s="312"/>
      <c r="BF185" s="312"/>
      <c r="BG185" s="312"/>
      <c r="BH185" s="312"/>
      <c r="BI185" s="312"/>
      <c r="BJ185" s="312"/>
      <c r="BK185" s="312"/>
      <c r="BL185" s="312"/>
      <c r="BM185" s="312"/>
      <c r="BN185" s="312"/>
      <c r="BO185" s="312"/>
    </row>
  </sheetData>
  <sheetProtection algorithmName="SHA-512" hashValue="JWIcTq3iZC8bzkCvVnYUrpjdXkRfU9oNJE2qZktEoaz/dWCBWLQPeKm04ob009/YjzaU6aslR4xtzPxLhEZGgg==" saltValue="n8MY5KgErLDl+kr6nCry2g==" spinCount="100000" sheet="1" objects="1" scenarios="1" selectLockedCells="1" selectUnlockedCells="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99692-99A0-4F1A-8341-8571A124C83D}">
  <sheetPr codeName="Sheet22"/>
  <dimension ref="A1:M535"/>
  <sheetViews>
    <sheetView zoomScaleNormal="100" workbookViewId="0">
      <selection sqref="A1:F1"/>
    </sheetView>
  </sheetViews>
  <sheetFormatPr defaultColWidth="8.5546875" defaultRowHeight="14.4"/>
  <cols>
    <col min="1" max="1" width="59" style="158" customWidth="1"/>
    <col min="2" max="2" width="37" style="158" bestFit="1" customWidth="1"/>
    <col min="3" max="3" width="14.5546875" style="158" bestFit="1" customWidth="1"/>
    <col min="4" max="4" width="14.44140625" style="158" bestFit="1" customWidth="1"/>
    <col min="5" max="8" width="8.5546875" style="158"/>
    <col min="9" max="9" width="62.5546875" style="158" customWidth="1"/>
    <col min="10" max="11" width="8.5546875" style="158"/>
    <col min="12" max="12" width="40.5546875" style="158" customWidth="1"/>
    <col min="13" max="16384" width="8.5546875" style="158"/>
  </cols>
  <sheetData>
    <row r="1" spans="1:13" s="156" customFormat="1" ht="22.2">
      <c r="A1" s="156" t="s">
        <v>10028</v>
      </c>
    </row>
    <row r="2" spans="1:13">
      <c r="A2" s="157" t="s">
        <v>10029</v>
      </c>
    </row>
    <row r="3" spans="1:13">
      <c r="A3" s="312"/>
    </row>
    <row r="4" spans="1:13">
      <c r="A4" s="159" t="s">
        <v>10030</v>
      </c>
      <c r="B4" s="159" t="s">
        <v>10031</v>
      </c>
      <c r="C4" s="159" t="s">
        <v>10032</v>
      </c>
      <c r="D4" s="159" t="s">
        <v>10033</v>
      </c>
      <c r="I4" s="157"/>
      <c r="L4" s="159" t="s">
        <v>10030</v>
      </c>
      <c r="M4" s="159" t="s">
        <v>10031</v>
      </c>
    </row>
    <row r="5" spans="1:13">
      <c r="A5" s="158" t="s">
        <v>8104</v>
      </c>
      <c r="B5" s="158" t="s">
        <v>8105</v>
      </c>
      <c r="C5" s="158" t="s">
        <v>10034</v>
      </c>
      <c r="D5" s="158" t="s">
        <v>10035</v>
      </c>
      <c r="I5" s="312"/>
      <c r="L5" s="158" t="s">
        <v>7986</v>
      </c>
      <c r="M5" s="158" t="s">
        <v>7987</v>
      </c>
    </row>
    <row r="6" spans="1:13" ht="17.399999999999999">
      <c r="A6" s="158" t="s">
        <v>7774</v>
      </c>
      <c r="B6" s="158" t="s">
        <v>7776</v>
      </c>
      <c r="C6" s="158" t="s">
        <v>10036</v>
      </c>
      <c r="D6" s="158" t="s">
        <v>10037</v>
      </c>
      <c r="I6" s="160" t="s">
        <v>10038</v>
      </c>
      <c r="L6" s="158" t="s">
        <v>7779</v>
      </c>
      <c r="M6" s="158" t="s">
        <v>7781</v>
      </c>
    </row>
    <row r="7" spans="1:13">
      <c r="A7" s="158" t="s">
        <v>7986</v>
      </c>
      <c r="B7" s="158" t="s">
        <v>7987</v>
      </c>
      <c r="C7" s="158" t="s">
        <v>10039</v>
      </c>
      <c r="D7" s="158" t="s">
        <v>10040</v>
      </c>
      <c r="I7" s="321"/>
      <c r="L7" s="158" t="s">
        <v>7589</v>
      </c>
      <c r="M7" s="158" t="s">
        <v>7590</v>
      </c>
    </row>
    <row r="8" spans="1:13" ht="17.399999999999999">
      <c r="A8" s="158" t="s">
        <v>7914</v>
      </c>
      <c r="B8" s="158" t="s">
        <v>7915</v>
      </c>
      <c r="C8" s="158" t="s">
        <v>10041</v>
      </c>
      <c r="D8" s="158" t="s">
        <v>10042</v>
      </c>
      <c r="I8" s="161" t="s">
        <v>10043</v>
      </c>
      <c r="L8" s="158" t="s">
        <v>7970</v>
      </c>
      <c r="M8" s="158" t="s">
        <v>7971</v>
      </c>
    </row>
    <row r="9" spans="1:13" ht="17.399999999999999">
      <c r="A9" s="158" t="s">
        <v>8112</v>
      </c>
      <c r="B9" s="158" t="s">
        <v>8113</v>
      </c>
      <c r="C9" s="158" t="s">
        <v>10044</v>
      </c>
      <c r="D9" s="158" t="s">
        <v>10045</v>
      </c>
      <c r="I9" s="161" t="s">
        <v>10046</v>
      </c>
      <c r="L9" s="158" t="s">
        <v>6838</v>
      </c>
      <c r="M9" s="158" t="s">
        <v>6840</v>
      </c>
    </row>
    <row r="10" spans="1:13" ht="17.399999999999999">
      <c r="A10" s="158" t="s">
        <v>7589</v>
      </c>
      <c r="B10" s="158" t="s">
        <v>7590</v>
      </c>
      <c r="I10" s="161" t="s">
        <v>10047</v>
      </c>
      <c r="L10" s="158" t="s">
        <v>7412</v>
      </c>
      <c r="M10" s="158" t="s">
        <v>7414</v>
      </c>
    </row>
    <row r="11" spans="1:13" ht="17.399999999999999">
      <c r="A11" s="158" t="s">
        <v>6838</v>
      </c>
      <c r="B11" s="158" t="s">
        <v>6840</v>
      </c>
      <c r="C11" s="158" t="s">
        <v>10048</v>
      </c>
      <c r="D11" s="158" t="s">
        <v>10049</v>
      </c>
      <c r="I11" s="161" t="s">
        <v>10050</v>
      </c>
      <c r="L11" s="158" t="s">
        <v>8116</v>
      </c>
      <c r="M11" s="158" t="s">
        <v>8117</v>
      </c>
    </row>
    <row r="12" spans="1:13" ht="17.399999999999999">
      <c r="A12" s="158" t="s">
        <v>7208</v>
      </c>
      <c r="B12" s="158" t="s">
        <v>7210</v>
      </c>
      <c r="C12" s="158" t="s">
        <v>10051</v>
      </c>
      <c r="D12" s="158" t="s">
        <v>10052</v>
      </c>
      <c r="I12" s="161" t="s">
        <v>10053</v>
      </c>
      <c r="L12" s="158" t="s">
        <v>7857</v>
      </c>
      <c r="M12" s="158" t="s">
        <v>7858</v>
      </c>
    </row>
    <row r="13" spans="1:13" ht="17.399999999999999">
      <c r="A13" s="158" t="s">
        <v>7575</v>
      </c>
      <c r="B13" s="158" t="s">
        <v>7577</v>
      </c>
      <c r="C13" s="158" t="s">
        <v>10054</v>
      </c>
      <c r="D13" s="158" t="s">
        <v>10055</v>
      </c>
      <c r="I13" s="161" t="s">
        <v>10056</v>
      </c>
      <c r="L13" s="158" t="s">
        <v>8104</v>
      </c>
      <c r="M13" s="158" t="s">
        <v>8105</v>
      </c>
    </row>
    <row r="14" spans="1:13" ht="17.399999999999999">
      <c r="A14" s="158" t="s">
        <v>8096</v>
      </c>
      <c r="B14" s="158" t="s">
        <v>8097</v>
      </c>
      <c r="C14" s="158" t="s">
        <v>10057</v>
      </c>
      <c r="D14" s="158" t="s">
        <v>10058</v>
      </c>
      <c r="I14" s="161" t="s">
        <v>10059</v>
      </c>
      <c r="L14" s="158" t="s">
        <v>7575</v>
      </c>
      <c r="M14" s="158" t="s">
        <v>7577</v>
      </c>
    </row>
    <row r="15" spans="1:13" ht="17.399999999999999">
      <c r="A15" s="158" t="s">
        <v>6495</v>
      </c>
      <c r="B15" s="158" t="s">
        <v>6497</v>
      </c>
      <c r="C15" s="158" t="s">
        <v>10060</v>
      </c>
      <c r="D15" s="158" t="s">
        <v>10061</v>
      </c>
      <c r="I15" s="161" t="s">
        <v>10062</v>
      </c>
      <c r="L15" s="158" t="s">
        <v>8112</v>
      </c>
      <c r="M15" s="158" t="s">
        <v>8113</v>
      </c>
    </row>
    <row r="16" spans="1:13" ht="17.399999999999999">
      <c r="A16" s="158" t="s">
        <v>8116</v>
      </c>
      <c r="B16" s="158" t="s">
        <v>8117</v>
      </c>
      <c r="C16" s="158" t="s">
        <v>10063</v>
      </c>
      <c r="D16" s="158" t="s">
        <v>10064</v>
      </c>
      <c r="I16" s="161" t="s">
        <v>10065</v>
      </c>
      <c r="L16" s="158" t="s">
        <v>8096</v>
      </c>
      <c r="M16" s="158" t="s">
        <v>8097</v>
      </c>
    </row>
    <row r="17" spans="1:13" ht="17.399999999999999">
      <c r="A17" s="158" t="s">
        <v>8258</v>
      </c>
      <c r="B17" s="158" t="s">
        <v>8258</v>
      </c>
      <c r="I17" s="161" t="s">
        <v>10066</v>
      </c>
      <c r="L17" s="158" t="s">
        <v>7914</v>
      </c>
      <c r="M17" s="158" t="s">
        <v>7915</v>
      </c>
    </row>
    <row r="18" spans="1:13" ht="17.399999999999999">
      <c r="A18" s="158" t="s">
        <v>6382</v>
      </c>
      <c r="B18" s="158" t="s">
        <v>6384</v>
      </c>
      <c r="C18" s="158" t="s">
        <v>10067</v>
      </c>
      <c r="D18" s="158" t="s">
        <v>10068</v>
      </c>
      <c r="I18" s="160"/>
      <c r="L18" s="158" t="s">
        <v>10069</v>
      </c>
      <c r="M18" s="158" t="s">
        <v>7776</v>
      </c>
    </row>
    <row r="19" spans="1:13" ht="17.399999999999999">
      <c r="A19" s="158" t="s">
        <v>6490</v>
      </c>
      <c r="B19" s="158" t="s">
        <v>6492</v>
      </c>
      <c r="C19" s="158" t="s">
        <v>10070</v>
      </c>
      <c r="D19" s="158" t="s">
        <v>10071</v>
      </c>
      <c r="I19" s="160"/>
      <c r="L19" s="158" t="s">
        <v>6495</v>
      </c>
      <c r="M19" s="158" t="s">
        <v>6497</v>
      </c>
    </row>
    <row r="20" spans="1:13" ht="17.399999999999999">
      <c r="A20" s="158" t="s">
        <v>8081</v>
      </c>
      <c r="B20" s="158" t="s">
        <v>8082</v>
      </c>
      <c r="I20" s="160" t="s">
        <v>10072</v>
      </c>
      <c r="L20" s="158" t="s">
        <v>7208</v>
      </c>
      <c r="M20" s="158" t="s">
        <v>7210</v>
      </c>
    </row>
    <row r="21" spans="1:13">
      <c r="A21" s="158" t="s">
        <v>8100</v>
      </c>
      <c r="B21" s="158" t="s">
        <v>8101</v>
      </c>
      <c r="L21" s="158" t="s">
        <v>8120</v>
      </c>
      <c r="M21" s="158" t="s">
        <v>8121</v>
      </c>
    </row>
    <row r="22" spans="1:13">
      <c r="A22" s="158" t="s">
        <v>8088</v>
      </c>
      <c r="B22" s="158" t="s">
        <v>8089</v>
      </c>
      <c r="L22" s="158" t="s">
        <v>7794</v>
      </c>
      <c r="M22" s="158" t="s">
        <v>7796</v>
      </c>
    </row>
    <row r="23" spans="1:13">
      <c r="A23" s="158" t="s">
        <v>7829</v>
      </c>
      <c r="B23" s="158" t="s">
        <v>7830</v>
      </c>
      <c r="L23" s="158" t="s">
        <v>7833</v>
      </c>
      <c r="M23" s="158" t="s">
        <v>7834</v>
      </c>
    </row>
    <row r="24" spans="1:13">
      <c r="A24" s="158" t="s">
        <v>7922</v>
      </c>
      <c r="B24" s="158" t="s">
        <v>7923</v>
      </c>
      <c r="L24" s="158" t="s">
        <v>6490</v>
      </c>
      <c r="M24" s="158" t="s">
        <v>6492</v>
      </c>
    </row>
    <row r="25" spans="1:13">
      <c r="A25" s="158" t="s">
        <v>7926</v>
      </c>
      <c r="B25" s="158" t="s">
        <v>7927</v>
      </c>
      <c r="L25" s="158" t="s">
        <v>8158</v>
      </c>
      <c r="M25" s="158" t="s">
        <v>8159</v>
      </c>
    </row>
    <row r="26" spans="1:13">
      <c r="A26" s="158" t="s">
        <v>7930</v>
      </c>
      <c r="B26" s="158" t="s">
        <v>7931</v>
      </c>
      <c r="L26" s="158" t="s">
        <v>8081</v>
      </c>
      <c r="M26" s="158" t="s">
        <v>8082</v>
      </c>
    </row>
    <row r="27" spans="1:13">
      <c r="A27" s="158" t="s">
        <v>7837</v>
      </c>
      <c r="B27" s="158" t="s">
        <v>7838</v>
      </c>
      <c r="L27" s="158" t="s">
        <v>8100</v>
      </c>
      <c r="M27" s="158" t="s">
        <v>8101</v>
      </c>
    </row>
    <row r="28" spans="1:13">
      <c r="A28" s="158" t="s">
        <v>7869</v>
      </c>
      <c r="B28" s="158" t="s">
        <v>7870</v>
      </c>
      <c r="L28" s="158" t="s">
        <v>8088</v>
      </c>
      <c r="M28" s="158" t="s">
        <v>8089</v>
      </c>
    </row>
    <row r="29" spans="1:13">
      <c r="A29" s="158" t="s">
        <v>7934</v>
      </c>
      <c r="B29" s="158" t="s">
        <v>7935</v>
      </c>
      <c r="L29" s="158" t="s">
        <v>7829</v>
      </c>
      <c r="M29" s="158" t="s">
        <v>7830</v>
      </c>
    </row>
    <row r="30" spans="1:13">
      <c r="A30" s="158" t="s">
        <v>8120</v>
      </c>
      <c r="B30" s="158" t="s">
        <v>8121</v>
      </c>
      <c r="C30" s="158" t="s">
        <v>10073</v>
      </c>
      <c r="D30" s="158" t="s">
        <v>10074</v>
      </c>
      <c r="L30" s="158" t="s">
        <v>7922</v>
      </c>
      <c r="M30" s="158" t="s">
        <v>7923</v>
      </c>
    </row>
    <row r="31" spans="1:13">
      <c r="A31" s="158" t="s">
        <v>7970</v>
      </c>
      <c r="B31" s="158" t="s">
        <v>7971</v>
      </c>
      <c r="C31" s="158" t="s">
        <v>10075</v>
      </c>
      <c r="D31" s="158" t="s">
        <v>10076</v>
      </c>
      <c r="L31" s="158" t="s">
        <v>7926</v>
      </c>
      <c r="M31" s="158" t="s">
        <v>7927</v>
      </c>
    </row>
    <row r="32" spans="1:13">
      <c r="A32" s="158" t="s">
        <v>6829</v>
      </c>
      <c r="B32" s="158" t="s">
        <v>6831</v>
      </c>
      <c r="C32" s="158" t="s">
        <v>10077</v>
      </c>
      <c r="D32" s="158" t="s">
        <v>10078</v>
      </c>
      <c r="L32" s="158" t="s">
        <v>7930</v>
      </c>
      <c r="M32" s="158" t="s">
        <v>7931</v>
      </c>
    </row>
    <row r="33" spans="1:13">
      <c r="A33" s="158" t="s">
        <v>7130</v>
      </c>
      <c r="B33" s="158" t="s">
        <v>7132</v>
      </c>
      <c r="C33" s="158" t="s">
        <v>10079</v>
      </c>
      <c r="D33" s="158" t="s">
        <v>10080</v>
      </c>
      <c r="L33" s="158" t="s">
        <v>7837</v>
      </c>
      <c r="M33" s="158" t="s">
        <v>7838</v>
      </c>
    </row>
    <row r="34" spans="1:13">
      <c r="A34" s="158" t="s">
        <v>7610</v>
      </c>
      <c r="B34" s="158" t="s">
        <v>7611</v>
      </c>
      <c r="L34" s="158" t="s">
        <v>7869</v>
      </c>
      <c r="M34" s="158" t="s">
        <v>7870</v>
      </c>
    </row>
    <row r="35" spans="1:13">
      <c r="A35" s="158" t="s">
        <v>8147</v>
      </c>
      <c r="B35" s="158" t="s">
        <v>8148</v>
      </c>
      <c r="C35" s="158" t="s">
        <v>10081</v>
      </c>
      <c r="D35" s="158" t="s">
        <v>10082</v>
      </c>
      <c r="L35" s="158" t="s">
        <v>7934</v>
      </c>
      <c r="M35" s="158" t="s">
        <v>7935</v>
      </c>
    </row>
    <row r="36" spans="1:13">
      <c r="A36" s="158" t="s">
        <v>7841</v>
      </c>
      <c r="B36" s="158" t="s">
        <v>7842</v>
      </c>
      <c r="C36" s="158" t="s">
        <v>10083</v>
      </c>
      <c r="D36" s="158" t="s">
        <v>10084</v>
      </c>
      <c r="L36" s="158" t="s">
        <v>6382</v>
      </c>
      <c r="M36" s="158" t="s">
        <v>6384</v>
      </c>
    </row>
    <row r="37" spans="1:13">
      <c r="A37" s="158" t="s">
        <v>7125</v>
      </c>
      <c r="B37" s="158" t="s">
        <v>7127</v>
      </c>
      <c r="C37" s="158" t="s">
        <v>10085</v>
      </c>
      <c r="D37" s="158" t="s">
        <v>10086</v>
      </c>
      <c r="L37" s="158" t="s">
        <v>6829</v>
      </c>
      <c r="M37" s="158" t="s">
        <v>6831</v>
      </c>
    </row>
    <row r="38" spans="1:13">
      <c r="A38" s="158" t="s">
        <v>6579</v>
      </c>
      <c r="B38" s="158" t="s">
        <v>6581</v>
      </c>
      <c r="C38" s="158" t="s">
        <v>10087</v>
      </c>
      <c r="D38" s="158" t="s">
        <v>10088</v>
      </c>
      <c r="L38" s="158" t="s">
        <v>7974</v>
      </c>
      <c r="M38" s="158" t="s">
        <v>7975</v>
      </c>
    </row>
    <row r="39" spans="1:13">
      <c r="A39" s="158" t="s">
        <v>7950</v>
      </c>
      <c r="B39" s="158" t="s">
        <v>7951</v>
      </c>
      <c r="C39" s="158" t="s">
        <v>10089</v>
      </c>
      <c r="D39" s="158" t="s">
        <v>10090</v>
      </c>
      <c r="L39" s="158" t="s">
        <v>6362</v>
      </c>
      <c r="M39" s="158" t="s">
        <v>6364</v>
      </c>
    </row>
    <row r="40" spans="1:13">
      <c r="A40" s="158" t="s">
        <v>6274</v>
      </c>
      <c r="B40" s="158" t="s">
        <v>6276</v>
      </c>
      <c r="C40" s="158" t="s">
        <v>10091</v>
      </c>
      <c r="D40" s="158" t="s">
        <v>10092</v>
      </c>
      <c r="L40" s="158" t="s">
        <v>7125</v>
      </c>
      <c r="M40" s="158" t="s">
        <v>7127</v>
      </c>
    </row>
    <row r="41" spans="1:13">
      <c r="A41" s="158" t="s">
        <v>6362</v>
      </c>
      <c r="B41" s="158" t="s">
        <v>6364</v>
      </c>
      <c r="C41" s="158" t="s">
        <v>10093</v>
      </c>
      <c r="D41" s="158" t="s">
        <v>10094</v>
      </c>
      <c r="L41" s="158" t="s">
        <v>7841</v>
      </c>
      <c r="M41" s="158" t="s">
        <v>7842</v>
      </c>
    </row>
    <row r="42" spans="1:13">
      <c r="A42" s="158" t="s">
        <v>8132</v>
      </c>
      <c r="B42" s="158" t="s">
        <v>8133</v>
      </c>
      <c r="C42" s="158" t="s">
        <v>10095</v>
      </c>
      <c r="D42" s="158" t="s">
        <v>10096</v>
      </c>
      <c r="L42" s="158" t="s">
        <v>7248</v>
      </c>
      <c r="M42" s="158" t="s">
        <v>7250</v>
      </c>
    </row>
    <row r="43" spans="1:13">
      <c r="A43" s="158" t="s">
        <v>7392</v>
      </c>
      <c r="B43" s="158" t="s">
        <v>7394</v>
      </c>
      <c r="C43" s="158" t="s">
        <v>10097</v>
      </c>
      <c r="D43" s="158" t="s">
        <v>10098</v>
      </c>
      <c r="L43" s="158" t="s">
        <v>6579</v>
      </c>
      <c r="M43" s="158" t="s">
        <v>6581</v>
      </c>
    </row>
    <row r="44" spans="1:13">
      <c r="A44" s="158" t="s">
        <v>8030</v>
      </c>
      <c r="B44" s="158" t="s">
        <v>8031</v>
      </c>
      <c r="C44" s="158" t="s">
        <v>10099</v>
      </c>
      <c r="D44" s="158" t="s">
        <v>10100</v>
      </c>
      <c r="L44" s="158" t="s">
        <v>7954</v>
      </c>
      <c r="M44" s="158" t="s">
        <v>7955</v>
      </c>
    </row>
    <row r="45" spans="1:13">
      <c r="A45" s="158" t="s">
        <v>8136</v>
      </c>
      <c r="B45" s="158" t="s">
        <v>8137</v>
      </c>
      <c r="C45" s="158" t="s">
        <v>10101</v>
      </c>
      <c r="D45" s="158" t="s">
        <v>10102</v>
      </c>
      <c r="L45" s="158" t="s">
        <v>7392</v>
      </c>
      <c r="M45" s="158" t="s">
        <v>7394</v>
      </c>
    </row>
    <row r="46" spans="1:13">
      <c r="A46" s="158" t="s">
        <v>7709</v>
      </c>
      <c r="B46" s="158" t="s">
        <v>7711</v>
      </c>
      <c r="C46" s="158" t="s">
        <v>10103</v>
      </c>
      <c r="D46" s="158" t="s">
        <v>10104</v>
      </c>
      <c r="L46" s="158" t="s">
        <v>8136</v>
      </c>
      <c r="M46" s="158" t="s">
        <v>8137</v>
      </c>
    </row>
    <row r="47" spans="1:13">
      <c r="A47" s="158" t="s">
        <v>6863</v>
      </c>
      <c r="B47" s="158" t="s">
        <v>6865</v>
      </c>
      <c r="C47" s="158" t="s">
        <v>10105</v>
      </c>
      <c r="D47" s="158" t="s">
        <v>10106</v>
      </c>
      <c r="L47" s="158" t="s">
        <v>8140</v>
      </c>
      <c r="M47" s="158" t="s">
        <v>8141</v>
      </c>
    </row>
    <row r="48" spans="1:13">
      <c r="A48" s="158" t="s">
        <v>8077</v>
      </c>
      <c r="B48" s="158" t="s">
        <v>8078</v>
      </c>
      <c r="L48" s="158" t="s">
        <v>6863</v>
      </c>
      <c r="M48" s="158" t="s">
        <v>6865</v>
      </c>
    </row>
    <row r="49" spans="1:13">
      <c r="A49" s="158" t="s">
        <v>6342</v>
      </c>
      <c r="B49" s="158" t="s">
        <v>6344</v>
      </c>
      <c r="C49" s="158" t="s">
        <v>10107</v>
      </c>
      <c r="D49" s="158" t="s">
        <v>10108</v>
      </c>
      <c r="L49" s="158" t="s">
        <v>8077</v>
      </c>
      <c r="M49" s="158" t="s">
        <v>8078</v>
      </c>
    </row>
    <row r="50" spans="1:13">
      <c r="A50" s="158" t="s">
        <v>6853</v>
      </c>
      <c r="B50" s="158" t="s">
        <v>6855</v>
      </c>
      <c r="L50" s="158" t="s">
        <v>7130</v>
      </c>
      <c r="M50" s="158" t="s">
        <v>7132</v>
      </c>
    </row>
    <row r="51" spans="1:13">
      <c r="A51" s="158" t="s">
        <v>6604</v>
      </c>
      <c r="B51" s="158" t="s">
        <v>6606</v>
      </c>
      <c r="L51" s="158" t="s">
        <v>7644</v>
      </c>
      <c r="M51" s="158" t="s">
        <v>7646</v>
      </c>
    </row>
    <row r="52" spans="1:13">
      <c r="A52" s="158" t="s">
        <v>6387</v>
      </c>
      <c r="B52" s="158" t="s">
        <v>6389</v>
      </c>
      <c r="L52" s="158" t="s">
        <v>8128</v>
      </c>
      <c r="M52" s="158" t="s">
        <v>8129</v>
      </c>
    </row>
    <row r="53" spans="1:13">
      <c r="A53" s="158" t="s">
        <v>6991</v>
      </c>
      <c r="B53" s="158" t="s">
        <v>6993</v>
      </c>
      <c r="L53" s="158" t="s">
        <v>6342</v>
      </c>
      <c r="M53" s="158" t="s">
        <v>6344</v>
      </c>
    </row>
    <row r="54" spans="1:13">
      <c r="A54" s="158" t="s">
        <v>6412</v>
      </c>
      <c r="B54" s="158" t="s">
        <v>6414</v>
      </c>
      <c r="L54" s="158" t="s">
        <v>6853</v>
      </c>
      <c r="M54" s="158" t="s">
        <v>6855</v>
      </c>
    </row>
    <row r="55" spans="1:13">
      <c r="A55" s="158" t="s">
        <v>7303</v>
      </c>
      <c r="B55" s="158" t="s">
        <v>7305</v>
      </c>
      <c r="L55" s="158" t="s">
        <v>6604</v>
      </c>
      <c r="M55" s="158" t="s">
        <v>6606</v>
      </c>
    </row>
    <row r="56" spans="1:13">
      <c r="A56" s="158" t="s">
        <v>7223</v>
      </c>
      <c r="B56" s="158" t="s">
        <v>7225</v>
      </c>
      <c r="L56" s="158" t="s">
        <v>6991</v>
      </c>
      <c r="M56" s="158" t="s">
        <v>6993</v>
      </c>
    </row>
    <row r="57" spans="1:13">
      <c r="A57" s="158" t="s">
        <v>6669</v>
      </c>
      <c r="B57" s="158" t="s">
        <v>6671</v>
      </c>
      <c r="L57" s="158" t="s">
        <v>6387</v>
      </c>
      <c r="M57" s="158" t="s">
        <v>6389</v>
      </c>
    </row>
    <row r="58" spans="1:13">
      <c r="A58" s="158" t="s">
        <v>6279</v>
      </c>
      <c r="B58" s="158" t="s">
        <v>6281</v>
      </c>
      <c r="L58" s="158" t="s">
        <v>6412</v>
      </c>
      <c r="M58" s="158" t="s">
        <v>6414</v>
      </c>
    </row>
    <row r="59" spans="1:13">
      <c r="A59" s="158" t="s">
        <v>6907</v>
      </c>
      <c r="B59" s="158" t="s">
        <v>6909</v>
      </c>
      <c r="L59" s="158" t="s">
        <v>7303</v>
      </c>
      <c r="M59" s="158" t="s">
        <v>7305</v>
      </c>
    </row>
    <row r="60" spans="1:13">
      <c r="A60" s="158" t="s">
        <v>6917</v>
      </c>
      <c r="B60" s="158" t="s">
        <v>6919</v>
      </c>
      <c r="L60" s="158" t="s">
        <v>7223</v>
      </c>
      <c r="M60" s="158" t="s">
        <v>7225</v>
      </c>
    </row>
    <row r="61" spans="1:13">
      <c r="A61" s="158" t="s">
        <v>7040</v>
      </c>
      <c r="B61" s="158" t="s">
        <v>7042</v>
      </c>
      <c r="L61" s="158" t="s">
        <v>6669</v>
      </c>
      <c r="M61" s="158" t="s">
        <v>6671</v>
      </c>
    </row>
    <row r="62" spans="1:13">
      <c r="A62" s="158" t="s">
        <v>7135</v>
      </c>
      <c r="B62" s="158" t="s">
        <v>7137</v>
      </c>
      <c r="L62" s="158" t="s">
        <v>6279</v>
      </c>
      <c r="M62" s="158" t="s">
        <v>6281</v>
      </c>
    </row>
    <row r="63" spans="1:13">
      <c r="A63" s="158" t="s">
        <v>7110</v>
      </c>
      <c r="B63" s="158" t="s">
        <v>7112</v>
      </c>
      <c r="L63" s="158" t="s">
        <v>6907</v>
      </c>
      <c r="M63" s="158" t="s">
        <v>6909</v>
      </c>
    </row>
    <row r="64" spans="1:13">
      <c r="A64" s="158" t="s">
        <v>6986</v>
      </c>
      <c r="B64" s="158" t="s">
        <v>6988</v>
      </c>
      <c r="L64" s="158" t="s">
        <v>7110</v>
      </c>
      <c r="M64" s="158" t="s">
        <v>7112</v>
      </c>
    </row>
    <row r="65" spans="1:13">
      <c r="A65" s="158" t="s">
        <v>7467</v>
      </c>
      <c r="B65" s="158" t="s">
        <v>7469</v>
      </c>
      <c r="L65" s="158" t="s">
        <v>7135</v>
      </c>
      <c r="M65" s="158" t="s">
        <v>7137</v>
      </c>
    </row>
    <row r="66" spans="1:13">
      <c r="A66" s="158" t="s">
        <v>6749</v>
      </c>
      <c r="B66" s="158" t="s">
        <v>6751</v>
      </c>
      <c r="L66" s="158" t="s">
        <v>6917</v>
      </c>
      <c r="M66" s="158" t="s">
        <v>6919</v>
      </c>
    </row>
    <row r="67" spans="1:13">
      <c r="A67" s="158" t="s">
        <v>7318</v>
      </c>
      <c r="B67" s="158" t="s">
        <v>7320</v>
      </c>
      <c r="L67" s="158" t="s">
        <v>6749</v>
      </c>
      <c r="M67" s="158" t="s">
        <v>6751</v>
      </c>
    </row>
    <row r="68" spans="1:13">
      <c r="A68" s="158" t="s">
        <v>7313</v>
      </c>
      <c r="B68" s="158" t="s">
        <v>7315</v>
      </c>
      <c r="L68" s="158" t="s">
        <v>7318</v>
      </c>
      <c r="M68" s="158" t="s">
        <v>7320</v>
      </c>
    </row>
    <row r="69" spans="1:13">
      <c r="A69" s="158" t="s">
        <v>6794</v>
      </c>
      <c r="B69" s="158" t="s">
        <v>6796</v>
      </c>
      <c r="L69" s="158" t="s">
        <v>6520</v>
      </c>
      <c r="M69" s="158" t="s">
        <v>6522</v>
      </c>
    </row>
    <row r="70" spans="1:13">
      <c r="A70" s="158" t="s">
        <v>6520</v>
      </c>
      <c r="B70" s="158" t="s">
        <v>6522</v>
      </c>
      <c r="L70" s="158" t="s">
        <v>7313</v>
      </c>
      <c r="M70" s="158" t="s">
        <v>7315</v>
      </c>
    </row>
    <row r="71" spans="1:13">
      <c r="A71" s="158" t="s">
        <v>7515</v>
      </c>
      <c r="B71" s="158" t="s">
        <v>7517</v>
      </c>
      <c r="L71" s="158" t="s">
        <v>6794</v>
      </c>
      <c r="M71" s="158" t="s">
        <v>6796</v>
      </c>
    </row>
    <row r="72" spans="1:13">
      <c r="A72" s="158" t="s">
        <v>7602</v>
      </c>
      <c r="B72" s="158" t="s">
        <v>7604</v>
      </c>
      <c r="L72" s="158" t="s">
        <v>7515</v>
      </c>
      <c r="M72" s="158" t="s">
        <v>7517</v>
      </c>
    </row>
    <row r="73" spans="1:13">
      <c r="A73" s="158" t="s">
        <v>6664</v>
      </c>
      <c r="B73" s="158" t="s">
        <v>6666</v>
      </c>
      <c r="L73" s="158" t="s">
        <v>7602</v>
      </c>
      <c r="M73" s="158" t="s">
        <v>7604</v>
      </c>
    </row>
    <row r="74" spans="1:13">
      <c r="A74" s="158" t="s">
        <v>7624</v>
      </c>
      <c r="B74" s="158" t="s">
        <v>7626</v>
      </c>
      <c r="L74" s="158" t="s">
        <v>6883</v>
      </c>
      <c r="M74" s="158" t="s">
        <v>6885</v>
      </c>
    </row>
    <row r="75" spans="1:13">
      <c r="A75" s="158" t="s">
        <v>6883</v>
      </c>
      <c r="B75" s="158" t="s">
        <v>6885</v>
      </c>
      <c r="L75" s="158" t="s">
        <v>6664</v>
      </c>
      <c r="M75" s="158" t="s">
        <v>6666</v>
      </c>
    </row>
    <row r="76" spans="1:13">
      <c r="A76" s="158" t="s">
        <v>6709</v>
      </c>
      <c r="B76" s="158" t="s">
        <v>6711</v>
      </c>
      <c r="L76" s="158" t="s">
        <v>7624</v>
      </c>
      <c r="M76" s="158" t="s">
        <v>7626</v>
      </c>
    </row>
    <row r="77" spans="1:13">
      <c r="A77" s="158" t="s">
        <v>6313</v>
      </c>
      <c r="B77" s="158" t="s">
        <v>6315</v>
      </c>
      <c r="L77" s="158" t="s">
        <v>6709</v>
      </c>
      <c r="M77" s="158" t="s">
        <v>6711</v>
      </c>
    </row>
    <row r="78" spans="1:13">
      <c r="A78" s="158" t="s">
        <v>6704</v>
      </c>
      <c r="B78" s="158" t="s">
        <v>6706</v>
      </c>
      <c r="L78" s="158" t="s">
        <v>6639</v>
      </c>
      <c r="M78" s="158" t="s">
        <v>6641</v>
      </c>
    </row>
    <row r="79" spans="1:13">
      <c r="A79" s="158" t="s">
        <v>7085</v>
      </c>
      <c r="B79" s="158" t="s">
        <v>7087</v>
      </c>
      <c r="L79" s="158" t="s">
        <v>6313</v>
      </c>
      <c r="M79" s="158" t="s">
        <v>6315</v>
      </c>
    </row>
    <row r="80" spans="1:13">
      <c r="A80" s="158" t="s">
        <v>6639</v>
      </c>
      <c r="B80" s="158" t="s">
        <v>6641</v>
      </c>
      <c r="L80" s="158" t="s">
        <v>7070</v>
      </c>
      <c r="M80" s="158" t="s">
        <v>7072</v>
      </c>
    </row>
    <row r="81" spans="1:13">
      <c r="A81" s="158" t="s">
        <v>7070</v>
      </c>
      <c r="B81" s="158" t="s">
        <v>7072</v>
      </c>
      <c r="L81" s="158" t="s">
        <v>7845</v>
      </c>
      <c r="M81" s="158" t="s">
        <v>7846</v>
      </c>
    </row>
    <row r="82" spans="1:13">
      <c r="A82" s="158" t="s">
        <v>7974</v>
      </c>
      <c r="B82" s="158" t="s">
        <v>7975</v>
      </c>
      <c r="C82" s="158" t="s">
        <v>10109</v>
      </c>
      <c r="D82" s="158" t="s">
        <v>10110</v>
      </c>
      <c r="L82" s="158" t="s">
        <v>7709</v>
      </c>
      <c r="M82" s="158" t="s">
        <v>7711</v>
      </c>
    </row>
    <row r="83" spans="1:13">
      <c r="A83" s="158" t="s">
        <v>8140</v>
      </c>
      <c r="B83" s="158" t="s">
        <v>8141</v>
      </c>
      <c r="C83" s="158" t="s">
        <v>10111</v>
      </c>
      <c r="D83" s="158" t="s">
        <v>10112</v>
      </c>
      <c r="L83" s="158" t="s">
        <v>6274</v>
      </c>
      <c r="M83" s="158" t="s">
        <v>6276</v>
      </c>
    </row>
    <row r="84" spans="1:13">
      <c r="A84" s="158" t="s">
        <v>8128</v>
      </c>
      <c r="B84" s="158" t="s">
        <v>8129</v>
      </c>
      <c r="C84" s="158" t="s">
        <v>10113</v>
      </c>
      <c r="D84" s="158" t="s">
        <v>10114</v>
      </c>
      <c r="L84" s="158" t="s">
        <v>7950</v>
      </c>
      <c r="M84" s="158" t="s">
        <v>7951</v>
      </c>
    </row>
    <row r="85" spans="1:13">
      <c r="A85" s="158" t="s">
        <v>7644</v>
      </c>
      <c r="B85" s="158" t="s">
        <v>7646</v>
      </c>
      <c r="C85" s="158" t="s">
        <v>10115</v>
      </c>
      <c r="D85" s="158" t="s">
        <v>10116</v>
      </c>
      <c r="L85" s="158" t="s">
        <v>8132</v>
      </c>
      <c r="M85" s="158" t="s">
        <v>8133</v>
      </c>
    </row>
    <row r="86" spans="1:13">
      <c r="A86" s="158" t="s">
        <v>7248</v>
      </c>
      <c r="B86" s="158" t="s">
        <v>7250</v>
      </c>
      <c r="C86" s="158" t="s">
        <v>10117</v>
      </c>
      <c r="D86" s="158" t="s">
        <v>10118</v>
      </c>
      <c r="L86" s="158" t="s">
        <v>7115</v>
      </c>
      <c r="M86" s="158" t="s">
        <v>7117</v>
      </c>
    </row>
    <row r="87" spans="1:13">
      <c r="A87" s="158" t="s">
        <v>7954</v>
      </c>
      <c r="B87" s="158" t="s">
        <v>7955</v>
      </c>
      <c r="C87" s="158" t="s">
        <v>10119</v>
      </c>
      <c r="D87" s="158" t="s">
        <v>10120</v>
      </c>
      <c r="L87" s="158" t="s">
        <v>7243</v>
      </c>
      <c r="M87" s="158" t="s">
        <v>7245</v>
      </c>
    </row>
    <row r="88" spans="1:13">
      <c r="A88" s="158" t="s">
        <v>6927</v>
      </c>
      <c r="B88" s="158" t="s">
        <v>6929</v>
      </c>
      <c r="C88" s="158" t="s">
        <v>10121</v>
      </c>
      <c r="D88" s="158" t="s">
        <v>10122</v>
      </c>
      <c r="L88" s="158" t="s">
        <v>6927</v>
      </c>
      <c r="M88" s="158" t="s">
        <v>6929</v>
      </c>
    </row>
    <row r="89" spans="1:13">
      <c r="A89" s="158" t="s">
        <v>6584</v>
      </c>
      <c r="B89" s="158" t="s">
        <v>6586</v>
      </c>
      <c r="L89" s="158" t="s">
        <v>6584</v>
      </c>
      <c r="M89" s="158" t="s">
        <v>6586</v>
      </c>
    </row>
    <row r="90" spans="1:13">
      <c r="A90" s="158" t="s">
        <v>6407</v>
      </c>
      <c r="B90" s="158" t="s">
        <v>6409</v>
      </c>
      <c r="L90" s="158" t="s">
        <v>6407</v>
      </c>
      <c r="M90" s="158" t="s">
        <v>6409</v>
      </c>
    </row>
    <row r="91" spans="1:13">
      <c r="A91" s="158" t="s">
        <v>6699</v>
      </c>
      <c r="B91" s="158" t="s">
        <v>6701</v>
      </c>
      <c r="L91" s="158" t="s">
        <v>6699</v>
      </c>
      <c r="M91" s="158" t="s">
        <v>6701</v>
      </c>
    </row>
    <row r="92" spans="1:13">
      <c r="A92" s="158" t="s">
        <v>8261</v>
      </c>
      <c r="B92" s="158" t="s">
        <v>8261</v>
      </c>
      <c r="L92" s="158" t="s">
        <v>7120</v>
      </c>
      <c r="M92" s="158" t="s">
        <v>7122</v>
      </c>
    </row>
    <row r="93" spans="1:13">
      <c r="A93" s="158" t="s">
        <v>8264</v>
      </c>
      <c r="B93" s="158" t="s">
        <v>8264</v>
      </c>
      <c r="L93" s="158" t="s">
        <v>7169</v>
      </c>
      <c r="M93" s="158" t="s">
        <v>7171</v>
      </c>
    </row>
    <row r="94" spans="1:13">
      <c r="A94" s="158" t="s">
        <v>6834</v>
      </c>
      <c r="B94" s="158" t="s">
        <v>6834</v>
      </c>
      <c r="L94" s="158" t="s">
        <v>7011</v>
      </c>
      <c r="M94" s="158" t="s">
        <v>7013</v>
      </c>
    </row>
    <row r="95" spans="1:13">
      <c r="A95" s="158" t="s">
        <v>8151</v>
      </c>
      <c r="B95" s="158" t="s">
        <v>8151</v>
      </c>
      <c r="C95" s="158" t="s">
        <v>10123</v>
      </c>
      <c r="D95" s="158" t="s">
        <v>10124</v>
      </c>
      <c r="L95" s="158" t="s">
        <v>7213</v>
      </c>
      <c r="M95" s="158" t="s">
        <v>7215</v>
      </c>
    </row>
    <row r="96" spans="1:13">
      <c r="A96" s="158" t="s">
        <v>7120</v>
      </c>
      <c r="B96" s="158" t="s">
        <v>7122</v>
      </c>
      <c r="L96" s="158" t="s">
        <v>6392</v>
      </c>
      <c r="M96" s="158" t="s">
        <v>6394</v>
      </c>
    </row>
    <row r="97" spans="1:13">
      <c r="A97" s="158" t="s">
        <v>7169</v>
      </c>
      <c r="B97" s="158" t="s">
        <v>7171</v>
      </c>
      <c r="L97" s="158" t="s">
        <v>7100</v>
      </c>
      <c r="M97" s="158" t="s">
        <v>7102</v>
      </c>
    </row>
    <row r="98" spans="1:13">
      <c r="A98" s="158" t="s">
        <v>7213</v>
      </c>
      <c r="B98" s="158" t="s">
        <v>7215</v>
      </c>
      <c r="L98" s="158" t="s">
        <v>7194</v>
      </c>
      <c r="M98" s="158" t="s">
        <v>7196</v>
      </c>
    </row>
    <row r="99" spans="1:13">
      <c r="A99" s="158" t="s">
        <v>7011</v>
      </c>
      <c r="B99" s="158" t="s">
        <v>7013</v>
      </c>
      <c r="L99" s="158" t="s">
        <v>6328</v>
      </c>
      <c r="M99" s="158" t="s">
        <v>6330</v>
      </c>
    </row>
    <row r="100" spans="1:13">
      <c r="A100" s="158" t="s">
        <v>6392</v>
      </c>
      <c r="B100" s="158" t="s">
        <v>6394</v>
      </c>
      <c r="L100" s="158" t="s">
        <v>6550</v>
      </c>
      <c r="M100" s="158" t="s">
        <v>6552</v>
      </c>
    </row>
    <row r="101" spans="1:13">
      <c r="A101" s="158" t="s">
        <v>7100</v>
      </c>
      <c r="B101" s="158" t="s">
        <v>7102</v>
      </c>
      <c r="L101" s="158" t="s">
        <v>7362</v>
      </c>
      <c r="M101" s="158" t="s">
        <v>7364</v>
      </c>
    </row>
    <row r="102" spans="1:13">
      <c r="A102" s="158" t="s">
        <v>7194</v>
      </c>
      <c r="B102" s="158" t="s">
        <v>7196</v>
      </c>
      <c r="L102" s="158" t="s">
        <v>8151</v>
      </c>
      <c r="M102" s="158" t="s">
        <v>8151</v>
      </c>
    </row>
    <row r="103" spans="1:13">
      <c r="A103" s="158" t="s">
        <v>6328</v>
      </c>
      <c r="B103" s="158" t="s">
        <v>6330</v>
      </c>
      <c r="C103" s="158" t="s">
        <v>10125</v>
      </c>
      <c r="D103" s="158" t="s">
        <v>10126</v>
      </c>
      <c r="L103" s="158" t="s">
        <v>7890</v>
      </c>
      <c r="M103" s="158" t="s">
        <v>7891</v>
      </c>
    </row>
    <row r="104" spans="1:13">
      <c r="A104" s="158" t="s">
        <v>6550</v>
      </c>
      <c r="B104" s="158" t="s">
        <v>6552</v>
      </c>
      <c r="L104" s="158" t="s">
        <v>8154</v>
      </c>
      <c r="M104" s="158" t="s">
        <v>8155</v>
      </c>
    </row>
    <row r="105" spans="1:13">
      <c r="A105" s="158" t="s">
        <v>7362</v>
      </c>
      <c r="B105" s="158" t="s">
        <v>7364</v>
      </c>
      <c r="L105" s="158" t="s">
        <v>7444</v>
      </c>
      <c r="M105" s="158" t="s">
        <v>7445</v>
      </c>
    </row>
    <row r="106" spans="1:13">
      <c r="A106" s="158" t="s">
        <v>10127</v>
      </c>
      <c r="B106" s="158" t="s">
        <v>10128</v>
      </c>
      <c r="C106" s="158" t="s">
        <v>10129</v>
      </c>
      <c r="D106" s="158" t="s">
        <v>10130</v>
      </c>
      <c r="L106" s="158" t="s">
        <v>8018</v>
      </c>
      <c r="M106" s="158" t="s">
        <v>8019</v>
      </c>
    </row>
    <row r="107" spans="1:13">
      <c r="A107" s="158" t="s">
        <v>6804</v>
      </c>
      <c r="B107" s="158" t="s">
        <v>6806</v>
      </c>
      <c r="C107" s="158" t="s">
        <v>10131</v>
      </c>
      <c r="D107" s="158" t="s">
        <v>10132</v>
      </c>
      <c r="L107" s="158" t="s">
        <v>8162</v>
      </c>
      <c r="M107" s="158" t="s">
        <v>8163</v>
      </c>
    </row>
    <row r="108" spans="1:13">
      <c r="A108" s="158" t="s">
        <v>8233</v>
      </c>
      <c r="B108" s="158" t="s">
        <v>8233</v>
      </c>
      <c r="C108" s="158" t="s">
        <v>10133</v>
      </c>
      <c r="D108" s="158" t="s">
        <v>10134</v>
      </c>
      <c r="L108" s="158" t="s">
        <v>8233</v>
      </c>
      <c r="M108" s="158" t="s">
        <v>8233</v>
      </c>
    </row>
    <row r="109" spans="1:13">
      <c r="A109" s="158" t="s">
        <v>6819</v>
      </c>
      <c r="B109" s="158" t="s">
        <v>6821</v>
      </c>
      <c r="C109" s="158" t="s">
        <v>10135</v>
      </c>
      <c r="D109" s="158" t="s">
        <v>10136</v>
      </c>
      <c r="L109" s="158" t="s">
        <v>8441</v>
      </c>
      <c r="M109" s="158" t="s">
        <v>8442</v>
      </c>
    </row>
    <row r="110" spans="1:13">
      <c r="A110" s="158" t="s">
        <v>8018</v>
      </c>
      <c r="B110" s="158" t="s">
        <v>8019</v>
      </c>
      <c r="C110" s="158" t="s">
        <v>10137</v>
      </c>
      <c r="D110" s="158" t="s">
        <v>10138</v>
      </c>
      <c r="L110" s="158" t="s">
        <v>6624</v>
      </c>
      <c r="M110" s="158" t="s">
        <v>6626</v>
      </c>
    </row>
    <row r="111" spans="1:13">
      <c r="A111" s="158" t="s">
        <v>7669</v>
      </c>
      <c r="B111" s="158" t="s">
        <v>7671</v>
      </c>
      <c r="C111" s="158" t="s">
        <v>10139</v>
      </c>
      <c r="D111" s="158" t="s">
        <v>10140</v>
      </c>
      <c r="L111" s="158" t="s">
        <v>6599</v>
      </c>
      <c r="M111" s="158" t="s">
        <v>6601</v>
      </c>
    </row>
    <row r="112" spans="1:13">
      <c r="A112" s="158" t="s">
        <v>6269</v>
      </c>
      <c r="B112" s="158" t="s">
        <v>6271</v>
      </c>
      <c r="C112" s="158" t="s">
        <v>10141</v>
      </c>
      <c r="D112" s="158" t="s">
        <v>10142</v>
      </c>
      <c r="L112" s="158" t="s">
        <v>6569</v>
      </c>
      <c r="M112" s="158" t="s">
        <v>6571</v>
      </c>
    </row>
    <row r="113" spans="1:13">
      <c r="A113" s="158" t="s">
        <v>8305</v>
      </c>
      <c r="B113" s="158" t="s">
        <v>8306</v>
      </c>
      <c r="L113" s="158" t="s">
        <v>6779</v>
      </c>
      <c r="M113" s="158" t="s">
        <v>6781</v>
      </c>
    </row>
    <row r="114" spans="1:13">
      <c r="A114" s="158" t="s">
        <v>6530</v>
      </c>
      <c r="B114" s="158" t="s">
        <v>6532</v>
      </c>
      <c r="C114" s="158" t="s">
        <v>10143</v>
      </c>
      <c r="D114" s="158" t="s">
        <v>10144</v>
      </c>
      <c r="L114" s="158" t="s">
        <v>7050</v>
      </c>
      <c r="M114" s="158" t="s">
        <v>7052</v>
      </c>
    </row>
    <row r="115" spans="1:13">
      <c r="A115" s="158" t="s">
        <v>8124</v>
      </c>
      <c r="B115" s="158" t="s">
        <v>8125</v>
      </c>
      <c r="C115" s="158" t="s">
        <v>10145</v>
      </c>
      <c r="D115" s="158" t="s">
        <v>10146</v>
      </c>
      <c r="L115" s="158" t="s">
        <v>6719</v>
      </c>
      <c r="M115" s="158" t="s">
        <v>6721</v>
      </c>
    </row>
    <row r="116" spans="1:13">
      <c r="A116" s="158" t="s">
        <v>6624</v>
      </c>
      <c r="B116" s="158" t="s">
        <v>6626</v>
      </c>
      <c r="C116" s="158" t="s">
        <v>10147</v>
      </c>
      <c r="D116" s="158" t="s">
        <v>10148</v>
      </c>
      <c r="L116" s="158" t="s">
        <v>7639</v>
      </c>
      <c r="M116" s="158" t="s">
        <v>7641</v>
      </c>
    </row>
    <row r="117" spans="1:13">
      <c r="A117" s="158" t="s">
        <v>8329</v>
      </c>
      <c r="B117" s="158" t="s">
        <v>8329</v>
      </c>
      <c r="L117" s="158" t="s">
        <v>6966</v>
      </c>
      <c r="M117" s="158" t="s">
        <v>6968</v>
      </c>
    </row>
    <row r="118" spans="1:13">
      <c r="A118" s="158" t="s">
        <v>7243</v>
      </c>
      <c r="B118" s="158" t="s">
        <v>7245</v>
      </c>
      <c r="C118" s="158" t="s">
        <v>10149</v>
      </c>
      <c r="D118" s="158" t="s">
        <v>10150</v>
      </c>
      <c r="L118" s="158" t="s">
        <v>7629</v>
      </c>
      <c r="M118" s="158" t="s">
        <v>7631</v>
      </c>
    </row>
    <row r="119" spans="1:13">
      <c r="A119" s="158" t="s">
        <v>6599</v>
      </c>
      <c r="B119" s="158" t="s">
        <v>6601</v>
      </c>
      <c r="C119" s="158" t="s">
        <v>10151</v>
      </c>
      <c r="D119" s="158" t="s">
        <v>10152</v>
      </c>
      <c r="L119" s="158" t="s">
        <v>7150</v>
      </c>
      <c r="M119" s="158" t="s">
        <v>7152</v>
      </c>
    </row>
    <row r="120" spans="1:13">
      <c r="A120" s="158" t="s">
        <v>6569</v>
      </c>
      <c r="B120" s="158" t="s">
        <v>6571</v>
      </c>
      <c r="L120" s="158" t="s">
        <v>7145</v>
      </c>
      <c r="M120" s="158" t="s">
        <v>7147</v>
      </c>
    </row>
    <row r="121" spans="1:13">
      <c r="A121" s="158" t="s">
        <v>6779</v>
      </c>
      <c r="B121" s="158" t="s">
        <v>6781</v>
      </c>
      <c r="L121" s="158" t="s">
        <v>7184</v>
      </c>
      <c r="M121" s="158" t="s">
        <v>7186</v>
      </c>
    </row>
    <row r="122" spans="1:13">
      <c r="A122" s="158" t="s">
        <v>7050</v>
      </c>
      <c r="B122" s="158" t="s">
        <v>7052</v>
      </c>
      <c r="L122" s="158" t="s">
        <v>7095</v>
      </c>
      <c r="M122" s="158" t="s">
        <v>7097</v>
      </c>
    </row>
    <row r="123" spans="1:13">
      <c r="A123" s="158" t="s">
        <v>7060</v>
      </c>
      <c r="B123" s="158" t="s">
        <v>7062</v>
      </c>
      <c r="L123" s="158" t="s">
        <v>6347</v>
      </c>
      <c r="M123" s="158" t="s">
        <v>6349</v>
      </c>
    </row>
    <row r="124" spans="1:13">
      <c r="A124" s="158" t="s">
        <v>6719</v>
      </c>
      <c r="B124" s="158" t="s">
        <v>6721</v>
      </c>
      <c r="L124" s="158" t="s">
        <v>6942</v>
      </c>
      <c r="M124" s="158" t="s">
        <v>6944</v>
      </c>
    </row>
    <row r="125" spans="1:13">
      <c r="A125" s="158" t="s">
        <v>6966</v>
      </c>
      <c r="B125" s="158" t="s">
        <v>6968</v>
      </c>
      <c r="L125" s="158" t="s">
        <v>7001</v>
      </c>
      <c r="M125" s="158" t="s">
        <v>7003</v>
      </c>
    </row>
    <row r="126" spans="1:13">
      <c r="A126" s="158" t="s">
        <v>7639</v>
      </c>
      <c r="B126" s="158" t="s">
        <v>7641</v>
      </c>
      <c r="L126" s="158" t="s">
        <v>6873</v>
      </c>
      <c r="M126" s="158" t="s">
        <v>6875</v>
      </c>
    </row>
    <row r="127" spans="1:13">
      <c r="A127" s="158" t="s">
        <v>7629</v>
      </c>
      <c r="B127" s="158" t="s">
        <v>7631</v>
      </c>
      <c r="L127" s="158" t="s">
        <v>7268</v>
      </c>
      <c r="M127" s="158" t="s">
        <v>7270</v>
      </c>
    </row>
    <row r="128" spans="1:13">
      <c r="A128" s="158" t="s">
        <v>7150</v>
      </c>
      <c r="B128" s="158" t="s">
        <v>7152</v>
      </c>
      <c r="L128" s="158" t="s">
        <v>7075</v>
      </c>
      <c r="M128" s="158" t="s">
        <v>7077</v>
      </c>
    </row>
    <row r="129" spans="1:13">
      <c r="A129" s="158" t="s">
        <v>7145</v>
      </c>
      <c r="B129" s="158" t="s">
        <v>7147</v>
      </c>
      <c r="L129" s="158" t="s">
        <v>6337</v>
      </c>
      <c r="M129" s="158" t="s">
        <v>6339</v>
      </c>
    </row>
    <row r="130" spans="1:13">
      <c r="A130" s="158" t="s">
        <v>7184</v>
      </c>
      <c r="B130" s="158" t="s">
        <v>7186</v>
      </c>
      <c r="L130" s="158" t="s">
        <v>7016</v>
      </c>
      <c r="M130" s="158" t="s">
        <v>7018</v>
      </c>
    </row>
    <row r="131" spans="1:13">
      <c r="A131" s="158" t="s">
        <v>6347</v>
      </c>
      <c r="B131" s="158" t="s">
        <v>6349</v>
      </c>
      <c r="L131" s="158" t="s">
        <v>7397</v>
      </c>
      <c r="M131" s="158" t="s">
        <v>7399</v>
      </c>
    </row>
    <row r="132" spans="1:13">
      <c r="A132" s="158" t="s">
        <v>7095</v>
      </c>
      <c r="B132" s="158" t="s">
        <v>7097</v>
      </c>
      <c r="L132" s="158" t="s">
        <v>6739</v>
      </c>
      <c r="M132" s="158" t="s">
        <v>6741</v>
      </c>
    </row>
    <row r="133" spans="1:13">
      <c r="A133" s="158" t="s">
        <v>7001</v>
      </c>
      <c r="B133" s="158" t="s">
        <v>7003</v>
      </c>
      <c r="L133" s="158" t="s">
        <v>6799</v>
      </c>
      <c r="M133" s="158" t="s">
        <v>6801</v>
      </c>
    </row>
    <row r="134" spans="1:13">
      <c r="A134" s="158" t="s">
        <v>6942</v>
      </c>
      <c r="B134" s="158" t="s">
        <v>6944</v>
      </c>
      <c r="L134" s="158" t="s">
        <v>7055</v>
      </c>
      <c r="M134" s="158" t="s">
        <v>7057</v>
      </c>
    </row>
    <row r="135" spans="1:13">
      <c r="A135" s="158" t="s">
        <v>6337</v>
      </c>
      <c r="B135" s="158" t="s">
        <v>6339</v>
      </c>
      <c r="L135" s="158" t="s">
        <v>6848</v>
      </c>
      <c r="M135" s="158" t="s">
        <v>6850</v>
      </c>
    </row>
    <row r="136" spans="1:13">
      <c r="A136" s="158" t="s">
        <v>7268</v>
      </c>
      <c r="B136" s="158" t="s">
        <v>7270</v>
      </c>
      <c r="L136" s="158" t="s">
        <v>6971</v>
      </c>
      <c r="M136" s="158" t="s">
        <v>6973</v>
      </c>
    </row>
    <row r="137" spans="1:13">
      <c r="A137" s="158" t="s">
        <v>7075</v>
      </c>
      <c r="B137" s="158" t="s">
        <v>7077</v>
      </c>
      <c r="L137" s="158" t="s">
        <v>7520</v>
      </c>
      <c r="M137" s="158" t="s">
        <v>7522</v>
      </c>
    </row>
    <row r="138" spans="1:13">
      <c r="A138" s="158" t="s">
        <v>7016</v>
      </c>
      <c r="B138" s="158" t="s">
        <v>7018</v>
      </c>
      <c r="L138" s="158" t="s">
        <v>7382</v>
      </c>
      <c r="M138" s="158" t="s">
        <v>7384</v>
      </c>
    </row>
    <row r="139" spans="1:13">
      <c r="A139" s="158" t="s">
        <v>6873</v>
      </c>
      <c r="B139" s="158" t="s">
        <v>6875</v>
      </c>
      <c r="L139" s="158" t="s">
        <v>6694</v>
      </c>
      <c r="M139" s="158" t="s">
        <v>6696</v>
      </c>
    </row>
    <row r="140" spans="1:13">
      <c r="A140" s="158" t="s">
        <v>7397</v>
      </c>
      <c r="B140" s="158" t="s">
        <v>7399</v>
      </c>
      <c r="L140" s="158" t="s">
        <v>6594</v>
      </c>
      <c r="M140" s="158" t="s">
        <v>6596</v>
      </c>
    </row>
    <row r="141" spans="1:13">
      <c r="A141" s="158" t="s">
        <v>6739</v>
      </c>
      <c r="B141" s="158" t="s">
        <v>6741</v>
      </c>
      <c r="L141" s="158" t="s">
        <v>6634</v>
      </c>
      <c r="M141" s="158" t="s">
        <v>6636</v>
      </c>
    </row>
    <row r="142" spans="1:13">
      <c r="A142" s="158" t="s">
        <v>6799</v>
      </c>
      <c r="B142" s="158" t="s">
        <v>6801</v>
      </c>
      <c r="L142" s="158" t="s">
        <v>7367</v>
      </c>
      <c r="M142" s="158" t="s">
        <v>7369</v>
      </c>
    </row>
    <row r="143" spans="1:13">
      <c r="A143" s="158" t="s">
        <v>7520</v>
      </c>
      <c r="B143" s="158" t="s">
        <v>7522</v>
      </c>
      <c r="L143" s="158" t="s">
        <v>10153</v>
      </c>
      <c r="M143" s="158" t="s">
        <v>10154</v>
      </c>
    </row>
    <row r="144" spans="1:13">
      <c r="A144" s="158" t="s">
        <v>7055</v>
      </c>
      <c r="B144" s="158" t="s">
        <v>7057</v>
      </c>
      <c r="L144" s="158" t="s">
        <v>8329</v>
      </c>
      <c r="M144" s="158" t="s">
        <v>8329</v>
      </c>
    </row>
    <row r="145" spans="1:13">
      <c r="A145" s="158" t="s">
        <v>6679</v>
      </c>
      <c r="B145" s="158" t="s">
        <v>6681</v>
      </c>
      <c r="L145" s="158" t="s">
        <v>10127</v>
      </c>
      <c r="M145" s="158" t="s">
        <v>10128</v>
      </c>
    </row>
    <row r="146" spans="1:13">
      <c r="A146" s="158" t="s">
        <v>6848</v>
      </c>
      <c r="B146" s="158" t="s">
        <v>6850</v>
      </c>
      <c r="L146" s="158" t="s">
        <v>6981</v>
      </c>
      <c r="M146" s="158" t="s">
        <v>6983</v>
      </c>
    </row>
    <row r="147" spans="1:13">
      <c r="A147" s="158" t="s">
        <v>6971</v>
      </c>
      <c r="B147" s="158" t="s">
        <v>6973</v>
      </c>
      <c r="L147" s="158" t="s">
        <v>7865</v>
      </c>
      <c r="M147" s="158" t="s">
        <v>7866</v>
      </c>
    </row>
    <row r="148" spans="1:13">
      <c r="A148" s="158" t="s">
        <v>7382</v>
      </c>
      <c r="B148" s="158" t="s">
        <v>7384</v>
      </c>
      <c r="L148" s="158" t="s">
        <v>7910</v>
      </c>
      <c r="M148" s="158" t="s">
        <v>7911</v>
      </c>
    </row>
    <row r="149" spans="1:13">
      <c r="A149" s="158" t="s">
        <v>6694</v>
      </c>
      <c r="B149" s="158" t="s">
        <v>6696</v>
      </c>
      <c r="L149" s="158" t="s">
        <v>7669</v>
      </c>
      <c r="M149" s="158" t="s">
        <v>7671</v>
      </c>
    </row>
    <row r="150" spans="1:13">
      <c r="A150" s="158" t="s">
        <v>6594</v>
      </c>
      <c r="B150" s="158" t="s">
        <v>6596</v>
      </c>
      <c r="L150" s="158" t="s">
        <v>6804</v>
      </c>
      <c r="M150" s="158" t="s">
        <v>6806</v>
      </c>
    </row>
    <row r="151" spans="1:13">
      <c r="A151" s="158" t="s">
        <v>6634</v>
      </c>
      <c r="B151" s="158" t="s">
        <v>6636</v>
      </c>
      <c r="L151" s="158" t="s">
        <v>8124</v>
      </c>
      <c r="M151" s="158" t="s">
        <v>8125</v>
      </c>
    </row>
    <row r="152" spans="1:13">
      <c r="A152" s="158" t="s">
        <v>7367</v>
      </c>
      <c r="B152" s="158" t="s">
        <v>7369</v>
      </c>
      <c r="L152" s="158" t="s">
        <v>7873</v>
      </c>
      <c r="M152" s="158" t="s">
        <v>7873</v>
      </c>
    </row>
    <row r="153" spans="1:13">
      <c r="A153" s="158" t="s">
        <v>6981</v>
      </c>
      <c r="B153" s="158" t="s">
        <v>6983</v>
      </c>
      <c r="C153" s="158" t="s">
        <v>10155</v>
      </c>
      <c r="D153" s="158" t="s">
        <v>10156</v>
      </c>
      <c r="L153" s="158" t="s">
        <v>6684</v>
      </c>
      <c r="M153" s="158" t="s">
        <v>6686</v>
      </c>
    </row>
    <row r="154" spans="1:13">
      <c r="A154" s="158" t="s">
        <v>7873</v>
      </c>
      <c r="B154" s="158" t="s">
        <v>7873</v>
      </c>
      <c r="L154" s="158" t="s">
        <v>6530</v>
      </c>
      <c r="M154" s="158" t="s">
        <v>6532</v>
      </c>
    </row>
    <row r="155" spans="1:13">
      <c r="A155" s="158" t="s">
        <v>6684</v>
      </c>
      <c r="B155" s="158" t="s">
        <v>6686</v>
      </c>
      <c r="C155" s="158" t="s">
        <v>10157</v>
      </c>
      <c r="D155" s="158" t="s">
        <v>10158</v>
      </c>
      <c r="L155" s="158" t="s">
        <v>7155</v>
      </c>
      <c r="M155" s="158" t="s">
        <v>7157</v>
      </c>
    </row>
    <row r="156" spans="1:13">
      <c r="A156" s="158" t="s">
        <v>7906</v>
      </c>
      <c r="B156" s="158" t="s">
        <v>7907</v>
      </c>
      <c r="C156" s="158" t="s">
        <v>10159</v>
      </c>
      <c r="D156" s="158" t="s">
        <v>10160</v>
      </c>
      <c r="L156" s="158" t="s">
        <v>7543</v>
      </c>
      <c r="M156" s="158" t="s">
        <v>7545</v>
      </c>
    </row>
    <row r="157" spans="1:13">
      <c r="A157" s="158" t="s">
        <v>7543</v>
      </c>
      <c r="B157" s="158" t="s">
        <v>7545</v>
      </c>
      <c r="C157" s="158" t="s">
        <v>10161</v>
      </c>
      <c r="D157" s="158" t="s">
        <v>10162</v>
      </c>
      <c r="L157" s="158" t="s">
        <v>7258</v>
      </c>
      <c r="M157" s="158" t="s">
        <v>7260</v>
      </c>
    </row>
    <row r="158" spans="1:13">
      <c r="A158" s="158" t="s">
        <v>7890</v>
      </c>
      <c r="B158" s="158" t="s">
        <v>7891</v>
      </c>
      <c r="C158" s="158" t="s">
        <v>10163</v>
      </c>
      <c r="D158" s="158" t="s">
        <v>10164</v>
      </c>
      <c r="L158" s="158" t="s">
        <v>6734</v>
      </c>
      <c r="M158" s="158" t="s">
        <v>6736</v>
      </c>
    </row>
    <row r="159" spans="1:13">
      <c r="A159" s="158" t="s">
        <v>7258</v>
      </c>
      <c r="B159" s="158" t="s">
        <v>7260</v>
      </c>
      <c r="L159" s="158" t="s">
        <v>7607</v>
      </c>
      <c r="M159" s="158" t="s">
        <v>7607</v>
      </c>
    </row>
    <row r="160" spans="1:13">
      <c r="A160" s="158" t="s">
        <v>10153</v>
      </c>
      <c r="B160" s="158" t="s">
        <v>10154</v>
      </c>
      <c r="C160" s="158" t="s">
        <v>10165</v>
      </c>
      <c r="D160" s="158" t="s">
        <v>10166</v>
      </c>
      <c r="L160" s="158" t="s">
        <v>6293</v>
      </c>
      <c r="M160" s="158" t="s">
        <v>6295</v>
      </c>
    </row>
    <row r="161" spans="1:13">
      <c r="A161" s="158" t="s">
        <v>6734</v>
      </c>
      <c r="B161" s="158" t="s">
        <v>6736</v>
      </c>
      <c r="C161" s="158" t="s">
        <v>10167</v>
      </c>
      <c r="D161" s="158" t="s">
        <v>10168</v>
      </c>
      <c r="L161" s="158" t="s">
        <v>6809</v>
      </c>
      <c r="M161" s="158" t="s">
        <v>6811</v>
      </c>
    </row>
    <row r="162" spans="1:13">
      <c r="A162" s="158" t="s">
        <v>7607</v>
      </c>
      <c r="B162" s="158" t="s">
        <v>7607</v>
      </c>
      <c r="L162" s="158" t="s">
        <v>8285</v>
      </c>
      <c r="M162" s="158" t="s">
        <v>8286</v>
      </c>
    </row>
    <row r="163" spans="1:13">
      <c r="A163" s="158" t="s">
        <v>6293</v>
      </c>
      <c r="B163" s="158" t="s">
        <v>6295</v>
      </c>
      <c r="C163" s="158" t="s">
        <v>10169</v>
      </c>
      <c r="D163" s="158" t="s">
        <v>10170</v>
      </c>
      <c r="L163" s="158" t="s">
        <v>8170</v>
      </c>
      <c r="M163" s="158" t="s">
        <v>8171</v>
      </c>
    </row>
    <row r="164" spans="1:13">
      <c r="A164" s="158" t="s">
        <v>6367</v>
      </c>
      <c r="B164" s="158" t="s">
        <v>6369</v>
      </c>
      <c r="C164" s="158" t="s">
        <v>10171</v>
      </c>
      <c r="D164" s="158" t="s">
        <v>10172</v>
      </c>
      <c r="L164" s="158" t="s">
        <v>7886</v>
      </c>
      <c r="M164" s="158" t="s">
        <v>7887</v>
      </c>
    </row>
    <row r="165" spans="1:13">
      <c r="A165" s="158" t="s">
        <v>8285</v>
      </c>
      <c r="B165" s="158" t="s">
        <v>8286</v>
      </c>
      <c r="L165" s="158" t="s">
        <v>7293</v>
      </c>
      <c r="M165" s="158" t="s">
        <v>7295</v>
      </c>
    </row>
    <row r="166" spans="1:13">
      <c r="A166" s="158" t="s">
        <v>8170</v>
      </c>
      <c r="B166" s="158" t="s">
        <v>8171</v>
      </c>
      <c r="C166" s="158" t="s">
        <v>10173</v>
      </c>
      <c r="D166" s="158" t="s">
        <v>10174</v>
      </c>
      <c r="L166" s="158" t="s">
        <v>8166</v>
      </c>
      <c r="M166" s="158" t="s">
        <v>8167</v>
      </c>
    </row>
    <row r="167" spans="1:13">
      <c r="A167" s="158" t="s">
        <v>6809</v>
      </c>
      <c r="B167" s="158" t="s">
        <v>6811</v>
      </c>
      <c r="C167" s="158" t="s">
        <v>10175</v>
      </c>
      <c r="D167" s="158" t="s">
        <v>10176</v>
      </c>
      <c r="L167" s="158" t="s">
        <v>8178</v>
      </c>
      <c r="M167" s="158" t="s">
        <v>8179</v>
      </c>
    </row>
    <row r="168" spans="1:13">
      <c r="A168" s="158" t="s">
        <v>7886</v>
      </c>
      <c r="B168" s="158" t="s">
        <v>7887</v>
      </c>
      <c r="C168" s="158" t="s">
        <v>10177</v>
      </c>
      <c r="D168" s="158" t="s">
        <v>10178</v>
      </c>
      <c r="L168" s="158" t="s">
        <v>8182</v>
      </c>
      <c r="M168" s="158" t="s">
        <v>8183</v>
      </c>
    </row>
    <row r="169" spans="1:13">
      <c r="A169" s="158" t="s">
        <v>7293</v>
      </c>
      <c r="B169" s="158" t="s">
        <v>7295</v>
      </c>
      <c r="C169" s="158" t="s">
        <v>10179</v>
      </c>
      <c r="D169" s="158" t="s">
        <v>10180</v>
      </c>
      <c r="L169" s="158" t="s">
        <v>6897</v>
      </c>
      <c r="M169" s="158" t="s">
        <v>6899</v>
      </c>
    </row>
    <row r="170" spans="1:13">
      <c r="A170" s="158" t="s">
        <v>7412</v>
      </c>
      <c r="B170" s="158" t="s">
        <v>7414</v>
      </c>
      <c r="C170" s="158" t="s">
        <v>10181</v>
      </c>
      <c r="D170" s="158" t="s">
        <v>10182</v>
      </c>
      <c r="L170" s="158" t="s">
        <v>7525</v>
      </c>
      <c r="M170" s="158" t="s">
        <v>7527</v>
      </c>
    </row>
    <row r="171" spans="1:13">
      <c r="A171" s="158" t="s">
        <v>6897</v>
      </c>
      <c r="B171" s="158" t="s">
        <v>6899</v>
      </c>
      <c r="C171" s="158" t="s">
        <v>10183</v>
      </c>
      <c r="D171" s="158" t="s">
        <v>10184</v>
      </c>
      <c r="L171" s="158" t="s">
        <v>6724</v>
      </c>
      <c r="M171" s="158" t="s">
        <v>6726</v>
      </c>
    </row>
    <row r="172" spans="1:13">
      <c r="A172" s="158" t="s">
        <v>6759</v>
      </c>
      <c r="B172" s="158" t="s">
        <v>6761</v>
      </c>
      <c r="C172" s="158" t="s">
        <v>10185</v>
      </c>
      <c r="D172" s="158" t="s">
        <v>10186</v>
      </c>
      <c r="L172" s="158" t="s">
        <v>7440</v>
      </c>
      <c r="M172" s="158" t="s">
        <v>7441</v>
      </c>
    </row>
    <row r="173" spans="1:13">
      <c r="A173" s="158" t="s">
        <v>7525</v>
      </c>
      <c r="B173" s="158" t="s">
        <v>7527</v>
      </c>
      <c r="C173" s="158" t="s">
        <v>10187</v>
      </c>
      <c r="D173" s="158" t="s">
        <v>10188</v>
      </c>
      <c r="L173" s="158" t="s">
        <v>7634</v>
      </c>
      <c r="M173" s="158" t="s">
        <v>7636</v>
      </c>
    </row>
    <row r="174" spans="1:13">
      <c r="A174" s="158" t="s">
        <v>8213</v>
      </c>
      <c r="B174" s="158" t="s">
        <v>8214</v>
      </c>
      <c r="C174" s="158" t="s">
        <v>10189</v>
      </c>
      <c r="D174" s="158" t="s">
        <v>10190</v>
      </c>
      <c r="L174" s="158" t="s">
        <v>6759</v>
      </c>
      <c r="M174" s="158" t="s">
        <v>6761</v>
      </c>
    </row>
    <row r="175" spans="1:13">
      <c r="A175" s="158" t="s">
        <v>7719</v>
      </c>
      <c r="B175" s="158" t="s">
        <v>7721</v>
      </c>
      <c r="L175" s="158" t="s">
        <v>7902</v>
      </c>
      <c r="M175" s="158" t="s">
        <v>7903</v>
      </c>
    </row>
    <row r="176" spans="1:13">
      <c r="A176" s="158" t="s">
        <v>7634</v>
      </c>
      <c r="B176" s="158" t="s">
        <v>7636</v>
      </c>
      <c r="C176" s="158" t="s">
        <v>10191</v>
      </c>
      <c r="D176" s="158" t="s">
        <v>10192</v>
      </c>
      <c r="L176" s="158" t="s">
        <v>6614</v>
      </c>
      <c r="M176" s="158" t="s">
        <v>6616</v>
      </c>
    </row>
    <row r="177" spans="1:13">
      <c r="A177" s="158" t="s">
        <v>6754</v>
      </c>
      <c r="B177" s="158" t="s">
        <v>6756</v>
      </c>
      <c r="C177" s="158" t="s">
        <v>10193</v>
      </c>
      <c r="D177" s="158" t="s">
        <v>10194</v>
      </c>
      <c r="L177" s="158" t="s">
        <v>6352</v>
      </c>
      <c r="M177" s="158" t="s">
        <v>6354</v>
      </c>
    </row>
    <row r="178" spans="1:13">
      <c r="A178" s="158" t="s">
        <v>6614</v>
      </c>
      <c r="B178" s="158" t="s">
        <v>6616</v>
      </c>
      <c r="C178" s="158" t="s">
        <v>10195</v>
      </c>
      <c r="D178" s="158" t="s">
        <v>10196</v>
      </c>
      <c r="L178" s="158" t="s">
        <v>7457</v>
      </c>
      <c r="M178" s="158" t="s">
        <v>7459</v>
      </c>
    </row>
    <row r="179" spans="1:13">
      <c r="A179" s="158" t="s">
        <v>7539</v>
      </c>
      <c r="B179" s="158" t="s">
        <v>7539</v>
      </c>
      <c r="L179" s="158" t="s">
        <v>8246</v>
      </c>
      <c r="M179" s="158" t="s">
        <v>8247</v>
      </c>
    </row>
    <row r="180" spans="1:13">
      <c r="A180" s="158" t="s">
        <v>8267</v>
      </c>
      <c r="B180" s="158" t="s">
        <v>8267</v>
      </c>
      <c r="C180" s="158" t="s">
        <v>10197</v>
      </c>
      <c r="D180" s="158" t="s">
        <v>10198</v>
      </c>
      <c r="L180" s="158" t="s">
        <v>8069</v>
      </c>
      <c r="M180" s="158" t="s">
        <v>8070</v>
      </c>
    </row>
    <row r="181" spans="1:13">
      <c r="A181" s="158" t="s">
        <v>6555</v>
      </c>
      <c r="B181" s="158" t="s">
        <v>6555</v>
      </c>
      <c r="C181" s="158" t="s">
        <v>10199</v>
      </c>
      <c r="D181" s="158" t="s">
        <v>10200</v>
      </c>
      <c r="L181" s="158" t="s">
        <v>8254</v>
      </c>
      <c r="M181" s="158" t="s">
        <v>8255</v>
      </c>
    </row>
    <row r="182" spans="1:13">
      <c r="A182" s="158" t="s">
        <v>7620</v>
      </c>
      <c r="B182" s="158" t="s">
        <v>7620</v>
      </c>
      <c r="L182" s="158" t="s">
        <v>8217</v>
      </c>
      <c r="M182" s="158" t="s">
        <v>8218</v>
      </c>
    </row>
    <row r="183" spans="1:13">
      <c r="A183" s="158" t="s">
        <v>8270</v>
      </c>
      <c r="B183" s="158" t="s">
        <v>8270</v>
      </c>
      <c r="L183" s="158" t="s">
        <v>6500</v>
      </c>
      <c r="M183" s="158" t="s">
        <v>6502</v>
      </c>
    </row>
    <row r="184" spans="1:13">
      <c r="A184" s="158" t="s">
        <v>6888</v>
      </c>
      <c r="B184" s="158" t="s">
        <v>6888</v>
      </c>
      <c r="L184" s="158" t="s">
        <v>6525</v>
      </c>
      <c r="M184" s="158" t="s">
        <v>6527</v>
      </c>
    </row>
    <row r="185" spans="1:13">
      <c r="A185" s="158" t="s">
        <v>6500</v>
      </c>
      <c r="B185" s="158" t="s">
        <v>6502</v>
      </c>
      <c r="C185" s="158" t="s">
        <v>10201</v>
      </c>
      <c r="D185" s="158" t="s">
        <v>10202</v>
      </c>
      <c r="L185" s="158" t="s">
        <v>8409</v>
      </c>
      <c r="M185" s="158" t="s">
        <v>8410</v>
      </c>
    </row>
    <row r="186" spans="1:13">
      <c r="A186" s="158" t="s">
        <v>8217</v>
      </c>
      <c r="B186" s="158" t="s">
        <v>8218</v>
      </c>
      <c r="C186" s="158" t="s">
        <v>10203</v>
      </c>
      <c r="D186" s="158" t="s">
        <v>10204</v>
      </c>
      <c r="L186" s="158" t="s">
        <v>7821</v>
      </c>
      <c r="M186" s="158" t="s">
        <v>7822</v>
      </c>
    </row>
    <row r="187" spans="1:13">
      <c r="A187" s="158" t="s">
        <v>8069</v>
      </c>
      <c r="B187" s="158" t="s">
        <v>8070</v>
      </c>
      <c r="C187" s="158" t="s">
        <v>10205</v>
      </c>
      <c r="D187" s="158" t="s">
        <v>10206</v>
      </c>
      <c r="L187" s="158" t="s">
        <v>8386</v>
      </c>
      <c r="M187" s="158" t="s">
        <v>8387</v>
      </c>
    </row>
    <row r="188" spans="1:13">
      <c r="A188" s="158" t="s">
        <v>8174</v>
      </c>
      <c r="B188" s="158" t="s">
        <v>8175</v>
      </c>
      <c r="C188" s="158" t="s">
        <v>10207</v>
      </c>
      <c r="D188" s="158" t="s">
        <v>10208</v>
      </c>
      <c r="L188" s="158" t="s">
        <v>7347</v>
      </c>
      <c r="M188" s="158" t="s">
        <v>7349</v>
      </c>
    </row>
    <row r="189" spans="1:13">
      <c r="A189" s="158" t="s">
        <v>8254</v>
      </c>
      <c r="B189" s="158" t="s">
        <v>8255</v>
      </c>
      <c r="C189" s="158" t="s">
        <v>10209</v>
      </c>
      <c r="D189" s="158" t="s">
        <v>10210</v>
      </c>
      <c r="L189" s="158" t="s">
        <v>8413</v>
      </c>
      <c r="M189" s="158" t="s">
        <v>8414</v>
      </c>
    </row>
    <row r="190" spans="1:13">
      <c r="A190" s="158" t="s">
        <v>6525</v>
      </c>
      <c r="B190" s="158" t="s">
        <v>6527</v>
      </c>
      <c r="C190" s="158" t="s">
        <v>10211</v>
      </c>
      <c r="D190" s="158" t="s">
        <v>10212</v>
      </c>
      <c r="L190" s="158" t="s">
        <v>7674</v>
      </c>
      <c r="M190" s="158" t="s">
        <v>7676</v>
      </c>
    </row>
    <row r="191" spans="1:13">
      <c r="A191" s="158" t="s">
        <v>8042</v>
      </c>
      <c r="B191" s="158" t="s">
        <v>8042</v>
      </c>
      <c r="L191" s="158" t="s">
        <v>6367</v>
      </c>
      <c r="M191" s="158" t="s">
        <v>6369</v>
      </c>
    </row>
    <row r="192" spans="1:13">
      <c r="A192" s="158" t="s">
        <v>7865</v>
      </c>
      <c r="B192" s="158" t="s">
        <v>7866</v>
      </c>
      <c r="C192" s="158" t="s">
        <v>10213</v>
      </c>
      <c r="D192" s="158" t="s">
        <v>10214</v>
      </c>
      <c r="L192" s="158" t="s">
        <v>6308</v>
      </c>
      <c r="M192" s="158" t="s">
        <v>6310</v>
      </c>
    </row>
    <row r="193" spans="1:13">
      <c r="A193" s="158" t="s">
        <v>7347</v>
      </c>
      <c r="B193" s="158" t="s">
        <v>7349</v>
      </c>
      <c r="C193" s="158" t="s">
        <v>10215</v>
      </c>
      <c r="D193" s="158" t="s">
        <v>10216</v>
      </c>
      <c r="L193" s="158" t="s">
        <v>7160</v>
      </c>
      <c r="M193" s="158" t="s">
        <v>7162</v>
      </c>
    </row>
    <row r="194" spans="1:13">
      <c r="A194" s="158" t="s">
        <v>6535</v>
      </c>
      <c r="B194" s="158" t="s">
        <v>6537</v>
      </c>
      <c r="C194" s="158" t="s">
        <v>10217</v>
      </c>
      <c r="D194" s="158" t="s">
        <v>10218</v>
      </c>
      <c r="L194" s="158" t="s">
        <v>6333</v>
      </c>
      <c r="M194" s="158" t="s">
        <v>6335</v>
      </c>
    </row>
    <row r="195" spans="1:13">
      <c r="A195" s="158" t="s">
        <v>7849</v>
      </c>
      <c r="B195" s="158" t="s">
        <v>7850</v>
      </c>
      <c r="C195" s="158" t="s">
        <v>10219</v>
      </c>
      <c r="D195" s="158" t="s">
        <v>10220</v>
      </c>
      <c r="L195" s="158" t="s">
        <v>6437</v>
      </c>
      <c r="M195" s="158" t="s">
        <v>6439</v>
      </c>
    </row>
    <row r="196" spans="1:13">
      <c r="A196" s="158" t="s">
        <v>7674</v>
      </c>
      <c r="B196" s="158" t="s">
        <v>7676</v>
      </c>
      <c r="C196" s="158" t="s">
        <v>10221</v>
      </c>
      <c r="D196" s="158" t="s">
        <v>10222</v>
      </c>
      <c r="L196" s="158" t="s">
        <v>7982</v>
      </c>
      <c r="M196" s="158" t="s">
        <v>7983</v>
      </c>
    </row>
    <row r="197" spans="1:13">
      <c r="A197" s="158" t="s">
        <v>8409</v>
      </c>
      <c r="B197" s="158" t="s">
        <v>8410</v>
      </c>
      <c r="C197" s="158" t="s">
        <v>10223</v>
      </c>
      <c r="D197" s="158" t="s">
        <v>10224</v>
      </c>
      <c r="L197" s="158" t="s">
        <v>7849</v>
      </c>
      <c r="M197" s="158" t="s">
        <v>7850</v>
      </c>
    </row>
    <row r="198" spans="1:13">
      <c r="A198" s="158" t="s">
        <v>7548</v>
      </c>
      <c r="B198" s="158" t="s">
        <v>7549</v>
      </c>
      <c r="C198" s="158" t="s">
        <v>10225</v>
      </c>
      <c r="D198" s="158" t="s">
        <v>10226</v>
      </c>
      <c r="L198" s="158" t="s">
        <v>7436</v>
      </c>
      <c r="M198" s="158" t="s">
        <v>7437</v>
      </c>
    </row>
    <row r="199" spans="1:13">
      <c r="A199" s="158" t="s">
        <v>6308</v>
      </c>
      <c r="B199" s="158" t="s">
        <v>6310</v>
      </c>
      <c r="C199" s="158" t="s">
        <v>10227</v>
      </c>
      <c r="D199" s="158" t="s">
        <v>10228</v>
      </c>
      <c r="L199" s="158" t="s">
        <v>8221</v>
      </c>
      <c r="M199" s="158" t="s">
        <v>8222</v>
      </c>
    </row>
    <row r="200" spans="1:13">
      <c r="A200" s="158" t="s">
        <v>7160</v>
      </c>
      <c r="B200" s="158" t="s">
        <v>7162</v>
      </c>
      <c r="C200" s="158" t="s">
        <v>10229</v>
      </c>
      <c r="D200" s="158" t="s">
        <v>10230</v>
      </c>
      <c r="L200" s="158" t="s">
        <v>7045</v>
      </c>
      <c r="M200" s="158" t="s">
        <v>7047</v>
      </c>
    </row>
    <row r="201" spans="1:13">
      <c r="A201" s="158" t="s">
        <v>7982</v>
      </c>
      <c r="B201" s="158" t="s">
        <v>7983</v>
      </c>
      <c r="C201" s="158" t="s">
        <v>10231</v>
      </c>
      <c r="D201" s="158" t="s">
        <v>10232</v>
      </c>
      <c r="L201" s="158" t="s">
        <v>7548</v>
      </c>
      <c r="M201" s="158" t="s">
        <v>7549</v>
      </c>
    </row>
    <row r="202" spans="1:13">
      <c r="A202" s="158" t="s">
        <v>6333</v>
      </c>
      <c r="B202" s="158" t="s">
        <v>6335</v>
      </c>
      <c r="L202" s="158" t="s">
        <v>7958</v>
      </c>
      <c r="M202" s="158" t="s">
        <v>7959</v>
      </c>
    </row>
    <row r="203" spans="1:13">
      <c r="A203" s="158" t="s">
        <v>8413</v>
      </c>
      <c r="B203" s="158" t="s">
        <v>8414</v>
      </c>
      <c r="C203" s="158" t="s">
        <v>10233</v>
      </c>
      <c r="D203" s="158" t="s">
        <v>10234</v>
      </c>
      <c r="L203" s="158" t="s">
        <v>8026</v>
      </c>
      <c r="M203" s="158" t="s">
        <v>8027</v>
      </c>
    </row>
    <row r="204" spans="1:13">
      <c r="A204" s="158" t="s">
        <v>7958</v>
      </c>
      <c r="B204" s="158" t="s">
        <v>7959</v>
      </c>
      <c r="C204" s="158" t="s">
        <v>10235</v>
      </c>
      <c r="D204" s="158" t="s">
        <v>10236</v>
      </c>
      <c r="L204" s="158" t="s">
        <v>7861</v>
      </c>
      <c r="M204" s="158" t="s">
        <v>7862</v>
      </c>
    </row>
    <row r="205" spans="1:13">
      <c r="A205" s="158" t="s">
        <v>7436</v>
      </c>
      <c r="B205" s="158" t="s">
        <v>7437</v>
      </c>
      <c r="C205" s="158" t="s">
        <v>10237</v>
      </c>
      <c r="D205" s="158" t="s">
        <v>10238</v>
      </c>
      <c r="L205" s="158" t="s">
        <v>7566</v>
      </c>
      <c r="M205" s="158" t="s">
        <v>7568</v>
      </c>
    </row>
    <row r="206" spans="1:13">
      <c r="A206" s="158" t="s">
        <v>7440</v>
      </c>
      <c r="B206" s="158" t="s">
        <v>7441</v>
      </c>
      <c r="C206" s="158" t="s">
        <v>10239</v>
      </c>
      <c r="D206" s="158" t="s">
        <v>10240</v>
      </c>
      <c r="L206" s="158" t="s">
        <v>8014</v>
      </c>
      <c r="M206" s="158" t="s">
        <v>8015</v>
      </c>
    </row>
    <row r="207" spans="1:13">
      <c r="A207" s="158" t="s">
        <v>6437</v>
      </c>
      <c r="B207" s="158" t="s">
        <v>6439</v>
      </c>
      <c r="C207" s="158" t="s">
        <v>10241</v>
      </c>
      <c r="D207" s="158" t="s">
        <v>10242</v>
      </c>
      <c r="L207" s="158" t="s">
        <v>7377</v>
      </c>
      <c r="M207" s="158" t="s">
        <v>7379</v>
      </c>
    </row>
    <row r="208" spans="1:13">
      <c r="A208" s="158" t="s">
        <v>7585</v>
      </c>
      <c r="B208" s="158" t="s">
        <v>7586</v>
      </c>
      <c r="C208" s="158" t="s">
        <v>10243</v>
      </c>
      <c r="D208" s="158" t="s">
        <v>10244</v>
      </c>
      <c r="L208" s="158" t="s">
        <v>7754</v>
      </c>
      <c r="M208" s="158" t="s">
        <v>7756</v>
      </c>
    </row>
    <row r="209" spans="1:13">
      <c r="A209" s="158" t="s">
        <v>7045</v>
      </c>
      <c r="B209" s="158" t="s">
        <v>7047</v>
      </c>
      <c r="C209" s="158" t="s">
        <v>10245</v>
      </c>
      <c r="D209" s="158" t="s">
        <v>10246</v>
      </c>
      <c r="L209" s="158" t="s">
        <v>7080</v>
      </c>
      <c r="M209" s="158" t="s">
        <v>7082</v>
      </c>
    </row>
    <row r="210" spans="1:13">
      <c r="A210" s="158" t="s">
        <v>8221</v>
      </c>
      <c r="B210" s="158" t="s">
        <v>8222</v>
      </c>
      <c r="C210" s="158" t="s">
        <v>10247</v>
      </c>
      <c r="D210" s="158" t="s">
        <v>10248</v>
      </c>
      <c r="L210" s="158" t="s">
        <v>6892</v>
      </c>
      <c r="M210" s="158" t="s">
        <v>6894</v>
      </c>
    </row>
    <row r="211" spans="1:13">
      <c r="A211" s="158" t="s">
        <v>8325</v>
      </c>
      <c r="B211" s="158" t="s">
        <v>8326</v>
      </c>
      <c r="L211" s="158" t="s">
        <v>6574</v>
      </c>
      <c r="M211" s="158" t="s">
        <v>6576</v>
      </c>
    </row>
    <row r="212" spans="1:13">
      <c r="A212" s="158" t="s">
        <v>8026</v>
      </c>
      <c r="B212" s="158" t="s">
        <v>8027</v>
      </c>
      <c r="C212" s="158" t="s">
        <v>10249</v>
      </c>
      <c r="D212" s="158" t="s">
        <v>10250</v>
      </c>
      <c r="L212" s="158" t="s">
        <v>7946</v>
      </c>
      <c r="M212" s="158" t="s">
        <v>7947</v>
      </c>
    </row>
    <row r="213" spans="1:13">
      <c r="A213" s="158" t="s">
        <v>7861</v>
      </c>
      <c r="B213" s="158" t="s">
        <v>7862</v>
      </c>
      <c r="C213" s="158" t="s">
        <v>10251</v>
      </c>
      <c r="D213" s="158" t="s">
        <v>10252</v>
      </c>
      <c r="L213" s="158" t="s">
        <v>7298</v>
      </c>
      <c r="M213" s="158" t="s">
        <v>7300</v>
      </c>
    </row>
    <row r="214" spans="1:13">
      <c r="A214" s="158" t="s">
        <v>7754</v>
      </c>
      <c r="B214" s="158" t="s">
        <v>7756</v>
      </c>
      <c r="C214" s="158" t="s">
        <v>10253</v>
      </c>
      <c r="D214" s="158" t="s">
        <v>10254</v>
      </c>
      <c r="L214" s="158" t="s">
        <v>6843</v>
      </c>
      <c r="M214" s="158" t="s">
        <v>6845</v>
      </c>
    </row>
    <row r="215" spans="1:13">
      <c r="A215" s="158" t="s">
        <v>8014</v>
      </c>
      <c r="B215" s="158" t="s">
        <v>8015</v>
      </c>
      <c r="C215" s="158" t="s">
        <v>10255</v>
      </c>
      <c r="D215" s="158" t="s">
        <v>10256</v>
      </c>
      <c r="L215" s="158" t="s">
        <v>7704</v>
      </c>
      <c r="M215" s="158" t="s">
        <v>7706</v>
      </c>
    </row>
    <row r="216" spans="1:13">
      <c r="A216" s="158" t="s">
        <v>7377</v>
      </c>
      <c r="B216" s="158" t="s">
        <v>7379</v>
      </c>
      <c r="C216" s="158" t="s">
        <v>10257</v>
      </c>
      <c r="D216" s="158" t="s">
        <v>10258</v>
      </c>
      <c r="L216" s="158" t="s">
        <v>7462</v>
      </c>
      <c r="M216" s="158" t="s">
        <v>7464</v>
      </c>
    </row>
    <row r="217" spans="1:13">
      <c r="A217" s="158" t="s">
        <v>7155</v>
      </c>
      <c r="B217" s="158" t="s">
        <v>7157</v>
      </c>
      <c r="C217" s="158" t="s">
        <v>10259</v>
      </c>
      <c r="D217" s="158" t="s">
        <v>10260</v>
      </c>
      <c r="L217" s="158" t="s">
        <v>7994</v>
      </c>
      <c r="M217" s="158" t="s">
        <v>7995</v>
      </c>
    </row>
    <row r="218" spans="1:13">
      <c r="A218" s="158" t="s">
        <v>7566</v>
      </c>
      <c r="B218" s="158" t="s">
        <v>7568</v>
      </c>
      <c r="C218" s="158" t="s">
        <v>10261</v>
      </c>
      <c r="D218" s="158" t="s">
        <v>10262</v>
      </c>
      <c r="L218" s="158" t="s">
        <v>6922</v>
      </c>
      <c r="M218" s="158" t="s">
        <v>6924</v>
      </c>
    </row>
    <row r="219" spans="1:13">
      <c r="A219" s="158" t="s">
        <v>7080</v>
      </c>
      <c r="B219" s="158" t="s">
        <v>7082</v>
      </c>
      <c r="C219" s="158" t="s">
        <v>10263</v>
      </c>
      <c r="D219" s="158" t="s">
        <v>10264</v>
      </c>
      <c r="L219" s="158" t="s">
        <v>8010</v>
      </c>
      <c r="M219" s="158" t="s">
        <v>8011</v>
      </c>
    </row>
    <row r="220" spans="1:13">
      <c r="A220" s="158" t="s">
        <v>6947</v>
      </c>
      <c r="B220" s="158" t="s">
        <v>6947</v>
      </c>
      <c r="L220" s="158" t="s">
        <v>7990</v>
      </c>
      <c r="M220" s="158" t="s">
        <v>7991</v>
      </c>
    </row>
    <row r="221" spans="1:13">
      <c r="A221" s="158" t="s">
        <v>7333</v>
      </c>
      <c r="B221" s="158" t="s">
        <v>7333</v>
      </c>
      <c r="L221" s="158" t="s">
        <v>7784</v>
      </c>
      <c r="M221" s="158" t="s">
        <v>7786</v>
      </c>
    </row>
    <row r="222" spans="1:13">
      <c r="A222" s="158" t="s">
        <v>7204</v>
      </c>
      <c r="B222" s="158" t="s">
        <v>7204</v>
      </c>
      <c r="L222" s="158" t="s">
        <v>7308</v>
      </c>
      <c r="M222" s="158" t="s">
        <v>7310</v>
      </c>
    </row>
    <row r="223" spans="1:13">
      <c r="A223" s="158" t="s">
        <v>6462</v>
      </c>
      <c r="B223" s="158" t="s">
        <v>6462</v>
      </c>
      <c r="L223" s="158" t="s">
        <v>7199</v>
      </c>
      <c r="M223" s="158" t="s">
        <v>7201</v>
      </c>
    </row>
    <row r="224" spans="1:13">
      <c r="A224" s="158" t="s">
        <v>7482</v>
      </c>
      <c r="B224" s="158" t="s">
        <v>7482</v>
      </c>
      <c r="L224" s="158" t="s">
        <v>7744</v>
      </c>
      <c r="M224" s="158" t="s">
        <v>7746</v>
      </c>
    </row>
    <row r="225" spans="1:13">
      <c r="A225" s="158" t="s">
        <v>8144</v>
      </c>
      <c r="B225" s="158" t="s">
        <v>8144</v>
      </c>
      <c r="L225" s="158" t="s">
        <v>7580</v>
      </c>
      <c r="M225" s="158" t="s">
        <v>7582</v>
      </c>
    </row>
    <row r="226" spans="1:13">
      <c r="A226" s="158" t="s">
        <v>7422</v>
      </c>
      <c r="B226" s="158" t="s">
        <v>7424</v>
      </c>
      <c r="L226" s="158" t="s">
        <v>8417</v>
      </c>
      <c r="M226" s="158" t="s">
        <v>8418</v>
      </c>
    </row>
    <row r="227" spans="1:13">
      <c r="A227" s="158" t="s">
        <v>7530</v>
      </c>
      <c r="B227" s="158" t="s">
        <v>7530</v>
      </c>
      <c r="L227" s="158" t="s">
        <v>7804</v>
      </c>
      <c r="M227" s="158" t="s">
        <v>7806</v>
      </c>
    </row>
    <row r="228" spans="1:13">
      <c r="A228" s="158" t="s">
        <v>6486</v>
      </c>
      <c r="B228" s="158" t="s">
        <v>6256</v>
      </c>
      <c r="C228" s="158" t="s">
        <v>10265</v>
      </c>
      <c r="D228" s="158" t="s">
        <v>10266</v>
      </c>
      <c r="L228" s="158" t="s">
        <v>7759</v>
      </c>
      <c r="M228" s="158" t="s">
        <v>7761</v>
      </c>
    </row>
    <row r="229" spans="1:13">
      <c r="A229" s="158" t="s">
        <v>6589</v>
      </c>
      <c r="B229" s="158" t="s">
        <v>6591</v>
      </c>
      <c r="C229" s="158" t="s">
        <v>10267</v>
      </c>
      <c r="D229" s="158" t="s">
        <v>10268</v>
      </c>
      <c r="L229" s="158" t="s">
        <v>7764</v>
      </c>
      <c r="M229" s="158" t="s">
        <v>7766</v>
      </c>
    </row>
    <row r="230" spans="1:13">
      <c r="A230" s="158" t="s">
        <v>7328</v>
      </c>
      <c r="B230" s="158" t="s">
        <v>7330</v>
      </c>
      <c r="C230" s="158" t="s">
        <v>10269</v>
      </c>
      <c r="D230" s="158" t="s">
        <v>10270</v>
      </c>
      <c r="L230" s="158" t="s">
        <v>7253</v>
      </c>
      <c r="M230" s="158" t="s">
        <v>7255</v>
      </c>
    </row>
    <row r="231" spans="1:13">
      <c r="A231" s="158" t="s">
        <v>8073</v>
      </c>
      <c r="B231" s="158" t="s">
        <v>8074</v>
      </c>
      <c r="C231" s="158" t="s">
        <v>10271</v>
      </c>
      <c r="D231" s="158" t="s">
        <v>10272</v>
      </c>
      <c r="L231" s="158" t="s">
        <v>8092</v>
      </c>
      <c r="M231" s="158" t="s">
        <v>8093</v>
      </c>
    </row>
    <row r="232" spans="1:13">
      <c r="A232" s="158" t="s">
        <v>6574</v>
      </c>
      <c r="B232" s="158" t="s">
        <v>6576</v>
      </c>
      <c r="C232" s="158" t="s">
        <v>10273</v>
      </c>
      <c r="D232" s="158" t="s">
        <v>10274</v>
      </c>
      <c r="L232" s="158" t="s">
        <v>7342</v>
      </c>
      <c r="M232" s="158" t="s">
        <v>7344</v>
      </c>
    </row>
    <row r="233" spans="1:13">
      <c r="A233" s="158" t="s">
        <v>7946</v>
      </c>
      <c r="B233" s="158" t="s">
        <v>7947</v>
      </c>
      <c r="L233" s="158" t="s">
        <v>7495</v>
      </c>
      <c r="M233" s="158" t="s">
        <v>7497</v>
      </c>
    </row>
    <row r="234" spans="1:13">
      <c r="A234" s="158" t="s">
        <v>7298</v>
      </c>
      <c r="B234" s="158" t="s">
        <v>7300</v>
      </c>
      <c r="L234" s="158" t="s">
        <v>7734</v>
      </c>
      <c r="M234" s="158" t="s">
        <v>7736</v>
      </c>
    </row>
    <row r="235" spans="1:13">
      <c r="A235" s="158" t="s">
        <v>6843</v>
      </c>
      <c r="B235" s="158" t="s">
        <v>6845</v>
      </c>
      <c r="L235" s="158" t="s">
        <v>7065</v>
      </c>
      <c r="M235" s="158" t="s">
        <v>7067</v>
      </c>
    </row>
    <row r="236" spans="1:13">
      <c r="A236" s="158" t="s">
        <v>7704</v>
      </c>
      <c r="B236" s="158" t="s">
        <v>7706</v>
      </c>
      <c r="L236" s="158" t="s">
        <v>8108</v>
      </c>
      <c r="M236" s="158" t="s">
        <v>8109</v>
      </c>
    </row>
    <row r="237" spans="1:13">
      <c r="A237" s="158" t="s">
        <v>7462</v>
      </c>
      <c r="B237" s="158" t="s">
        <v>7464</v>
      </c>
      <c r="L237" s="158" t="s">
        <v>7799</v>
      </c>
      <c r="M237" s="158" t="s">
        <v>7801</v>
      </c>
    </row>
    <row r="238" spans="1:13">
      <c r="A238" s="158" t="s">
        <v>7994</v>
      </c>
      <c r="B238" s="158" t="s">
        <v>7995</v>
      </c>
      <c r="L238" s="158" t="s">
        <v>7500</v>
      </c>
      <c r="M238" s="158" t="s">
        <v>7502</v>
      </c>
    </row>
    <row r="239" spans="1:13">
      <c r="A239" s="158" t="s">
        <v>6922</v>
      </c>
      <c r="B239" s="158" t="s">
        <v>6924</v>
      </c>
      <c r="L239" s="158" t="s">
        <v>7505</v>
      </c>
      <c r="M239" s="158" t="s">
        <v>7507</v>
      </c>
    </row>
    <row r="240" spans="1:13">
      <c r="A240" s="158" t="s">
        <v>7990</v>
      </c>
      <c r="B240" s="158" t="s">
        <v>7991</v>
      </c>
      <c r="L240" s="158" t="s">
        <v>7729</v>
      </c>
      <c r="M240" s="158" t="s">
        <v>7731</v>
      </c>
    </row>
    <row r="241" spans="1:13">
      <c r="A241" s="158" t="s">
        <v>7784</v>
      </c>
      <c r="B241" s="158" t="s">
        <v>7786</v>
      </c>
      <c r="L241" s="158" t="s">
        <v>6644</v>
      </c>
      <c r="M241" s="158" t="s">
        <v>6646</v>
      </c>
    </row>
    <row r="242" spans="1:13">
      <c r="A242" s="158" t="s">
        <v>8010</v>
      </c>
      <c r="B242" s="158" t="s">
        <v>8011</v>
      </c>
      <c r="L242" s="158" t="s">
        <v>7427</v>
      </c>
      <c r="M242" s="158" t="s">
        <v>7429</v>
      </c>
    </row>
    <row r="243" spans="1:13">
      <c r="A243" s="158" t="s">
        <v>6545</v>
      </c>
      <c r="B243" s="158" t="s">
        <v>6547</v>
      </c>
      <c r="L243" s="158" t="s">
        <v>7090</v>
      </c>
      <c r="M243" s="158" t="s">
        <v>7092</v>
      </c>
    </row>
    <row r="244" spans="1:13">
      <c r="A244" s="158" t="s">
        <v>7308</v>
      </c>
      <c r="B244" s="158" t="s">
        <v>7310</v>
      </c>
      <c r="L244" s="158" t="s">
        <v>7649</v>
      </c>
      <c r="M244" s="158" t="s">
        <v>7651</v>
      </c>
    </row>
    <row r="245" spans="1:13">
      <c r="A245" s="158" t="s">
        <v>7199</v>
      </c>
      <c r="B245" s="158" t="s">
        <v>7201</v>
      </c>
      <c r="L245" s="158" t="s">
        <v>6996</v>
      </c>
      <c r="M245" s="158" t="s">
        <v>6998</v>
      </c>
    </row>
    <row r="246" spans="1:13">
      <c r="A246" s="158" t="s">
        <v>7580</v>
      </c>
      <c r="B246" s="158" t="s">
        <v>7582</v>
      </c>
      <c r="L246" s="158" t="s">
        <v>7739</v>
      </c>
      <c r="M246" s="158" t="s">
        <v>7741</v>
      </c>
    </row>
    <row r="247" spans="1:13">
      <c r="A247" s="158" t="s">
        <v>7744</v>
      </c>
      <c r="B247" s="158" t="s">
        <v>7746</v>
      </c>
      <c r="L247" s="158" t="s">
        <v>7694</v>
      </c>
      <c r="M247" s="158" t="s">
        <v>7696</v>
      </c>
    </row>
    <row r="248" spans="1:13">
      <c r="A248" s="158" t="s">
        <v>8417</v>
      </c>
      <c r="B248" s="158" t="s">
        <v>8418</v>
      </c>
      <c r="L248" s="158" t="s">
        <v>6486</v>
      </c>
      <c r="M248" s="158" t="s">
        <v>6256</v>
      </c>
    </row>
    <row r="249" spans="1:13">
      <c r="A249" s="158" t="s">
        <v>7759</v>
      </c>
      <c r="B249" s="158" t="s">
        <v>7761</v>
      </c>
      <c r="L249" s="158" t="s">
        <v>7228</v>
      </c>
      <c r="M249" s="158" t="s">
        <v>7230</v>
      </c>
    </row>
    <row r="250" spans="1:13">
      <c r="A250" s="158" t="s">
        <v>7804</v>
      </c>
      <c r="B250" s="158" t="s">
        <v>7806</v>
      </c>
      <c r="L250" s="158" t="s">
        <v>6956</v>
      </c>
      <c r="M250" s="158" t="s">
        <v>6958</v>
      </c>
    </row>
    <row r="251" spans="1:13">
      <c r="A251" s="158" t="s">
        <v>7764</v>
      </c>
      <c r="B251" s="158" t="s">
        <v>7766</v>
      </c>
      <c r="L251" s="158" t="s">
        <v>6589</v>
      </c>
      <c r="M251" s="158" t="s">
        <v>6591</v>
      </c>
    </row>
    <row r="252" spans="1:13">
      <c r="A252" s="158" t="s">
        <v>7253</v>
      </c>
      <c r="B252" s="158" t="s">
        <v>7255</v>
      </c>
      <c r="L252" s="158" t="s">
        <v>8073</v>
      </c>
      <c r="M252" s="158" t="s">
        <v>8074</v>
      </c>
    </row>
    <row r="253" spans="1:13">
      <c r="A253" s="158" t="s">
        <v>8092</v>
      </c>
      <c r="B253" s="158" t="s">
        <v>8093</v>
      </c>
      <c r="L253" s="158" t="s">
        <v>7328</v>
      </c>
      <c r="M253" s="158" t="s">
        <v>7330</v>
      </c>
    </row>
    <row r="254" spans="1:13">
      <c r="A254" s="158" t="s">
        <v>7495</v>
      </c>
      <c r="B254" s="158" t="s">
        <v>7497</v>
      </c>
      <c r="L254" s="158" t="s">
        <v>6422</v>
      </c>
      <c r="M254" s="158" t="s">
        <v>6424</v>
      </c>
    </row>
    <row r="255" spans="1:13">
      <c r="A255" s="158" t="s">
        <v>7065</v>
      </c>
      <c r="B255" s="158" t="s">
        <v>7067</v>
      </c>
      <c r="L255" s="158" t="s">
        <v>6951</v>
      </c>
      <c r="M255" s="158" t="s">
        <v>6953</v>
      </c>
    </row>
    <row r="256" spans="1:13">
      <c r="A256" s="158" t="s">
        <v>7734</v>
      </c>
      <c r="B256" s="158" t="s">
        <v>7736</v>
      </c>
      <c r="L256" s="158" t="s">
        <v>6447</v>
      </c>
      <c r="M256" s="158" t="s">
        <v>6449</v>
      </c>
    </row>
    <row r="257" spans="1:13">
      <c r="A257" s="158" t="s">
        <v>7342</v>
      </c>
      <c r="B257" s="158" t="s">
        <v>7344</v>
      </c>
      <c r="L257" s="158" t="s">
        <v>8034</v>
      </c>
      <c r="M257" s="158" t="s">
        <v>8035</v>
      </c>
    </row>
    <row r="258" spans="1:13">
      <c r="A258" s="158" t="s">
        <v>8108</v>
      </c>
      <c r="B258" s="158" t="s">
        <v>8109</v>
      </c>
      <c r="L258" s="158" t="s">
        <v>7769</v>
      </c>
      <c r="M258" s="158" t="s">
        <v>7771</v>
      </c>
    </row>
    <row r="259" spans="1:13">
      <c r="A259" s="158" t="s">
        <v>7799</v>
      </c>
      <c r="B259" s="158" t="s">
        <v>7801</v>
      </c>
      <c r="L259" s="158" t="s">
        <v>7263</v>
      </c>
      <c r="M259" s="158" t="s">
        <v>7265</v>
      </c>
    </row>
    <row r="260" spans="1:13">
      <c r="A260" s="158" t="s">
        <v>7323</v>
      </c>
      <c r="B260" s="158" t="s">
        <v>7325</v>
      </c>
      <c r="L260" s="158" t="s">
        <v>6649</v>
      </c>
      <c r="M260" s="158" t="s">
        <v>6651</v>
      </c>
    </row>
    <row r="261" spans="1:13">
      <c r="A261" s="158" t="s">
        <v>7174</v>
      </c>
      <c r="B261" s="158" t="s">
        <v>7176</v>
      </c>
      <c r="L261" s="158" t="s">
        <v>7813</v>
      </c>
      <c r="M261" s="158" t="s">
        <v>7814</v>
      </c>
    </row>
    <row r="262" spans="1:13">
      <c r="A262" s="158" t="s">
        <v>7500</v>
      </c>
      <c r="B262" s="158" t="s">
        <v>7502</v>
      </c>
      <c r="L262" s="158" t="s">
        <v>7659</v>
      </c>
      <c r="M262" s="158" t="s">
        <v>7661</v>
      </c>
    </row>
    <row r="263" spans="1:13">
      <c r="A263" s="158" t="s">
        <v>7729</v>
      </c>
      <c r="B263" s="158" t="s">
        <v>7731</v>
      </c>
      <c r="L263" s="158" t="s">
        <v>6559</v>
      </c>
      <c r="M263" s="158" t="s">
        <v>6561</v>
      </c>
    </row>
    <row r="264" spans="1:13">
      <c r="A264" s="158" t="s">
        <v>7505</v>
      </c>
      <c r="B264" s="158" t="s">
        <v>7507</v>
      </c>
      <c r="L264" s="158" t="s">
        <v>6932</v>
      </c>
      <c r="M264" s="158" t="s">
        <v>6934</v>
      </c>
    </row>
    <row r="265" spans="1:13">
      <c r="A265" s="158" t="s">
        <v>6644</v>
      </c>
      <c r="B265" s="158" t="s">
        <v>6646</v>
      </c>
      <c r="L265" s="158" t="s">
        <v>6372</v>
      </c>
      <c r="M265" s="158" t="s">
        <v>6374</v>
      </c>
    </row>
    <row r="266" spans="1:13">
      <c r="A266" s="158" t="s">
        <v>7427</v>
      </c>
      <c r="B266" s="158" t="s">
        <v>7429</v>
      </c>
      <c r="L266" s="158" t="s">
        <v>6878</v>
      </c>
      <c r="M266" s="158" t="s">
        <v>6880</v>
      </c>
    </row>
    <row r="267" spans="1:13">
      <c r="A267" s="158" t="s">
        <v>7472</v>
      </c>
      <c r="B267" s="158" t="s">
        <v>7474</v>
      </c>
      <c r="L267" s="158" t="s">
        <v>8421</v>
      </c>
      <c r="M267" s="158" t="s">
        <v>8422</v>
      </c>
    </row>
    <row r="268" spans="1:13">
      <c r="A268" s="158" t="s">
        <v>7090</v>
      </c>
      <c r="B268" s="158" t="s">
        <v>7092</v>
      </c>
      <c r="L268" s="158" t="s">
        <v>6505</v>
      </c>
      <c r="M268" s="158" t="s">
        <v>6507</v>
      </c>
    </row>
    <row r="269" spans="1:13">
      <c r="A269" s="158" t="s">
        <v>7649</v>
      </c>
      <c r="B269" s="158" t="s">
        <v>7651</v>
      </c>
      <c r="L269" s="158" t="s">
        <v>6689</v>
      </c>
      <c r="M269" s="158" t="s">
        <v>6691</v>
      </c>
    </row>
    <row r="270" spans="1:13">
      <c r="A270" s="158" t="s">
        <v>6996</v>
      </c>
      <c r="B270" s="158" t="s">
        <v>6998</v>
      </c>
      <c r="L270" s="158" t="s">
        <v>7283</v>
      </c>
      <c r="M270" s="158" t="s">
        <v>7285</v>
      </c>
    </row>
    <row r="271" spans="1:13">
      <c r="A271" s="158" t="s">
        <v>7739</v>
      </c>
      <c r="B271" s="158" t="s">
        <v>7741</v>
      </c>
      <c r="L271" s="158" t="s">
        <v>8301</v>
      </c>
      <c r="M271" s="158" t="s">
        <v>8302</v>
      </c>
    </row>
    <row r="272" spans="1:13">
      <c r="A272" s="158" t="s">
        <v>7694</v>
      </c>
      <c r="B272" s="158" t="s">
        <v>7696</v>
      </c>
      <c r="L272" s="158" t="s">
        <v>7817</v>
      </c>
      <c r="M272" s="158" t="s">
        <v>7818</v>
      </c>
    </row>
    <row r="273" spans="1:13">
      <c r="A273" s="158" t="s">
        <v>6609</v>
      </c>
      <c r="B273" s="158" t="s">
        <v>6611</v>
      </c>
      <c r="L273" s="158" t="s">
        <v>7105</v>
      </c>
      <c r="M273" s="158" t="s">
        <v>7107</v>
      </c>
    </row>
    <row r="274" spans="1:13">
      <c r="A274" s="158" t="s">
        <v>7845</v>
      </c>
      <c r="B274" s="158" t="s">
        <v>7846</v>
      </c>
      <c r="C274" s="158" t="s">
        <v>10275</v>
      </c>
      <c r="D274" s="158" t="s">
        <v>10276</v>
      </c>
      <c r="L274" s="158" t="s">
        <v>8297</v>
      </c>
      <c r="M274" s="158" t="s">
        <v>8298</v>
      </c>
    </row>
    <row r="275" spans="1:13">
      <c r="A275" s="158" t="s">
        <v>6956</v>
      </c>
      <c r="B275" s="158" t="s">
        <v>6958</v>
      </c>
      <c r="C275" s="158" t="s">
        <v>10277</v>
      </c>
      <c r="D275" s="158" t="s">
        <v>10278</v>
      </c>
      <c r="L275" s="158" t="s">
        <v>6323</v>
      </c>
      <c r="M275" s="158" t="s">
        <v>6325</v>
      </c>
    </row>
    <row r="276" spans="1:13">
      <c r="A276" s="158" t="s">
        <v>7228</v>
      </c>
      <c r="B276" s="158" t="s">
        <v>7230</v>
      </c>
      <c r="C276" s="158" t="s">
        <v>10279</v>
      </c>
      <c r="D276" s="158" t="s">
        <v>10280</v>
      </c>
      <c r="L276" s="158" t="s">
        <v>6769</v>
      </c>
      <c r="M276" s="158" t="s">
        <v>6771</v>
      </c>
    </row>
    <row r="277" spans="1:13">
      <c r="A277" s="158" t="s">
        <v>6892</v>
      </c>
      <c r="B277" s="158" t="s">
        <v>6894</v>
      </c>
      <c r="C277" s="158" t="s">
        <v>10281</v>
      </c>
      <c r="D277" s="158" t="s">
        <v>10282</v>
      </c>
      <c r="L277" s="158" t="s">
        <v>8340</v>
      </c>
      <c r="M277" s="158" t="s">
        <v>8341</v>
      </c>
    </row>
    <row r="278" spans="1:13">
      <c r="A278" s="158" t="s">
        <v>6422</v>
      </c>
      <c r="B278" s="158" t="s">
        <v>6424</v>
      </c>
      <c r="C278" s="158" t="s">
        <v>10283</v>
      </c>
      <c r="D278" s="158" t="s">
        <v>10284</v>
      </c>
      <c r="L278" s="158" t="s">
        <v>6937</v>
      </c>
      <c r="M278" s="158" t="s">
        <v>6939</v>
      </c>
    </row>
    <row r="279" spans="1:13">
      <c r="A279" s="158" t="s">
        <v>8034</v>
      </c>
      <c r="B279" s="158" t="s">
        <v>8035</v>
      </c>
      <c r="C279" s="158" t="s">
        <v>10285</v>
      </c>
      <c r="D279" s="158" t="s">
        <v>10286</v>
      </c>
      <c r="L279" s="158" t="s">
        <v>8313</v>
      </c>
      <c r="M279" s="158" t="s">
        <v>8314</v>
      </c>
    </row>
    <row r="280" spans="1:13">
      <c r="A280" s="158" t="s">
        <v>6951</v>
      </c>
      <c r="B280" s="158" t="s">
        <v>6953</v>
      </c>
      <c r="C280" s="158" t="s">
        <v>10287</v>
      </c>
      <c r="D280" s="158" t="s">
        <v>10288</v>
      </c>
      <c r="L280" s="158" t="s">
        <v>6457</v>
      </c>
      <c r="M280" s="158" t="s">
        <v>6459</v>
      </c>
    </row>
    <row r="281" spans="1:13">
      <c r="A281" s="158" t="s">
        <v>7769</v>
      </c>
      <c r="B281" s="158" t="s">
        <v>7771</v>
      </c>
      <c r="C281" s="158" t="s">
        <v>10289</v>
      </c>
      <c r="D281" s="158" t="s">
        <v>10290</v>
      </c>
      <c r="L281" s="158" t="s">
        <v>8309</v>
      </c>
      <c r="M281" s="158" t="s">
        <v>8310</v>
      </c>
    </row>
    <row r="282" spans="1:13">
      <c r="A282" s="158" t="s">
        <v>6447</v>
      </c>
      <c r="B282" s="158" t="s">
        <v>6449</v>
      </c>
      <c r="C282" s="158" t="s">
        <v>10291</v>
      </c>
      <c r="D282" s="158" t="s">
        <v>10292</v>
      </c>
      <c r="L282" s="312" t="s">
        <v>8371</v>
      </c>
      <c r="M282" s="158" t="s">
        <v>8372</v>
      </c>
    </row>
    <row r="283" spans="1:13">
      <c r="A283" s="158" t="s">
        <v>6649</v>
      </c>
      <c r="B283" s="158" t="s">
        <v>6651</v>
      </c>
      <c r="C283" s="158" t="s">
        <v>10293</v>
      </c>
      <c r="D283" s="158" t="s">
        <v>10294</v>
      </c>
      <c r="L283" s="158" t="s">
        <v>6659</v>
      </c>
      <c r="M283" s="158" t="s">
        <v>6661</v>
      </c>
    </row>
    <row r="284" spans="1:13">
      <c r="A284" s="158" t="s">
        <v>6878</v>
      </c>
      <c r="B284" s="158" t="s">
        <v>6880</v>
      </c>
      <c r="C284" s="158" t="s">
        <v>10295</v>
      </c>
      <c r="D284" s="158" t="s">
        <v>10296</v>
      </c>
      <c r="L284" s="158" t="s">
        <v>8336</v>
      </c>
      <c r="M284" s="158" t="s">
        <v>8337</v>
      </c>
    </row>
    <row r="285" spans="1:13">
      <c r="A285" s="158" t="s">
        <v>7115</v>
      </c>
      <c r="B285" s="158" t="s">
        <v>7117</v>
      </c>
      <c r="C285" s="158" t="s">
        <v>10297</v>
      </c>
      <c r="D285" s="158" t="s">
        <v>10298</v>
      </c>
      <c r="L285" s="158" t="s">
        <v>7593</v>
      </c>
      <c r="M285" s="158" t="s">
        <v>7594</v>
      </c>
    </row>
    <row r="286" spans="1:13">
      <c r="A286" s="158" t="s">
        <v>7813</v>
      </c>
      <c r="B286" s="158" t="s">
        <v>7814</v>
      </c>
      <c r="C286" s="158" t="s">
        <v>10299</v>
      </c>
      <c r="D286" s="158" t="s">
        <v>10300</v>
      </c>
      <c r="L286" s="158" t="s">
        <v>8273</v>
      </c>
      <c r="M286" s="158" t="s">
        <v>8274</v>
      </c>
    </row>
    <row r="287" spans="1:13">
      <c r="A287" s="158" t="s">
        <v>7910</v>
      </c>
      <c r="B287" s="158" t="s">
        <v>7911</v>
      </c>
      <c r="C287" s="158" t="s">
        <v>10301</v>
      </c>
      <c r="D287" s="158" t="s">
        <v>10302</v>
      </c>
      <c r="L287" s="158" t="s">
        <v>7714</v>
      </c>
      <c r="M287" s="158" t="s">
        <v>7716</v>
      </c>
    </row>
    <row r="288" spans="1:13">
      <c r="A288" s="158" t="s">
        <v>8289</v>
      </c>
      <c r="B288" s="158" t="s">
        <v>8290</v>
      </c>
      <c r="C288" s="158" t="s">
        <v>10303</v>
      </c>
      <c r="D288" s="158" t="s">
        <v>10304</v>
      </c>
      <c r="L288" s="158" t="s">
        <v>7432</v>
      </c>
      <c r="M288" s="158" t="s">
        <v>7433</v>
      </c>
    </row>
    <row r="289" spans="1:13">
      <c r="A289" s="158" t="s">
        <v>7659</v>
      </c>
      <c r="B289" s="158" t="s">
        <v>7661</v>
      </c>
      <c r="C289" s="158" t="s">
        <v>10305</v>
      </c>
      <c r="D289" s="158" t="s">
        <v>10306</v>
      </c>
      <c r="L289" s="158" t="s">
        <v>8186</v>
      </c>
      <c r="M289" s="158" t="s">
        <v>8187</v>
      </c>
    </row>
    <row r="290" spans="1:13">
      <c r="A290" s="158" t="s">
        <v>6559</v>
      </c>
      <c r="B290" s="158" t="s">
        <v>6561</v>
      </c>
      <c r="C290" s="158" t="s">
        <v>10307</v>
      </c>
      <c r="D290" s="158" t="s">
        <v>10308</v>
      </c>
      <c r="L290" s="158" t="s">
        <v>6902</v>
      </c>
      <c r="M290" s="158" t="s">
        <v>6904</v>
      </c>
    </row>
    <row r="291" spans="1:13">
      <c r="A291" s="158" t="s">
        <v>6372</v>
      </c>
      <c r="B291" s="158" t="s">
        <v>6374</v>
      </c>
      <c r="C291" s="158" t="s">
        <v>10309</v>
      </c>
      <c r="D291" s="158" t="s">
        <v>10310</v>
      </c>
      <c r="L291" s="158" t="s">
        <v>8190</v>
      </c>
      <c r="M291" s="158" t="s">
        <v>8191</v>
      </c>
    </row>
    <row r="292" spans="1:13">
      <c r="A292" s="158" t="s">
        <v>7444</v>
      </c>
      <c r="B292" s="158" t="s">
        <v>7445</v>
      </c>
      <c r="C292" s="158" t="s">
        <v>10311</v>
      </c>
      <c r="D292" s="158" t="s">
        <v>10312</v>
      </c>
      <c r="L292" s="158" t="s">
        <v>8174</v>
      </c>
      <c r="M292" s="158" t="s">
        <v>8175</v>
      </c>
    </row>
    <row r="293" spans="1:13">
      <c r="A293" s="158" t="s">
        <v>7263</v>
      </c>
      <c r="B293" s="158" t="s">
        <v>7265</v>
      </c>
      <c r="C293" s="158" t="s">
        <v>10313</v>
      </c>
      <c r="D293" s="158" t="s">
        <v>10314</v>
      </c>
      <c r="L293" s="158" t="s">
        <v>7825</v>
      </c>
      <c r="M293" s="158" t="s">
        <v>7826</v>
      </c>
    </row>
    <row r="294" spans="1:13">
      <c r="A294" s="158" t="s">
        <v>8421</v>
      </c>
      <c r="B294" s="158" t="s">
        <v>8422</v>
      </c>
      <c r="C294" s="158" t="s">
        <v>10315</v>
      </c>
      <c r="D294" s="158" t="s">
        <v>10316</v>
      </c>
      <c r="L294" s="158" t="s">
        <v>7006</v>
      </c>
      <c r="M294" s="158" t="s">
        <v>7008</v>
      </c>
    </row>
    <row r="295" spans="1:13">
      <c r="A295" s="158" t="s">
        <v>7283</v>
      </c>
      <c r="B295" s="158" t="s">
        <v>7285</v>
      </c>
      <c r="C295" s="158" t="s">
        <v>10317</v>
      </c>
      <c r="D295" s="158" t="s">
        <v>10318</v>
      </c>
      <c r="L295" s="158" t="s">
        <v>6298</v>
      </c>
      <c r="M295" s="158" t="s">
        <v>6300</v>
      </c>
    </row>
    <row r="296" spans="1:13">
      <c r="A296" s="158" t="s">
        <v>8293</v>
      </c>
      <c r="B296" s="158" t="s">
        <v>8294</v>
      </c>
      <c r="C296" s="158" t="s">
        <v>10319</v>
      </c>
      <c r="D296" s="158" t="s">
        <v>10320</v>
      </c>
      <c r="L296" s="158" t="s">
        <v>8321</v>
      </c>
      <c r="M296" s="158" t="s">
        <v>8322</v>
      </c>
    </row>
    <row r="297" spans="1:13">
      <c r="A297" s="158" t="s">
        <v>8297</v>
      </c>
      <c r="B297" s="158" t="s">
        <v>8298</v>
      </c>
      <c r="C297" s="158" t="s">
        <v>10321</v>
      </c>
      <c r="D297" s="158" t="s">
        <v>10322</v>
      </c>
      <c r="L297" s="158" t="s">
        <v>7387</v>
      </c>
      <c r="M297" s="158" t="s">
        <v>7389</v>
      </c>
    </row>
    <row r="298" spans="1:13">
      <c r="A298" s="158" t="s">
        <v>7238</v>
      </c>
      <c r="B298" s="158" t="s">
        <v>7240</v>
      </c>
      <c r="C298" s="158" t="s">
        <v>10323</v>
      </c>
      <c r="D298" s="158" t="s">
        <v>10324</v>
      </c>
      <c r="L298" s="158" t="s">
        <v>6619</v>
      </c>
      <c r="M298" s="158" t="s">
        <v>6621</v>
      </c>
    </row>
    <row r="299" spans="1:13">
      <c r="A299" s="158" t="s">
        <v>7817</v>
      </c>
      <c r="B299" s="158" t="s">
        <v>7818</v>
      </c>
      <c r="C299" s="158" t="s">
        <v>10325</v>
      </c>
      <c r="D299" s="158" t="s">
        <v>10326</v>
      </c>
      <c r="L299" s="158" t="s">
        <v>8277</v>
      </c>
      <c r="M299" s="158" t="s">
        <v>8278</v>
      </c>
    </row>
    <row r="300" spans="1:13">
      <c r="A300" s="158" t="s">
        <v>8301</v>
      </c>
      <c r="B300" s="158" t="s">
        <v>8302</v>
      </c>
      <c r="C300" s="158" t="s">
        <v>10327</v>
      </c>
      <c r="D300" s="158" t="s">
        <v>10328</v>
      </c>
      <c r="L300" s="158" t="s">
        <v>6654</v>
      </c>
      <c r="M300" s="158" t="s">
        <v>6656</v>
      </c>
    </row>
    <row r="301" spans="1:13">
      <c r="A301" s="158" t="s">
        <v>6323</v>
      </c>
      <c r="B301" s="158" t="s">
        <v>6325</v>
      </c>
      <c r="C301" s="158" t="s">
        <v>10329</v>
      </c>
      <c r="D301" s="158" t="s">
        <v>10330</v>
      </c>
      <c r="L301" s="158" t="s">
        <v>7664</v>
      </c>
      <c r="M301" s="158" t="s">
        <v>7666</v>
      </c>
    </row>
    <row r="302" spans="1:13">
      <c r="A302" s="158" t="s">
        <v>6769</v>
      </c>
      <c r="B302" s="158" t="s">
        <v>6771</v>
      </c>
      <c r="C302" s="158" t="s">
        <v>10331</v>
      </c>
      <c r="D302" s="158" t="s">
        <v>10332</v>
      </c>
      <c r="L302" s="158" t="s">
        <v>6481</v>
      </c>
      <c r="M302" s="158" t="s">
        <v>6483</v>
      </c>
    </row>
    <row r="303" spans="1:13">
      <c r="A303" s="158" t="s">
        <v>6689</v>
      </c>
      <c r="B303" s="158" t="s">
        <v>6691</v>
      </c>
      <c r="C303" s="158" t="s">
        <v>10333</v>
      </c>
      <c r="D303" s="158" t="s">
        <v>10334</v>
      </c>
      <c r="L303" s="158" t="s">
        <v>7407</v>
      </c>
      <c r="M303" s="158" t="s">
        <v>7409</v>
      </c>
    </row>
    <row r="304" spans="1:13">
      <c r="A304" s="158" t="s">
        <v>7105</v>
      </c>
      <c r="B304" s="158" t="s">
        <v>7107</v>
      </c>
      <c r="C304" s="158" t="s">
        <v>10335</v>
      </c>
      <c r="D304" s="158" t="s">
        <v>10336</v>
      </c>
      <c r="L304" s="158" t="s">
        <v>7962</v>
      </c>
      <c r="M304" s="158" t="s">
        <v>7963</v>
      </c>
    </row>
    <row r="305" spans="1:13">
      <c r="A305" s="158" t="s">
        <v>6654</v>
      </c>
      <c r="B305" s="158" t="s">
        <v>6656</v>
      </c>
      <c r="C305" s="158" t="s">
        <v>10337</v>
      </c>
      <c r="D305" s="158" t="s">
        <v>10338</v>
      </c>
      <c r="L305" s="158" t="s">
        <v>7288</v>
      </c>
      <c r="M305" s="158" t="s">
        <v>7290</v>
      </c>
    </row>
    <row r="306" spans="1:13">
      <c r="A306" s="158" t="s">
        <v>8321</v>
      </c>
      <c r="B306" s="158" t="s">
        <v>8322</v>
      </c>
      <c r="C306" s="158" t="s">
        <v>10339</v>
      </c>
      <c r="D306" s="158" t="s">
        <v>10340</v>
      </c>
      <c r="L306" s="158" t="s">
        <v>6427</v>
      </c>
      <c r="M306" s="158" t="s">
        <v>6429</v>
      </c>
    </row>
    <row r="307" spans="1:13">
      <c r="A307" s="158" t="s">
        <v>6298</v>
      </c>
      <c r="B307" s="158" t="s">
        <v>6300</v>
      </c>
      <c r="C307" s="158" t="s">
        <v>10341</v>
      </c>
      <c r="D307" s="158" t="s">
        <v>10342</v>
      </c>
      <c r="L307" s="158" t="s">
        <v>8061</v>
      </c>
      <c r="M307" s="158" t="s">
        <v>8062</v>
      </c>
    </row>
    <row r="308" spans="1:13">
      <c r="A308" s="158" t="s">
        <v>6619</v>
      </c>
      <c r="B308" s="158" t="s">
        <v>6621</v>
      </c>
      <c r="C308" s="158" t="s">
        <v>10343</v>
      </c>
      <c r="D308" s="158" t="s">
        <v>10344</v>
      </c>
      <c r="L308" s="158" t="s">
        <v>6452</v>
      </c>
      <c r="M308" s="158" t="s">
        <v>6454</v>
      </c>
    </row>
    <row r="309" spans="1:13">
      <c r="A309" s="158" t="s">
        <v>8332</v>
      </c>
      <c r="B309" s="158" t="s">
        <v>8333</v>
      </c>
      <c r="C309" s="158" t="s">
        <v>10345</v>
      </c>
      <c r="D309" s="158" t="s">
        <v>10346</v>
      </c>
      <c r="L309" s="158" t="s">
        <v>7654</v>
      </c>
      <c r="M309" s="158" t="s">
        <v>7656</v>
      </c>
    </row>
    <row r="310" spans="1:13">
      <c r="A310" s="158" t="s">
        <v>6937</v>
      </c>
      <c r="B310" s="158" t="s">
        <v>6939</v>
      </c>
      <c r="C310" s="158" t="s">
        <v>10347</v>
      </c>
      <c r="D310" s="158" t="s">
        <v>10348</v>
      </c>
      <c r="L310" s="158" t="s">
        <v>7179</v>
      </c>
      <c r="M310" s="158" t="s">
        <v>7181</v>
      </c>
    </row>
    <row r="311" spans="1:13">
      <c r="A311" s="158" t="s">
        <v>8336</v>
      </c>
      <c r="B311" s="158" t="s">
        <v>8337</v>
      </c>
      <c r="C311" s="158" t="s">
        <v>10349</v>
      </c>
      <c r="D311" s="158" t="s">
        <v>10350</v>
      </c>
      <c r="L311" s="158" t="s">
        <v>7534</v>
      </c>
      <c r="M311" s="158" t="s">
        <v>7536</v>
      </c>
    </row>
    <row r="312" spans="1:13">
      <c r="A312" s="158" t="s">
        <v>6674</v>
      </c>
      <c r="B312" s="158" t="s">
        <v>6676</v>
      </c>
      <c r="C312" s="158" t="s">
        <v>10351</v>
      </c>
      <c r="D312" s="158" t="s">
        <v>10352</v>
      </c>
      <c r="L312" s="158" t="s">
        <v>7898</v>
      </c>
      <c r="M312" s="158" t="s">
        <v>7899</v>
      </c>
    </row>
    <row r="313" spans="1:13">
      <c r="A313" s="312" t="s">
        <v>8371</v>
      </c>
      <c r="B313" s="158" t="s">
        <v>8372</v>
      </c>
      <c r="C313" s="158" t="s">
        <v>10353</v>
      </c>
      <c r="D313" s="158" t="s">
        <v>10354</v>
      </c>
      <c r="L313" s="158" t="s">
        <v>8045</v>
      </c>
      <c r="M313" s="158" t="s">
        <v>8046</v>
      </c>
    </row>
    <row r="314" spans="1:13">
      <c r="A314" s="158" t="s">
        <v>6481</v>
      </c>
      <c r="B314" s="158" t="s">
        <v>6483</v>
      </c>
      <c r="C314" s="158" t="s">
        <v>10355</v>
      </c>
      <c r="D314" s="158" t="s">
        <v>10356</v>
      </c>
      <c r="L314" s="158" t="s">
        <v>6674</v>
      </c>
      <c r="M314" s="158" t="s">
        <v>6676</v>
      </c>
    </row>
    <row r="315" spans="1:13">
      <c r="A315" s="158" t="s">
        <v>7387</v>
      </c>
      <c r="B315" s="158" t="s">
        <v>7389</v>
      </c>
      <c r="C315" s="158" t="s">
        <v>10357</v>
      </c>
      <c r="D315" s="158" t="s">
        <v>10358</v>
      </c>
      <c r="L315" s="158" t="s">
        <v>8194</v>
      </c>
      <c r="M315" s="158" t="s">
        <v>8195</v>
      </c>
    </row>
    <row r="316" spans="1:13">
      <c r="A316" s="158" t="s">
        <v>8340</v>
      </c>
      <c r="B316" s="158" t="s">
        <v>8341</v>
      </c>
      <c r="C316" s="158" t="s">
        <v>10359</v>
      </c>
      <c r="D316" s="158" t="s">
        <v>10360</v>
      </c>
      <c r="L316" s="158" t="s">
        <v>6858</v>
      </c>
      <c r="M316" s="158" t="s">
        <v>6860</v>
      </c>
    </row>
    <row r="317" spans="1:13">
      <c r="A317" s="158" t="s">
        <v>8049</v>
      </c>
      <c r="B317" s="158" t="s">
        <v>8050</v>
      </c>
      <c r="C317" s="158" t="s">
        <v>10361</v>
      </c>
      <c r="D317" s="158" t="s">
        <v>10362</v>
      </c>
      <c r="L317" s="158" t="s">
        <v>7614</v>
      </c>
      <c r="M317" s="158" t="s">
        <v>7614</v>
      </c>
    </row>
    <row r="318" spans="1:13">
      <c r="A318" s="158" t="s">
        <v>7593</v>
      </c>
      <c r="B318" s="158" t="s">
        <v>7594</v>
      </c>
      <c r="C318" s="158" t="s">
        <v>10363</v>
      </c>
      <c r="D318" s="158" t="s">
        <v>10364</v>
      </c>
      <c r="L318" s="158" t="s">
        <v>8198</v>
      </c>
      <c r="M318" s="158" t="s">
        <v>8199</v>
      </c>
    </row>
    <row r="319" spans="1:13">
      <c r="A319" s="158" t="s">
        <v>8273</v>
      </c>
      <c r="B319" s="158" t="s">
        <v>8274</v>
      </c>
      <c r="C319" s="158" t="s">
        <v>10365</v>
      </c>
      <c r="D319" s="158" t="s">
        <v>10366</v>
      </c>
      <c r="L319" s="158" t="s">
        <v>8049</v>
      </c>
      <c r="M319" s="158" t="s">
        <v>8050</v>
      </c>
    </row>
    <row r="320" spans="1:13">
      <c r="A320" s="312" t="s">
        <v>8425</v>
      </c>
      <c r="B320" s="312" t="s">
        <v>8426</v>
      </c>
      <c r="L320" s="158" t="s">
        <v>6432</v>
      </c>
      <c r="M320" s="158" t="s">
        <v>6434</v>
      </c>
    </row>
    <row r="321" spans="1:13">
      <c r="A321" s="158" t="s">
        <v>8277</v>
      </c>
      <c r="B321" s="158" t="s">
        <v>8278</v>
      </c>
      <c r="C321" s="158" t="s">
        <v>10367</v>
      </c>
      <c r="D321" s="158" t="s">
        <v>10368</v>
      </c>
      <c r="L321" s="158" t="s">
        <v>7273</v>
      </c>
      <c r="M321" s="158" t="s">
        <v>7275</v>
      </c>
    </row>
    <row r="322" spans="1:13">
      <c r="A322" s="158" t="s">
        <v>6659</v>
      </c>
      <c r="B322" s="158" t="s">
        <v>6661</v>
      </c>
      <c r="C322" s="158" t="s">
        <v>10369</v>
      </c>
      <c r="D322" s="158" t="s">
        <v>10370</v>
      </c>
      <c r="L322" s="158" t="s">
        <v>7189</v>
      </c>
      <c r="M322" s="158" t="s">
        <v>7191</v>
      </c>
    </row>
    <row r="323" spans="1:13">
      <c r="A323" s="158" t="s">
        <v>7714</v>
      </c>
      <c r="B323" s="158" t="s">
        <v>7716</v>
      </c>
      <c r="C323" s="158" t="s">
        <v>10371</v>
      </c>
      <c r="D323" s="158" t="s">
        <v>10372</v>
      </c>
      <c r="L323" s="158" t="s">
        <v>7724</v>
      </c>
      <c r="M323" s="158" t="s">
        <v>7726</v>
      </c>
    </row>
    <row r="324" spans="1:13">
      <c r="A324" s="158" t="s">
        <v>8309</v>
      </c>
      <c r="B324" s="158" t="s">
        <v>8310</v>
      </c>
      <c r="C324" s="158" t="s">
        <v>10373</v>
      </c>
      <c r="D324" s="158" t="s">
        <v>10374</v>
      </c>
      <c r="L324" s="158" t="s">
        <v>8355</v>
      </c>
      <c r="M324" s="158" t="s">
        <v>8356</v>
      </c>
    </row>
    <row r="325" spans="1:13">
      <c r="A325" s="158" t="s">
        <v>8313</v>
      </c>
      <c r="B325" s="158" t="s">
        <v>8314</v>
      </c>
      <c r="C325" s="158" t="s">
        <v>10375</v>
      </c>
      <c r="D325" s="158" t="s">
        <v>10376</v>
      </c>
      <c r="L325" s="158" t="s">
        <v>8351</v>
      </c>
      <c r="M325" s="158" t="s">
        <v>8352</v>
      </c>
    </row>
    <row r="326" spans="1:13">
      <c r="A326" s="158" t="s">
        <v>6902</v>
      </c>
      <c r="B326" s="158" t="s">
        <v>6904</v>
      </c>
      <c r="C326" s="158" t="s">
        <v>10377</v>
      </c>
      <c r="D326" s="158" t="s">
        <v>10378</v>
      </c>
      <c r="L326" s="158" t="s">
        <v>7278</v>
      </c>
      <c r="M326" s="158" t="s">
        <v>7280</v>
      </c>
    </row>
    <row r="327" spans="1:13">
      <c r="A327" s="158" t="s">
        <v>6457</v>
      </c>
      <c r="B327" s="158" t="s">
        <v>6459</v>
      </c>
      <c r="C327" s="158" t="s">
        <v>10379</v>
      </c>
      <c r="D327" s="158" t="s">
        <v>10380</v>
      </c>
      <c r="L327" s="158" t="s">
        <v>7556</v>
      </c>
      <c r="M327" s="158" t="s">
        <v>7558</v>
      </c>
    </row>
    <row r="328" spans="1:13">
      <c r="A328" s="158" t="s">
        <v>7664</v>
      </c>
      <c r="B328" s="158" t="s">
        <v>7666</v>
      </c>
      <c r="C328" s="158" t="s">
        <v>10381</v>
      </c>
      <c r="D328" s="158" t="s">
        <v>10382</v>
      </c>
      <c r="L328" s="158" t="s">
        <v>7486</v>
      </c>
      <c r="M328" s="158" t="s">
        <v>7488</v>
      </c>
    </row>
    <row r="329" spans="1:13">
      <c r="A329" s="158" t="s">
        <v>7407</v>
      </c>
      <c r="B329" s="158" t="s">
        <v>7409</v>
      </c>
      <c r="C329" s="158" t="s">
        <v>10383</v>
      </c>
      <c r="D329" s="158" t="s">
        <v>10384</v>
      </c>
      <c r="L329" s="158" t="s">
        <v>6303</v>
      </c>
      <c r="M329" s="158" t="s">
        <v>6305</v>
      </c>
    </row>
    <row r="330" spans="1:13">
      <c r="A330" s="158" t="s">
        <v>7894</v>
      </c>
      <c r="B330" s="158" t="s">
        <v>7895</v>
      </c>
      <c r="C330" s="158" t="s">
        <v>10385</v>
      </c>
      <c r="D330" s="158" t="s">
        <v>10386</v>
      </c>
      <c r="L330" s="158" t="s">
        <v>6629</v>
      </c>
      <c r="M330" s="158" t="s">
        <v>6631</v>
      </c>
    </row>
    <row r="331" spans="1:13">
      <c r="A331" s="158" t="s">
        <v>8061</v>
      </c>
      <c r="B331" s="158" t="s">
        <v>8062</v>
      </c>
      <c r="C331" s="158" t="s">
        <v>10387</v>
      </c>
      <c r="D331" s="158" t="s">
        <v>10388</v>
      </c>
      <c r="L331" s="158" t="s">
        <v>7966</v>
      </c>
      <c r="M331" s="158" t="s">
        <v>7967</v>
      </c>
    </row>
    <row r="332" spans="1:13">
      <c r="A332" s="158" t="s">
        <v>7179</v>
      </c>
      <c r="B332" s="158" t="s">
        <v>7181</v>
      </c>
      <c r="C332" s="158" t="s">
        <v>10389</v>
      </c>
      <c r="D332" s="158" t="s">
        <v>10390</v>
      </c>
      <c r="L332" s="158" t="s">
        <v>6417</v>
      </c>
      <c r="M332" s="158" t="s">
        <v>6419</v>
      </c>
    </row>
    <row r="333" spans="1:13">
      <c r="A333" s="158" t="s">
        <v>8045</v>
      </c>
      <c r="B333" s="158" t="s">
        <v>8046</v>
      </c>
      <c r="C333" s="158" t="s">
        <v>10391</v>
      </c>
      <c r="D333" s="158" t="s">
        <v>10392</v>
      </c>
      <c r="L333" s="158" t="s">
        <v>8202</v>
      </c>
      <c r="M333" s="158" t="s">
        <v>8203</v>
      </c>
    </row>
    <row r="334" spans="1:13">
      <c r="A334" s="158" t="s">
        <v>7534</v>
      </c>
      <c r="B334" s="158" t="s">
        <v>7536</v>
      </c>
      <c r="C334" s="158" t="s">
        <v>10393</v>
      </c>
      <c r="D334" s="158" t="s">
        <v>10394</v>
      </c>
      <c r="L334" s="158" t="s">
        <v>6515</v>
      </c>
      <c r="M334" s="158" t="s">
        <v>6517</v>
      </c>
    </row>
    <row r="335" spans="1:13">
      <c r="A335" s="158" t="s">
        <v>7654</v>
      </c>
      <c r="B335" s="158" t="s">
        <v>7656</v>
      </c>
      <c r="C335" s="158" t="s">
        <v>10395</v>
      </c>
      <c r="D335" s="158" t="s">
        <v>10396</v>
      </c>
      <c r="L335" s="158" t="s">
        <v>7491</v>
      </c>
      <c r="M335" s="158" t="s">
        <v>8344</v>
      </c>
    </row>
    <row r="336" spans="1:13">
      <c r="A336" s="158" t="s">
        <v>6427</v>
      </c>
      <c r="B336" s="158" t="s">
        <v>6429</v>
      </c>
      <c r="C336" s="158" t="s">
        <v>10397</v>
      </c>
      <c r="D336" s="158" t="s">
        <v>10398</v>
      </c>
      <c r="L336" s="158" t="s">
        <v>6976</v>
      </c>
      <c r="M336" s="158" t="s">
        <v>6978</v>
      </c>
    </row>
    <row r="337" spans="1:13">
      <c r="A337" s="158" t="s">
        <v>6432</v>
      </c>
      <c r="B337" s="158" t="s">
        <v>6434</v>
      </c>
      <c r="C337" s="158" t="s">
        <v>10399</v>
      </c>
      <c r="D337" s="158" t="s">
        <v>10400</v>
      </c>
      <c r="L337" s="158" t="s">
        <v>10401</v>
      </c>
      <c r="M337" s="158" t="s">
        <v>8237</v>
      </c>
    </row>
    <row r="338" spans="1:13">
      <c r="A338" s="158" t="s">
        <v>7352</v>
      </c>
      <c r="B338" s="158" t="s">
        <v>7354</v>
      </c>
      <c r="C338" s="158" t="s">
        <v>10402</v>
      </c>
      <c r="D338" s="158" t="s">
        <v>10403</v>
      </c>
      <c r="L338" s="158" t="s">
        <v>8347</v>
      </c>
      <c r="M338" s="158" t="s">
        <v>8348</v>
      </c>
    </row>
    <row r="339" spans="1:13">
      <c r="A339" s="158" t="s">
        <v>7165</v>
      </c>
      <c r="B339" s="158" t="s">
        <v>7165</v>
      </c>
      <c r="L339" s="158" t="s">
        <v>6397</v>
      </c>
      <c r="M339" s="158" t="s">
        <v>6399</v>
      </c>
    </row>
    <row r="340" spans="1:13">
      <c r="A340" s="158" t="s">
        <v>7614</v>
      </c>
      <c r="B340" s="158" t="s">
        <v>7614</v>
      </c>
      <c r="L340" s="158" t="s">
        <v>6789</v>
      </c>
      <c r="M340" s="158" t="s">
        <v>6791</v>
      </c>
    </row>
    <row r="341" spans="1:13">
      <c r="A341" s="158" t="s">
        <v>7288</v>
      </c>
      <c r="B341" s="158" t="s">
        <v>7290</v>
      </c>
      <c r="C341" s="158" t="s">
        <v>10404</v>
      </c>
      <c r="D341" s="158" t="s">
        <v>10405</v>
      </c>
      <c r="L341" s="158" t="s">
        <v>8240</v>
      </c>
      <c r="M341" s="158" t="s">
        <v>8240</v>
      </c>
    </row>
    <row r="342" spans="1:13">
      <c r="A342" s="158" t="s">
        <v>8022</v>
      </c>
      <c r="B342" s="158" t="s">
        <v>8023</v>
      </c>
      <c r="C342" s="158" t="s">
        <v>10406</v>
      </c>
      <c r="D342" s="158" t="s">
        <v>10407</v>
      </c>
      <c r="L342" s="158" t="s">
        <v>8243</v>
      </c>
      <c r="M342" s="158" t="s">
        <v>8243</v>
      </c>
    </row>
    <row r="343" spans="1:13">
      <c r="A343" s="158" t="s">
        <v>7962</v>
      </c>
      <c r="B343" s="158" t="s">
        <v>7963</v>
      </c>
      <c r="C343" s="158" t="s">
        <v>10408</v>
      </c>
      <c r="D343" s="158" t="s">
        <v>10409</v>
      </c>
      <c r="L343" s="158" t="s">
        <v>7402</v>
      </c>
      <c r="M343" s="158" t="s">
        <v>7404</v>
      </c>
    </row>
    <row r="344" spans="1:13">
      <c r="A344" s="158" t="s">
        <v>7898</v>
      </c>
      <c r="B344" s="158" t="s">
        <v>7899</v>
      </c>
      <c r="C344" s="158" t="s">
        <v>10410</v>
      </c>
      <c r="D344" s="158" t="s">
        <v>10411</v>
      </c>
      <c r="L344" s="158" t="s">
        <v>8030</v>
      </c>
      <c r="M344" s="158" t="s">
        <v>8031</v>
      </c>
    </row>
    <row r="345" spans="1:13">
      <c r="A345" s="158" t="s">
        <v>6452</v>
      </c>
      <c r="B345" s="158" t="s">
        <v>6454</v>
      </c>
      <c r="C345" s="158" t="s">
        <v>10412</v>
      </c>
      <c r="D345" s="158" t="s">
        <v>10413</v>
      </c>
      <c r="L345" s="158" t="s">
        <v>7882</v>
      </c>
      <c r="M345" s="158" t="s">
        <v>7883</v>
      </c>
    </row>
    <row r="346" spans="1:13">
      <c r="A346" s="158" t="s">
        <v>7189</v>
      </c>
      <c r="B346" s="158" t="s">
        <v>7191</v>
      </c>
      <c r="C346" s="158" t="s">
        <v>10414</v>
      </c>
      <c r="D346" s="158" t="s">
        <v>10415</v>
      </c>
      <c r="L346" s="158" t="s">
        <v>8289</v>
      </c>
      <c r="M346" s="158" t="s">
        <v>8290</v>
      </c>
    </row>
    <row r="347" spans="1:13">
      <c r="A347" s="158" t="s">
        <v>7278</v>
      </c>
      <c r="B347" s="158" t="s">
        <v>7280</v>
      </c>
      <c r="C347" s="158" t="s">
        <v>10416</v>
      </c>
      <c r="D347" s="158" t="s">
        <v>10417</v>
      </c>
      <c r="L347" s="158" t="s">
        <v>8293</v>
      </c>
      <c r="M347" s="158" t="s">
        <v>8294</v>
      </c>
    </row>
    <row r="348" spans="1:13">
      <c r="A348" s="158" t="s">
        <v>6303</v>
      </c>
      <c r="B348" s="158" t="s">
        <v>6305</v>
      </c>
      <c r="C348" s="158" t="s">
        <v>10418</v>
      </c>
      <c r="D348" s="158" t="s">
        <v>10419</v>
      </c>
      <c r="L348" s="158" t="s">
        <v>8332</v>
      </c>
      <c r="M348" s="158" t="s">
        <v>8333</v>
      </c>
    </row>
    <row r="349" spans="1:13">
      <c r="A349" s="158" t="s">
        <v>7821</v>
      </c>
      <c r="B349" s="158" t="s">
        <v>7822</v>
      </c>
      <c r="C349" s="158" t="s">
        <v>10420</v>
      </c>
      <c r="D349" s="158" t="s">
        <v>10421</v>
      </c>
      <c r="L349" s="158" t="s">
        <v>8281</v>
      </c>
      <c r="M349" s="158" t="s">
        <v>8282</v>
      </c>
    </row>
    <row r="350" spans="1:13">
      <c r="A350" s="158" t="s">
        <v>7556</v>
      </c>
      <c r="B350" s="158" t="s">
        <v>7558</v>
      </c>
      <c r="C350" s="158" t="s">
        <v>10422</v>
      </c>
      <c r="D350" s="158" t="s">
        <v>10423</v>
      </c>
      <c r="L350" s="158" t="s">
        <v>8390</v>
      </c>
      <c r="M350" s="158" t="s">
        <v>8391</v>
      </c>
    </row>
    <row r="351" spans="1:13">
      <c r="A351" s="158" t="s">
        <v>6629</v>
      </c>
      <c r="B351" s="158" t="s">
        <v>6631</v>
      </c>
      <c r="C351" s="158" t="s">
        <v>10424</v>
      </c>
      <c r="D351" s="158" t="s">
        <v>10425</v>
      </c>
      <c r="L351" s="158" t="s">
        <v>7036</v>
      </c>
      <c r="M351" s="158" t="s">
        <v>7037</v>
      </c>
    </row>
    <row r="352" spans="1:13">
      <c r="A352" s="158" t="s">
        <v>7724</v>
      </c>
      <c r="B352" s="158" t="s">
        <v>7726</v>
      </c>
      <c r="C352" s="158" t="s">
        <v>10426</v>
      </c>
      <c r="D352" s="158" t="s">
        <v>10427</v>
      </c>
      <c r="L352" s="158" t="s">
        <v>8053</v>
      </c>
      <c r="M352" s="158" t="s">
        <v>8054</v>
      </c>
    </row>
    <row r="353" spans="1:13">
      <c r="A353" s="158" t="s">
        <v>6417</v>
      </c>
      <c r="B353" s="158" t="s">
        <v>6419</v>
      </c>
      <c r="C353" s="158" t="s">
        <v>10428</v>
      </c>
      <c r="D353" s="158" t="s">
        <v>10429</v>
      </c>
      <c r="L353" s="158" t="s">
        <v>7938</v>
      </c>
      <c r="M353" s="158" t="s">
        <v>7939</v>
      </c>
    </row>
    <row r="354" spans="1:13">
      <c r="A354" s="158" t="s">
        <v>8281</v>
      </c>
      <c r="B354" s="158" t="s">
        <v>8282</v>
      </c>
      <c r="C354" s="158" t="s">
        <v>10430</v>
      </c>
      <c r="D354" s="158" t="s">
        <v>10431</v>
      </c>
      <c r="L354" s="158" t="s">
        <v>7233</v>
      </c>
      <c r="M354" s="158" t="s">
        <v>7235</v>
      </c>
    </row>
    <row r="355" spans="1:13">
      <c r="A355" s="158" t="s">
        <v>7966</v>
      </c>
      <c r="B355" s="158" t="s">
        <v>7967</v>
      </c>
      <c r="C355" s="158" t="s">
        <v>10432</v>
      </c>
      <c r="D355" s="158" t="s">
        <v>10433</v>
      </c>
      <c r="L355" s="158" t="s">
        <v>7876</v>
      </c>
      <c r="M355" s="158" t="s">
        <v>7876</v>
      </c>
    </row>
    <row r="356" spans="1:13">
      <c r="A356" s="158" t="s">
        <v>7491</v>
      </c>
      <c r="B356" s="158" t="s">
        <v>8344</v>
      </c>
      <c r="C356" s="158" t="s">
        <v>10434</v>
      </c>
      <c r="D356" s="158" t="s">
        <v>10435</v>
      </c>
      <c r="L356" s="158" t="s">
        <v>7337</v>
      </c>
      <c r="M356" s="158" t="s">
        <v>7339</v>
      </c>
    </row>
    <row r="357" spans="1:13">
      <c r="A357" s="158" t="s">
        <v>8351</v>
      </c>
      <c r="B357" s="158" t="s">
        <v>8352</v>
      </c>
      <c r="C357" s="158" t="s">
        <v>10436</v>
      </c>
      <c r="D357" s="158" t="s">
        <v>10437</v>
      </c>
      <c r="L357" s="158" t="s">
        <v>6714</v>
      </c>
      <c r="M357" s="158" t="s">
        <v>6716</v>
      </c>
    </row>
    <row r="358" spans="1:13">
      <c r="A358" s="158" t="s">
        <v>6515</v>
      </c>
      <c r="B358" s="158" t="s">
        <v>6517</v>
      </c>
      <c r="C358" s="158" t="s">
        <v>10438</v>
      </c>
      <c r="D358" s="158" t="s">
        <v>10439</v>
      </c>
      <c r="L358" s="158" t="s">
        <v>7906</v>
      </c>
      <c r="M358" s="158" t="s">
        <v>7907</v>
      </c>
    </row>
    <row r="359" spans="1:13">
      <c r="A359" s="158" t="s">
        <v>8355</v>
      </c>
      <c r="B359" s="158" t="s">
        <v>8356</v>
      </c>
      <c r="C359" s="158" t="s">
        <v>10440</v>
      </c>
      <c r="D359" s="158" t="s">
        <v>10441</v>
      </c>
      <c r="L359" s="158" t="s">
        <v>7879</v>
      </c>
      <c r="M359" s="158" t="s">
        <v>7879</v>
      </c>
    </row>
    <row r="360" spans="1:13">
      <c r="A360" s="158" t="s">
        <v>7486</v>
      </c>
      <c r="B360" s="158" t="s">
        <v>7488</v>
      </c>
      <c r="C360" s="158" t="s">
        <v>10442</v>
      </c>
      <c r="D360" s="158" t="s">
        <v>10443</v>
      </c>
      <c r="L360" s="158" t="s">
        <v>8382</v>
      </c>
      <c r="M360" s="158" t="s">
        <v>8383</v>
      </c>
    </row>
    <row r="361" spans="1:13">
      <c r="A361" s="158" t="s">
        <v>6976</v>
      </c>
      <c r="B361" s="158" t="s">
        <v>6978</v>
      </c>
      <c r="C361" s="158" t="s">
        <v>10444</v>
      </c>
      <c r="D361" s="158" t="s">
        <v>10445</v>
      </c>
      <c r="L361" s="158" t="s">
        <v>8085</v>
      </c>
      <c r="M361" s="158" t="s">
        <v>8085</v>
      </c>
    </row>
    <row r="362" spans="1:13">
      <c r="A362" s="158" t="s">
        <v>8236</v>
      </c>
      <c r="B362" s="158" t="s">
        <v>8237</v>
      </c>
      <c r="C362" s="158" t="s">
        <v>10446</v>
      </c>
      <c r="D362" s="158" t="s">
        <v>10447</v>
      </c>
      <c r="L362" s="158" t="s">
        <v>8002</v>
      </c>
      <c r="M362" s="158" t="s">
        <v>8003</v>
      </c>
    </row>
    <row r="363" spans="1:13">
      <c r="A363" s="158" t="s">
        <v>7779</v>
      </c>
      <c r="B363" s="158" t="s">
        <v>7781</v>
      </c>
      <c r="C363" s="158" t="s">
        <v>10448</v>
      </c>
      <c r="D363" s="158" t="s">
        <v>10449</v>
      </c>
      <c r="L363" s="158" t="s">
        <v>6318</v>
      </c>
      <c r="M363" s="158" t="s">
        <v>6320</v>
      </c>
    </row>
    <row r="364" spans="1:13">
      <c r="A364" s="158" t="s">
        <v>7794</v>
      </c>
      <c r="B364" s="158" t="s">
        <v>7796</v>
      </c>
      <c r="C364" s="158" t="s">
        <v>10450</v>
      </c>
      <c r="D364" s="158" t="s">
        <v>10451</v>
      </c>
      <c r="L364" s="158" t="s">
        <v>8437</v>
      </c>
      <c r="M364" s="158" t="s">
        <v>8438</v>
      </c>
    </row>
    <row r="365" spans="1:13">
      <c r="A365" s="158" t="s">
        <v>8347</v>
      </c>
      <c r="B365" s="158" t="s">
        <v>8348</v>
      </c>
      <c r="C365" s="158" t="s">
        <v>10452</v>
      </c>
      <c r="D365" s="158" t="s">
        <v>10453</v>
      </c>
      <c r="L365" s="158" t="s">
        <v>6377</v>
      </c>
      <c r="M365" s="158" t="s">
        <v>6379</v>
      </c>
    </row>
    <row r="366" spans="1:13">
      <c r="A366" s="158" t="s">
        <v>6352</v>
      </c>
      <c r="B366" s="158" t="s">
        <v>6354</v>
      </c>
      <c r="C366" s="158" t="s">
        <v>10454</v>
      </c>
      <c r="D366" s="158" t="s">
        <v>10455</v>
      </c>
      <c r="L366" s="158" t="s">
        <v>6784</v>
      </c>
      <c r="M366" s="158" t="s">
        <v>6786</v>
      </c>
    </row>
    <row r="367" spans="1:13">
      <c r="A367" s="158" t="s">
        <v>8367</v>
      </c>
      <c r="B367" s="158" t="s">
        <v>8368</v>
      </c>
      <c r="C367" s="158" t="s">
        <v>10456</v>
      </c>
      <c r="D367" s="158" t="s">
        <v>10457</v>
      </c>
      <c r="L367" s="158" t="s">
        <v>8065</v>
      </c>
      <c r="M367" s="158" t="s">
        <v>8066</v>
      </c>
    </row>
    <row r="368" spans="1:13">
      <c r="A368" s="158" t="s">
        <v>7789</v>
      </c>
      <c r="B368" s="158" t="s">
        <v>7791</v>
      </c>
      <c r="C368" s="158" t="s">
        <v>10458</v>
      </c>
      <c r="D368" s="158" t="s">
        <v>10459</v>
      </c>
      <c r="L368" s="158" t="s">
        <v>8433</v>
      </c>
      <c r="M368" s="158" t="s">
        <v>8434</v>
      </c>
    </row>
    <row r="369" spans="1:13">
      <c r="A369" s="158" t="s">
        <v>8038</v>
      </c>
      <c r="B369" s="158" t="s">
        <v>8039</v>
      </c>
      <c r="L369" s="158" t="s">
        <v>8206</v>
      </c>
      <c r="M369" s="158" t="s">
        <v>8206</v>
      </c>
    </row>
    <row r="370" spans="1:13">
      <c r="A370" s="158" t="s">
        <v>8317</v>
      </c>
      <c r="B370" s="158" t="s">
        <v>8318</v>
      </c>
      <c r="L370" s="158" t="s">
        <v>6564</v>
      </c>
      <c r="M370" s="158" t="s">
        <v>6566</v>
      </c>
    </row>
    <row r="371" spans="1:13">
      <c r="A371" s="158" t="s">
        <v>7452</v>
      </c>
      <c r="B371" s="158" t="s">
        <v>7454</v>
      </c>
      <c r="L371" s="158" t="s">
        <v>8250</v>
      </c>
      <c r="M371" s="158" t="s">
        <v>8251</v>
      </c>
    </row>
    <row r="372" spans="1:13">
      <c r="A372" s="158" t="s">
        <v>7457</v>
      </c>
      <c r="B372" s="158" t="s">
        <v>7459</v>
      </c>
      <c r="L372" s="158" t="s">
        <v>7597</v>
      </c>
      <c r="M372" s="158" t="s">
        <v>7599</v>
      </c>
    </row>
    <row r="373" spans="1:13">
      <c r="A373" s="158" t="s">
        <v>6505</v>
      </c>
      <c r="B373" s="158" t="s">
        <v>6507</v>
      </c>
      <c r="C373" s="158" t="s">
        <v>10460</v>
      </c>
      <c r="D373" s="158" t="s">
        <v>10461</v>
      </c>
      <c r="L373" s="158" t="s">
        <v>7585</v>
      </c>
      <c r="M373" s="158" t="s">
        <v>7586</v>
      </c>
    </row>
    <row r="374" spans="1:13">
      <c r="A374" s="158" t="s">
        <v>7006</v>
      </c>
      <c r="B374" s="158" t="s">
        <v>7008</v>
      </c>
      <c r="C374" s="158" t="s">
        <v>10462</v>
      </c>
      <c r="D374" s="158" t="s">
        <v>10463</v>
      </c>
      <c r="L374" s="158" t="s">
        <v>7699</v>
      </c>
      <c r="M374" s="158" t="s">
        <v>7701</v>
      </c>
    </row>
    <row r="375" spans="1:13">
      <c r="A375" s="158" t="s">
        <v>6858</v>
      </c>
      <c r="B375" s="158" t="s">
        <v>6860</v>
      </c>
      <c r="C375" s="158" t="s">
        <v>10464</v>
      </c>
      <c r="D375" s="158" t="s">
        <v>10465</v>
      </c>
      <c r="L375" s="158" t="s">
        <v>7679</v>
      </c>
      <c r="M375" s="158" t="s">
        <v>7681</v>
      </c>
    </row>
    <row r="376" spans="1:13">
      <c r="A376" s="158" t="s">
        <v>6397</v>
      </c>
      <c r="B376" s="158" t="s">
        <v>6399</v>
      </c>
      <c r="C376" s="158" t="s">
        <v>10466</v>
      </c>
      <c r="D376" s="158" t="s">
        <v>10467</v>
      </c>
      <c r="L376" s="158" t="s">
        <v>7552</v>
      </c>
      <c r="M376" s="158" t="s">
        <v>7553</v>
      </c>
    </row>
    <row r="377" spans="1:13">
      <c r="A377" s="158" t="s">
        <v>6284</v>
      </c>
      <c r="B377" s="158" t="s">
        <v>6286</v>
      </c>
      <c r="L377" s="158" t="s">
        <v>8209</v>
      </c>
      <c r="M377" s="158" t="s">
        <v>8210</v>
      </c>
    </row>
    <row r="378" spans="1:13">
      <c r="A378" s="158" t="s">
        <v>6714</v>
      </c>
      <c r="B378" s="158" t="s">
        <v>6716</v>
      </c>
      <c r="C378" s="158" t="s">
        <v>10468</v>
      </c>
      <c r="D378" s="158" t="s">
        <v>10469</v>
      </c>
      <c r="L378" s="158" t="s">
        <v>6754</v>
      </c>
      <c r="M378" s="158" t="s">
        <v>6756</v>
      </c>
    </row>
    <row r="379" spans="1:13">
      <c r="A379" s="158" t="s">
        <v>6789</v>
      </c>
      <c r="B379" s="158" t="s">
        <v>6791</v>
      </c>
      <c r="C379" s="158" t="s">
        <v>10470</v>
      </c>
      <c r="D379" s="158" t="s">
        <v>10471</v>
      </c>
      <c r="L379" s="158" t="s">
        <v>7617</v>
      </c>
      <c r="M379" s="158" t="s">
        <v>7617</v>
      </c>
    </row>
    <row r="380" spans="1:13">
      <c r="A380" s="158" t="s">
        <v>8240</v>
      </c>
      <c r="B380" s="158" t="s">
        <v>8240</v>
      </c>
      <c r="L380" s="158" t="s">
        <v>7238</v>
      </c>
      <c r="M380" s="158" t="s">
        <v>7240</v>
      </c>
    </row>
    <row r="381" spans="1:13">
      <c r="A381" s="158" t="s">
        <v>8243</v>
      </c>
      <c r="B381" s="158" t="s">
        <v>8243</v>
      </c>
      <c r="L381" s="158" t="s">
        <v>6540</v>
      </c>
      <c r="M381" s="158" t="s">
        <v>6542</v>
      </c>
    </row>
    <row r="382" spans="1:13">
      <c r="A382" s="158" t="s">
        <v>7402</v>
      </c>
      <c r="B382" s="158" t="s">
        <v>7404</v>
      </c>
      <c r="C382" s="158" t="s">
        <v>10472</v>
      </c>
      <c r="D382" s="158" t="s">
        <v>10473</v>
      </c>
      <c r="L382" s="158" t="s">
        <v>7978</v>
      </c>
      <c r="M382" s="158" t="s">
        <v>7979</v>
      </c>
    </row>
    <row r="383" spans="1:13">
      <c r="A383" s="158" t="s">
        <v>7233</v>
      </c>
      <c r="B383" s="158" t="s">
        <v>7235</v>
      </c>
      <c r="C383" s="158" t="s">
        <v>10474</v>
      </c>
      <c r="D383" s="158" t="s">
        <v>10475</v>
      </c>
      <c r="L383" s="158" t="s">
        <v>8429</v>
      </c>
      <c r="M383" s="158" t="s">
        <v>8430</v>
      </c>
    </row>
    <row r="384" spans="1:13">
      <c r="A384" s="158" t="s">
        <v>7597</v>
      </c>
      <c r="B384" s="158" t="s">
        <v>7599</v>
      </c>
      <c r="C384" s="158" t="s">
        <v>10476</v>
      </c>
      <c r="D384" s="158" t="s">
        <v>10477</v>
      </c>
      <c r="L384" s="158" t="s">
        <v>6729</v>
      </c>
      <c r="M384" s="158" t="s">
        <v>6731</v>
      </c>
    </row>
    <row r="385" spans="1:13">
      <c r="A385" s="158" t="s">
        <v>8065</v>
      </c>
      <c r="B385" s="158" t="s">
        <v>8066</v>
      </c>
      <c r="C385" s="158" t="s">
        <v>10478</v>
      </c>
      <c r="D385" s="158" t="s">
        <v>10479</v>
      </c>
      <c r="L385" s="158" t="s">
        <v>6269</v>
      </c>
      <c r="M385" s="158" t="s">
        <v>6271</v>
      </c>
    </row>
    <row r="386" spans="1:13">
      <c r="A386" s="158" t="s">
        <v>8382</v>
      </c>
      <c r="B386" s="158" t="s">
        <v>8383</v>
      </c>
      <c r="C386" s="158" t="s">
        <v>10480</v>
      </c>
      <c r="D386" s="158" t="s">
        <v>10481</v>
      </c>
      <c r="L386" s="158" t="s">
        <v>6912</v>
      </c>
      <c r="M386" s="158" t="s">
        <v>6914</v>
      </c>
    </row>
    <row r="387" spans="1:13">
      <c r="A387" s="158" t="s">
        <v>7876</v>
      </c>
      <c r="B387" s="158" t="s">
        <v>7876</v>
      </c>
      <c r="L387" s="158" t="s">
        <v>6476</v>
      </c>
      <c r="M387" s="158" t="s">
        <v>6478</v>
      </c>
    </row>
    <row r="388" spans="1:13">
      <c r="A388" s="158" t="s">
        <v>6540</v>
      </c>
      <c r="B388" s="158" t="s">
        <v>6542</v>
      </c>
      <c r="C388" s="158" t="s">
        <v>10482</v>
      </c>
      <c r="D388" s="158" t="s">
        <v>10483</v>
      </c>
      <c r="L388" s="312" t="s">
        <v>7417</v>
      </c>
      <c r="M388" s="158" t="s">
        <v>7419</v>
      </c>
    </row>
    <row r="389" spans="1:13">
      <c r="A389" s="158" t="s">
        <v>6729</v>
      </c>
      <c r="B389" s="158" t="s">
        <v>6731</v>
      </c>
      <c r="C389" s="158" t="s">
        <v>10484</v>
      </c>
      <c r="D389" s="158" t="s">
        <v>10485</v>
      </c>
      <c r="L389" s="158" t="s">
        <v>6868</v>
      </c>
      <c r="M389" s="158" t="s">
        <v>6870</v>
      </c>
    </row>
    <row r="390" spans="1:13">
      <c r="A390" s="158" t="s">
        <v>7879</v>
      </c>
      <c r="B390" s="158" t="s">
        <v>7879</v>
      </c>
      <c r="L390" s="158" t="s">
        <v>6288</v>
      </c>
      <c r="M390" s="158" t="s">
        <v>6290</v>
      </c>
    </row>
    <row r="391" spans="1:13">
      <c r="A391" s="158" t="s">
        <v>6318</v>
      </c>
      <c r="B391" s="158" t="s">
        <v>6320</v>
      </c>
      <c r="C391" s="158" t="s">
        <v>10486</v>
      </c>
      <c r="D391" s="158" t="s">
        <v>10487</v>
      </c>
      <c r="L391" s="158" t="s">
        <v>8394</v>
      </c>
      <c r="M391" s="158" t="s">
        <v>8395</v>
      </c>
    </row>
    <row r="392" spans="1:13">
      <c r="A392" s="158" t="s">
        <v>7882</v>
      </c>
      <c r="B392" s="158" t="s">
        <v>7883</v>
      </c>
      <c r="C392" s="158" t="s">
        <v>10488</v>
      </c>
      <c r="D392" s="158" t="s">
        <v>10489</v>
      </c>
      <c r="L392" s="158" t="s">
        <v>7477</v>
      </c>
      <c r="M392" s="158" t="s">
        <v>7479</v>
      </c>
    </row>
    <row r="393" spans="1:13">
      <c r="A393" s="158" t="s">
        <v>6784</v>
      </c>
      <c r="B393" s="158" t="s">
        <v>6786</v>
      </c>
      <c r="C393" s="158" t="s">
        <v>10490</v>
      </c>
      <c r="D393" s="158" t="s">
        <v>10491</v>
      </c>
      <c r="L393" s="158" t="s">
        <v>8359</v>
      </c>
      <c r="M393" s="158" t="s">
        <v>8360</v>
      </c>
    </row>
    <row r="394" spans="1:13">
      <c r="A394" s="158" t="s">
        <v>8085</v>
      </c>
      <c r="B394" s="158" t="s">
        <v>8085</v>
      </c>
      <c r="L394" s="158" t="s">
        <v>8402</v>
      </c>
      <c r="M394" s="158" t="s">
        <v>8403</v>
      </c>
    </row>
    <row r="395" spans="1:13">
      <c r="A395" s="158" t="s">
        <v>8429</v>
      </c>
      <c r="B395" s="158" t="s">
        <v>8430</v>
      </c>
      <c r="C395" s="158" t="s">
        <v>10492</v>
      </c>
      <c r="D395" s="158" t="s">
        <v>10493</v>
      </c>
      <c r="L395" s="158" t="s">
        <v>7561</v>
      </c>
      <c r="M395" s="158" t="s">
        <v>7563</v>
      </c>
    </row>
    <row r="396" spans="1:13">
      <c r="A396" s="158" t="s">
        <v>6377</v>
      </c>
      <c r="B396" s="158" t="s">
        <v>6379</v>
      </c>
      <c r="C396" s="158" t="s">
        <v>10494</v>
      </c>
      <c r="D396" s="158" t="s">
        <v>10495</v>
      </c>
      <c r="L396" s="158" t="s">
        <v>7031</v>
      </c>
      <c r="M396" s="158" t="s">
        <v>7033</v>
      </c>
    </row>
    <row r="397" spans="1:13">
      <c r="A397" s="158" t="s">
        <v>8002</v>
      </c>
      <c r="B397" s="158" t="s">
        <v>8003</v>
      </c>
      <c r="C397" s="158" t="s">
        <v>10496</v>
      </c>
      <c r="D397" s="158" t="s">
        <v>10497</v>
      </c>
      <c r="L397" s="158" t="s">
        <v>6510</v>
      </c>
      <c r="M397" s="158" t="s">
        <v>6512</v>
      </c>
    </row>
    <row r="398" spans="1:13">
      <c r="A398" s="158" t="s">
        <v>8053</v>
      </c>
      <c r="B398" s="158" t="s">
        <v>8054</v>
      </c>
      <c r="C398" s="158" t="s">
        <v>10498</v>
      </c>
      <c r="D398" s="158" t="s">
        <v>10499</v>
      </c>
      <c r="L398" s="158" t="s">
        <v>7140</v>
      </c>
      <c r="M398" s="158" t="s">
        <v>7142</v>
      </c>
    </row>
    <row r="399" spans="1:13">
      <c r="A399" s="158" t="s">
        <v>7337</v>
      </c>
      <c r="B399" s="158" t="s">
        <v>7339</v>
      </c>
      <c r="C399" s="158" t="s">
        <v>10500</v>
      </c>
      <c r="D399" s="158" t="s">
        <v>10501</v>
      </c>
      <c r="L399" s="158" t="s">
        <v>7998</v>
      </c>
      <c r="M399" s="158" t="s">
        <v>7999</v>
      </c>
    </row>
    <row r="400" spans="1:13">
      <c r="A400" s="158" t="s">
        <v>8433</v>
      </c>
      <c r="B400" s="158" t="s">
        <v>8434</v>
      </c>
      <c r="C400" s="158" t="s">
        <v>10502</v>
      </c>
      <c r="D400" s="158" t="s">
        <v>10503</v>
      </c>
      <c r="L400" s="158" t="s">
        <v>7918</v>
      </c>
      <c r="M400" s="158" t="s">
        <v>7919</v>
      </c>
    </row>
    <row r="401" spans="1:13">
      <c r="A401" s="158" t="s">
        <v>8206</v>
      </c>
      <c r="B401" s="158" t="s">
        <v>8206</v>
      </c>
      <c r="L401" s="158" t="s">
        <v>8057</v>
      </c>
      <c r="M401" s="158" t="s">
        <v>8058</v>
      </c>
    </row>
    <row r="402" spans="1:13">
      <c r="A402" s="158" t="s">
        <v>7617</v>
      </c>
      <c r="B402" s="158" t="s">
        <v>7617</v>
      </c>
      <c r="L402" s="158" t="s">
        <v>6814</v>
      </c>
      <c r="M402" s="158" t="s">
        <v>6816</v>
      </c>
    </row>
    <row r="403" spans="1:13">
      <c r="A403" s="158" t="s">
        <v>7978</v>
      </c>
      <c r="B403" s="158" t="s">
        <v>7979</v>
      </c>
      <c r="C403" s="158" t="s">
        <v>10504</v>
      </c>
      <c r="D403" s="158" t="s">
        <v>10505</v>
      </c>
      <c r="L403" s="158" t="s">
        <v>6535</v>
      </c>
      <c r="M403" s="158" t="s">
        <v>6537</v>
      </c>
    </row>
    <row r="404" spans="1:13">
      <c r="A404" s="158" t="s">
        <v>7699</v>
      </c>
      <c r="B404" s="158" t="s">
        <v>7701</v>
      </c>
      <c r="L404" s="158" t="s">
        <v>6402</v>
      </c>
      <c r="M404" s="158" t="s">
        <v>6404</v>
      </c>
    </row>
    <row r="405" spans="1:13">
      <c r="A405" s="158" t="s">
        <v>7938</v>
      </c>
      <c r="B405" s="158" t="s">
        <v>7939</v>
      </c>
      <c r="C405" s="158" t="s">
        <v>10506</v>
      </c>
      <c r="D405" s="158" t="s">
        <v>10507</v>
      </c>
      <c r="L405" s="158" t="s">
        <v>8363</v>
      </c>
      <c r="M405" s="158" t="s">
        <v>8364</v>
      </c>
    </row>
    <row r="406" spans="1:13">
      <c r="A406" s="158" t="s">
        <v>6724</v>
      </c>
      <c r="B406" s="158" t="s">
        <v>6726</v>
      </c>
      <c r="C406" s="158" t="s">
        <v>10508</v>
      </c>
      <c r="D406" s="158" t="s">
        <v>10509</v>
      </c>
      <c r="L406" s="158" t="s">
        <v>10510</v>
      </c>
      <c r="M406" s="158" t="s">
        <v>10511</v>
      </c>
    </row>
    <row r="407" spans="1:13">
      <c r="A407" s="158" t="s">
        <v>8437</v>
      </c>
      <c r="B407" s="158" t="s">
        <v>8438</v>
      </c>
      <c r="L407" s="158" t="s">
        <v>10512</v>
      </c>
      <c r="M407" s="158" t="s">
        <v>10513</v>
      </c>
    </row>
    <row r="408" spans="1:13">
      <c r="A408" s="158" t="s">
        <v>6912</v>
      </c>
      <c r="B408" s="158" t="s">
        <v>6914</v>
      </c>
      <c r="C408" s="158" t="s">
        <v>10514</v>
      </c>
      <c r="D408" s="158" t="s">
        <v>10515</v>
      </c>
      <c r="L408" s="158" t="s">
        <v>10516</v>
      </c>
      <c r="M408" s="158" t="s">
        <v>10517</v>
      </c>
    </row>
    <row r="409" spans="1:13">
      <c r="A409" s="158" t="s">
        <v>7902</v>
      </c>
      <c r="B409" s="158" t="s">
        <v>7903</v>
      </c>
      <c r="C409" s="158" t="s">
        <v>10518</v>
      </c>
      <c r="D409" s="158" t="s">
        <v>10519</v>
      </c>
      <c r="L409" s="158" t="s">
        <v>10520</v>
      </c>
      <c r="M409" s="158" t="s">
        <v>10521</v>
      </c>
    </row>
    <row r="410" spans="1:13">
      <c r="A410" s="158" t="s">
        <v>7998</v>
      </c>
      <c r="B410" s="158" t="s">
        <v>7999</v>
      </c>
      <c r="C410" s="158" t="s">
        <v>10522</v>
      </c>
      <c r="D410" s="158" t="s">
        <v>10523</v>
      </c>
      <c r="L410" s="158" t="s">
        <v>10524</v>
      </c>
      <c r="M410" s="158" t="s">
        <v>10525</v>
      </c>
    </row>
    <row r="411" spans="1:13">
      <c r="A411" s="158" t="s">
        <v>8441</v>
      </c>
      <c r="B411" s="158" t="s">
        <v>8442</v>
      </c>
      <c r="C411" s="158" t="s">
        <v>10526</v>
      </c>
      <c r="D411" s="158" t="s">
        <v>10527</v>
      </c>
      <c r="L411" s="158" t="s">
        <v>10528</v>
      </c>
      <c r="M411" s="158" t="s">
        <v>10529</v>
      </c>
    </row>
    <row r="412" spans="1:13">
      <c r="A412" s="158" t="s">
        <v>8386</v>
      </c>
      <c r="B412" s="158" t="s">
        <v>8387</v>
      </c>
      <c r="C412" s="158" t="s">
        <v>10530</v>
      </c>
      <c r="D412" s="158" t="s">
        <v>10531</v>
      </c>
      <c r="L412" s="158" t="s">
        <v>10532</v>
      </c>
      <c r="M412" s="158" t="s">
        <v>10533</v>
      </c>
    </row>
    <row r="413" spans="1:13">
      <c r="A413" s="158" t="s">
        <v>7477</v>
      </c>
      <c r="B413" s="158" t="s">
        <v>7479</v>
      </c>
      <c r="C413" s="158" t="s">
        <v>10534</v>
      </c>
      <c r="D413" s="158" t="s">
        <v>10535</v>
      </c>
      <c r="L413" s="158" t="s">
        <v>10536</v>
      </c>
      <c r="M413" s="158" t="s">
        <v>10537</v>
      </c>
    </row>
    <row r="414" spans="1:13">
      <c r="A414" s="158" t="s">
        <v>6288</v>
      </c>
      <c r="B414" s="158" t="s">
        <v>6290</v>
      </c>
      <c r="C414" s="158" t="s">
        <v>10538</v>
      </c>
      <c r="D414" s="158" t="s">
        <v>10539</v>
      </c>
      <c r="L414" s="158" t="s">
        <v>10540</v>
      </c>
      <c r="M414" s="158" t="s">
        <v>10541</v>
      </c>
    </row>
    <row r="415" spans="1:13">
      <c r="A415" s="312" t="s">
        <v>7417</v>
      </c>
      <c r="B415" s="158" t="s">
        <v>7419</v>
      </c>
      <c r="C415" s="158" t="s">
        <v>10542</v>
      </c>
      <c r="D415" s="158" t="s">
        <v>10543</v>
      </c>
      <c r="L415" s="158" t="s">
        <v>10544</v>
      </c>
      <c r="M415" s="158" t="s">
        <v>10545</v>
      </c>
    </row>
    <row r="416" spans="1:13">
      <c r="A416" s="158" t="s">
        <v>8359</v>
      </c>
      <c r="B416" s="158" t="s">
        <v>8360</v>
      </c>
      <c r="C416" s="158" t="s">
        <v>10546</v>
      </c>
      <c r="D416" s="158" t="s">
        <v>10547</v>
      </c>
      <c r="L416" s="158" t="s">
        <v>10548</v>
      </c>
      <c r="M416" s="158" t="s">
        <v>10549</v>
      </c>
    </row>
    <row r="417" spans="1:13">
      <c r="A417" s="158" t="s">
        <v>8394</v>
      </c>
      <c r="B417" s="158" t="s">
        <v>8395</v>
      </c>
      <c r="C417" s="158" t="s">
        <v>10550</v>
      </c>
      <c r="D417" s="158" t="s">
        <v>10551</v>
      </c>
      <c r="L417" s="158" t="s">
        <v>10552</v>
      </c>
      <c r="M417" s="158" t="s">
        <v>10553</v>
      </c>
    </row>
    <row r="418" spans="1:13">
      <c r="A418" s="158" t="s">
        <v>7140</v>
      </c>
      <c r="B418" s="158" t="s">
        <v>7142</v>
      </c>
      <c r="C418" s="158" t="s">
        <v>10554</v>
      </c>
      <c r="D418" s="158" t="s">
        <v>10555</v>
      </c>
      <c r="L418" s="158" t="s">
        <v>10556</v>
      </c>
      <c r="M418" s="158" t="s">
        <v>10557</v>
      </c>
    </row>
    <row r="419" spans="1:13">
      <c r="A419" s="158" t="s">
        <v>7031</v>
      </c>
      <c r="B419" s="158" t="s">
        <v>7033</v>
      </c>
      <c r="C419" s="158" t="s">
        <v>10558</v>
      </c>
      <c r="D419" s="158" t="s">
        <v>10559</v>
      </c>
      <c r="L419" s="158" t="s">
        <v>10560</v>
      </c>
      <c r="M419" s="158" t="s">
        <v>10561</v>
      </c>
    </row>
    <row r="420" spans="1:13">
      <c r="A420" s="158" t="s">
        <v>8402</v>
      </c>
      <c r="B420" s="158" t="s">
        <v>8403</v>
      </c>
      <c r="C420" s="158" t="s">
        <v>10562</v>
      </c>
      <c r="D420" s="158" t="s">
        <v>10563</v>
      </c>
      <c r="L420" s="158" t="s">
        <v>10564</v>
      </c>
      <c r="M420" s="158" t="s">
        <v>10565</v>
      </c>
    </row>
    <row r="421" spans="1:13">
      <c r="A421" s="158" t="s">
        <v>6510</v>
      </c>
      <c r="B421" s="158" t="s">
        <v>6512</v>
      </c>
      <c r="C421" s="158" t="s">
        <v>10566</v>
      </c>
      <c r="D421" s="158" t="s">
        <v>10567</v>
      </c>
      <c r="L421" s="158" t="s">
        <v>10568</v>
      </c>
      <c r="M421" s="158" t="s">
        <v>10569</v>
      </c>
    </row>
    <row r="422" spans="1:13">
      <c r="A422" s="158" t="s">
        <v>7561</v>
      </c>
      <c r="B422" s="158" t="s">
        <v>7563</v>
      </c>
      <c r="C422" s="158" t="s">
        <v>10570</v>
      </c>
      <c r="D422" s="158" t="s">
        <v>10571</v>
      </c>
      <c r="L422" s="158" t="s">
        <v>10572</v>
      </c>
      <c r="M422" s="158" t="s">
        <v>10573</v>
      </c>
    </row>
    <row r="423" spans="1:13">
      <c r="A423" s="158" t="s">
        <v>7918</v>
      </c>
      <c r="B423" s="158" t="s">
        <v>7919</v>
      </c>
      <c r="C423" s="158" t="s">
        <v>10574</v>
      </c>
      <c r="D423" s="158" t="s">
        <v>10575</v>
      </c>
      <c r="L423" s="158" t="s">
        <v>10576</v>
      </c>
      <c r="M423" s="158" t="s">
        <v>10577</v>
      </c>
    </row>
    <row r="424" spans="1:13">
      <c r="A424" s="158" t="s">
        <v>6476</v>
      </c>
      <c r="B424" s="158" t="s">
        <v>6478</v>
      </c>
      <c r="C424" s="158" t="s">
        <v>10578</v>
      </c>
      <c r="D424" s="158" t="s">
        <v>10579</v>
      </c>
      <c r="L424" s="158" t="s">
        <v>10580</v>
      </c>
      <c r="M424" s="158" t="s">
        <v>10581</v>
      </c>
    </row>
    <row r="425" spans="1:13">
      <c r="A425" s="158" t="s">
        <v>6868</v>
      </c>
      <c r="B425" s="158" t="s">
        <v>6870</v>
      </c>
      <c r="C425" s="158" t="s">
        <v>10582</v>
      </c>
      <c r="D425" s="158" t="s">
        <v>10583</v>
      </c>
      <c r="L425" s="158" t="s">
        <v>10584</v>
      </c>
      <c r="M425" s="158" t="s">
        <v>10585</v>
      </c>
    </row>
    <row r="426" spans="1:13">
      <c r="A426" s="158" t="s">
        <v>6814</v>
      </c>
      <c r="B426" s="158" t="s">
        <v>6816</v>
      </c>
      <c r="C426" s="158" t="s">
        <v>10586</v>
      </c>
      <c r="D426" s="158" t="s">
        <v>10587</v>
      </c>
      <c r="L426" s="158" t="s">
        <v>10588</v>
      </c>
      <c r="M426" s="158" t="s">
        <v>10589</v>
      </c>
    </row>
    <row r="427" spans="1:13">
      <c r="A427" s="158" t="s">
        <v>7372</v>
      </c>
      <c r="B427" s="158" t="s">
        <v>7374</v>
      </c>
      <c r="C427" s="158" t="s">
        <v>10590</v>
      </c>
      <c r="D427" s="158" t="s">
        <v>10591</v>
      </c>
      <c r="L427" s="158" t="s">
        <v>10592</v>
      </c>
      <c r="M427" s="158" t="s">
        <v>10593</v>
      </c>
    </row>
    <row r="428" spans="1:13">
      <c r="A428" s="158" t="s">
        <v>8375</v>
      </c>
      <c r="B428" s="158" t="s">
        <v>8375</v>
      </c>
      <c r="C428" s="158" t="s">
        <v>10594</v>
      </c>
      <c r="D428" s="158" t="s">
        <v>10595</v>
      </c>
      <c r="L428" s="158" t="s">
        <v>10596</v>
      </c>
      <c r="M428" s="158" t="s">
        <v>10597</v>
      </c>
    </row>
    <row r="429" spans="1:13">
      <c r="A429" s="158" t="s">
        <v>7809</v>
      </c>
      <c r="B429" s="158" t="s">
        <v>7809</v>
      </c>
      <c r="C429" s="158" t="s">
        <v>10598</v>
      </c>
      <c r="D429" s="158" t="s">
        <v>10599</v>
      </c>
      <c r="L429" s="158" t="s">
        <v>10600</v>
      </c>
      <c r="M429" s="158" t="s">
        <v>10601</v>
      </c>
    </row>
    <row r="430" spans="1:13">
      <c r="A430" s="158" t="s">
        <v>8406</v>
      </c>
      <c r="B430" s="158" t="s">
        <v>8406</v>
      </c>
      <c r="C430" s="158" t="s">
        <v>10602</v>
      </c>
      <c r="D430" s="158" t="s">
        <v>10603</v>
      </c>
      <c r="L430" s="158" t="s">
        <v>10604</v>
      </c>
      <c r="M430" s="158" t="s">
        <v>10605</v>
      </c>
    </row>
    <row r="431" spans="1:13">
      <c r="A431" s="158" t="s">
        <v>8057</v>
      </c>
      <c r="B431" s="158" t="s">
        <v>8058</v>
      </c>
      <c r="C431" s="158" t="s">
        <v>10606</v>
      </c>
      <c r="D431" s="158" t="s">
        <v>10607</v>
      </c>
      <c r="L431" s="158" t="s">
        <v>10608</v>
      </c>
      <c r="M431" s="158" t="s">
        <v>10609</v>
      </c>
    </row>
    <row r="432" spans="1:13">
      <c r="A432" s="158" t="s">
        <v>8363</v>
      </c>
      <c r="B432" s="158" t="s">
        <v>8364</v>
      </c>
      <c r="C432" s="158" t="s">
        <v>10610</v>
      </c>
      <c r="D432" s="158" t="s">
        <v>10611</v>
      </c>
      <c r="L432" s="158" t="s">
        <v>10612</v>
      </c>
      <c r="M432" s="158" t="s">
        <v>10613</v>
      </c>
    </row>
    <row r="433" spans="1:13">
      <c r="A433" s="158" t="s">
        <v>7857</v>
      </c>
      <c r="B433" s="158" t="s">
        <v>7858</v>
      </c>
      <c r="C433" s="158" t="s">
        <v>10614</v>
      </c>
      <c r="D433" s="158" t="s">
        <v>10615</v>
      </c>
      <c r="L433" s="158" t="s">
        <v>10616</v>
      </c>
      <c r="M433" s="158" t="s">
        <v>10617</v>
      </c>
    </row>
    <row r="434" spans="1:13">
      <c r="A434" s="158" t="s">
        <v>7833</v>
      </c>
      <c r="B434" s="158" t="s">
        <v>7834</v>
      </c>
      <c r="C434" s="158" t="s">
        <v>10618</v>
      </c>
      <c r="D434" s="158" t="s">
        <v>10619</v>
      </c>
      <c r="L434" s="158" t="s">
        <v>10620</v>
      </c>
      <c r="M434" s="158" t="s">
        <v>10621</v>
      </c>
    </row>
    <row r="435" spans="1:13">
      <c r="A435" s="158" t="s">
        <v>8158</v>
      </c>
      <c r="B435" s="158" t="s">
        <v>8159</v>
      </c>
      <c r="C435" s="158" t="s">
        <v>10622</v>
      </c>
      <c r="D435" s="158" t="s">
        <v>10623</v>
      </c>
      <c r="L435" s="158" t="s">
        <v>10624</v>
      </c>
      <c r="M435" s="158" t="s">
        <v>10625</v>
      </c>
    </row>
    <row r="436" spans="1:13">
      <c r="A436" s="158" t="s">
        <v>8162</v>
      </c>
      <c r="B436" s="158" t="s">
        <v>8163</v>
      </c>
      <c r="C436" s="158" t="s">
        <v>10626</v>
      </c>
      <c r="D436" s="158" t="s">
        <v>10627</v>
      </c>
      <c r="L436" s="158" t="s">
        <v>10628</v>
      </c>
      <c r="M436" s="158" t="s">
        <v>10629</v>
      </c>
    </row>
    <row r="437" spans="1:13">
      <c r="A437" s="158" t="s">
        <v>8154</v>
      </c>
      <c r="B437" s="158" t="s">
        <v>8155</v>
      </c>
      <c r="L437" s="158" t="s">
        <v>10630</v>
      </c>
      <c r="M437" s="158" t="s">
        <v>10631</v>
      </c>
    </row>
    <row r="438" spans="1:13">
      <c r="A438" s="158" t="s">
        <v>8166</v>
      </c>
      <c r="B438" s="158" t="s">
        <v>8167</v>
      </c>
      <c r="C438" s="158" t="s">
        <v>10632</v>
      </c>
      <c r="D438" s="158" t="s">
        <v>10633</v>
      </c>
      <c r="L438" s="158" t="s">
        <v>10634</v>
      </c>
      <c r="M438" s="158" t="s">
        <v>10635</v>
      </c>
    </row>
    <row r="439" spans="1:13">
      <c r="A439" s="158" t="s">
        <v>8178</v>
      </c>
      <c r="B439" s="158" t="s">
        <v>8179</v>
      </c>
      <c r="C439" s="158" t="s">
        <v>10636</v>
      </c>
      <c r="D439" s="158" t="s">
        <v>10637</v>
      </c>
      <c r="L439" s="158" t="s">
        <v>10638</v>
      </c>
      <c r="M439" s="158" t="s">
        <v>10639</v>
      </c>
    </row>
    <row r="440" spans="1:13">
      <c r="A440" s="158" t="s">
        <v>8182</v>
      </c>
      <c r="B440" s="158" t="s">
        <v>8183</v>
      </c>
      <c r="C440" s="158" t="s">
        <v>10213</v>
      </c>
      <c r="D440" s="158" t="s">
        <v>10214</v>
      </c>
      <c r="L440" s="158" t="s">
        <v>10640</v>
      </c>
      <c r="M440" s="158" t="s">
        <v>10641</v>
      </c>
    </row>
    <row r="441" spans="1:13">
      <c r="A441" s="158" t="s">
        <v>8246</v>
      </c>
      <c r="B441" s="158" t="s">
        <v>8247</v>
      </c>
      <c r="C441" s="158" t="s">
        <v>10454</v>
      </c>
      <c r="D441" s="158" t="s">
        <v>10455</v>
      </c>
      <c r="L441" s="158" t="s">
        <v>10642</v>
      </c>
      <c r="M441" s="158" t="s">
        <v>10643</v>
      </c>
    </row>
    <row r="442" spans="1:13">
      <c r="A442" s="158" t="s">
        <v>7825</v>
      </c>
      <c r="B442" s="158" t="s">
        <v>7826</v>
      </c>
      <c r="C442" s="158" t="s">
        <v>10644</v>
      </c>
      <c r="D442" s="158" t="s">
        <v>10645</v>
      </c>
      <c r="L442" s="158" t="s">
        <v>10646</v>
      </c>
      <c r="M442" s="158" t="s">
        <v>10647</v>
      </c>
    </row>
    <row r="443" spans="1:13">
      <c r="A443" s="158" t="s">
        <v>8186</v>
      </c>
      <c r="B443" s="158" t="s">
        <v>8187</v>
      </c>
      <c r="C443" s="158" t="s">
        <v>10648</v>
      </c>
      <c r="D443" s="158" t="s">
        <v>10649</v>
      </c>
      <c r="L443" s="158" t="s">
        <v>10650</v>
      </c>
      <c r="M443" s="158" t="s">
        <v>10651</v>
      </c>
    </row>
    <row r="444" spans="1:13">
      <c r="A444" s="158" t="s">
        <v>8190</v>
      </c>
      <c r="B444" s="158" t="s">
        <v>8191</v>
      </c>
      <c r="C444" s="158" t="s">
        <v>10652</v>
      </c>
      <c r="D444" s="158" t="s">
        <v>10653</v>
      </c>
      <c r="L444" s="158" t="s">
        <v>10654</v>
      </c>
      <c r="M444" s="158" t="s">
        <v>10655</v>
      </c>
    </row>
    <row r="445" spans="1:13">
      <c r="A445" s="158" t="s">
        <v>8194</v>
      </c>
      <c r="B445" s="158" t="s">
        <v>8195</v>
      </c>
      <c r="C445" s="158" t="s">
        <v>10656</v>
      </c>
      <c r="D445" s="158" t="s">
        <v>10657</v>
      </c>
      <c r="L445" s="158" t="s">
        <v>10658</v>
      </c>
      <c r="M445" s="158" t="s">
        <v>10659</v>
      </c>
    </row>
    <row r="446" spans="1:13">
      <c r="A446" s="158" t="s">
        <v>8198</v>
      </c>
      <c r="B446" s="158" t="s">
        <v>8199</v>
      </c>
      <c r="C446" s="158" t="s">
        <v>10660</v>
      </c>
      <c r="D446" s="158" t="s">
        <v>10661</v>
      </c>
      <c r="L446" s="158" t="s">
        <v>10662</v>
      </c>
      <c r="M446" s="158" t="s">
        <v>10663</v>
      </c>
    </row>
    <row r="447" spans="1:13">
      <c r="A447" s="158" t="s">
        <v>7273</v>
      </c>
      <c r="B447" s="158" t="s">
        <v>7275</v>
      </c>
      <c r="C447" s="158" t="s">
        <v>10664</v>
      </c>
      <c r="D447" s="158" t="s">
        <v>10665</v>
      </c>
      <c r="L447" s="158" t="s">
        <v>10666</v>
      </c>
      <c r="M447" s="158" t="s">
        <v>10667</v>
      </c>
    </row>
    <row r="448" spans="1:13">
      <c r="A448" s="158" t="s">
        <v>8202</v>
      </c>
      <c r="B448" s="158" t="s">
        <v>8203</v>
      </c>
      <c r="C448" s="158" t="s">
        <v>10668</v>
      </c>
      <c r="D448" s="158" t="s">
        <v>10669</v>
      </c>
      <c r="L448" s="158" t="s">
        <v>10670</v>
      </c>
      <c r="M448" s="158" t="s">
        <v>10671</v>
      </c>
    </row>
    <row r="449" spans="1:13">
      <c r="A449" s="158" t="s">
        <v>8250</v>
      </c>
      <c r="B449" s="158" t="s">
        <v>8251</v>
      </c>
      <c r="C449" s="158" t="s">
        <v>10672</v>
      </c>
      <c r="D449" s="158" t="s">
        <v>10673</v>
      </c>
      <c r="L449" s="158" t="s">
        <v>10674</v>
      </c>
      <c r="M449" s="158" t="s">
        <v>10675</v>
      </c>
    </row>
    <row r="450" spans="1:13">
      <c r="A450" s="158" t="s">
        <v>7552</v>
      </c>
      <c r="B450" s="158" t="s">
        <v>7553</v>
      </c>
      <c r="C450" s="158" t="s">
        <v>10676</v>
      </c>
      <c r="D450" s="158" t="s">
        <v>10677</v>
      </c>
      <c r="L450" s="158" t="s">
        <v>10678</v>
      </c>
      <c r="M450" s="158" t="s">
        <v>10679</v>
      </c>
    </row>
    <row r="451" spans="1:13">
      <c r="A451" s="158" t="s">
        <v>7679</v>
      </c>
      <c r="B451" s="158" t="s">
        <v>7681</v>
      </c>
      <c r="C451" s="158" t="s">
        <v>10476</v>
      </c>
      <c r="D451" s="158" t="s">
        <v>10477</v>
      </c>
      <c r="L451" s="158" t="s">
        <v>10680</v>
      </c>
      <c r="M451" s="158" t="s">
        <v>10681</v>
      </c>
    </row>
    <row r="452" spans="1:13">
      <c r="A452" s="158" t="s">
        <v>8209</v>
      </c>
      <c r="B452" s="158" t="s">
        <v>8210</v>
      </c>
      <c r="C452" s="158" t="s">
        <v>10682</v>
      </c>
      <c r="D452" s="158" t="s">
        <v>10683</v>
      </c>
      <c r="L452" s="158" t="s">
        <v>10684</v>
      </c>
      <c r="M452" s="158" t="s">
        <v>10685</v>
      </c>
    </row>
    <row r="453" spans="1:13">
      <c r="A453" s="158" t="s">
        <v>8225</v>
      </c>
      <c r="B453" s="158" t="s">
        <v>8226</v>
      </c>
      <c r="C453" s="158" t="s">
        <v>10686</v>
      </c>
      <c r="D453" s="158" t="s">
        <v>10687</v>
      </c>
      <c r="L453" s="158" t="s">
        <v>10688</v>
      </c>
      <c r="M453" s="158" t="s">
        <v>10689</v>
      </c>
    </row>
    <row r="454" spans="1:13">
      <c r="A454" s="158" t="s">
        <v>8229</v>
      </c>
      <c r="B454" s="158" t="s">
        <v>8230</v>
      </c>
      <c r="C454" s="158" t="s">
        <v>10690</v>
      </c>
      <c r="D454" s="158" t="s">
        <v>10691</v>
      </c>
      <c r="L454" s="158" t="s">
        <v>10692</v>
      </c>
      <c r="M454" s="158" t="s">
        <v>10693</v>
      </c>
    </row>
    <row r="455" spans="1:13">
      <c r="A455" s="158" t="s">
        <v>6402</v>
      </c>
      <c r="B455" s="158" t="s">
        <v>6404</v>
      </c>
      <c r="C455" s="158" t="s">
        <v>10694</v>
      </c>
      <c r="D455" s="158" t="s">
        <v>10695</v>
      </c>
      <c r="L455" s="158" t="s">
        <v>10696</v>
      </c>
      <c r="M455" s="158" t="s">
        <v>10697</v>
      </c>
    </row>
    <row r="456" spans="1:13">
      <c r="A456" s="158" t="s">
        <v>10512</v>
      </c>
      <c r="B456" s="158" t="s">
        <v>10513</v>
      </c>
      <c r="L456" s="158" t="s">
        <v>10698</v>
      </c>
      <c r="M456" s="158" t="s">
        <v>10699</v>
      </c>
    </row>
    <row r="457" spans="1:13">
      <c r="A457" s="158" t="s">
        <v>10510</v>
      </c>
      <c r="B457" s="158" t="s">
        <v>10511</v>
      </c>
      <c r="L457" s="158" t="s">
        <v>7684</v>
      </c>
      <c r="M457" s="158" t="s">
        <v>7686</v>
      </c>
    </row>
    <row r="458" spans="1:13">
      <c r="A458" s="158" t="s">
        <v>10520</v>
      </c>
      <c r="B458" s="158" t="s">
        <v>10521</v>
      </c>
      <c r="L458" s="158" t="s">
        <v>6764</v>
      </c>
      <c r="M458" s="158" t="s">
        <v>6766</v>
      </c>
    </row>
    <row r="459" spans="1:13">
      <c r="A459" s="158" t="s">
        <v>6961</v>
      </c>
      <c r="B459" s="158" t="s">
        <v>6963</v>
      </c>
      <c r="C459" s="158" t="s">
        <v>10700</v>
      </c>
      <c r="D459" s="158" t="s">
        <v>10701</v>
      </c>
      <c r="L459" s="158" t="s">
        <v>7942</v>
      </c>
      <c r="M459" s="158" t="s">
        <v>7943</v>
      </c>
    </row>
    <row r="460" spans="1:13">
      <c r="A460" s="158" t="s">
        <v>10516</v>
      </c>
      <c r="B460" s="158" t="s">
        <v>10517</v>
      </c>
      <c r="L460" s="158" t="s">
        <v>7689</v>
      </c>
      <c r="M460" s="158" t="s">
        <v>7691</v>
      </c>
    </row>
    <row r="461" spans="1:13">
      <c r="A461" s="158" t="s">
        <v>10524</v>
      </c>
      <c r="B461" s="158" t="s">
        <v>10525</v>
      </c>
      <c r="L461" s="158" t="s">
        <v>7357</v>
      </c>
      <c r="M461" s="158" t="s">
        <v>7359</v>
      </c>
    </row>
    <row r="462" spans="1:13">
      <c r="A462" s="158" t="s">
        <v>10528</v>
      </c>
      <c r="B462" s="158" t="s">
        <v>10529</v>
      </c>
      <c r="L462" s="158" t="s">
        <v>7853</v>
      </c>
      <c r="M462" s="158" t="s">
        <v>7854</v>
      </c>
    </row>
    <row r="463" spans="1:13">
      <c r="A463" s="158" t="s">
        <v>10532</v>
      </c>
      <c r="B463" s="158" t="s">
        <v>10533</v>
      </c>
      <c r="L463" s="158" t="s">
        <v>8006</v>
      </c>
      <c r="M463" s="158" t="s">
        <v>8007</v>
      </c>
    </row>
    <row r="464" spans="1:13">
      <c r="A464" s="158" t="s">
        <v>10540</v>
      </c>
      <c r="B464" s="158" t="s">
        <v>10541</v>
      </c>
      <c r="L464" s="158" t="s">
        <v>8398</v>
      </c>
      <c r="M464" s="158" t="s">
        <v>8399</v>
      </c>
    </row>
    <row r="465" spans="1:13">
      <c r="A465" s="158" t="s">
        <v>10536</v>
      </c>
      <c r="B465" s="158" t="s">
        <v>10537</v>
      </c>
      <c r="L465" s="158" t="s">
        <v>8225</v>
      </c>
      <c r="M465" s="158" t="s">
        <v>8226</v>
      </c>
    </row>
    <row r="466" spans="1:13">
      <c r="A466" s="158" t="s">
        <v>10544</v>
      </c>
      <c r="B466" s="158" t="s">
        <v>10545</v>
      </c>
      <c r="L466" s="158" t="s">
        <v>8229</v>
      </c>
      <c r="M466" s="158" t="s">
        <v>8230</v>
      </c>
    </row>
    <row r="467" spans="1:13">
      <c r="A467" s="158" t="s">
        <v>7571</v>
      </c>
      <c r="B467" s="158" t="s">
        <v>7572</v>
      </c>
      <c r="C467" s="158" t="s">
        <v>10702</v>
      </c>
      <c r="D467" s="158" t="s">
        <v>10703</v>
      </c>
      <c r="L467" s="158" t="s">
        <v>7510</v>
      </c>
      <c r="M467" s="158" t="s">
        <v>7512</v>
      </c>
    </row>
    <row r="468" spans="1:13">
      <c r="A468" s="158" t="s">
        <v>10548</v>
      </c>
      <c r="B468" s="158" t="s">
        <v>10549</v>
      </c>
      <c r="L468" s="158" t="s">
        <v>8213</v>
      </c>
      <c r="M468" s="158" t="s">
        <v>8214</v>
      </c>
    </row>
    <row r="469" spans="1:13">
      <c r="A469" s="158" t="s">
        <v>10552</v>
      </c>
      <c r="B469" s="158" t="s">
        <v>10553</v>
      </c>
      <c r="L469" s="158" t="s">
        <v>7218</v>
      </c>
      <c r="M469" s="158" t="s">
        <v>7220</v>
      </c>
    </row>
    <row r="470" spans="1:13">
      <c r="A470" s="158" t="s">
        <v>6824</v>
      </c>
      <c r="B470" s="158" t="s">
        <v>6826</v>
      </c>
      <c r="C470" s="158" t="s">
        <v>10704</v>
      </c>
      <c r="D470" s="158" t="s">
        <v>10705</v>
      </c>
      <c r="L470" s="158" t="s">
        <v>6357</v>
      </c>
      <c r="M470" s="158" t="s">
        <v>6359</v>
      </c>
    </row>
    <row r="471" spans="1:13">
      <c r="A471" s="158" t="s">
        <v>10568</v>
      </c>
      <c r="B471" s="158" t="s">
        <v>10569</v>
      </c>
      <c r="L471" s="158" t="s">
        <v>7026</v>
      </c>
      <c r="M471" s="158" t="s">
        <v>7028</v>
      </c>
    </row>
    <row r="472" spans="1:13">
      <c r="A472" s="158" t="s">
        <v>10556</v>
      </c>
      <c r="B472" s="158" t="s">
        <v>10557</v>
      </c>
    </row>
    <row r="473" spans="1:13">
      <c r="A473" s="158" t="s">
        <v>10560</v>
      </c>
      <c r="B473" s="158" t="s">
        <v>10561</v>
      </c>
    </row>
    <row r="474" spans="1:13">
      <c r="A474" s="158" t="s">
        <v>10564</v>
      </c>
      <c r="B474" s="158" t="s">
        <v>10565</v>
      </c>
    </row>
    <row r="475" spans="1:13">
      <c r="A475" s="158" t="s">
        <v>10572</v>
      </c>
      <c r="B475" s="158" t="s">
        <v>10573</v>
      </c>
    </row>
    <row r="476" spans="1:13">
      <c r="A476" s="158" t="s">
        <v>10576</v>
      </c>
      <c r="B476" s="158" t="s">
        <v>10577</v>
      </c>
    </row>
    <row r="477" spans="1:13">
      <c r="A477" s="158" t="s">
        <v>10580</v>
      </c>
      <c r="B477" s="158" t="s">
        <v>10581</v>
      </c>
    </row>
    <row r="478" spans="1:13">
      <c r="A478" s="158" t="s">
        <v>10592</v>
      </c>
      <c r="B478" s="158" t="s">
        <v>10593</v>
      </c>
    </row>
    <row r="479" spans="1:13">
      <c r="A479" s="158" t="s">
        <v>10588</v>
      </c>
      <c r="B479" s="158" t="s">
        <v>10589</v>
      </c>
    </row>
    <row r="480" spans="1:13">
      <c r="A480" s="158" t="s">
        <v>10584</v>
      </c>
      <c r="B480" s="158" t="s">
        <v>10585</v>
      </c>
    </row>
    <row r="481" spans="1:2">
      <c r="A481" s="158" t="s">
        <v>10596</v>
      </c>
      <c r="B481" s="158" t="s">
        <v>10597</v>
      </c>
    </row>
    <row r="482" spans="1:2">
      <c r="A482" s="158" t="s">
        <v>10600</v>
      </c>
      <c r="B482" s="158" t="s">
        <v>10601</v>
      </c>
    </row>
    <row r="483" spans="1:2">
      <c r="A483" s="158" t="s">
        <v>10608</v>
      </c>
      <c r="B483" s="158" t="s">
        <v>10609</v>
      </c>
    </row>
    <row r="484" spans="1:2">
      <c r="A484" s="312" t="s">
        <v>6774</v>
      </c>
      <c r="B484" s="312" t="s">
        <v>6776</v>
      </c>
    </row>
    <row r="485" spans="1:2">
      <c r="A485" s="158" t="s">
        <v>10604</v>
      </c>
      <c r="B485" s="158" t="s">
        <v>10605</v>
      </c>
    </row>
    <row r="486" spans="1:2">
      <c r="A486" s="158" t="s">
        <v>10612</v>
      </c>
      <c r="B486" s="158" t="s">
        <v>10613</v>
      </c>
    </row>
    <row r="487" spans="1:2">
      <c r="A487" s="158" t="s">
        <v>10638</v>
      </c>
      <c r="B487" s="158" t="s">
        <v>10639</v>
      </c>
    </row>
    <row r="488" spans="1:2">
      <c r="A488" s="158" t="s">
        <v>10640</v>
      </c>
      <c r="B488" s="158" t="s">
        <v>10641</v>
      </c>
    </row>
    <row r="489" spans="1:2">
      <c r="A489" s="158" t="s">
        <v>10616</v>
      </c>
      <c r="B489" s="158" t="s">
        <v>10617</v>
      </c>
    </row>
    <row r="490" spans="1:2">
      <c r="A490" s="158" t="s">
        <v>10624</v>
      </c>
      <c r="B490" s="158" t="s">
        <v>10625</v>
      </c>
    </row>
    <row r="491" spans="1:2">
      <c r="A491" s="158" t="s">
        <v>10628</v>
      </c>
      <c r="B491" s="158" t="s">
        <v>10629</v>
      </c>
    </row>
    <row r="492" spans="1:2">
      <c r="A492" s="158" t="s">
        <v>10630</v>
      </c>
      <c r="B492" s="158" t="s">
        <v>10631</v>
      </c>
    </row>
    <row r="493" spans="1:2">
      <c r="A493" s="158" t="s">
        <v>7021</v>
      </c>
      <c r="B493" s="158" t="s">
        <v>7023</v>
      </c>
    </row>
    <row r="494" spans="1:2">
      <c r="A494" s="158" t="s">
        <v>10620</v>
      </c>
      <c r="B494" s="158" t="s">
        <v>10621</v>
      </c>
    </row>
    <row r="495" spans="1:2">
      <c r="A495" s="158" t="s">
        <v>10634</v>
      </c>
      <c r="B495" s="158" t="s">
        <v>10635</v>
      </c>
    </row>
    <row r="496" spans="1:2">
      <c r="A496" s="158" t="s">
        <v>10642</v>
      </c>
      <c r="B496" s="158" t="s">
        <v>10643</v>
      </c>
    </row>
    <row r="497" spans="1:4">
      <c r="A497" s="158" t="s">
        <v>10646</v>
      </c>
      <c r="B497" s="158" t="s">
        <v>10647</v>
      </c>
    </row>
    <row r="498" spans="1:4">
      <c r="A498" s="158" t="s">
        <v>10650</v>
      </c>
      <c r="B498" s="158" t="s">
        <v>10651</v>
      </c>
    </row>
    <row r="499" spans="1:4">
      <c r="A499" s="158" t="s">
        <v>10654</v>
      </c>
      <c r="B499" s="158" t="s">
        <v>10655</v>
      </c>
    </row>
    <row r="500" spans="1:4">
      <c r="A500" s="158" t="s">
        <v>6466</v>
      </c>
      <c r="B500" s="158" t="s">
        <v>6468</v>
      </c>
      <c r="C500" s="158" t="s">
        <v>10706</v>
      </c>
      <c r="D500" s="158" t="s">
        <v>10707</v>
      </c>
    </row>
    <row r="501" spans="1:4">
      <c r="A501" s="158" t="s">
        <v>10658</v>
      </c>
      <c r="B501" s="158" t="s">
        <v>10659</v>
      </c>
    </row>
    <row r="502" spans="1:4">
      <c r="A502" s="158" t="s">
        <v>10662</v>
      </c>
      <c r="B502" s="158" t="s">
        <v>10663</v>
      </c>
    </row>
    <row r="503" spans="1:4">
      <c r="A503" s="158" t="s">
        <v>10666</v>
      </c>
      <c r="B503" s="158" t="s">
        <v>10667</v>
      </c>
    </row>
    <row r="504" spans="1:4">
      <c r="A504" s="158" t="s">
        <v>6471</v>
      </c>
      <c r="B504" s="158" t="s">
        <v>6473</v>
      </c>
      <c r="C504" s="158" t="s">
        <v>10708</v>
      </c>
      <c r="D504" s="158" t="s">
        <v>10709</v>
      </c>
    </row>
    <row r="505" spans="1:4">
      <c r="A505" s="158" t="s">
        <v>7448</v>
      </c>
      <c r="B505" s="158" t="s">
        <v>7449</v>
      </c>
      <c r="C505" s="158" t="s">
        <v>10710</v>
      </c>
      <c r="D505" s="158" t="s">
        <v>10711</v>
      </c>
    </row>
    <row r="506" spans="1:4">
      <c r="A506" s="158" t="s">
        <v>10670</v>
      </c>
      <c r="B506" s="158" t="s">
        <v>10671</v>
      </c>
    </row>
    <row r="507" spans="1:4">
      <c r="A507" s="158" t="s">
        <v>6744</v>
      </c>
      <c r="B507" s="158" t="s">
        <v>6746</v>
      </c>
      <c r="C507" s="158" t="s">
        <v>10712</v>
      </c>
      <c r="D507" s="158" t="s">
        <v>10713</v>
      </c>
    </row>
    <row r="508" spans="1:4">
      <c r="A508" s="158" t="s">
        <v>10674</v>
      </c>
      <c r="B508" s="158" t="s">
        <v>10675</v>
      </c>
    </row>
    <row r="509" spans="1:4">
      <c r="A509" s="158" t="s">
        <v>10678</v>
      </c>
      <c r="B509" s="158" t="s">
        <v>10679</v>
      </c>
    </row>
    <row r="510" spans="1:4">
      <c r="A510" s="158" t="s">
        <v>10684</v>
      </c>
      <c r="B510" s="158" t="s">
        <v>10685</v>
      </c>
    </row>
    <row r="511" spans="1:4">
      <c r="A511" s="158" t="s">
        <v>10680</v>
      </c>
      <c r="B511" s="158" t="s">
        <v>10681</v>
      </c>
    </row>
    <row r="512" spans="1:4">
      <c r="A512" s="158" t="s">
        <v>10688</v>
      </c>
      <c r="B512" s="158" t="s">
        <v>10689</v>
      </c>
    </row>
    <row r="513" spans="1:4">
      <c r="A513" s="158" t="s">
        <v>6442</v>
      </c>
      <c r="B513" s="158" t="s">
        <v>6444</v>
      </c>
    </row>
    <row r="514" spans="1:4">
      <c r="A514" s="158" t="s">
        <v>10696</v>
      </c>
      <c r="B514" s="158" t="s">
        <v>10697</v>
      </c>
    </row>
    <row r="515" spans="1:4">
      <c r="A515" s="158" t="s">
        <v>10692</v>
      </c>
      <c r="B515" s="158" t="s">
        <v>10693</v>
      </c>
    </row>
    <row r="516" spans="1:4">
      <c r="A516" s="158" t="s">
        <v>10698</v>
      </c>
      <c r="B516" s="158" t="s">
        <v>10699</v>
      </c>
    </row>
    <row r="517" spans="1:4">
      <c r="A517" s="158" t="s">
        <v>7684</v>
      </c>
      <c r="B517" s="158" t="s">
        <v>7686</v>
      </c>
      <c r="C517" s="158" t="s">
        <v>10714</v>
      </c>
      <c r="D517" s="158" t="s">
        <v>10715</v>
      </c>
    </row>
    <row r="518" spans="1:4">
      <c r="A518" s="158" t="s">
        <v>6764</v>
      </c>
      <c r="B518" s="158" t="s">
        <v>6766</v>
      </c>
      <c r="C518" s="158" t="s">
        <v>10716</v>
      </c>
      <c r="D518" s="158" t="s">
        <v>10717</v>
      </c>
    </row>
    <row r="519" spans="1:4">
      <c r="A519" s="158" t="s">
        <v>8378</v>
      </c>
      <c r="B519" s="158" t="s">
        <v>8379</v>
      </c>
      <c r="C519" s="158" t="s">
        <v>10718</v>
      </c>
      <c r="D519" s="158" t="s">
        <v>10719</v>
      </c>
    </row>
    <row r="520" spans="1:4">
      <c r="A520" s="158" t="s">
        <v>8390</v>
      </c>
      <c r="B520" s="158" t="s">
        <v>8391</v>
      </c>
      <c r="C520" s="158" t="s">
        <v>10720</v>
      </c>
      <c r="D520" s="158" t="s">
        <v>10721</v>
      </c>
    </row>
    <row r="521" spans="1:4">
      <c r="A521" s="158" t="s">
        <v>7689</v>
      </c>
      <c r="B521" s="158" t="s">
        <v>7691</v>
      </c>
      <c r="C521" s="158" t="s">
        <v>10722</v>
      </c>
      <c r="D521" s="158" t="s">
        <v>10723</v>
      </c>
    </row>
    <row r="522" spans="1:4">
      <c r="A522" s="158" t="s">
        <v>7853</v>
      </c>
      <c r="B522" s="158" t="s">
        <v>7854</v>
      </c>
      <c r="C522" s="158" t="s">
        <v>10724</v>
      </c>
      <c r="D522" s="158" t="s">
        <v>10725</v>
      </c>
    </row>
    <row r="523" spans="1:4">
      <c r="A523" s="158" t="s">
        <v>8006</v>
      </c>
      <c r="B523" s="158" t="s">
        <v>8007</v>
      </c>
      <c r="C523" s="158" t="s">
        <v>10726</v>
      </c>
      <c r="D523" s="158" t="s">
        <v>10727</v>
      </c>
    </row>
    <row r="524" spans="1:4">
      <c r="A524" s="158" t="s">
        <v>7357</v>
      </c>
      <c r="B524" s="158" t="s">
        <v>7359</v>
      </c>
      <c r="C524" s="158" t="s">
        <v>10728</v>
      </c>
      <c r="D524" s="158" t="s">
        <v>10729</v>
      </c>
    </row>
    <row r="525" spans="1:4">
      <c r="A525" s="158" t="s">
        <v>7942</v>
      </c>
      <c r="B525" s="158" t="s">
        <v>7943</v>
      </c>
      <c r="C525" s="158" t="s">
        <v>10730</v>
      </c>
      <c r="D525" s="158" t="s">
        <v>10731</v>
      </c>
    </row>
    <row r="526" spans="1:4">
      <c r="A526" s="158" t="s">
        <v>7749</v>
      </c>
      <c r="B526" s="158" t="s">
        <v>7751</v>
      </c>
      <c r="C526" s="158" t="s">
        <v>10732</v>
      </c>
      <c r="D526" s="158" t="s">
        <v>10733</v>
      </c>
    </row>
    <row r="527" spans="1:4">
      <c r="A527" s="158" t="s">
        <v>7510</v>
      </c>
      <c r="B527" s="158" t="s">
        <v>7512</v>
      </c>
      <c r="C527" s="158" t="s">
        <v>10734</v>
      </c>
      <c r="D527" s="158" t="s">
        <v>10735</v>
      </c>
    </row>
    <row r="528" spans="1:4">
      <c r="A528" s="158" t="s">
        <v>8398</v>
      </c>
      <c r="B528" s="158" t="s">
        <v>8399</v>
      </c>
      <c r="C528" s="158" t="s">
        <v>10736</v>
      </c>
      <c r="D528" s="158" t="s">
        <v>10737</v>
      </c>
    </row>
    <row r="529" spans="1:4">
      <c r="A529" s="158" t="s">
        <v>7036</v>
      </c>
      <c r="B529" s="158" t="s">
        <v>7037</v>
      </c>
      <c r="C529" s="158" t="s">
        <v>10738</v>
      </c>
      <c r="D529" s="158" t="s">
        <v>10739</v>
      </c>
    </row>
    <row r="530" spans="1:4">
      <c r="A530" s="158" t="s">
        <v>6932</v>
      </c>
      <c r="B530" s="158" t="s">
        <v>6934</v>
      </c>
    </row>
    <row r="531" spans="1:4">
      <c r="A531" s="158" t="s">
        <v>7218</v>
      </c>
      <c r="B531" s="158" t="s">
        <v>7220</v>
      </c>
      <c r="C531" s="158" t="s">
        <v>10740</v>
      </c>
      <c r="D531" s="158" t="s">
        <v>10741</v>
      </c>
    </row>
    <row r="532" spans="1:4">
      <c r="A532" s="158" t="s">
        <v>7432</v>
      </c>
      <c r="B532" s="158" t="s">
        <v>7433</v>
      </c>
      <c r="C532" s="158" t="s">
        <v>10742</v>
      </c>
      <c r="D532" s="158" t="s">
        <v>10743</v>
      </c>
    </row>
    <row r="533" spans="1:4">
      <c r="A533" s="158" t="s">
        <v>6564</v>
      </c>
      <c r="B533" s="158" t="s">
        <v>6566</v>
      </c>
      <c r="C533" s="158" t="s">
        <v>10744</v>
      </c>
      <c r="D533" s="158" t="s">
        <v>10745</v>
      </c>
    </row>
    <row r="534" spans="1:4">
      <c r="A534" s="158" t="s">
        <v>6357</v>
      </c>
      <c r="B534" s="158" t="s">
        <v>6359</v>
      </c>
      <c r="C534" s="158" t="s">
        <v>10746</v>
      </c>
      <c r="D534" s="158" t="s">
        <v>10747</v>
      </c>
    </row>
    <row r="535" spans="1:4">
      <c r="A535" s="158" t="s">
        <v>7026</v>
      </c>
      <c r="B535" s="158" t="s">
        <v>7028</v>
      </c>
      <c r="C535" s="158" t="s">
        <v>10748</v>
      </c>
      <c r="D535" s="158" t="s">
        <v>10188</v>
      </c>
    </row>
  </sheetData>
  <sheetProtection algorithmName="SHA-512" hashValue="iBhwaOczv6ggTl+Z25JbbyJhUlLwbVdNZsUQ1f/DAbyyppJ1vjIK4Bm5TId5HCkBcB2yupjx6FlMNlcrMwkQWQ==" saltValue="A2Y0Aj/JmRzXN5KZTsjKJA==" spinCount="100000" sheet="1" objects="1" scenarios="1" selectLockedCells="1" selectUnlockedCells="1"/>
  <sortState xmlns:xlrd2="http://schemas.microsoft.com/office/spreadsheetml/2017/richdata2" ref="L5:M471">
    <sortCondition ref="L5:L471"/>
  </sortState>
  <hyperlinks>
    <hyperlink ref="A2" r:id="rId1" display="https://www.iso.org/iso-3166-country-codes.html" xr:uid="{E1A3F6A6-2981-4878-90F9-9F0DBFE78EC9}"/>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574AE-52F1-4B06-A515-42E9AC8CAC53}">
  <sheetPr codeName="Sheet23"/>
  <dimension ref="A1:AI103"/>
  <sheetViews>
    <sheetView showGridLines="0" zoomScaleNormal="100" workbookViewId="0">
      <selection sqref="A1:F1"/>
    </sheetView>
  </sheetViews>
  <sheetFormatPr defaultColWidth="8.5546875" defaultRowHeight="10.199999999999999"/>
  <cols>
    <col min="1" max="1" width="14.44140625" style="184" customWidth="1"/>
    <col min="2" max="2" width="10.5546875" style="184" customWidth="1"/>
    <col min="3" max="3" width="20.5546875" style="184" customWidth="1"/>
    <col min="4" max="5" width="10.5546875" style="184" customWidth="1"/>
    <col min="6" max="6" width="18.77734375" style="184" customWidth="1"/>
    <col min="7" max="7" width="35" style="184" customWidth="1"/>
    <col min="8" max="14" width="10.5546875" style="184" customWidth="1"/>
    <col min="15" max="15" width="28.5546875" style="184" customWidth="1"/>
    <col min="16" max="16" width="25.5546875" style="184" customWidth="1"/>
    <col min="17" max="17" width="12.5546875" style="184" customWidth="1"/>
    <col min="18" max="18" width="14.21875" style="184" customWidth="1"/>
    <col min="19" max="19" width="16.21875" style="184" customWidth="1"/>
    <col min="20" max="20" width="16" style="184" customWidth="1"/>
    <col min="21" max="21" width="19.44140625" style="184" customWidth="1"/>
    <col min="22" max="22" width="8.5546875" style="184"/>
    <col min="23" max="23" width="16.44140625" style="184" customWidth="1"/>
    <col min="24" max="24" width="14.44140625" style="184" customWidth="1"/>
    <col min="25" max="25" width="8.5546875" style="184"/>
    <col min="26" max="26" width="31.44140625" style="184" bestFit="1" customWidth="1"/>
    <col min="27" max="16384" width="8.5546875" style="184"/>
  </cols>
  <sheetData>
    <row r="1" spans="1:35" ht="18">
      <c r="A1" s="184">
        <v>1</v>
      </c>
      <c r="C1" s="184">
        <v>2</v>
      </c>
      <c r="O1" s="188" t="s">
        <v>10749</v>
      </c>
      <c r="P1" s="189" t="s">
        <v>10750</v>
      </c>
      <c r="Q1" s="926" t="s">
        <v>10751</v>
      </c>
      <c r="R1" s="927"/>
      <c r="S1" s="927"/>
      <c r="T1" s="927"/>
      <c r="U1" s="927"/>
      <c r="V1" s="927"/>
      <c r="W1" s="927"/>
      <c r="X1" s="927"/>
      <c r="Y1" s="927"/>
      <c r="Z1" s="927"/>
    </row>
    <row r="2" spans="1:35" ht="30.6">
      <c r="A2" s="596" t="s">
        <v>8551</v>
      </c>
      <c r="C2" s="925" t="s">
        <v>8552</v>
      </c>
      <c r="D2" s="925"/>
      <c r="E2" s="925"/>
      <c r="F2" s="185"/>
      <c r="G2" s="596" t="s">
        <v>10752</v>
      </c>
      <c r="H2" s="185"/>
      <c r="I2" s="185"/>
      <c r="J2" s="185"/>
      <c r="K2" s="185"/>
      <c r="L2" s="185"/>
      <c r="M2" s="185"/>
      <c r="N2" s="185"/>
      <c r="O2" s="596" t="s">
        <v>10753</v>
      </c>
      <c r="P2" s="495" t="s">
        <v>10754</v>
      </c>
      <c r="Q2" s="495" t="s">
        <v>10755</v>
      </c>
      <c r="R2" s="495" t="s">
        <v>10756</v>
      </c>
      <c r="S2" s="495" t="s">
        <v>10757</v>
      </c>
      <c r="T2" s="495" t="s">
        <v>10758</v>
      </c>
      <c r="U2" s="495" t="s">
        <v>10759</v>
      </c>
      <c r="V2" s="596" t="s">
        <v>10760</v>
      </c>
      <c r="W2" s="495" t="s">
        <v>10761</v>
      </c>
      <c r="X2" s="495" t="s">
        <v>10762</v>
      </c>
      <c r="Y2" s="495" t="s">
        <v>10763</v>
      </c>
      <c r="Z2" s="495" t="s">
        <v>10764</v>
      </c>
      <c r="AA2" s="185"/>
      <c r="AB2" s="185"/>
      <c r="AC2" s="185"/>
      <c r="AD2" s="185"/>
      <c r="AE2" s="185"/>
      <c r="AF2" s="185"/>
      <c r="AG2" s="185"/>
      <c r="AH2" s="185"/>
      <c r="AI2" s="185"/>
    </row>
    <row r="3" spans="1:35">
      <c r="A3" s="414" t="s">
        <v>10765</v>
      </c>
      <c r="C3" s="922" t="s">
        <v>10766</v>
      </c>
      <c r="D3" s="923"/>
      <c r="E3" s="924"/>
      <c r="G3" s="414" t="s">
        <v>10767</v>
      </c>
      <c r="O3" s="413" t="s">
        <v>8528</v>
      </c>
      <c r="P3" s="413" t="s">
        <v>10768</v>
      </c>
      <c r="Q3" s="413" t="s">
        <v>10769</v>
      </c>
      <c r="R3" s="413" t="s">
        <v>10770</v>
      </c>
      <c r="S3" s="413" t="s">
        <v>10771</v>
      </c>
      <c r="T3" s="413" t="s">
        <v>10772</v>
      </c>
      <c r="U3" s="413" t="s">
        <v>8889</v>
      </c>
      <c r="V3" s="413" t="s">
        <v>8844</v>
      </c>
      <c r="W3" s="413" t="s">
        <v>10773</v>
      </c>
      <c r="X3" s="511" t="s">
        <v>10774</v>
      </c>
      <c r="Y3" s="413" t="s">
        <v>10775</v>
      </c>
      <c r="Z3" s="413" t="s">
        <v>10776</v>
      </c>
    </row>
    <row r="4" spans="1:35">
      <c r="A4" s="451" t="s">
        <v>10777</v>
      </c>
      <c r="C4" s="451" t="s">
        <v>9769</v>
      </c>
      <c r="D4" s="451" t="s">
        <v>9779</v>
      </c>
      <c r="E4" s="451" t="s">
        <v>8577</v>
      </c>
      <c r="G4" s="413" t="s">
        <v>8576</v>
      </c>
      <c r="O4" s="413" t="s">
        <v>10778</v>
      </c>
      <c r="P4" s="413" t="s">
        <v>10779</v>
      </c>
      <c r="Q4" s="413" t="s">
        <v>10780</v>
      </c>
      <c r="R4" s="413" t="s">
        <v>10780</v>
      </c>
      <c r="S4" s="413" t="s">
        <v>10781</v>
      </c>
      <c r="T4" s="413" t="s">
        <v>8915</v>
      </c>
      <c r="U4" s="413" t="s">
        <v>10782</v>
      </c>
      <c r="V4" s="413" t="s">
        <v>10783</v>
      </c>
      <c r="W4" s="413" t="s">
        <v>10784</v>
      </c>
      <c r="X4" s="511" t="s">
        <v>10785</v>
      </c>
      <c r="Y4" s="413" t="s">
        <v>8920</v>
      </c>
      <c r="Z4" s="413" t="s">
        <v>10786</v>
      </c>
    </row>
    <row r="5" spans="1:35">
      <c r="A5" s="413" t="s">
        <v>9769</v>
      </c>
      <c r="C5" s="413" t="s">
        <v>8795</v>
      </c>
      <c r="D5" s="413" t="s">
        <v>8799</v>
      </c>
      <c r="E5" s="413" t="s">
        <v>8578</v>
      </c>
      <c r="G5" s="413" t="s">
        <v>8603</v>
      </c>
      <c r="O5" s="190"/>
      <c r="P5" s="413" t="s">
        <v>10787</v>
      </c>
      <c r="Q5" s="413" t="s">
        <v>10776</v>
      </c>
      <c r="R5" s="413" t="s">
        <v>10776</v>
      </c>
      <c r="S5" s="413" t="s">
        <v>10788</v>
      </c>
      <c r="T5" s="413" t="s">
        <v>10773</v>
      </c>
      <c r="U5" s="413" t="s">
        <v>10789</v>
      </c>
      <c r="V5" s="190"/>
      <c r="W5" s="413" t="s">
        <v>10790</v>
      </c>
      <c r="Y5" s="413" t="s">
        <v>8922</v>
      </c>
      <c r="Z5" s="413" t="s">
        <v>10791</v>
      </c>
    </row>
    <row r="6" spans="1:35">
      <c r="A6" s="413" t="s">
        <v>8577</v>
      </c>
      <c r="C6" s="413" t="s">
        <v>8796</v>
      </c>
      <c r="D6" s="413" t="s">
        <v>8800</v>
      </c>
      <c r="E6" s="413" t="s">
        <v>8811</v>
      </c>
      <c r="G6" s="413" t="s">
        <v>10792</v>
      </c>
      <c r="O6" s="596" t="s">
        <v>10793</v>
      </c>
      <c r="P6" s="413" t="s">
        <v>10794</v>
      </c>
      <c r="Q6" s="413" t="s">
        <v>10795</v>
      </c>
      <c r="R6" s="413" t="s">
        <v>10795</v>
      </c>
      <c r="S6" s="413" t="s">
        <v>10796</v>
      </c>
      <c r="T6" s="413" t="s">
        <v>10784</v>
      </c>
      <c r="U6" s="412" t="s">
        <v>10797</v>
      </c>
      <c r="W6" s="413" t="s">
        <v>10798</v>
      </c>
      <c r="Z6" s="413" t="s">
        <v>10799</v>
      </c>
    </row>
    <row r="7" spans="1:35">
      <c r="A7" s="413" t="s">
        <v>9779</v>
      </c>
      <c r="C7" s="413" t="s">
        <v>8797</v>
      </c>
      <c r="D7" s="413" t="s">
        <v>8801</v>
      </c>
      <c r="E7" s="413" t="s">
        <v>8601</v>
      </c>
      <c r="G7" s="413" t="s">
        <v>10800</v>
      </c>
      <c r="O7" s="413" t="s">
        <v>8522</v>
      </c>
      <c r="P7" s="413" t="s">
        <v>10801</v>
      </c>
      <c r="Q7" s="413" t="s">
        <v>10802</v>
      </c>
      <c r="R7" s="413" t="s">
        <v>10803</v>
      </c>
      <c r="S7" s="413" t="s">
        <v>10804</v>
      </c>
      <c r="T7" s="413" t="s">
        <v>10805</v>
      </c>
      <c r="U7" s="413" t="s">
        <v>10806</v>
      </c>
      <c r="W7" s="413" t="s">
        <v>8918</v>
      </c>
      <c r="Z7" s="413" t="s">
        <v>10807</v>
      </c>
    </row>
    <row r="8" spans="1:35">
      <c r="C8" s="413"/>
      <c r="D8" s="413" t="s">
        <v>8802</v>
      </c>
      <c r="E8" s="413" t="s">
        <v>9985</v>
      </c>
      <c r="G8" s="413" t="s">
        <v>10808</v>
      </c>
      <c r="O8" s="413" t="s">
        <v>10809</v>
      </c>
      <c r="P8" s="413" t="s">
        <v>10810</v>
      </c>
      <c r="Q8" s="413" t="s">
        <v>10807</v>
      </c>
      <c r="R8" s="413" t="s">
        <v>10807</v>
      </c>
      <c r="S8" s="413" t="s">
        <v>10811</v>
      </c>
      <c r="T8" s="413" t="s">
        <v>10812</v>
      </c>
      <c r="W8" s="413" t="s">
        <v>10812</v>
      </c>
      <c r="Z8" s="190"/>
    </row>
    <row r="9" spans="1:35">
      <c r="C9" s="413"/>
      <c r="D9" s="413"/>
      <c r="E9" s="413" t="s">
        <v>9841</v>
      </c>
      <c r="G9" s="413" t="s">
        <v>10813</v>
      </c>
      <c r="P9" s="413" t="s">
        <v>10814</v>
      </c>
      <c r="Q9" s="190"/>
      <c r="R9" s="190"/>
      <c r="S9" s="413" t="s">
        <v>10815</v>
      </c>
      <c r="T9" s="413" t="s">
        <v>6254</v>
      </c>
      <c r="W9" s="413" t="s">
        <v>6254</v>
      </c>
    </row>
    <row r="10" spans="1:35">
      <c r="C10" s="413"/>
      <c r="D10" s="413"/>
      <c r="E10" s="413" t="s">
        <v>8810</v>
      </c>
      <c r="G10" s="413" t="s">
        <v>10816</v>
      </c>
      <c r="S10" s="413" t="s">
        <v>10002</v>
      </c>
      <c r="T10" s="413" t="s">
        <v>6255</v>
      </c>
      <c r="W10" s="413" t="s">
        <v>6255</v>
      </c>
    </row>
    <row r="11" spans="1:35">
      <c r="G11" s="413" t="s">
        <v>10817</v>
      </c>
      <c r="O11" s="596" t="s">
        <v>10818</v>
      </c>
      <c r="S11" s="413" t="s">
        <v>10003</v>
      </c>
      <c r="T11" s="413" t="s">
        <v>10819</v>
      </c>
      <c r="W11" s="413" t="s">
        <v>10819</v>
      </c>
    </row>
    <row r="12" spans="1:35">
      <c r="G12" s="413" t="s">
        <v>10820</v>
      </c>
      <c r="O12" s="413">
        <v>0</v>
      </c>
      <c r="S12" s="413" t="s">
        <v>10004</v>
      </c>
      <c r="T12" s="413" t="s">
        <v>10821</v>
      </c>
      <c r="W12" s="413" t="s">
        <v>6251</v>
      </c>
    </row>
    <row r="13" spans="1:35">
      <c r="O13" s="413" t="s">
        <v>10822</v>
      </c>
      <c r="S13" s="413" t="s">
        <v>10005</v>
      </c>
      <c r="T13" s="413" t="s">
        <v>10823</v>
      </c>
      <c r="W13" s="413" t="s">
        <v>10824</v>
      </c>
    </row>
    <row r="14" spans="1:35">
      <c r="O14" s="413" t="s">
        <v>10825</v>
      </c>
      <c r="S14" s="413" t="s">
        <v>10826</v>
      </c>
      <c r="T14" s="413" t="s">
        <v>6251</v>
      </c>
    </row>
    <row r="15" spans="1:35">
      <c r="A15" s="925" t="s">
        <v>8553</v>
      </c>
      <c r="B15" s="925"/>
      <c r="C15" s="925"/>
      <c r="D15" s="925"/>
      <c r="E15" s="925"/>
      <c r="F15" s="925"/>
      <c r="G15" s="925"/>
      <c r="H15" s="925"/>
      <c r="I15" s="925"/>
      <c r="J15" s="925"/>
      <c r="K15" s="925"/>
      <c r="L15" s="925"/>
      <c r="M15" s="925"/>
      <c r="N15" s="279"/>
      <c r="O15" s="413" t="s">
        <v>10827</v>
      </c>
      <c r="S15" s="413" t="s">
        <v>10828</v>
      </c>
    </row>
    <row r="16" spans="1:35">
      <c r="A16" s="923" t="s">
        <v>10829</v>
      </c>
      <c r="B16" s="923"/>
      <c r="C16" s="923"/>
      <c r="D16" s="923"/>
      <c r="E16" s="923"/>
      <c r="F16" s="923"/>
      <c r="G16" s="923"/>
      <c r="H16" s="923"/>
      <c r="I16" s="923"/>
      <c r="J16" s="923"/>
      <c r="K16" s="923"/>
      <c r="L16" s="923"/>
      <c r="M16" s="923"/>
      <c r="N16" s="280"/>
      <c r="O16" s="190"/>
      <c r="S16" s="413" t="s">
        <v>10830</v>
      </c>
    </row>
    <row r="17" spans="1:30" ht="51" customHeight="1">
      <c r="A17" s="451" t="s">
        <v>8795</v>
      </c>
      <c r="B17" s="451" t="s">
        <v>8796</v>
      </c>
      <c r="C17" s="451" t="s">
        <v>8797</v>
      </c>
      <c r="D17" s="451" t="s">
        <v>8799</v>
      </c>
      <c r="E17" s="451" t="s">
        <v>8800</v>
      </c>
      <c r="F17" s="451" t="s">
        <v>8801</v>
      </c>
      <c r="G17" s="451" t="s">
        <v>8802</v>
      </c>
      <c r="H17" s="451" t="s">
        <v>8578</v>
      </c>
      <c r="I17" s="451" t="s">
        <v>8811</v>
      </c>
      <c r="J17" s="451" t="s">
        <v>8601</v>
      </c>
      <c r="K17" s="451" t="s">
        <v>10831</v>
      </c>
      <c r="L17" s="451" t="s">
        <v>9841</v>
      </c>
      <c r="M17" s="451" t="s">
        <v>8810</v>
      </c>
      <c r="N17" s="280"/>
      <c r="S17" s="413" t="s">
        <v>10832</v>
      </c>
    </row>
    <row r="18" spans="1:30">
      <c r="A18" s="413" t="s">
        <v>8590</v>
      </c>
      <c r="B18" s="413" t="s">
        <v>8590</v>
      </c>
      <c r="C18" s="413" t="s">
        <v>9772</v>
      </c>
      <c r="D18" s="413" t="s">
        <v>8590</v>
      </c>
      <c r="E18" s="413" t="s">
        <v>8590</v>
      </c>
      <c r="F18" s="413" t="s">
        <v>8590</v>
      </c>
      <c r="G18" s="413" t="s">
        <v>9786</v>
      </c>
      <c r="H18" s="413" t="s">
        <v>8579</v>
      </c>
      <c r="I18" s="413" t="s">
        <v>8590</v>
      </c>
      <c r="J18" s="413" t="s">
        <v>8602</v>
      </c>
      <c r="K18" s="413" t="s">
        <v>8820</v>
      </c>
      <c r="L18" s="413" t="s">
        <v>8813</v>
      </c>
      <c r="M18" s="413" t="s">
        <v>8590</v>
      </c>
      <c r="N18" s="280"/>
      <c r="S18" s="413" t="s">
        <v>10833</v>
      </c>
    </row>
    <row r="19" spans="1:30">
      <c r="A19" s="413"/>
      <c r="B19" s="413"/>
      <c r="C19" s="413" t="s">
        <v>9775</v>
      </c>
      <c r="D19" s="413"/>
      <c r="E19" s="413"/>
      <c r="F19" s="413"/>
      <c r="G19" s="413" t="s">
        <v>9814</v>
      </c>
      <c r="H19" s="413" t="s">
        <v>8591</v>
      </c>
      <c r="I19" s="413"/>
      <c r="J19" s="413" t="s">
        <v>4145</v>
      </c>
      <c r="K19" s="413" t="s">
        <v>8821</v>
      </c>
      <c r="L19" s="413" t="s">
        <v>8814</v>
      </c>
      <c r="M19" s="413"/>
      <c r="N19" s="190"/>
    </row>
    <row r="20" spans="1:30">
      <c r="A20" s="413"/>
      <c r="B20" s="413"/>
      <c r="C20" s="413" t="s">
        <v>9776</v>
      </c>
      <c r="D20" s="413"/>
      <c r="E20" s="413"/>
      <c r="F20" s="413"/>
      <c r="G20" s="413"/>
      <c r="H20" s="413" t="s">
        <v>8804</v>
      </c>
      <c r="I20" s="413"/>
      <c r="J20" s="413" t="s">
        <v>8806</v>
      </c>
      <c r="K20" s="413" t="s">
        <v>8822</v>
      </c>
      <c r="L20" s="413" t="s">
        <v>8815</v>
      </c>
      <c r="M20" s="413"/>
      <c r="N20" s="190"/>
    </row>
    <row r="21" spans="1:30">
      <c r="A21" s="413"/>
      <c r="B21" s="413"/>
      <c r="C21" s="413" t="s">
        <v>9777</v>
      </c>
      <c r="D21" s="413"/>
      <c r="E21" s="413"/>
      <c r="F21" s="413"/>
      <c r="G21" s="413"/>
      <c r="H21" s="413" t="s">
        <v>776</v>
      </c>
      <c r="I21" s="413"/>
      <c r="J21" s="413" t="s">
        <v>8807</v>
      </c>
      <c r="K21" s="413" t="s">
        <v>8823</v>
      </c>
      <c r="L21" s="413" t="s">
        <v>8816</v>
      </c>
      <c r="M21" s="413"/>
      <c r="N21" s="190"/>
    </row>
    <row r="22" spans="1:30">
      <c r="A22" s="413"/>
      <c r="B22" s="413"/>
      <c r="C22" s="413" t="s">
        <v>9778</v>
      </c>
      <c r="D22" s="413"/>
      <c r="E22" s="413"/>
      <c r="F22" s="413"/>
      <c r="G22" s="413"/>
      <c r="H22" s="413" t="s">
        <v>807</v>
      </c>
      <c r="I22" s="413"/>
      <c r="J22" s="413" t="s">
        <v>8808</v>
      </c>
      <c r="K22" s="413"/>
      <c r="L22" s="413" t="s">
        <v>8817</v>
      </c>
      <c r="M22" s="413"/>
      <c r="N22" s="190"/>
    </row>
    <row r="23" spans="1:30">
      <c r="A23" s="413"/>
      <c r="B23" s="413"/>
      <c r="C23" s="413"/>
      <c r="D23" s="413"/>
      <c r="E23" s="413"/>
      <c r="F23" s="413"/>
      <c r="G23" s="413"/>
      <c r="H23" s="413" t="s">
        <v>8588</v>
      </c>
      <c r="I23" s="413"/>
      <c r="J23" s="413"/>
      <c r="K23" s="413"/>
      <c r="L23" s="413" t="s">
        <v>3048</v>
      </c>
      <c r="M23" s="413"/>
      <c r="N23" s="190"/>
    </row>
    <row r="24" spans="1:30">
      <c r="A24" s="413"/>
      <c r="B24" s="413"/>
      <c r="C24" s="413"/>
      <c r="D24" s="413"/>
      <c r="E24" s="413"/>
      <c r="F24" s="413"/>
      <c r="G24" s="413"/>
      <c r="H24" s="413" t="s">
        <v>984</v>
      </c>
      <c r="I24" s="413"/>
      <c r="J24" s="413"/>
      <c r="K24" s="413"/>
      <c r="L24" s="413" t="s">
        <v>8818</v>
      </c>
      <c r="M24" s="413"/>
      <c r="N24" s="190"/>
    </row>
    <row r="25" spans="1:30">
      <c r="A25" s="413"/>
      <c r="B25" s="413"/>
      <c r="C25" s="413"/>
      <c r="D25" s="413"/>
      <c r="E25" s="413"/>
      <c r="F25" s="413"/>
      <c r="G25" s="413"/>
      <c r="H25" s="413"/>
      <c r="I25" s="413"/>
      <c r="J25" s="413"/>
      <c r="K25" s="413"/>
      <c r="L25" s="413"/>
      <c r="M25" s="413"/>
      <c r="N25" s="190"/>
    </row>
    <row r="31" spans="1:30">
      <c r="A31" s="452" t="s">
        <v>8554</v>
      </c>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584"/>
    </row>
    <row r="32" spans="1:30">
      <c r="A32" s="595" t="s">
        <v>10834</v>
      </c>
      <c r="B32" s="595"/>
      <c r="C32" s="595"/>
      <c r="D32" s="595"/>
      <c r="E32" s="595"/>
      <c r="F32" s="595"/>
      <c r="G32" s="595"/>
      <c r="H32" s="595"/>
      <c r="I32" s="595"/>
      <c r="J32" s="595"/>
      <c r="K32" s="595"/>
      <c r="L32" s="595"/>
      <c r="M32" s="595"/>
      <c r="N32" s="595"/>
      <c r="O32" s="595"/>
      <c r="P32" s="595"/>
      <c r="Q32" s="595"/>
      <c r="R32" s="595"/>
      <c r="S32" s="595"/>
      <c r="T32" s="595"/>
      <c r="U32" s="595"/>
      <c r="V32" s="595"/>
      <c r="W32" s="595"/>
      <c r="X32" s="595"/>
      <c r="Y32" s="595"/>
      <c r="Z32" s="595"/>
      <c r="AA32" s="595"/>
      <c r="AB32" s="595"/>
      <c r="AC32" s="595"/>
      <c r="AD32" s="595"/>
    </row>
    <row r="33" spans="1:30">
      <c r="A33" s="451" t="s">
        <v>9772</v>
      </c>
      <c r="B33" s="451" t="s">
        <v>9775</v>
      </c>
      <c r="C33" s="451" t="s">
        <v>9776</v>
      </c>
      <c r="D33" s="451" t="s">
        <v>9777</v>
      </c>
      <c r="E33" s="451" t="s">
        <v>9778</v>
      </c>
      <c r="F33" s="451" t="s">
        <v>9786</v>
      </c>
      <c r="G33" s="451" t="s">
        <v>9814</v>
      </c>
      <c r="H33" s="451" t="s">
        <v>8579</v>
      </c>
      <c r="I33" s="451" t="s">
        <v>8591</v>
      </c>
      <c r="J33" s="451" t="s">
        <v>8804</v>
      </c>
      <c r="K33" s="451" t="s">
        <v>776</v>
      </c>
      <c r="L33" s="451" t="s">
        <v>807</v>
      </c>
      <c r="M33" s="451" t="s">
        <v>8588</v>
      </c>
      <c r="N33" s="451" t="s">
        <v>984</v>
      </c>
      <c r="O33" s="451" t="s">
        <v>8602</v>
      </c>
      <c r="P33" s="451" t="s">
        <v>4145</v>
      </c>
      <c r="Q33" s="451" t="s">
        <v>8806</v>
      </c>
      <c r="R33" s="451" t="s">
        <v>8807</v>
      </c>
      <c r="S33" s="451" t="s">
        <v>10835</v>
      </c>
      <c r="T33" s="451" t="s">
        <v>8820</v>
      </c>
      <c r="U33" s="451" t="s">
        <v>8821</v>
      </c>
      <c r="V33" s="451" t="s">
        <v>8822</v>
      </c>
      <c r="W33" s="451" t="s">
        <v>8823</v>
      </c>
      <c r="X33" s="451" t="s">
        <v>8813</v>
      </c>
      <c r="Y33" s="451" t="s">
        <v>8814</v>
      </c>
      <c r="Z33" s="451" t="s">
        <v>8815</v>
      </c>
      <c r="AA33" s="451" t="s">
        <v>8816</v>
      </c>
      <c r="AB33" s="451" t="s">
        <v>8817</v>
      </c>
      <c r="AC33" s="451" t="s">
        <v>3048</v>
      </c>
      <c r="AD33" s="451" t="s">
        <v>8818</v>
      </c>
    </row>
    <row r="34" spans="1:30">
      <c r="A34" s="184" t="s">
        <v>8590</v>
      </c>
      <c r="B34" s="184" t="s">
        <v>8590</v>
      </c>
      <c r="C34" s="184" t="s">
        <v>8590</v>
      </c>
      <c r="D34" s="184" t="s">
        <v>8590</v>
      </c>
      <c r="E34" s="184" t="s">
        <v>8590</v>
      </c>
      <c r="F34" s="184" t="s">
        <v>9787</v>
      </c>
      <c r="G34" s="184" t="s">
        <v>10836</v>
      </c>
      <c r="H34" s="184" t="s">
        <v>10837</v>
      </c>
      <c r="I34" s="184" t="s">
        <v>8592</v>
      </c>
      <c r="J34" s="184" t="s">
        <v>8590</v>
      </c>
      <c r="K34" s="184" t="s">
        <v>9847</v>
      </c>
      <c r="L34" s="184" t="s">
        <v>8590</v>
      </c>
      <c r="M34" s="184" t="s">
        <v>8589</v>
      </c>
      <c r="N34" s="184" t="s">
        <v>9847</v>
      </c>
      <c r="O34" s="184" t="s">
        <v>8590</v>
      </c>
      <c r="P34" s="184" t="s">
        <v>8590</v>
      </c>
      <c r="Q34" s="184" t="s">
        <v>8590</v>
      </c>
      <c r="R34" s="184" t="s">
        <v>8590</v>
      </c>
      <c r="S34" s="184" t="s">
        <v>8590</v>
      </c>
      <c r="T34" s="184" t="s">
        <v>8590</v>
      </c>
      <c r="U34" s="184" t="s">
        <v>8590</v>
      </c>
      <c r="V34" s="184" t="s">
        <v>8590</v>
      </c>
      <c r="W34" s="184" t="s">
        <v>10838</v>
      </c>
      <c r="X34" s="184" t="s">
        <v>8590</v>
      </c>
      <c r="Y34" s="184" t="s">
        <v>8590</v>
      </c>
      <c r="Z34" s="184" t="s">
        <v>8590</v>
      </c>
      <c r="AA34" s="184" t="s">
        <v>8590</v>
      </c>
      <c r="AB34" s="184" t="s">
        <v>8590</v>
      </c>
      <c r="AC34" s="184" t="s">
        <v>8590</v>
      </c>
      <c r="AD34" s="184" t="s">
        <v>8590</v>
      </c>
    </row>
    <row r="35" spans="1:30">
      <c r="F35" s="184" t="s">
        <v>9798</v>
      </c>
      <c r="G35" s="184" t="s">
        <v>10839</v>
      </c>
      <c r="H35" s="184" t="s">
        <v>8580</v>
      </c>
      <c r="I35" s="184" t="s">
        <v>8597</v>
      </c>
      <c r="K35" s="184" t="s">
        <v>10840</v>
      </c>
      <c r="M35" s="184" t="s">
        <v>8585</v>
      </c>
      <c r="N35" s="184" t="s">
        <v>10840</v>
      </c>
      <c r="W35" s="184" t="s">
        <v>10841</v>
      </c>
    </row>
    <row r="36" spans="1:30">
      <c r="F36" s="184" t="s">
        <v>10842</v>
      </c>
      <c r="G36" s="184" t="s">
        <v>9817</v>
      </c>
      <c r="H36" s="184" t="s">
        <v>9899</v>
      </c>
      <c r="K36" s="184" t="s">
        <v>9852</v>
      </c>
      <c r="M36" s="184" t="s">
        <v>10843</v>
      </c>
      <c r="N36" s="184" t="s">
        <v>9852</v>
      </c>
    </row>
    <row r="37" spans="1:30">
      <c r="F37" s="184" t="s">
        <v>10844</v>
      </c>
      <c r="G37" s="184" t="s">
        <v>9818</v>
      </c>
      <c r="K37" s="184" t="s">
        <v>9854</v>
      </c>
      <c r="M37" s="184" t="s">
        <v>9929</v>
      </c>
      <c r="N37" s="184" t="s">
        <v>9854</v>
      </c>
    </row>
    <row r="38" spans="1:30">
      <c r="F38" s="184" t="s">
        <v>10845</v>
      </c>
      <c r="G38" s="184" t="s">
        <v>10846</v>
      </c>
      <c r="K38" s="184" t="s">
        <v>8596</v>
      </c>
      <c r="M38" s="184" t="s">
        <v>9931</v>
      </c>
      <c r="N38" s="184" t="s">
        <v>8596</v>
      </c>
    </row>
    <row r="39" spans="1:30">
      <c r="G39" s="184" t="s">
        <v>10847</v>
      </c>
      <c r="K39" s="184" t="s">
        <v>8584</v>
      </c>
      <c r="M39" s="184" t="s">
        <v>10848</v>
      </c>
      <c r="N39" s="184" t="s">
        <v>8584</v>
      </c>
    </row>
    <row r="40" spans="1:30">
      <c r="G40" s="184" t="s">
        <v>10849</v>
      </c>
      <c r="K40" s="184" t="s">
        <v>9858</v>
      </c>
      <c r="M40" s="184" t="s">
        <v>9933</v>
      </c>
      <c r="N40" s="184" t="s">
        <v>9858</v>
      </c>
    </row>
    <row r="41" spans="1:30">
      <c r="G41" s="184" t="s">
        <v>10850</v>
      </c>
      <c r="K41" s="184" t="s">
        <v>9860</v>
      </c>
      <c r="M41" s="184" t="s">
        <v>9869</v>
      </c>
      <c r="N41" s="184" t="s">
        <v>9860</v>
      </c>
    </row>
    <row r="42" spans="1:30">
      <c r="G42" s="184" t="s">
        <v>10851</v>
      </c>
      <c r="K42" s="184" t="s">
        <v>8599</v>
      </c>
      <c r="N42" s="184" t="s">
        <v>8599</v>
      </c>
    </row>
    <row r="43" spans="1:30">
      <c r="K43" s="184" t="s">
        <v>9863</v>
      </c>
      <c r="N43" s="184" t="s">
        <v>9863</v>
      </c>
    </row>
    <row r="44" spans="1:30">
      <c r="K44" s="184" t="s">
        <v>9951</v>
      </c>
      <c r="N44" s="184" t="s">
        <v>9951</v>
      </c>
    </row>
    <row r="67" spans="1:30">
      <c r="A67" s="452" t="s">
        <v>8555</v>
      </c>
      <c r="B67" s="187"/>
      <c r="C67" s="187"/>
      <c r="D67" s="187"/>
      <c r="E67" s="187"/>
      <c r="F67" s="187"/>
      <c r="G67" s="187"/>
      <c r="H67" s="187"/>
      <c r="I67" s="187"/>
      <c r="J67" s="187"/>
      <c r="K67" s="187"/>
      <c r="L67" s="187"/>
      <c r="M67" s="187"/>
      <c r="N67" s="187"/>
      <c r="O67" s="187"/>
      <c r="P67" s="187"/>
      <c r="Q67" s="187"/>
      <c r="R67" s="187"/>
      <c r="S67" s="187"/>
      <c r="T67" s="187"/>
      <c r="U67" s="187"/>
      <c r="V67" s="187"/>
      <c r="W67" s="187"/>
      <c r="X67" s="187"/>
      <c r="Y67" s="187"/>
      <c r="Z67" s="187"/>
      <c r="AA67" s="187"/>
      <c r="AB67" s="187"/>
      <c r="AC67" s="187"/>
      <c r="AD67" s="584"/>
    </row>
    <row r="68" spans="1:30">
      <c r="A68" s="595" t="s">
        <v>10852</v>
      </c>
      <c r="B68" s="595"/>
      <c r="C68" s="595"/>
      <c r="D68" s="595"/>
      <c r="E68" s="595"/>
      <c r="F68" s="595"/>
      <c r="G68" s="595"/>
      <c r="H68" s="595"/>
      <c r="I68" s="595"/>
      <c r="J68" s="595"/>
      <c r="K68" s="595"/>
      <c r="L68" s="595"/>
      <c r="M68" s="595"/>
      <c r="N68" s="595"/>
      <c r="O68" s="595"/>
      <c r="P68" s="595"/>
      <c r="Q68" s="595"/>
      <c r="R68" s="595"/>
      <c r="S68" s="595"/>
      <c r="T68" s="595"/>
      <c r="U68" s="595"/>
      <c r="V68" s="595"/>
      <c r="W68" s="595"/>
      <c r="X68" s="595"/>
      <c r="Y68" s="595"/>
      <c r="Z68" s="595"/>
      <c r="AA68" s="595"/>
      <c r="AB68" s="595"/>
      <c r="AC68" s="595"/>
      <c r="AD68" s="595"/>
    </row>
    <row r="69" spans="1:30">
      <c r="A69" s="451" t="s">
        <v>9787</v>
      </c>
      <c r="B69" s="451" t="s">
        <v>9798</v>
      </c>
      <c r="C69" s="451" t="s">
        <v>10842</v>
      </c>
      <c r="D69" s="451" t="s">
        <v>10844</v>
      </c>
      <c r="E69" s="451" t="s">
        <v>10845</v>
      </c>
      <c r="F69" s="451" t="s">
        <v>10853</v>
      </c>
      <c r="G69" s="451" t="s">
        <v>10839</v>
      </c>
      <c r="H69" s="451" t="s">
        <v>10854</v>
      </c>
      <c r="I69" s="451" t="s">
        <v>9818</v>
      </c>
      <c r="J69" s="451" t="s">
        <v>10855</v>
      </c>
      <c r="K69" s="451" t="s">
        <v>10847</v>
      </c>
      <c r="L69" s="451" t="s">
        <v>10849</v>
      </c>
      <c r="M69" s="451" t="s">
        <v>10850</v>
      </c>
      <c r="N69" s="451"/>
      <c r="O69" s="451" t="s">
        <v>10856</v>
      </c>
      <c r="P69" s="451" t="s">
        <v>10837</v>
      </c>
      <c r="Q69" s="451" t="s">
        <v>8580</v>
      </c>
      <c r="R69" s="451" t="s">
        <v>9899</v>
      </c>
      <c r="S69" s="451" t="s">
        <v>8592</v>
      </c>
      <c r="T69" s="451" t="s">
        <v>8597</v>
      </c>
      <c r="U69" s="451" t="s">
        <v>8589</v>
      </c>
      <c r="V69" s="451" t="s">
        <v>8585</v>
      </c>
      <c r="W69" s="451" t="s">
        <v>10843</v>
      </c>
      <c r="X69" s="451" t="s">
        <v>9929</v>
      </c>
      <c r="Y69" s="451" t="s">
        <v>9931</v>
      </c>
      <c r="Z69" s="451" t="s">
        <v>10857</v>
      </c>
      <c r="AA69" s="451" t="s">
        <v>9933</v>
      </c>
      <c r="AB69" s="451" t="s">
        <v>9869</v>
      </c>
      <c r="AC69" s="451" t="s">
        <v>10838</v>
      </c>
      <c r="AD69" s="451" t="s">
        <v>10841</v>
      </c>
    </row>
    <row r="70" spans="1:30">
      <c r="A70" s="184" t="s">
        <v>10858</v>
      </c>
      <c r="B70" s="184" t="s">
        <v>9799</v>
      </c>
      <c r="C70" s="184" t="s">
        <v>10859</v>
      </c>
      <c r="D70" s="184" t="s">
        <v>9807</v>
      </c>
      <c r="E70" s="184" t="s">
        <v>10860</v>
      </c>
      <c r="F70" s="184" t="s">
        <v>8590</v>
      </c>
      <c r="G70" s="184" t="s">
        <v>8590</v>
      </c>
      <c r="H70" s="184" t="s">
        <v>8590</v>
      </c>
      <c r="I70" s="184" t="s">
        <v>8590</v>
      </c>
      <c r="J70" s="184" t="s">
        <v>8590</v>
      </c>
      <c r="K70" s="184" t="s">
        <v>8590</v>
      </c>
      <c r="L70" s="184" t="s">
        <v>8590</v>
      </c>
      <c r="M70" s="184" t="s">
        <v>8590</v>
      </c>
      <c r="O70" s="184" t="s">
        <v>8590</v>
      </c>
      <c r="P70" s="184" t="s">
        <v>8581</v>
      </c>
      <c r="Q70" s="184" t="s">
        <v>8581</v>
      </c>
      <c r="R70" s="184" t="s">
        <v>8581</v>
      </c>
      <c r="S70" s="184" t="s">
        <v>8593</v>
      </c>
      <c r="T70" s="184" t="s">
        <v>8593</v>
      </c>
      <c r="U70" s="184" t="s">
        <v>8590</v>
      </c>
      <c r="V70" s="184" t="s">
        <v>8590</v>
      </c>
      <c r="W70" s="184" t="s">
        <v>8590</v>
      </c>
      <c r="X70" s="184" t="s">
        <v>8590</v>
      </c>
      <c r="Y70" s="184" t="s">
        <v>8590</v>
      </c>
      <c r="Z70" s="184" t="s">
        <v>8590</v>
      </c>
      <c r="AA70" s="184" t="s">
        <v>8590</v>
      </c>
      <c r="AB70" s="184" t="s">
        <v>8590</v>
      </c>
      <c r="AC70" s="184" t="s">
        <v>8590</v>
      </c>
      <c r="AD70" s="184" t="s">
        <v>8590</v>
      </c>
    </row>
    <row r="71" spans="1:30">
      <c r="A71" s="184" t="s">
        <v>10861</v>
      </c>
      <c r="B71" s="184" t="s">
        <v>10862</v>
      </c>
      <c r="C71" s="184" t="s">
        <v>10863</v>
      </c>
      <c r="D71" s="184" t="s">
        <v>9808</v>
      </c>
      <c r="E71" s="184" t="s">
        <v>10864</v>
      </c>
      <c r="P71" s="184" t="s">
        <v>8583</v>
      </c>
      <c r="Q71" s="184" t="s">
        <v>8583</v>
      </c>
      <c r="R71" s="184" t="s">
        <v>8583</v>
      </c>
      <c r="S71" s="184" t="s">
        <v>8595</v>
      </c>
      <c r="T71" s="184" t="s">
        <v>8595</v>
      </c>
    </row>
    <row r="72" spans="1:30">
      <c r="A72" s="184" t="s">
        <v>10865</v>
      </c>
      <c r="B72" s="184" t="s">
        <v>10866</v>
      </c>
      <c r="D72" s="184" t="s">
        <v>9809</v>
      </c>
      <c r="E72" s="184" t="s">
        <v>9813</v>
      </c>
    </row>
    <row r="73" spans="1:30">
      <c r="A73" s="184" t="s">
        <v>10867</v>
      </c>
    </row>
    <row r="74" spans="1:30">
      <c r="A74" s="184" t="s">
        <v>9794</v>
      </c>
    </row>
    <row r="75" spans="1:30">
      <c r="A75" s="184" t="s">
        <v>10868</v>
      </c>
    </row>
    <row r="76" spans="1:30">
      <c r="A76" s="184" t="s">
        <v>9796</v>
      </c>
    </row>
    <row r="77" spans="1:30">
      <c r="A77" s="184" t="s">
        <v>9797</v>
      </c>
    </row>
    <row r="88" spans="1:20">
      <c r="A88" s="596" t="s">
        <v>8556</v>
      </c>
      <c r="B88" s="596"/>
      <c r="C88" s="596"/>
      <c r="D88" s="596"/>
      <c r="E88" s="596"/>
      <c r="F88" s="596"/>
      <c r="G88" s="596"/>
      <c r="H88" s="596"/>
      <c r="I88" s="596"/>
      <c r="J88" s="596"/>
      <c r="K88" s="596"/>
      <c r="L88" s="596"/>
      <c r="M88" s="596"/>
      <c r="N88" s="596"/>
      <c r="O88" s="596"/>
      <c r="P88" s="596"/>
      <c r="Q88" s="596"/>
      <c r="R88" s="596"/>
      <c r="S88" s="596"/>
      <c r="T88" s="596"/>
    </row>
    <row r="89" spans="1:20">
      <c r="A89" s="414" t="s">
        <v>10869</v>
      </c>
      <c r="B89" s="414"/>
      <c r="C89" s="414"/>
      <c r="D89" s="414"/>
      <c r="E89" s="414"/>
      <c r="F89" s="414"/>
      <c r="G89" s="414"/>
      <c r="H89" s="414"/>
      <c r="I89" s="414"/>
      <c r="J89" s="414"/>
      <c r="K89" s="414"/>
      <c r="L89" s="414"/>
      <c r="M89" s="414"/>
      <c r="N89" s="414"/>
      <c r="O89" s="414"/>
      <c r="P89" s="414"/>
      <c r="Q89" s="414"/>
      <c r="R89" s="414"/>
      <c r="S89" s="414"/>
      <c r="T89" s="414"/>
    </row>
    <row r="90" spans="1:20">
      <c r="A90" s="451" t="s">
        <v>10858</v>
      </c>
      <c r="B90" s="451" t="s">
        <v>10870</v>
      </c>
      <c r="C90" s="451" t="s">
        <v>10865</v>
      </c>
      <c r="D90" s="451" t="s">
        <v>10867</v>
      </c>
      <c r="E90" s="451" t="s">
        <v>9794</v>
      </c>
      <c r="F90" s="451" t="s">
        <v>10868</v>
      </c>
      <c r="G90" s="451" t="s">
        <v>9796</v>
      </c>
      <c r="H90" s="451" t="s">
        <v>9797</v>
      </c>
      <c r="I90" s="451" t="s">
        <v>10871</v>
      </c>
      <c r="J90" s="451" t="s">
        <v>10872</v>
      </c>
      <c r="K90" s="451" t="s">
        <v>9809</v>
      </c>
      <c r="L90" s="451" t="s">
        <v>10860</v>
      </c>
      <c r="M90" s="451" t="s">
        <v>10864</v>
      </c>
      <c r="N90" s="451"/>
      <c r="O90" s="451" t="s">
        <v>9813</v>
      </c>
      <c r="P90" s="451" t="s">
        <v>8581</v>
      </c>
      <c r="Q90" s="451" t="s">
        <v>8583</v>
      </c>
      <c r="R90" s="451" t="s">
        <v>8593</v>
      </c>
      <c r="S90" s="451" t="s">
        <v>8595</v>
      </c>
      <c r="T90" s="451"/>
    </row>
    <row r="91" spans="1:20">
      <c r="A91" s="184" t="s">
        <v>8590</v>
      </c>
      <c r="B91" s="184" t="s">
        <v>8590</v>
      </c>
      <c r="C91" s="184" t="s">
        <v>8590</v>
      </c>
      <c r="D91" s="184" t="s">
        <v>8590</v>
      </c>
      <c r="E91" s="184" t="s">
        <v>8590</v>
      </c>
      <c r="F91" s="184" t="s">
        <v>8590</v>
      </c>
      <c r="G91" s="184" t="s">
        <v>8590</v>
      </c>
      <c r="H91" s="184" t="s">
        <v>8590</v>
      </c>
      <c r="I91" s="184" t="s">
        <v>8590</v>
      </c>
      <c r="J91" s="184" t="s">
        <v>8590</v>
      </c>
      <c r="K91" s="184" t="s">
        <v>8590</v>
      </c>
      <c r="L91" s="184" t="s">
        <v>8590</v>
      </c>
      <c r="M91" s="184" t="s">
        <v>8590</v>
      </c>
      <c r="O91" s="184" t="s">
        <v>8590</v>
      </c>
      <c r="P91" s="184" t="s">
        <v>10873</v>
      </c>
      <c r="Q91" s="184" t="s">
        <v>9847</v>
      </c>
      <c r="R91" s="184" t="s">
        <v>8598</v>
      </c>
      <c r="S91" s="184" t="s">
        <v>9847</v>
      </c>
    </row>
    <row r="92" spans="1:20">
      <c r="P92" s="184" t="s">
        <v>10874</v>
      </c>
      <c r="Q92" s="184" t="s">
        <v>10840</v>
      </c>
      <c r="R92" s="184" t="s">
        <v>9937</v>
      </c>
      <c r="S92" s="184" t="s">
        <v>9850</v>
      </c>
    </row>
    <row r="93" spans="1:20">
      <c r="P93" s="184" t="s">
        <v>10875</v>
      </c>
      <c r="Q93" s="184" t="s">
        <v>9852</v>
      </c>
      <c r="R93" s="184" t="s">
        <v>9939</v>
      </c>
      <c r="S93" s="184" t="s">
        <v>9852</v>
      </c>
    </row>
    <row r="94" spans="1:20">
      <c r="P94" s="184" t="s">
        <v>10876</v>
      </c>
      <c r="Q94" s="184" t="s">
        <v>9854</v>
      </c>
      <c r="R94" s="184" t="s">
        <v>9941</v>
      </c>
      <c r="S94" s="184" t="s">
        <v>9854</v>
      </c>
    </row>
    <row r="95" spans="1:20">
      <c r="P95" s="184" t="s">
        <v>10877</v>
      </c>
      <c r="Q95" s="184" t="s">
        <v>8596</v>
      </c>
      <c r="R95" s="184" t="s">
        <v>8594</v>
      </c>
      <c r="S95" s="184" t="s">
        <v>8596</v>
      </c>
    </row>
    <row r="96" spans="1:20">
      <c r="P96" s="184" t="s">
        <v>9915</v>
      </c>
      <c r="Q96" s="184" t="s">
        <v>8584</v>
      </c>
      <c r="S96" s="184" t="s">
        <v>8584</v>
      </c>
    </row>
    <row r="97" spans="16:19">
      <c r="P97" s="184" t="s">
        <v>9917</v>
      </c>
      <c r="Q97" s="184" t="s">
        <v>9858</v>
      </c>
      <c r="S97" s="184" t="s">
        <v>9858</v>
      </c>
    </row>
    <row r="98" spans="16:19">
      <c r="P98" s="184" t="s">
        <v>9919</v>
      </c>
      <c r="Q98" s="184" t="s">
        <v>9860</v>
      </c>
      <c r="S98" s="184" t="s">
        <v>9860</v>
      </c>
    </row>
    <row r="99" spans="16:19">
      <c r="P99" s="184" t="s">
        <v>9923</v>
      </c>
      <c r="Q99" s="184" t="s">
        <v>8599</v>
      </c>
      <c r="S99" s="184" t="s">
        <v>8599</v>
      </c>
    </row>
    <row r="100" spans="16:19">
      <c r="P100" s="184" t="s">
        <v>8582</v>
      </c>
      <c r="Q100" s="184" t="s">
        <v>9863</v>
      </c>
      <c r="S100" s="184" t="s">
        <v>9863</v>
      </c>
    </row>
    <row r="101" spans="16:19">
      <c r="P101" s="184" t="s">
        <v>8600</v>
      </c>
      <c r="Q101" s="184" t="s">
        <v>9951</v>
      </c>
      <c r="S101" s="184" t="s">
        <v>9951</v>
      </c>
    </row>
    <row r="102" spans="16:19">
      <c r="P102" s="184" t="s">
        <v>10878</v>
      </c>
      <c r="Q102" s="184" t="s">
        <v>10879</v>
      </c>
      <c r="S102" s="184" t="s">
        <v>10879</v>
      </c>
    </row>
    <row r="103" spans="16:19">
      <c r="Q103" s="184" t="s">
        <v>10880</v>
      </c>
      <c r="S103" s="184" t="s">
        <v>10880</v>
      </c>
    </row>
  </sheetData>
  <sheetProtection algorithmName="SHA-512" hashValue="sh/sd/u78nNyutsRUh6QPFXHOE6+kQRbfTP8G2CURK4ZYDr2QNRKAv49WVeNu7ZWcrNbnegXHcZYNYxmViP/WQ==" saltValue="L5ljyjnC4yEHNXHBIWDS/Q==" spinCount="100000" sheet="1" objects="1" scenarios="1" selectLockedCells="1" selectUnlockedCells="1"/>
  <mergeCells count="5">
    <mergeCell ref="C3:E3"/>
    <mergeCell ref="C2:E2"/>
    <mergeCell ref="A15:M15"/>
    <mergeCell ref="A16:M16"/>
    <mergeCell ref="Q1:Z1"/>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FEDC0-1FED-40D6-BC7C-0F86C89480A1}">
  <sheetPr codeName="Sheet15">
    <tabColor theme="2" tint="-0.499984740745262"/>
  </sheetPr>
  <dimension ref="A1:N42"/>
  <sheetViews>
    <sheetView zoomScaleNormal="100" workbookViewId="0">
      <selection sqref="A1:F1"/>
    </sheetView>
  </sheetViews>
  <sheetFormatPr defaultColWidth="12.5546875" defaultRowHeight="15.75" customHeight="1"/>
  <cols>
    <col min="1" max="1" width="17.44140625" style="24" customWidth="1"/>
    <col min="2" max="2" width="10.44140625" style="24" customWidth="1"/>
    <col min="3" max="3" width="16.5546875" style="24" customWidth="1"/>
    <col min="4" max="4" width="88.44140625" style="24" customWidth="1"/>
    <col min="5" max="5" width="2.44140625" style="24" customWidth="1"/>
    <col min="6" max="6" width="12.5546875" style="24"/>
    <col min="7" max="9" width="8.5546875" style="24" customWidth="1"/>
    <col min="10" max="10" width="10.44140625" style="24" customWidth="1"/>
    <col min="11" max="14" width="8.5546875" style="24" customWidth="1"/>
    <col min="15" max="16384" width="12.5546875" style="24"/>
  </cols>
  <sheetData>
    <row r="1" spans="1:14" s="133" customFormat="1" ht="39.6" customHeight="1">
      <c r="A1" s="133" t="s">
        <v>9116</v>
      </c>
    </row>
    <row r="2" spans="1:14" ht="15.75" customHeight="1" thickBot="1">
      <c r="A2" s="317"/>
      <c r="B2" s="317"/>
      <c r="C2" s="317"/>
      <c r="D2" s="134"/>
      <c r="E2" s="317"/>
      <c r="F2" s="317"/>
      <c r="G2" s="317"/>
      <c r="H2" s="317"/>
      <c r="I2" s="317"/>
      <c r="J2" s="317"/>
      <c r="K2" s="317"/>
      <c r="L2" s="317"/>
      <c r="M2" s="317"/>
      <c r="N2" s="317"/>
    </row>
    <row r="3" spans="1:14" ht="15.75" customHeight="1">
      <c r="A3" s="139" t="s">
        <v>9117</v>
      </c>
      <c r="B3" s="124"/>
      <c r="C3" s="124"/>
      <c r="D3" s="140" t="s">
        <v>9118</v>
      </c>
      <c r="E3" s="317"/>
      <c r="F3" s="317"/>
      <c r="G3" s="317"/>
      <c r="H3" s="317"/>
      <c r="I3" s="317"/>
      <c r="J3" s="317"/>
      <c r="K3" s="317"/>
      <c r="L3" s="317"/>
      <c r="M3" s="317"/>
      <c r="N3" s="317"/>
    </row>
    <row r="4" spans="1:14" ht="15.75" customHeight="1">
      <c r="A4" s="141"/>
      <c r="B4" s="317"/>
      <c r="C4" s="317"/>
      <c r="D4" s="142" t="s">
        <v>9119</v>
      </c>
      <c r="E4" s="317"/>
      <c r="F4" s="138" t="s">
        <v>9120</v>
      </c>
      <c r="G4" s="137"/>
      <c r="H4" s="320"/>
      <c r="I4" s="320"/>
      <c r="J4" s="320"/>
      <c r="K4" s="317"/>
      <c r="L4" s="317"/>
      <c r="M4" s="317"/>
      <c r="N4" s="317"/>
    </row>
    <row r="5" spans="1:14" ht="15.75" customHeight="1" thickBot="1">
      <c r="A5" s="141"/>
      <c r="B5" s="317"/>
      <c r="C5" s="317"/>
      <c r="D5" s="143"/>
      <c r="E5" s="317"/>
      <c r="F5" s="96"/>
      <c r="G5" s="120"/>
      <c r="H5" s="120"/>
      <c r="I5" s="120"/>
      <c r="J5" s="120"/>
      <c r="K5" s="317"/>
      <c r="L5" s="317"/>
      <c r="M5" s="317"/>
      <c r="N5" s="317"/>
    </row>
    <row r="6" spans="1:14" ht="14.4">
      <c r="A6" s="122" t="s">
        <v>9121</v>
      </c>
      <c r="B6" s="123" t="s">
        <v>9122</v>
      </c>
      <c r="C6" s="124"/>
      <c r="D6" s="125"/>
      <c r="E6" s="317"/>
      <c r="F6" s="316"/>
      <c r="G6" s="316"/>
      <c r="H6" s="316"/>
      <c r="I6" s="316"/>
      <c r="J6" s="316"/>
      <c r="K6" s="317"/>
      <c r="L6" s="317"/>
      <c r="M6" s="317"/>
      <c r="N6" s="317"/>
    </row>
    <row r="7" spans="1:14" ht="14.4">
      <c r="A7" s="126" t="s">
        <v>9123</v>
      </c>
      <c r="B7" s="127" t="s">
        <v>9124</v>
      </c>
      <c r="C7" s="127" t="s">
        <v>9125</v>
      </c>
      <c r="D7" s="25"/>
      <c r="E7" s="317"/>
      <c r="F7" s="153" t="s">
        <v>107</v>
      </c>
      <c r="G7" s="148" t="s">
        <v>9126</v>
      </c>
      <c r="H7" s="149" t="s">
        <v>9127</v>
      </c>
      <c r="I7" s="149" t="s">
        <v>9128</v>
      </c>
      <c r="J7" s="149" t="s">
        <v>9129</v>
      </c>
      <c r="K7" s="129"/>
      <c r="L7" s="129"/>
      <c r="M7" s="129"/>
      <c r="N7" s="129"/>
    </row>
    <row r="8" spans="1:14" ht="14.4">
      <c r="A8" s="128" t="s">
        <v>9130</v>
      </c>
      <c r="B8" s="129" t="s">
        <v>107</v>
      </c>
      <c r="C8" s="130" t="s">
        <v>9131</v>
      </c>
      <c r="D8" s="25"/>
      <c r="E8" s="317"/>
      <c r="F8" s="449">
        <v>1</v>
      </c>
      <c r="G8" s="450">
        <v>1000</v>
      </c>
      <c r="H8" s="450">
        <v>907.18499999999995</v>
      </c>
      <c r="I8" s="450">
        <v>2.2046208235160498</v>
      </c>
      <c r="J8" s="450">
        <v>35.274000000000001</v>
      </c>
      <c r="K8" s="129"/>
      <c r="L8" s="129"/>
      <c r="M8" s="129"/>
      <c r="N8" s="129"/>
    </row>
    <row r="9" spans="1:14" ht="14.4">
      <c r="A9" s="128"/>
      <c r="B9" s="129"/>
      <c r="C9" s="130"/>
      <c r="D9" s="25"/>
      <c r="E9" s="317"/>
      <c r="F9" s="150"/>
      <c r="G9" s="150"/>
      <c r="H9" s="150"/>
      <c r="I9" s="150"/>
      <c r="J9" s="150"/>
      <c r="K9" s="129"/>
      <c r="L9" s="129"/>
      <c r="M9" s="129"/>
      <c r="N9" s="129"/>
    </row>
    <row r="10" spans="1:14" ht="14.4">
      <c r="A10" s="128"/>
      <c r="B10" s="129"/>
      <c r="C10" s="130"/>
      <c r="D10" s="25"/>
      <c r="E10" s="317"/>
      <c r="F10" s="153" t="s">
        <v>684</v>
      </c>
      <c r="G10" s="148" t="s">
        <v>9132</v>
      </c>
      <c r="H10" s="149" t="s">
        <v>9133</v>
      </c>
      <c r="I10" s="149" t="s">
        <v>9134</v>
      </c>
      <c r="J10" s="149"/>
      <c r="K10" s="129"/>
      <c r="L10" s="129"/>
      <c r="M10" s="129"/>
      <c r="N10" s="129"/>
    </row>
    <row r="11" spans="1:14" ht="14.4">
      <c r="A11" s="128" t="s">
        <v>9135</v>
      </c>
      <c r="B11" s="129" t="s">
        <v>684</v>
      </c>
      <c r="C11" s="130" t="s">
        <v>9136</v>
      </c>
      <c r="D11" s="25"/>
      <c r="E11" s="317"/>
      <c r="F11" s="449">
        <v>1</v>
      </c>
      <c r="G11" s="450">
        <v>264.17200000000003</v>
      </c>
      <c r="H11" s="450">
        <v>35195.1</v>
      </c>
      <c r="I11" s="450">
        <v>35.314700000000002</v>
      </c>
      <c r="J11" s="151"/>
      <c r="K11" s="129"/>
      <c r="L11" s="129"/>
      <c r="M11" s="129"/>
      <c r="N11" s="129"/>
    </row>
    <row r="12" spans="1:14" ht="14.4">
      <c r="A12" s="128"/>
      <c r="B12" s="129"/>
      <c r="C12" s="130"/>
      <c r="D12" s="25"/>
      <c r="E12" s="317"/>
      <c r="F12" s="150"/>
      <c r="G12" s="150"/>
      <c r="H12" s="150"/>
      <c r="I12" s="150"/>
      <c r="J12" s="151"/>
      <c r="K12" s="129"/>
      <c r="L12" s="129"/>
      <c r="M12" s="129"/>
      <c r="N12" s="129"/>
    </row>
    <row r="13" spans="1:14" ht="14.4">
      <c r="A13" s="128"/>
      <c r="B13" s="129"/>
      <c r="C13" s="130"/>
      <c r="D13" s="25"/>
      <c r="E13" s="317"/>
      <c r="F13" s="153" t="s">
        <v>466</v>
      </c>
      <c r="G13" s="148" t="s">
        <v>9137</v>
      </c>
      <c r="H13" s="149" t="s">
        <v>9138</v>
      </c>
      <c r="I13" s="149" t="s">
        <v>9139</v>
      </c>
      <c r="J13" s="149" t="s">
        <v>9140</v>
      </c>
      <c r="K13" s="149" t="s">
        <v>9141</v>
      </c>
      <c r="L13" s="149" t="s">
        <v>9142</v>
      </c>
      <c r="M13" s="129"/>
      <c r="N13" s="129"/>
    </row>
    <row r="14" spans="1:14" ht="14.4">
      <c r="A14" s="128" t="s">
        <v>9143</v>
      </c>
      <c r="B14" s="129" t="s">
        <v>466</v>
      </c>
      <c r="C14" s="130" t="s">
        <v>9144</v>
      </c>
      <c r="D14" s="25"/>
      <c r="E14" s="317"/>
      <c r="F14" s="449">
        <v>1</v>
      </c>
      <c r="G14" s="450">
        <v>2.4710500000000001E-4</v>
      </c>
      <c r="H14" s="450">
        <v>1E-4</v>
      </c>
      <c r="I14" s="450">
        <v>10.7639</v>
      </c>
      <c r="J14" s="450">
        <v>1.1959900000000001</v>
      </c>
      <c r="K14" s="450">
        <v>3.861E-7</v>
      </c>
      <c r="L14" s="450">
        <v>9.9999999999999995E-7</v>
      </c>
      <c r="M14" s="129"/>
      <c r="N14" s="129"/>
    </row>
    <row r="15" spans="1:14" ht="14.4">
      <c r="A15" s="128"/>
      <c r="B15" s="129"/>
      <c r="C15" s="130"/>
      <c r="D15" s="25"/>
      <c r="E15" s="317"/>
      <c r="F15" s="150"/>
      <c r="G15" s="150"/>
      <c r="H15" s="150"/>
      <c r="I15" s="150"/>
      <c r="J15" s="150"/>
      <c r="K15" s="150"/>
      <c r="L15" s="928" t="s">
        <v>9145</v>
      </c>
      <c r="M15" s="129"/>
      <c r="N15" s="129"/>
    </row>
    <row r="16" spans="1:14" ht="14.4">
      <c r="A16" s="128"/>
      <c r="B16" s="129"/>
      <c r="C16" s="130"/>
      <c r="D16" s="25"/>
      <c r="E16" s="317"/>
      <c r="F16" s="154" t="s">
        <v>320</v>
      </c>
      <c r="G16" s="150" t="s">
        <v>6248</v>
      </c>
      <c r="H16" s="150" t="s">
        <v>9146</v>
      </c>
      <c r="I16" s="150" t="s">
        <v>9147</v>
      </c>
      <c r="J16" s="150" t="s">
        <v>9148</v>
      </c>
      <c r="K16" s="150" t="s">
        <v>9149</v>
      </c>
      <c r="L16" s="929"/>
      <c r="M16" s="129"/>
      <c r="N16" s="129"/>
    </row>
    <row r="17" spans="1:14" ht="14.4">
      <c r="A17" s="128" t="s">
        <v>9150</v>
      </c>
      <c r="B17" s="129" t="s">
        <v>320</v>
      </c>
      <c r="C17" s="130" t="s">
        <v>9151</v>
      </c>
      <c r="D17" s="25"/>
      <c r="E17" s="317"/>
      <c r="F17" s="449">
        <v>1</v>
      </c>
      <c r="G17" s="450">
        <v>1E-3</v>
      </c>
      <c r="H17" s="450">
        <v>6.2137100000000001E-4</v>
      </c>
      <c r="I17" s="450">
        <v>1.09361</v>
      </c>
      <c r="J17" s="450">
        <v>3.28084</v>
      </c>
      <c r="K17" s="450">
        <v>39.370100000000001</v>
      </c>
      <c r="L17" s="450">
        <v>5.3995699999999998E-4</v>
      </c>
      <c r="M17" s="129"/>
      <c r="N17" s="129"/>
    </row>
    <row r="18" spans="1:14" ht="14.4">
      <c r="A18" s="128"/>
      <c r="B18" s="129"/>
      <c r="C18" s="130"/>
      <c r="D18" s="25"/>
      <c r="E18" s="317"/>
      <c r="F18" s="150"/>
      <c r="G18" s="150"/>
      <c r="H18" s="150"/>
      <c r="I18" s="150"/>
      <c r="J18" s="150"/>
      <c r="K18" s="150"/>
      <c r="L18" s="150"/>
      <c r="M18" s="129"/>
      <c r="N18" s="129"/>
    </row>
    <row r="19" spans="1:14" ht="14.4">
      <c r="A19" s="128"/>
      <c r="B19" s="129"/>
      <c r="C19" s="130"/>
      <c r="D19" s="25"/>
      <c r="E19" s="317"/>
      <c r="F19" s="145" t="s">
        <v>9152</v>
      </c>
      <c r="G19" s="146" t="s">
        <v>9153</v>
      </c>
      <c r="H19" s="151" t="s">
        <v>8490</v>
      </c>
      <c r="I19" s="151" t="s">
        <v>9154</v>
      </c>
      <c r="J19" s="150"/>
      <c r="K19" s="150"/>
      <c r="L19" s="150"/>
      <c r="M19" s="129"/>
      <c r="N19" s="129"/>
    </row>
    <row r="20" spans="1:14" ht="14.4">
      <c r="A20" s="128" t="s">
        <v>9155</v>
      </c>
      <c r="B20" s="129" t="s">
        <v>9156</v>
      </c>
      <c r="C20" s="130"/>
      <c r="D20" s="135" t="s">
        <v>9157</v>
      </c>
      <c r="E20" s="317"/>
      <c r="F20" s="449">
        <v>1</v>
      </c>
      <c r="G20" s="450">
        <v>52.142899999999997</v>
      </c>
      <c r="H20" s="450">
        <v>8760</v>
      </c>
      <c r="I20" s="450">
        <v>525600</v>
      </c>
      <c r="J20" s="129"/>
      <c r="K20" s="129"/>
      <c r="L20" s="129"/>
      <c r="M20" s="129"/>
      <c r="N20" s="129"/>
    </row>
    <row r="21" spans="1:14" ht="14.4">
      <c r="A21" s="128"/>
      <c r="B21" s="129"/>
      <c r="C21" s="130"/>
      <c r="D21" s="135"/>
      <c r="E21" s="317"/>
      <c r="F21" s="145"/>
      <c r="G21" s="144"/>
      <c r="H21" s="129"/>
      <c r="I21" s="129"/>
      <c r="J21" s="129"/>
      <c r="K21" s="129"/>
      <c r="L21" s="129"/>
      <c r="M21" s="129"/>
      <c r="N21" s="129"/>
    </row>
    <row r="22" spans="1:14" ht="14.4">
      <c r="A22" s="128"/>
      <c r="B22" s="129"/>
      <c r="C22" s="130"/>
      <c r="D22" s="135"/>
      <c r="E22" s="317"/>
      <c r="F22" s="145" t="s">
        <v>9158</v>
      </c>
      <c r="G22" s="146" t="s">
        <v>9159</v>
      </c>
      <c r="H22" s="129"/>
      <c r="I22" s="129"/>
      <c r="J22" s="129"/>
      <c r="K22" s="129"/>
      <c r="L22" s="129"/>
      <c r="M22" s="129"/>
      <c r="N22" s="129"/>
    </row>
    <row r="23" spans="1:14" ht="14.4">
      <c r="A23" s="128" t="s">
        <v>9160</v>
      </c>
      <c r="B23" s="129" t="s">
        <v>9158</v>
      </c>
      <c r="C23" s="130" t="s">
        <v>9161</v>
      </c>
      <c r="D23" s="135" t="s">
        <v>9162</v>
      </c>
      <c r="E23" s="317"/>
      <c r="F23" s="449">
        <v>1</v>
      </c>
      <c r="G23" s="450">
        <v>1</v>
      </c>
      <c r="H23" s="150"/>
      <c r="I23" s="150"/>
      <c r="J23" s="129"/>
      <c r="K23" s="129"/>
      <c r="L23" s="129"/>
      <c r="M23" s="129"/>
      <c r="N23" s="129"/>
    </row>
    <row r="24" spans="1:14" ht="14.4">
      <c r="A24" s="128"/>
      <c r="B24" s="129"/>
      <c r="C24" s="130"/>
      <c r="D24" s="135"/>
      <c r="E24" s="317"/>
      <c r="F24" s="150"/>
      <c r="G24" s="150"/>
      <c r="H24" s="150"/>
      <c r="I24" s="150"/>
      <c r="J24" s="129"/>
      <c r="K24" s="129"/>
      <c r="L24" s="129"/>
      <c r="M24" s="129"/>
      <c r="N24" s="129"/>
    </row>
    <row r="25" spans="1:14" ht="14.4">
      <c r="A25" s="128"/>
      <c r="B25" s="129"/>
      <c r="C25" s="130"/>
      <c r="D25" s="135"/>
      <c r="E25" s="317"/>
      <c r="F25" s="145" t="s">
        <v>9163</v>
      </c>
      <c r="G25" s="146" t="s">
        <v>9164</v>
      </c>
      <c r="H25" s="150"/>
      <c r="I25" s="150"/>
      <c r="J25" s="129"/>
      <c r="K25" s="129"/>
      <c r="L25" s="129"/>
      <c r="M25" s="129"/>
      <c r="N25" s="129"/>
    </row>
    <row r="26" spans="1:14" ht="14.4">
      <c r="A26" s="128" t="s">
        <v>9163</v>
      </c>
      <c r="B26" s="129" t="s">
        <v>9164</v>
      </c>
      <c r="C26" s="130" t="s">
        <v>9165</v>
      </c>
      <c r="D26" s="25"/>
      <c r="E26" s="317"/>
      <c r="F26" s="449">
        <v>1</v>
      </c>
      <c r="G26" s="450">
        <v>1</v>
      </c>
      <c r="H26" s="152"/>
      <c r="I26" s="152"/>
      <c r="J26" s="129"/>
      <c r="K26" s="129"/>
      <c r="L26" s="129"/>
      <c r="M26" s="129"/>
      <c r="N26" s="129"/>
    </row>
    <row r="27" spans="1:14" ht="14.4">
      <c r="A27" s="128"/>
      <c r="B27" s="129"/>
      <c r="C27" s="130"/>
      <c r="D27" s="25"/>
      <c r="E27" s="317"/>
      <c r="F27" s="129"/>
      <c r="G27" s="152"/>
      <c r="H27" s="152"/>
      <c r="I27" s="152"/>
      <c r="J27" s="129"/>
      <c r="K27" s="129"/>
      <c r="L27" s="129"/>
      <c r="M27" s="129"/>
      <c r="N27" s="129"/>
    </row>
    <row r="28" spans="1:14" ht="14.4">
      <c r="A28" s="128"/>
      <c r="B28" s="129"/>
      <c r="C28" s="130"/>
      <c r="D28" s="25"/>
      <c r="E28" s="317"/>
      <c r="F28" s="154" t="s">
        <v>696</v>
      </c>
      <c r="G28" s="150" t="s">
        <v>6249</v>
      </c>
      <c r="H28" s="150" t="s">
        <v>9166</v>
      </c>
      <c r="I28" s="150" t="s">
        <v>9167</v>
      </c>
      <c r="J28" s="150" t="s">
        <v>9168</v>
      </c>
      <c r="K28" s="150" t="s">
        <v>9169</v>
      </c>
      <c r="L28" s="150" t="s">
        <v>9170</v>
      </c>
      <c r="M28" s="150" t="s">
        <v>9171</v>
      </c>
      <c r="N28" s="150" t="s">
        <v>9172</v>
      </c>
    </row>
    <row r="29" spans="1:14" ht="14.4">
      <c r="A29" s="128" t="s">
        <v>9173</v>
      </c>
      <c r="B29" s="129" t="s">
        <v>696</v>
      </c>
      <c r="C29" s="130" t="s">
        <v>9174</v>
      </c>
      <c r="D29" s="25"/>
      <c r="E29" s="317"/>
      <c r="F29" s="449">
        <v>1</v>
      </c>
      <c r="G29" s="450">
        <f>1/3.6</f>
        <v>0.27777777777777779</v>
      </c>
      <c r="H29" s="450">
        <f>G29/1000</f>
        <v>2.7777777777777778E-4</v>
      </c>
      <c r="I29" s="450">
        <f>G29/1000000000</f>
        <v>2.7777777777777777E-10</v>
      </c>
      <c r="J29" s="450">
        <v>947.81700000000001</v>
      </c>
      <c r="K29" s="450">
        <v>1055.0558530000001</v>
      </c>
      <c r="L29" s="450">
        <v>239.006</v>
      </c>
      <c r="M29" s="450">
        <v>9.4804299999999998E-3</v>
      </c>
      <c r="N29" s="450">
        <v>737562</v>
      </c>
    </row>
    <row r="30" spans="1:14" ht="14.4">
      <c r="A30" s="128"/>
      <c r="B30" s="129"/>
      <c r="C30" s="130"/>
      <c r="D30" s="25"/>
      <c r="E30" s="317"/>
      <c r="F30" s="317"/>
      <c r="G30" s="317"/>
      <c r="H30" s="317"/>
      <c r="I30" s="317"/>
      <c r="J30" s="317"/>
      <c r="K30" s="317"/>
      <c r="L30" s="317"/>
      <c r="M30" s="317"/>
      <c r="N30" s="317"/>
    </row>
    <row r="31" spans="1:14" ht="14.4">
      <c r="A31" s="128"/>
      <c r="B31" s="129"/>
      <c r="C31" s="130"/>
      <c r="D31" s="25"/>
      <c r="E31" s="317"/>
      <c r="F31" s="154" t="s">
        <v>3480</v>
      </c>
      <c r="G31" s="54" t="s">
        <v>9175</v>
      </c>
      <c r="H31" s="317"/>
      <c r="I31" s="317"/>
      <c r="J31" s="317"/>
      <c r="K31" s="317"/>
      <c r="L31" s="317"/>
      <c r="M31" s="317"/>
      <c r="N31" s="317"/>
    </row>
    <row r="32" spans="1:14" ht="14.4">
      <c r="A32" s="128" t="s">
        <v>9176</v>
      </c>
      <c r="B32" s="129" t="s">
        <v>3480</v>
      </c>
      <c r="C32" s="130" t="s">
        <v>9177</v>
      </c>
      <c r="D32" s="25"/>
      <c r="E32" s="317"/>
      <c r="F32" s="449">
        <v>1</v>
      </c>
      <c r="G32" s="450">
        <v>0.68494500000000003</v>
      </c>
      <c r="H32" s="317"/>
      <c r="I32" s="317"/>
      <c r="J32" s="317"/>
      <c r="K32" s="317"/>
      <c r="L32" s="317"/>
      <c r="M32" s="317"/>
      <c r="N32" s="317"/>
    </row>
    <row r="33" spans="1:10" ht="14.4">
      <c r="A33" s="128"/>
      <c r="B33" s="129"/>
      <c r="C33" s="130"/>
      <c r="D33" s="25"/>
      <c r="E33" s="317"/>
      <c r="F33" s="317"/>
      <c r="G33" s="317"/>
      <c r="H33" s="317"/>
      <c r="I33" s="317"/>
      <c r="J33" s="317"/>
    </row>
    <row r="34" spans="1:10" ht="14.4">
      <c r="A34" s="128"/>
      <c r="B34" s="129"/>
      <c r="C34" s="130"/>
      <c r="D34" s="25"/>
      <c r="E34" s="317"/>
      <c r="F34" s="155" t="s">
        <v>9178</v>
      </c>
      <c r="G34" s="151" t="s">
        <v>9179</v>
      </c>
      <c r="H34" s="151" t="s">
        <v>9180</v>
      </c>
      <c r="I34" s="151" t="s">
        <v>9181</v>
      </c>
      <c r="J34" s="151" t="s">
        <v>9182</v>
      </c>
    </row>
    <row r="35" spans="1:10" ht="14.4">
      <c r="A35" s="128" t="s">
        <v>9183</v>
      </c>
      <c r="B35" s="129" t="s">
        <v>9178</v>
      </c>
      <c r="C35" s="130" t="s">
        <v>9184</v>
      </c>
      <c r="D35" s="25"/>
      <c r="E35" s="317"/>
      <c r="F35" s="449">
        <v>1</v>
      </c>
      <c r="G35" s="450">
        <v>145.03800000000001</v>
      </c>
      <c r="H35" s="450">
        <v>10</v>
      </c>
      <c r="I35" s="450">
        <v>9.8692799999999998</v>
      </c>
      <c r="J35" s="450">
        <v>145.03800000000001</v>
      </c>
    </row>
    <row r="36" spans="1:10" ht="14.4">
      <c r="A36" s="128"/>
      <c r="B36" s="129"/>
      <c r="C36" s="130"/>
      <c r="D36" s="25"/>
      <c r="E36" s="317"/>
      <c r="F36" s="317"/>
      <c r="G36" s="317"/>
      <c r="H36" s="317"/>
      <c r="I36" s="317"/>
      <c r="J36" s="317"/>
    </row>
    <row r="37" spans="1:10" ht="14.4">
      <c r="A37" s="128"/>
      <c r="B37" s="129"/>
      <c r="C37" s="130"/>
      <c r="D37" s="25"/>
      <c r="E37" s="317"/>
      <c r="F37" s="155" t="s">
        <v>9185</v>
      </c>
      <c r="G37" s="151" t="s">
        <v>9186</v>
      </c>
      <c r="H37" s="151" t="s">
        <v>9187</v>
      </c>
      <c r="I37" s="317"/>
      <c r="J37" s="317"/>
    </row>
    <row r="38" spans="1:10" ht="14.4">
      <c r="A38" s="128" t="s">
        <v>9188</v>
      </c>
      <c r="B38" s="129" t="s">
        <v>9185</v>
      </c>
      <c r="C38" s="130" t="s">
        <v>9189</v>
      </c>
      <c r="D38" s="135" t="s">
        <v>9190</v>
      </c>
      <c r="E38" s="317"/>
      <c r="F38" s="449">
        <v>1</v>
      </c>
      <c r="G38" s="450">
        <v>1</v>
      </c>
      <c r="H38" s="450">
        <v>1</v>
      </c>
      <c r="I38" s="317"/>
      <c r="J38" s="317"/>
    </row>
    <row r="39" spans="1:10" ht="14.4">
      <c r="A39" s="128"/>
      <c r="B39" s="129"/>
      <c r="C39" s="130"/>
      <c r="D39" s="135"/>
      <c r="E39" s="317"/>
      <c r="F39" s="317"/>
      <c r="G39" s="317"/>
      <c r="H39" s="317"/>
      <c r="I39" s="317"/>
      <c r="J39" s="317"/>
    </row>
    <row r="40" spans="1:10" ht="14.4">
      <c r="A40" s="128"/>
      <c r="B40" s="129"/>
      <c r="C40" s="130"/>
      <c r="D40" s="135"/>
      <c r="E40" s="317"/>
      <c r="F40" s="317"/>
      <c r="G40" s="317"/>
      <c r="H40" s="317"/>
      <c r="I40" s="317"/>
      <c r="J40" s="317"/>
    </row>
    <row r="41" spans="1:10" ht="14.4">
      <c r="A41" s="126" t="s">
        <v>9191</v>
      </c>
      <c r="B41" s="317"/>
      <c r="C41" s="317"/>
      <c r="D41" s="25"/>
      <c r="E41" s="317"/>
      <c r="F41" s="317"/>
      <c r="G41" s="317"/>
      <c r="H41" s="317"/>
      <c r="I41" s="317"/>
      <c r="J41" s="317"/>
    </row>
    <row r="42" spans="1:10" ht="15" thickBot="1">
      <c r="A42" s="131" t="s">
        <v>9192</v>
      </c>
      <c r="B42" s="132" t="s">
        <v>9193</v>
      </c>
      <c r="C42" s="132" t="s">
        <v>9194</v>
      </c>
      <c r="D42" s="136"/>
      <c r="E42" s="317"/>
      <c r="F42" s="317"/>
      <c r="G42" s="317"/>
      <c r="H42" s="317"/>
      <c r="I42" s="317"/>
      <c r="J42" s="317"/>
    </row>
  </sheetData>
  <sheetProtection algorithmName="SHA-512" hashValue="DtZrboLDeezpWhi9Y6hEvQHuZsZbe5LcsUcWXpj5EnyxXCANQb+vAzlNEZ4VQt2n4Q6KGAR3DmYpuf8znG9AlA==" saltValue="kx8Qop4AWNxGDddjLuugMg==" spinCount="100000" sheet="1" objects="1" scenarios="1" selectLockedCells="1" selectUnlockedCells="1"/>
  <mergeCells count="1">
    <mergeCell ref="L15:L16"/>
  </mergeCells>
  <hyperlinks>
    <hyperlink ref="D3" r:id="rId1" location="heading=h.1hxjvwz4ixaj" xr:uid="{8127BC6E-35D2-48B2-A45D-01358DD6817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8f5597ad-8384-4810-93ab-d1a05d1e6265">
      <Terms xmlns="http://schemas.microsoft.com/office/infopath/2007/PartnerControls"/>
    </lcf76f155ced4ddcb4097134ff3c332f>
    <TaxCatchAll xmlns="76cb74a6-c5b6-42b4-be04-37425266bb5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363858FDE557544AE3A1BFA098019D4" ma:contentTypeVersion="15" ma:contentTypeDescription="Create a new document." ma:contentTypeScope="" ma:versionID="84946da65e1699e38238860addee6124">
  <xsd:schema xmlns:xsd="http://www.w3.org/2001/XMLSchema" xmlns:xs="http://www.w3.org/2001/XMLSchema" xmlns:p="http://schemas.microsoft.com/office/2006/metadata/properties" xmlns:ns2="8f5597ad-8384-4810-93ab-d1a05d1e6265" xmlns:ns3="76cb74a6-c5b6-42b4-be04-37425266bb5a" targetNamespace="http://schemas.microsoft.com/office/2006/metadata/properties" ma:root="true" ma:fieldsID="d32377f4dd0da6553594fef0a5cefaa8" ns2:_="" ns3:_="">
    <xsd:import namespace="8f5597ad-8384-4810-93ab-d1a05d1e6265"/>
    <xsd:import namespace="76cb74a6-c5b6-42b4-be04-37425266bb5a"/>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DateTaken" minOccurs="0"/>
                <xsd:element ref="ns2:MediaServiceLocation"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5597ad-8384-4810-93ab-d1a05d1e62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260f1aaf-6244-4bb9-9bf9-38bf37385302"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6cb74a6-c5b6-42b4-be04-37425266bb5a"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e742be59-b15d-448f-b1f2-48bf804c361c}" ma:internalName="TaxCatchAll" ma:showField="CatchAllData" ma:web="76cb74a6-c5b6-42b4-be04-37425266bb5a">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497327-1662-4136-A93E-E89FA6E05065}">
  <ds:schemaRefs>
    <ds:schemaRef ds:uri="http://purl.org/dc/terms/"/>
    <ds:schemaRef ds:uri="http://purl.org/dc/elements/1.1/"/>
    <ds:schemaRef ds:uri="http://schemas.microsoft.com/office/2006/metadata/properties"/>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76cb74a6-c5b6-42b4-be04-37425266bb5a"/>
    <ds:schemaRef ds:uri="8f5597ad-8384-4810-93ab-d1a05d1e6265"/>
    <ds:schemaRef ds:uri="http://www.w3.org/XML/1998/namespace"/>
  </ds:schemaRefs>
</ds:datastoreItem>
</file>

<file path=customXml/itemProps2.xml><?xml version="1.0" encoding="utf-8"?>
<ds:datastoreItem xmlns:ds="http://schemas.openxmlformats.org/officeDocument/2006/customXml" ds:itemID="{63CCBDC1-F3F2-4B6E-8EDD-86E006242F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f5597ad-8384-4810-93ab-d1a05d1e6265"/>
    <ds:schemaRef ds:uri="76cb74a6-c5b6-42b4-be04-37425266b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C9C6D89-7D06-4701-9371-56646C3C96A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103</vt:i4>
      </vt:variant>
    </vt:vector>
  </HeadingPairs>
  <TitlesOfParts>
    <vt:vector size="122" baseType="lpstr">
      <vt:lpstr>Introduction</vt:lpstr>
      <vt:lpstr>Contents</vt:lpstr>
      <vt:lpstr>Product Flows Alpha</vt:lpstr>
      <vt:lpstr>Product Flows Category</vt:lpstr>
      <vt:lpstr>Geo</vt:lpstr>
      <vt:lpstr>GEN_EPD</vt:lpstr>
      <vt:lpstr>BOM</vt:lpstr>
      <vt:lpstr>A1-A2 Upstream Mfg</vt:lpstr>
      <vt:lpstr>A3 Foreground Assembly</vt:lpstr>
      <vt:lpstr>A4-A5 Deliver Install</vt:lpstr>
      <vt:lpstr>B1-B6 Use</vt:lpstr>
      <vt:lpstr>C1-C4 Disposal</vt:lpstr>
      <vt:lpstr>D Beyond System</vt:lpstr>
      <vt:lpstr>SQL</vt:lpstr>
      <vt:lpstr>natl_stat</vt:lpstr>
      <vt:lpstr>eol_lf_type_region</vt:lpstr>
      <vt:lpstr>ei_geo</vt:lpstr>
      <vt:lpstr>master_list_menus</vt:lpstr>
      <vt:lpstr>openEPD_units &amp; conversions</vt:lpstr>
      <vt:lpstr>GEN_EPD!_ftn1</vt:lpstr>
      <vt:lpstr>ABS</vt:lpstr>
      <vt:lpstr>acid_cleaner</vt:lpstr>
      <vt:lpstr>acrylic</vt:lpstr>
      <vt:lpstr>Active_burst_mode__ABM</vt:lpstr>
      <vt:lpstr>Aluminium_Forming</vt:lpstr>
      <vt:lpstr>Aluminium_Machining</vt:lpstr>
      <vt:lpstr>aluminum</vt:lpstr>
      <vt:lpstr>Ambient_Light_Detecting</vt:lpstr>
      <vt:lpstr>ancillary</vt:lpstr>
      <vt:lpstr>Anodizing</vt:lpstr>
      <vt:lpstr>brass</vt:lpstr>
      <vt:lpstr>bronze</vt:lpstr>
      <vt:lpstr>cast</vt:lpstr>
      <vt:lpstr>cast_iron</vt:lpstr>
      <vt:lpstr>caustic</vt:lpstr>
      <vt:lpstr>ceramic</vt:lpstr>
      <vt:lpstr>ceramic_metal_halide</vt:lpstr>
      <vt:lpstr>Chromium_coating</vt:lpstr>
      <vt:lpstr>Color_Tunability</vt:lpstr>
      <vt:lpstr>compact_fluorescent_lamp__CFL</vt:lpstr>
      <vt:lpstr>compact_fluorescent_lamp_CFL</vt:lpstr>
      <vt:lpstr>Connector</vt:lpstr>
      <vt:lpstr>Constant_current_Indoor</vt:lpstr>
      <vt:lpstr>Constant_current_Outdoor</vt:lpstr>
      <vt:lpstr>Constant_voltage_Indoor</vt:lpstr>
      <vt:lpstr>Constant_voltage_Outdoor</vt:lpstr>
      <vt:lpstr>copper</vt:lpstr>
      <vt:lpstr>corrugated_sheet_box</vt:lpstr>
      <vt:lpstr>degreaser</vt:lpstr>
      <vt:lpstr>Dimmability</vt:lpstr>
      <vt:lpstr>Driver</vt:lpstr>
      <vt:lpstr>Electrostatic_paint</vt:lpstr>
      <vt:lpstr>Enamelling</vt:lpstr>
      <vt:lpstr>End_uses</vt:lpstr>
      <vt:lpstr>ethoxylated_alcohol</vt:lpstr>
      <vt:lpstr>finish_coating_paint</vt:lpstr>
      <vt:lpstr>glass</vt:lpstr>
      <vt:lpstr>Group</vt:lpstr>
      <vt:lpstr>Harness</vt:lpstr>
      <vt:lpstr>HDPE</vt:lpstr>
      <vt:lpstr>high_intensity_discharge__HID__lamp</vt:lpstr>
      <vt:lpstr>high_pressure_sodium</vt:lpstr>
      <vt:lpstr>highintensity_discharge_HID_lamp</vt:lpstr>
      <vt:lpstr>Integrated_blue_tooth</vt:lpstr>
      <vt:lpstr>Integrated_light</vt:lpstr>
      <vt:lpstr>Integrated_motion</vt:lpstr>
      <vt:lpstr>Integrated_wi_fi</vt:lpstr>
      <vt:lpstr>Integrated_ZigBee</vt:lpstr>
      <vt:lpstr>Interconnects</vt:lpstr>
      <vt:lpstr>Jitter_function</vt:lpstr>
      <vt:lpstr>LDPE_film</vt:lpstr>
      <vt:lpstr>light_emitting_diode__LED</vt:lpstr>
      <vt:lpstr>light_emitting_diode_LED</vt:lpstr>
      <vt:lpstr>LIGHT_SOURCE</vt:lpstr>
      <vt:lpstr>Low_alloyed</vt:lpstr>
      <vt:lpstr>low_pressure_sodium</vt:lpstr>
      <vt:lpstr>lubricating_oil</vt:lpstr>
      <vt:lpstr>Material_Input_Name</vt:lpstr>
      <vt:lpstr>mercury_vapor</vt:lpstr>
      <vt:lpstr>metal</vt:lpstr>
      <vt:lpstr>metal_halide</vt:lpstr>
      <vt:lpstr>Motion_Detecting</vt:lpstr>
      <vt:lpstr>No_light_sensor</vt:lpstr>
      <vt:lpstr>No_motion_sensor</vt:lpstr>
      <vt:lpstr>No_smart_features</vt:lpstr>
      <vt:lpstr>Non_integrated_blue_tooth</vt:lpstr>
      <vt:lpstr>Non_integrated_light</vt:lpstr>
      <vt:lpstr>Non_integrated_motion</vt:lpstr>
      <vt:lpstr>Non_integrated_wi_fi</vt:lpstr>
      <vt:lpstr>Non_integrated_ZigBee</vt:lpstr>
      <vt:lpstr>Normally_on__depletion_metal_oxide_semi_conductor_field_effect_transistor__MOSFET</vt:lpstr>
      <vt:lpstr>nylon_6_6__glass_filled</vt:lpstr>
      <vt:lpstr>Oil_based_paint</vt:lpstr>
      <vt:lpstr>packaging</vt:lpstr>
      <vt:lpstr>pallet</vt:lpstr>
      <vt:lpstr>plastic</vt:lpstr>
      <vt:lpstr>plastic_pallet</vt:lpstr>
      <vt:lpstr>polycarbonate</vt:lpstr>
      <vt:lpstr>polypropylene__PP__strapping</vt:lpstr>
      <vt:lpstr>Powder_coating</vt:lpstr>
      <vt:lpstr>POWER_SUPPLY</vt:lpstr>
      <vt:lpstr>Quasi_resonant_or_discontinuous_conduction_mode_w__power_factor_correction</vt:lpstr>
      <vt:lpstr>Secondary_Side_Regulated__SSR__Constant_Voltage__CV__output_flyback_controller</vt:lpstr>
      <vt:lpstr>silicone_sealant</vt:lpstr>
      <vt:lpstr>smart_features</vt:lpstr>
      <vt:lpstr>Stainless_steel</vt:lpstr>
      <vt:lpstr>steel</vt:lpstr>
      <vt:lpstr>Steel_Forming</vt:lpstr>
      <vt:lpstr>Steel_Machining</vt:lpstr>
      <vt:lpstr>STRUCTURAL</vt:lpstr>
      <vt:lpstr>surfactant_tenside_detergent</vt:lpstr>
      <vt:lpstr>Tin_plating</vt:lpstr>
      <vt:lpstr>topology</vt:lpstr>
      <vt:lpstr>Unalloyed</vt:lpstr>
      <vt:lpstr>waste_fate1</vt:lpstr>
      <vt:lpstr>waste_list</vt:lpstr>
      <vt:lpstr>waste_quant</vt:lpstr>
      <vt:lpstr>Wired_communications</vt:lpstr>
      <vt:lpstr>Wireless_Technology</vt:lpstr>
      <vt:lpstr>wood_pallet</vt:lpstr>
      <vt:lpstr>wrought</vt:lpstr>
      <vt:lpstr>Zinc_coating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Feraldi, Rebe J</dc:creator>
  <cp:keywords/>
  <dc:description/>
  <cp:lastModifiedBy>Unger, Scott R</cp:lastModifiedBy>
  <cp:revision/>
  <cp:lastPrinted>2024-07-22T15:30:22Z</cp:lastPrinted>
  <dcterms:created xsi:type="dcterms:W3CDTF">2022-06-27T15:48:35Z</dcterms:created>
  <dcterms:modified xsi:type="dcterms:W3CDTF">2024-11-22T16:06:54Z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0x0101005363858FDE557544AE3A1BFA098019D4</vt:lpwstr>
  </property>
  <property fmtid="{D5CDD505-2E9C-101B-9397-08002B2CF9AE}" pid="3" name="MediaServiceImageTags">
    <vt:lpwstr/>
  </property>
</Properties>
</file>