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312/source/tesp-private/src/tesp_support/tesp_support/solar/auto_run/"/>
    </mc:Choice>
  </mc:AlternateContent>
  <xr:revisionPtr revIDLastSave="0" documentId="13_ncr:1_{9DA57FBC-D6E1-984B-A97B-6719C5116356}" xr6:coauthVersionLast="45" xr6:coauthVersionMax="45" xr10:uidLastSave="{00000000-0000-0000-0000-000000000000}"/>
  <bookViews>
    <workbookView xWindow="0" yWindow="460" windowWidth="38400" windowHeight="23540" firstSheet="1" activeTab="1" xr2:uid="{64BFEB36-16B9-43C9-ABDA-3AD2DC4CAD9E}"/>
  </bookViews>
  <sheets>
    <sheet name="Worksheet" sheetId="1" r:id="rId1"/>
    <sheet name="200BusValues" sheetId="2" r:id="rId2"/>
  </sheets>
  <definedNames>
    <definedName name="_xlnm._FilterDatabase" localSheetId="1" hidden="1">'200BusValues'!$A:$W</definedName>
    <definedName name="_xlnm._FilterDatabase" localSheetId="0" hidden="1">Worksheet!$A$2:$K$201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2" i="1" l="1"/>
  <c r="AC12" i="1"/>
  <c r="AB12" i="1"/>
  <c r="I117" i="1" l="1"/>
  <c r="Q117" i="1"/>
  <c r="S118" i="1" s="1"/>
  <c r="T118" i="1" s="1"/>
  <c r="R139" i="1"/>
  <c r="I122" i="1"/>
  <c r="I115" i="1"/>
  <c r="R34" i="1"/>
  <c r="I25" i="1"/>
  <c r="S34" i="1" s="1"/>
  <c r="S199" i="1"/>
  <c r="R138" i="1"/>
  <c r="I176" i="1"/>
  <c r="R109" i="1"/>
  <c r="I100" i="1"/>
  <c r="S109" i="1" s="1"/>
  <c r="I35" i="1"/>
  <c r="V148" i="1"/>
  <c r="U148" i="1"/>
  <c r="R148" i="1"/>
  <c r="AD118" i="1" l="1"/>
  <c r="AC118" i="1"/>
  <c r="AB118" i="1"/>
  <c r="R118" i="1"/>
  <c r="Z118" i="1" s="1"/>
  <c r="S117" i="1"/>
  <c r="W118" i="1"/>
  <c r="X118" i="1"/>
  <c r="Y118" i="1"/>
  <c r="R117" i="1"/>
  <c r="V147" i="1"/>
  <c r="U147" i="1"/>
  <c r="Q147" i="1"/>
  <c r="R147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6" i="1"/>
  <c r="R145" i="1"/>
  <c r="R144" i="1"/>
  <c r="R143" i="1"/>
  <c r="R142" i="1"/>
  <c r="R141" i="1"/>
  <c r="R140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6" i="1"/>
  <c r="R115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AA118" i="1" l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44" i="1"/>
  <c r="R43" i="1"/>
  <c r="R42" i="1"/>
  <c r="R41" i="1"/>
  <c r="R40" i="1"/>
  <c r="R39" i="1"/>
  <c r="R38" i="1"/>
  <c r="R37" i="1"/>
  <c r="R36" i="1"/>
  <c r="R35" i="1"/>
  <c r="R25" i="1"/>
  <c r="U4" i="1" l="1"/>
  <c r="U5" i="1"/>
  <c r="R57" i="1"/>
  <c r="R54" i="1"/>
  <c r="R53" i="1"/>
  <c r="R52" i="1"/>
  <c r="R51" i="1"/>
  <c r="R50" i="1"/>
  <c r="R49" i="1"/>
  <c r="R48" i="1"/>
  <c r="R47" i="1"/>
  <c r="R46" i="1"/>
  <c r="R45" i="1"/>
  <c r="R24" i="1"/>
  <c r="R22" i="1"/>
  <c r="R13" i="1"/>
  <c r="R6" i="1"/>
  <c r="R9" i="1"/>
  <c r="S42" i="1"/>
  <c r="S55" i="1"/>
  <c r="S56" i="1"/>
  <c r="T201" i="1" l="1"/>
  <c r="T200" i="1"/>
  <c r="T166" i="1"/>
  <c r="T163" i="1"/>
  <c r="T148" i="1"/>
  <c r="T147" i="1"/>
  <c r="T91" i="1"/>
  <c r="T90" i="1"/>
  <c r="T85" i="1"/>
  <c r="T84" i="1"/>
  <c r="T77" i="1"/>
  <c r="T73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2" i="1"/>
  <c r="T24" i="1"/>
  <c r="I22" i="1"/>
  <c r="AD46" i="1" l="1"/>
  <c r="AC46" i="1"/>
  <c r="AB46" i="1"/>
  <c r="AC90" i="1"/>
  <c r="AB90" i="1"/>
  <c r="AD90" i="1"/>
  <c r="AB55" i="1"/>
  <c r="AC55" i="1"/>
  <c r="AD55" i="1"/>
  <c r="AD56" i="1"/>
  <c r="AC56" i="1"/>
  <c r="AB56" i="1"/>
  <c r="AD49" i="1"/>
  <c r="AC49" i="1"/>
  <c r="AB49" i="1"/>
  <c r="AD50" i="1"/>
  <c r="AC50" i="1"/>
  <c r="AB50" i="1"/>
  <c r="AC163" i="1"/>
  <c r="AB163" i="1"/>
  <c r="AD163" i="1"/>
  <c r="AB51" i="1"/>
  <c r="AD51" i="1"/>
  <c r="AC51" i="1"/>
  <c r="AC166" i="1"/>
  <c r="AB166" i="1"/>
  <c r="AD166" i="1"/>
  <c r="AB42" i="1"/>
  <c r="AD42" i="1"/>
  <c r="AC42" i="1"/>
  <c r="AC52" i="1"/>
  <c r="AB52" i="1"/>
  <c r="AD52" i="1"/>
  <c r="AC84" i="1"/>
  <c r="AB84" i="1"/>
  <c r="AD84" i="1"/>
  <c r="AD200" i="1"/>
  <c r="AC200" i="1"/>
  <c r="AB200" i="1"/>
  <c r="AD54" i="1"/>
  <c r="AC54" i="1"/>
  <c r="AB54" i="1"/>
  <c r="AB47" i="1"/>
  <c r="AD47" i="1"/>
  <c r="AC47" i="1"/>
  <c r="AB91" i="1"/>
  <c r="AD91" i="1"/>
  <c r="AC91" i="1"/>
  <c r="AC48" i="1"/>
  <c r="AB48" i="1"/>
  <c r="AD48" i="1"/>
  <c r="AD147" i="1"/>
  <c r="AC147" i="1"/>
  <c r="AB147" i="1"/>
  <c r="AD57" i="1"/>
  <c r="AC57" i="1"/>
  <c r="AB57" i="1"/>
  <c r="AC148" i="1"/>
  <c r="AB148" i="1"/>
  <c r="AD148" i="1"/>
  <c r="AD73" i="1"/>
  <c r="AC73" i="1"/>
  <c r="AB73" i="1"/>
  <c r="AD24" i="1"/>
  <c r="AC24" i="1"/>
  <c r="AB24" i="1"/>
  <c r="AC77" i="1"/>
  <c r="AD77" i="1"/>
  <c r="AB77" i="1"/>
  <c r="AD45" i="1"/>
  <c r="AC45" i="1"/>
  <c r="AB45" i="1"/>
  <c r="AD53" i="1"/>
  <c r="AC53" i="1"/>
  <c r="AB53" i="1"/>
  <c r="AB85" i="1"/>
  <c r="AC85" i="1"/>
  <c r="AD85" i="1"/>
  <c r="AD201" i="1"/>
  <c r="AC201" i="1"/>
  <c r="AB201" i="1"/>
  <c r="X73" i="1"/>
  <c r="W73" i="1"/>
  <c r="Z73" i="1"/>
  <c r="Y73" i="1"/>
  <c r="AA73" i="1"/>
  <c r="Z47" i="1"/>
  <c r="X47" i="1"/>
  <c r="W47" i="1"/>
  <c r="AA47" i="1"/>
  <c r="Y47" i="1"/>
  <c r="X77" i="1"/>
  <c r="W77" i="1"/>
  <c r="Y77" i="1"/>
  <c r="AA77" i="1"/>
  <c r="Z77" i="1"/>
  <c r="Z84" i="1"/>
  <c r="W84" i="1"/>
  <c r="Y84" i="1"/>
  <c r="X84" i="1"/>
  <c r="AA84" i="1"/>
  <c r="Z85" i="1"/>
  <c r="Y85" i="1"/>
  <c r="X85" i="1"/>
  <c r="W85" i="1"/>
  <c r="AA85" i="1"/>
  <c r="Y90" i="1"/>
  <c r="X90" i="1"/>
  <c r="AA90" i="1"/>
  <c r="Z90" i="1"/>
  <c r="W90" i="1"/>
  <c r="AA91" i="1"/>
  <c r="Z91" i="1"/>
  <c r="Y91" i="1"/>
  <c r="W91" i="1"/>
  <c r="X91" i="1"/>
  <c r="AA54" i="1"/>
  <c r="Z54" i="1"/>
  <c r="Y54" i="1"/>
  <c r="W54" i="1"/>
  <c r="X54" i="1"/>
  <c r="AA163" i="1"/>
  <c r="W163" i="1"/>
  <c r="Z163" i="1"/>
  <c r="Y163" i="1"/>
  <c r="X163" i="1"/>
  <c r="X24" i="1"/>
  <c r="W24" i="1"/>
  <c r="Z24" i="1"/>
  <c r="Y24" i="1"/>
  <c r="AA24" i="1"/>
  <c r="AA166" i="1"/>
  <c r="Y166" i="1"/>
  <c r="X166" i="1"/>
  <c r="Z166" i="1"/>
  <c r="W166" i="1"/>
  <c r="AA46" i="1"/>
  <c r="X46" i="1"/>
  <c r="Z46" i="1"/>
  <c r="W46" i="1"/>
  <c r="Y46" i="1"/>
  <c r="Z48" i="1"/>
  <c r="AA48" i="1"/>
  <c r="W48" i="1"/>
  <c r="Y48" i="1"/>
  <c r="X48" i="1"/>
  <c r="Y49" i="1"/>
  <c r="W49" i="1"/>
  <c r="AA49" i="1"/>
  <c r="Z49" i="1"/>
  <c r="X49" i="1"/>
  <c r="AA50" i="1"/>
  <c r="Z50" i="1"/>
  <c r="W50" i="1"/>
  <c r="Y50" i="1"/>
  <c r="X50" i="1"/>
  <c r="Z51" i="1"/>
  <c r="AA51" i="1"/>
  <c r="X51" i="1"/>
  <c r="W51" i="1"/>
  <c r="Y51" i="1"/>
  <c r="X52" i="1"/>
  <c r="W52" i="1"/>
  <c r="Z52" i="1"/>
  <c r="AA52" i="1"/>
  <c r="Y52" i="1"/>
  <c r="AA147" i="1"/>
  <c r="Z147" i="1"/>
  <c r="Y147" i="1"/>
  <c r="X53" i="1"/>
  <c r="Y53" i="1"/>
  <c r="Z53" i="1"/>
  <c r="AA53" i="1"/>
  <c r="W53" i="1"/>
  <c r="Z148" i="1"/>
  <c r="X148" i="1"/>
  <c r="Y148" i="1"/>
  <c r="W148" i="1"/>
  <c r="AA148" i="1"/>
  <c r="AA42" i="1"/>
  <c r="Z42" i="1"/>
  <c r="W42" i="1"/>
  <c r="X42" i="1"/>
  <c r="Y42" i="1"/>
  <c r="AA200" i="1"/>
  <c r="Y200" i="1"/>
  <c r="X200" i="1"/>
  <c r="Z200" i="1"/>
  <c r="W200" i="1"/>
  <c r="Y45" i="1"/>
  <c r="X45" i="1"/>
  <c r="W45" i="1"/>
  <c r="AA45" i="1"/>
  <c r="Z45" i="1"/>
  <c r="Y57" i="1"/>
  <c r="X57" i="1"/>
  <c r="W57" i="1"/>
  <c r="AA57" i="1"/>
  <c r="Z57" i="1"/>
  <c r="X201" i="1"/>
  <c r="W201" i="1"/>
  <c r="X147" i="1"/>
  <c r="W147" i="1"/>
  <c r="S22" i="1"/>
  <c r="T22" i="1" s="1"/>
  <c r="S23" i="1"/>
  <c r="T23" i="1" s="1"/>
  <c r="AB23" i="1" l="1"/>
  <c r="AC23" i="1"/>
  <c r="AD23" i="1"/>
  <c r="AD22" i="1"/>
  <c r="AC22" i="1"/>
  <c r="AB22" i="1"/>
  <c r="AA22" i="1"/>
  <c r="Z22" i="1"/>
  <c r="W22" i="1"/>
  <c r="X22" i="1"/>
  <c r="Y22" i="1"/>
  <c r="Z23" i="1"/>
  <c r="W23" i="1"/>
  <c r="AA23" i="1"/>
  <c r="Y23" i="1"/>
  <c r="X23" i="1"/>
  <c r="I197" i="1"/>
  <c r="I193" i="1"/>
  <c r="I189" i="1"/>
  <c r="I185" i="1"/>
  <c r="I181" i="1"/>
  <c r="I179" i="1"/>
  <c r="I174" i="1"/>
  <c r="I167" i="1"/>
  <c r="I166" i="1"/>
  <c r="I164" i="1"/>
  <c r="I149" i="1"/>
  <c r="I140" i="1"/>
  <c r="I110" i="1"/>
  <c r="I119" i="1"/>
  <c r="I113" i="1"/>
  <c r="I98" i="1"/>
  <c r="I95" i="1"/>
  <c r="I92" i="1"/>
  <c r="I88" i="1"/>
  <c r="I86" i="1"/>
  <c r="I82" i="1"/>
  <c r="I80" i="1"/>
  <c r="I78" i="1"/>
  <c r="I74" i="1"/>
  <c r="I71" i="1"/>
  <c r="I69" i="1"/>
  <c r="I64" i="1"/>
  <c r="I60" i="1"/>
  <c r="I58" i="1"/>
  <c r="I41" i="1"/>
  <c r="I13" i="1"/>
  <c r="I9" i="1"/>
  <c r="I6" i="1"/>
  <c r="I3" i="1"/>
  <c r="S94" i="1" l="1"/>
  <c r="T94" i="1" s="1"/>
  <c r="S93" i="1"/>
  <c r="T93" i="1" s="1"/>
  <c r="S92" i="1"/>
  <c r="T92" i="1" s="1"/>
  <c r="S99" i="1"/>
  <c r="T99" i="1" s="1"/>
  <c r="S98" i="1"/>
  <c r="T98" i="1" s="1"/>
  <c r="S178" i="1"/>
  <c r="T178" i="1" s="1"/>
  <c r="S176" i="1"/>
  <c r="T176" i="1" s="1"/>
  <c r="S177" i="1"/>
  <c r="T177" i="1" s="1"/>
  <c r="T109" i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172" i="1"/>
  <c r="T172" i="1" s="1"/>
  <c r="S173" i="1"/>
  <c r="T173" i="1" s="1"/>
  <c r="S167" i="1"/>
  <c r="T167" i="1" s="1"/>
  <c r="S168" i="1"/>
  <c r="T168" i="1" s="1"/>
  <c r="S169" i="1"/>
  <c r="T169" i="1" s="1"/>
  <c r="S170" i="1"/>
  <c r="T170" i="1" s="1"/>
  <c r="S171" i="1"/>
  <c r="T171" i="1" s="1"/>
  <c r="S179" i="1"/>
  <c r="T179" i="1" s="1"/>
  <c r="S180" i="1"/>
  <c r="T180" i="1" s="1"/>
  <c r="S88" i="1"/>
  <c r="T88" i="1" s="1"/>
  <c r="S89" i="1"/>
  <c r="T89" i="1" s="1"/>
  <c r="S95" i="1"/>
  <c r="T95" i="1" s="1"/>
  <c r="S96" i="1"/>
  <c r="T96" i="1" s="1"/>
  <c r="S97" i="1"/>
  <c r="S64" i="1"/>
  <c r="T64" i="1" s="1"/>
  <c r="S65" i="1"/>
  <c r="T65" i="1" s="1"/>
  <c r="S66" i="1"/>
  <c r="T66" i="1" s="1"/>
  <c r="S67" i="1"/>
  <c r="T67" i="1" s="1"/>
  <c r="S68" i="1"/>
  <c r="T68" i="1" s="1"/>
  <c r="S113" i="1"/>
  <c r="T113" i="1" s="1"/>
  <c r="S114" i="1"/>
  <c r="T114" i="1" s="1"/>
  <c r="S6" i="1"/>
  <c r="T6" i="1" s="1"/>
  <c r="S7" i="1"/>
  <c r="T7" i="1" s="1"/>
  <c r="S8" i="1"/>
  <c r="T8" i="1" s="1"/>
  <c r="S185" i="1"/>
  <c r="T185" i="1" s="1"/>
  <c r="S186" i="1"/>
  <c r="T186" i="1" s="1"/>
  <c r="S188" i="1"/>
  <c r="T188" i="1" s="1"/>
  <c r="S187" i="1"/>
  <c r="T187" i="1" s="1"/>
  <c r="S63" i="1"/>
  <c r="T63" i="1" s="1"/>
  <c r="S62" i="1"/>
  <c r="T62" i="1" s="1"/>
  <c r="S60" i="1"/>
  <c r="T60" i="1" s="1"/>
  <c r="S61" i="1"/>
  <c r="T61" i="1" s="1"/>
  <c r="S105" i="1"/>
  <c r="T105" i="1" s="1"/>
  <c r="S106" i="1"/>
  <c r="T106" i="1" s="1"/>
  <c r="S107" i="1"/>
  <c r="T107" i="1" s="1"/>
  <c r="S104" i="1"/>
  <c r="T104" i="1" s="1"/>
  <c r="S108" i="1"/>
  <c r="T108" i="1" s="1"/>
  <c r="S100" i="1"/>
  <c r="T100" i="1" s="1"/>
  <c r="S101" i="1"/>
  <c r="T101" i="1" s="1"/>
  <c r="S102" i="1"/>
  <c r="T102" i="1" s="1"/>
  <c r="S103" i="1"/>
  <c r="T103" i="1" s="1"/>
  <c r="S184" i="1"/>
  <c r="T184" i="1" s="1"/>
  <c r="S182" i="1"/>
  <c r="T182" i="1" s="1"/>
  <c r="S183" i="1"/>
  <c r="T183" i="1" s="1"/>
  <c r="S181" i="1"/>
  <c r="T181" i="1" s="1"/>
  <c r="S10" i="1"/>
  <c r="T10" i="1" s="1"/>
  <c r="S9" i="1"/>
  <c r="T9" i="1" s="1"/>
  <c r="S11" i="1"/>
  <c r="T11" i="1" s="1"/>
  <c r="S189" i="1"/>
  <c r="T189" i="1" s="1"/>
  <c r="S190" i="1"/>
  <c r="T190" i="1" s="1"/>
  <c r="S191" i="1"/>
  <c r="T191" i="1" s="1"/>
  <c r="S192" i="1"/>
  <c r="T192" i="1" s="1"/>
  <c r="S41" i="1"/>
  <c r="T41" i="1" s="1"/>
  <c r="S43" i="1"/>
  <c r="T43" i="1" s="1"/>
  <c r="S44" i="1"/>
  <c r="T44" i="1" s="1"/>
  <c r="S174" i="1"/>
  <c r="T174" i="1" s="1"/>
  <c r="S175" i="1"/>
  <c r="T175" i="1" s="1"/>
  <c r="S69" i="1"/>
  <c r="T69" i="1" s="1"/>
  <c r="S70" i="1"/>
  <c r="T70" i="1" s="1"/>
  <c r="S71" i="1"/>
  <c r="T71" i="1" s="1"/>
  <c r="S72" i="1"/>
  <c r="T72" i="1" s="1"/>
  <c r="T117" i="1"/>
  <c r="S115" i="1"/>
  <c r="T115" i="1" s="1"/>
  <c r="S116" i="1"/>
  <c r="T116" i="1" s="1"/>
  <c r="S75" i="1"/>
  <c r="T75" i="1" s="1"/>
  <c r="S74" i="1"/>
  <c r="T74" i="1" s="1"/>
  <c r="S76" i="1"/>
  <c r="T76" i="1" s="1"/>
  <c r="S119" i="1"/>
  <c r="T119" i="1" s="1"/>
  <c r="S120" i="1"/>
  <c r="T120" i="1" s="1"/>
  <c r="S121" i="1"/>
  <c r="T121" i="1" s="1"/>
  <c r="S78" i="1"/>
  <c r="T78" i="1" s="1"/>
  <c r="S79" i="1"/>
  <c r="T79" i="1" s="1"/>
  <c r="S80" i="1"/>
  <c r="T80" i="1" s="1"/>
  <c r="S81" i="1"/>
  <c r="T81" i="1" s="1"/>
  <c r="S112" i="1"/>
  <c r="T112" i="1" s="1"/>
  <c r="S111" i="1"/>
  <c r="T111" i="1" s="1"/>
  <c r="S110" i="1"/>
  <c r="T110" i="1" s="1"/>
  <c r="S196" i="1"/>
  <c r="T196" i="1" s="1"/>
  <c r="S195" i="1"/>
  <c r="T195" i="1" s="1"/>
  <c r="S194" i="1"/>
  <c r="T194" i="1" s="1"/>
  <c r="S193" i="1"/>
  <c r="T193" i="1" s="1"/>
  <c r="S164" i="1"/>
  <c r="S165" i="1"/>
  <c r="T165" i="1" s="1"/>
  <c r="S58" i="1"/>
  <c r="T58" i="1" s="1"/>
  <c r="S59" i="1"/>
  <c r="T59" i="1" s="1"/>
  <c r="S15" i="1"/>
  <c r="T15" i="1" s="1"/>
  <c r="S16" i="1"/>
  <c r="T16" i="1" s="1"/>
  <c r="S17" i="1"/>
  <c r="T17" i="1" s="1"/>
  <c r="S21" i="1"/>
  <c r="T21" i="1" s="1"/>
  <c r="S14" i="1"/>
  <c r="T14" i="1" s="1"/>
  <c r="S18" i="1"/>
  <c r="T18" i="1" s="1"/>
  <c r="S19" i="1"/>
  <c r="T19" i="1" s="1"/>
  <c r="S20" i="1"/>
  <c r="T20" i="1" s="1"/>
  <c r="S13" i="1"/>
  <c r="T13" i="1" s="1"/>
  <c r="S83" i="1"/>
  <c r="T83" i="1" s="1"/>
  <c r="S82" i="1"/>
  <c r="T82" i="1" s="1"/>
  <c r="S145" i="1"/>
  <c r="T145" i="1" s="1"/>
  <c r="S146" i="1"/>
  <c r="T146" i="1" s="1"/>
  <c r="S143" i="1"/>
  <c r="T143" i="1" s="1"/>
  <c r="S140" i="1"/>
  <c r="T140" i="1" s="1"/>
  <c r="S141" i="1"/>
  <c r="T141" i="1" s="1"/>
  <c r="S142" i="1"/>
  <c r="T142" i="1" s="1"/>
  <c r="S144" i="1"/>
  <c r="T144" i="1" s="1"/>
  <c r="S197" i="1"/>
  <c r="T197" i="1" s="1"/>
  <c r="S198" i="1"/>
  <c r="T198" i="1" s="1"/>
  <c r="S28" i="1"/>
  <c r="T28" i="1" s="1"/>
  <c r="S29" i="1"/>
  <c r="T29" i="1" s="1"/>
  <c r="S30" i="1"/>
  <c r="T30" i="1" s="1"/>
  <c r="S31" i="1"/>
  <c r="T31" i="1" s="1"/>
  <c r="S33" i="1"/>
  <c r="T33" i="1" s="1"/>
  <c r="S27" i="1"/>
  <c r="T27" i="1" s="1"/>
  <c r="S32" i="1"/>
  <c r="T32" i="1" s="1"/>
  <c r="S25" i="1"/>
  <c r="T25" i="1" s="1"/>
  <c r="S26" i="1"/>
  <c r="T26" i="1" s="1"/>
  <c r="S86" i="1"/>
  <c r="T86" i="1" s="1"/>
  <c r="S87" i="1"/>
  <c r="T87" i="1" s="1"/>
  <c r="S159" i="1"/>
  <c r="T159" i="1" s="1"/>
  <c r="S160" i="1"/>
  <c r="T160" i="1" s="1"/>
  <c r="S152" i="1"/>
  <c r="T152" i="1" s="1"/>
  <c r="S153" i="1"/>
  <c r="T153" i="1" s="1"/>
  <c r="S149" i="1"/>
  <c r="T149" i="1" s="1"/>
  <c r="S161" i="1"/>
  <c r="T161" i="1" s="1"/>
  <c r="S151" i="1"/>
  <c r="T151" i="1" s="1"/>
  <c r="S157" i="1"/>
  <c r="T157" i="1" s="1"/>
  <c r="S158" i="1"/>
  <c r="T158" i="1" s="1"/>
  <c r="S150" i="1"/>
  <c r="T150" i="1" s="1"/>
  <c r="S162" i="1"/>
  <c r="T162" i="1" s="1"/>
  <c r="S154" i="1"/>
  <c r="T154" i="1" s="1"/>
  <c r="S155" i="1"/>
  <c r="T155" i="1" s="1"/>
  <c r="S156" i="1"/>
  <c r="T156" i="1" s="1"/>
  <c r="T199" i="1"/>
  <c r="T34" i="1"/>
  <c r="T97" i="1"/>
  <c r="T164" i="1"/>
  <c r="I202" i="1"/>
  <c r="AD177" i="1" l="1"/>
  <c r="AC177" i="1"/>
  <c r="AB177" i="1"/>
  <c r="AC176" i="1"/>
  <c r="AB176" i="1"/>
  <c r="AD176" i="1"/>
  <c r="AD25" i="1"/>
  <c r="AC25" i="1"/>
  <c r="AB25" i="1"/>
  <c r="AB175" i="1"/>
  <c r="AD175" i="1"/>
  <c r="AC175" i="1"/>
  <c r="AB66" i="1"/>
  <c r="AC66" i="1"/>
  <c r="AD66" i="1"/>
  <c r="AD197" i="1"/>
  <c r="AB197" i="1"/>
  <c r="AC197" i="1"/>
  <c r="AD174" i="1"/>
  <c r="AB174" i="1"/>
  <c r="AC174" i="1"/>
  <c r="AC8" i="1"/>
  <c r="AB8" i="1"/>
  <c r="AD8" i="1"/>
  <c r="AD40" i="1"/>
  <c r="AC40" i="1"/>
  <c r="AB40" i="1"/>
  <c r="AD162" i="1"/>
  <c r="AC162" i="1"/>
  <c r="AB162" i="1"/>
  <c r="AC152" i="1"/>
  <c r="AB152" i="1"/>
  <c r="AD152" i="1"/>
  <c r="AD27" i="1"/>
  <c r="AC27" i="1"/>
  <c r="AB27" i="1"/>
  <c r="AC144" i="1"/>
  <c r="AD144" i="1"/>
  <c r="AB144" i="1"/>
  <c r="AC83" i="1"/>
  <c r="AD83" i="1"/>
  <c r="AB83" i="1"/>
  <c r="AD16" i="1"/>
  <c r="AC16" i="1"/>
  <c r="AB16" i="1"/>
  <c r="AC195" i="1"/>
  <c r="AD195" i="1"/>
  <c r="AB195" i="1"/>
  <c r="AB78" i="1"/>
  <c r="AD78" i="1"/>
  <c r="AC78" i="1"/>
  <c r="AD115" i="1"/>
  <c r="AC115" i="1"/>
  <c r="AB115" i="1"/>
  <c r="AC44" i="1"/>
  <c r="AD44" i="1"/>
  <c r="AB44" i="1"/>
  <c r="AD9" i="1"/>
  <c r="AC9" i="1"/>
  <c r="AB9" i="1"/>
  <c r="AD101" i="1"/>
  <c r="AB101" i="1"/>
  <c r="AC101" i="1"/>
  <c r="AC60" i="1"/>
  <c r="AD60" i="1"/>
  <c r="AB60" i="1"/>
  <c r="AB7" i="1"/>
  <c r="AD7" i="1"/>
  <c r="AC7" i="1"/>
  <c r="AD64" i="1"/>
  <c r="AC64" i="1"/>
  <c r="AB64" i="1"/>
  <c r="AD171" i="1"/>
  <c r="AB171" i="1"/>
  <c r="AC171" i="1"/>
  <c r="AB39" i="1"/>
  <c r="AD39" i="1"/>
  <c r="AC39" i="1"/>
  <c r="AB178" i="1"/>
  <c r="AD178" i="1"/>
  <c r="AC178" i="1"/>
  <c r="AC21" i="1"/>
  <c r="AB21" i="1"/>
  <c r="AD21" i="1"/>
  <c r="AC172" i="1"/>
  <c r="AB172" i="1"/>
  <c r="AD172" i="1"/>
  <c r="AD17" i="1"/>
  <c r="AB17" i="1"/>
  <c r="AC17" i="1"/>
  <c r="AC11" i="1"/>
  <c r="AB11" i="1"/>
  <c r="AD11" i="1"/>
  <c r="AD33" i="1"/>
  <c r="AB33" i="1"/>
  <c r="AC33" i="1"/>
  <c r="AB142" i="1"/>
  <c r="AD142" i="1"/>
  <c r="AC142" i="1"/>
  <c r="AD13" i="1"/>
  <c r="AC13" i="1"/>
  <c r="AB13" i="1"/>
  <c r="AB15" i="1"/>
  <c r="AC15" i="1"/>
  <c r="AD15" i="1"/>
  <c r="AC196" i="1"/>
  <c r="AB196" i="1"/>
  <c r="AD196" i="1"/>
  <c r="AD121" i="1"/>
  <c r="AC121" i="1"/>
  <c r="AB121" i="1"/>
  <c r="AD117" i="1"/>
  <c r="AB117" i="1"/>
  <c r="AC117" i="1"/>
  <c r="AD43" i="1"/>
  <c r="AB43" i="1"/>
  <c r="AC43" i="1"/>
  <c r="AD10" i="1"/>
  <c r="AC10" i="1"/>
  <c r="AB10" i="1"/>
  <c r="AC100" i="1"/>
  <c r="AB100" i="1"/>
  <c r="AD100" i="1"/>
  <c r="AD62" i="1"/>
  <c r="AC62" i="1"/>
  <c r="AB62" i="1"/>
  <c r="AD6" i="1"/>
  <c r="AB6" i="1"/>
  <c r="AC6" i="1"/>
  <c r="AD170" i="1"/>
  <c r="AC170" i="1"/>
  <c r="AB170" i="1"/>
  <c r="AC38" i="1"/>
  <c r="AB38" i="1"/>
  <c r="AD38" i="1"/>
  <c r="AD98" i="1"/>
  <c r="AC98" i="1"/>
  <c r="AB98" i="1"/>
  <c r="AC155" i="1"/>
  <c r="AD155" i="1"/>
  <c r="AB155" i="1"/>
  <c r="AD80" i="1"/>
  <c r="AC80" i="1"/>
  <c r="AB80" i="1"/>
  <c r="AD185" i="1"/>
  <c r="AC185" i="1"/>
  <c r="AB185" i="1"/>
  <c r="AC82" i="1"/>
  <c r="AD82" i="1"/>
  <c r="AB82" i="1"/>
  <c r="AD65" i="1"/>
  <c r="AC65" i="1"/>
  <c r="AB65" i="1"/>
  <c r="AD141" i="1"/>
  <c r="AC141" i="1"/>
  <c r="AB141" i="1"/>
  <c r="AB72" i="1"/>
  <c r="AC72" i="1"/>
  <c r="AD72" i="1"/>
  <c r="AC181" i="1"/>
  <c r="AD181" i="1"/>
  <c r="AB181" i="1"/>
  <c r="AC108" i="1"/>
  <c r="AD108" i="1"/>
  <c r="AB108" i="1"/>
  <c r="AB63" i="1"/>
  <c r="AC63" i="1"/>
  <c r="AD63" i="1"/>
  <c r="AD114" i="1"/>
  <c r="AC114" i="1"/>
  <c r="AB114" i="1"/>
  <c r="AC96" i="1"/>
  <c r="AB96" i="1"/>
  <c r="AD96" i="1"/>
  <c r="AD169" i="1"/>
  <c r="AC169" i="1"/>
  <c r="AB169" i="1"/>
  <c r="AD37" i="1"/>
  <c r="AB37" i="1"/>
  <c r="AC37" i="1"/>
  <c r="AC99" i="1"/>
  <c r="AB99" i="1"/>
  <c r="AD99" i="1"/>
  <c r="AC149" i="1"/>
  <c r="AD149" i="1"/>
  <c r="AB149" i="1"/>
  <c r="AD193" i="1"/>
  <c r="AC193" i="1"/>
  <c r="AB193" i="1"/>
  <c r="AB103" i="1"/>
  <c r="AD103" i="1"/>
  <c r="AC103" i="1"/>
  <c r="AD153" i="1"/>
  <c r="AC153" i="1"/>
  <c r="AB153" i="1"/>
  <c r="AC194" i="1"/>
  <c r="AB194" i="1"/>
  <c r="AD194" i="1"/>
  <c r="AD61" i="1"/>
  <c r="AB61" i="1"/>
  <c r="AC61" i="1"/>
  <c r="AC160" i="1"/>
  <c r="AB160" i="1"/>
  <c r="AD160" i="1"/>
  <c r="AC158" i="1"/>
  <c r="AB158" i="1"/>
  <c r="AD158" i="1"/>
  <c r="AC20" i="1"/>
  <c r="AB20" i="1"/>
  <c r="AD20" i="1"/>
  <c r="AD41" i="1"/>
  <c r="AC41" i="1"/>
  <c r="AB41" i="1"/>
  <c r="AB87" i="1"/>
  <c r="AC87" i="1"/>
  <c r="AD87" i="1"/>
  <c r="AC140" i="1"/>
  <c r="AB140" i="1"/>
  <c r="AD140" i="1"/>
  <c r="AD19" i="1"/>
  <c r="AC19" i="1"/>
  <c r="AB19" i="1"/>
  <c r="AD58" i="1"/>
  <c r="AC58" i="1"/>
  <c r="AB58" i="1"/>
  <c r="AB111" i="1"/>
  <c r="AD111" i="1"/>
  <c r="AC111" i="1"/>
  <c r="AB119" i="1"/>
  <c r="AD119" i="1"/>
  <c r="AC119" i="1"/>
  <c r="AB71" i="1"/>
  <c r="AC71" i="1"/>
  <c r="AD71" i="1"/>
  <c r="AB192" i="1"/>
  <c r="AD192" i="1"/>
  <c r="AC192" i="1"/>
  <c r="AB183" i="1"/>
  <c r="AD183" i="1"/>
  <c r="AC183" i="1"/>
  <c r="AD104" i="1"/>
  <c r="AB104" i="1"/>
  <c r="AC104" i="1"/>
  <c r="AB187" i="1"/>
  <c r="AD187" i="1"/>
  <c r="AC187" i="1"/>
  <c r="AD113" i="1"/>
  <c r="AC113" i="1"/>
  <c r="AB113" i="1"/>
  <c r="AB95" i="1"/>
  <c r="AD95" i="1"/>
  <c r="AC95" i="1"/>
  <c r="AD168" i="1"/>
  <c r="AC168" i="1"/>
  <c r="AB168" i="1"/>
  <c r="AC36" i="1"/>
  <c r="AB36" i="1"/>
  <c r="AD36" i="1"/>
  <c r="AC92" i="1"/>
  <c r="AD92" i="1"/>
  <c r="AB92" i="1"/>
  <c r="AD198" i="1"/>
  <c r="AC198" i="1"/>
  <c r="AB198" i="1"/>
  <c r="AB75" i="1"/>
  <c r="AC75" i="1"/>
  <c r="AD75" i="1"/>
  <c r="AD105" i="1"/>
  <c r="AC105" i="1"/>
  <c r="AB105" i="1"/>
  <c r="AC154" i="1"/>
  <c r="AB154" i="1"/>
  <c r="AD154" i="1"/>
  <c r="AB79" i="1"/>
  <c r="AD79" i="1"/>
  <c r="AC79" i="1"/>
  <c r="AC102" i="1"/>
  <c r="AB102" i="1"/>
  <c r="AD102" i="1"/>
  <c r="AC150" i="1"/>
  <c r="AD150" i="1"/>
  <c r="AB150" i="1"/>
  <c r="AB159" i="1"/>
  <c r="AD159" i="1"/>
  <c r="AC159" i="1"/>
  <c r="AD59" i="1"/>
  <c r="AC59" i="1"/>
  <c r="AB59" i="1"/>
  <c r="AD120" i="1"/>
  <c r="AC120" i="1"/>
  <c r="AB120" i="1"/>
  <c r="AC157" i="1"/>
  <c r="AB157" i="1"/>
  <c r="AD157" i="1"/>
  <c r="AD86" i="1"/>
  <c r="AC86" i="1"/>
  <c r="AB86" i="1"/>
  <c r="AD18" i="1"/>
  <c r="AB18" i="1"/>
  <c r="AC18" i="1"/>
  <c r="AD112" i="1"/>
  <c r="AC112" i="1"/>
  <c r="AB112" i="1"/>
  <c r="AB191" i="1"/>
  <c r="AD191" i="1"/>
  <c r="AC191" i="1"/>
  <c r="AD107" i="1"/>
  <c r="AC107" i="1"/>
  <c r="AB107" i="1"/>
  <c r="AC188" i="1"/>
  <c r="AB188" i="1"/>
  <c r="AD188" i="1"/>
  <c r="AD89" i="1"/>
  <c r="AC89" i="1"/>
  <c r="AB89" i="1"/>
  <c r="AB167" i="1"/>
  <c r="AD167" i="1"/>
  <c r="AC167" i="1"/>
  <c r="AC35" i="1"/>
  <c r="AB35" i="1"/>
  <c r="AD35" i="1"/>
  <c r="AC93" i="1"/>
  <c r="AB93" i="1"/>
  <c r="AD93" i="1"/>
  <c r="AD145" i="1"/>
  <c r="AB145" i="1"/>
  <c r="AC145" i="1"/>
  <c r="AD189" i="1"/>
  <c r="AC189" i="1"/>
  <c r="AB189" i="1"/>
  <c r="AC180" i="1"/>
  <c r="AB180" i="1"/>
  <c r="AD180" i="1"/>
  <c r="AC32" i="1"/>
  <c r="AB32" i="1"/>
  <c r="AD32" i="1"/>
  <c r="AC116" i="1"/>
  <c r="AD116" i="1"/>
  <c r="AB116" i="1"/>
  <c r="AD179" i="1"/>
  <c r="AC179" i="1"/>
  <c r="AB179" i="1"/>
  <c r="AC164" i="1"/>
  <c r="AD164" i="1"/>
  <c r="AB164" i="1"/>
  <c r="AD97" i="1"/>
  <c r="AC97" i="1"/>
  <c r="AB97" i="1"/>
  <c r="AB31" i="1"/>
  <c r="AD31" i="1"/>
  <c r="AC31" i="1"/>
  <c r="AD110" i="1"/>
  <c r="AC110" i="1"/>
  <c r="AB110" i="1"/>
  <c r="W34" i="1"/>
  <c r="AD34" i="1"/>
  <c r="AC34" i="1"/>
  <c r="AB34" i="1"/>
  <c r="AD30" i="1"/>
  <c r="AC30" i="1"/>
  <c r="AB30" i="1"/>
  <c r="AB199" i="1"/>
  <c r="AD199" i="1"/>
  <c r="AC199" i="1"/>
  <c r="AB151" i="1"/>
  <c r="AC151" i="1"/>
  <c r="AD151" i="1"/>
  <c r="AC29" i="1"/>
  <c r="AB29" i="1"/>
  <c r="AD29" i="1"/>
  <c r="AB143" i="1"/>
  <c r="AC143" i="1"/>
  <c r="AD143" i="1"/>
  <c r="AD165" i="1"/>
  <c r="AC165" i="1"/>
  <c r="AB165" i="1"/>
  <c r="AC76" i="1"/>
  <c r="AB76" i="1"/>
  <c r="AD76" i="1"/>
  <c r="AB70" i="1"/>
  <c r="AD70" i="1"/>
  <c r="AC70" i="1"/>
  <c r="AD182" i="1"/>
  <c r="AC182" i="1"/>
  <c r="AB182" i="1"/>
  <c r="AC68" i="1"/>
  <c r="AD68" i="1"/>
  <c r="AB68" i="1"/>
  <c r="AC156" i="1"/>
  <c r="AD156" i="1"/>
  <c r="AB156" i="1"/>
  <c r="AD161" i="1"/>
  <c r="AC161" i="1"/>
  <c r="AB161" i="1"/>
  <c r="AC26" i="1"/>
  <c r="AB26" i="1"/>
  <c r="AD26" i="1"/>
  <c r="AC28" i="1"/>
  <c r="AD28" i="1"/>
  <c r="AB28" i="1"/>
  <c r="AC146" i="1"/>
  <c r="AB146" i="1"/>
  <c r="AD146" i="1"/>
  <c r="AB14" i="1"/>
  <c r="AC14" i="1"/>
  <c r="AD14" i="1"/>
  <c r="AD81" i="1"/>
  <c r="AB81" i="1"/>
  <c r="AC81" i="1"/>
  <c r="AD74" i="1"/>
  <c r="AC74" i="1"/>
  <c r="AB74" i="1"/>
  <c r="AB69" i="1"/>
  <c r="AD69" i="1"/>
  <c r="AC69" i="1"/>
  <c r="AD190" i="1"/>
  <c r="AC190" i="1"/>
  <c r="AB190" i="1"/>
  <c r="AD184" i="1"/>
  <c r="AC184" i="1"/>
  <c r="AB184" i="1"/>
  <c r="AB106" i="1"/>
  <c r="AC106" i="1"/>
  <c r="AD106" i="1"/>
  <c r="AC186" i="1"/>
  <c r="AD186" i="1"/>
  <c r="AB186" i="1"/>
  <c r="AB67" i="1"/>
  <c r="AC67" i="1"/>
  <c r="AD67" i="1"/>
  <c r="AD88" i="1"/>
  <c r="AC88" i="1"/>
  <c r="AB88" i="1"/>
  <c r="AB173" i="1"/>
  <c r="AD173" i="1"/>
  <c r="AC173" i="1"/>
  <c r="AC109" i="1"/>
  <c r="AB109" i="1"/>
  <c r="AD109" i="1"/>
  <c r="AC94" i="1"/>
  <c r="AB94" i="1"/>
  <c r="AD94" i="1"/>
  <c r="Z183" i="1"/>
  <c r="X183" i="1"/>
  <c r="W183" i="1"/>
  <c r="AA183" i="1"/>
  <c r="Y183" i="1"/>
  <c r="AA36" i="1"/>
  <c r="X36" i="1"/>
  <c r="W36" i="1"/>
  <c r="Y36" i="1"/>
  <c r="Z36" i="1"/>
  <c r="W158" i="1"/>
  <c r="AA158" i="1"/>
  <c r="Y158" i="1"/>
  <c r="Z158" i="1"/>
  <c r="X158" i="1"/>
  <c r="AA174" i="1"/>
  <c r="Y174" i="1"/>
  <c r="Z174" i="1"/>
  <c r="X111" i="1"/>
  <c r="Y111" i="1"/>
  <c r="AA111" i="1"/>
  <c r="Z111" i="1"/>
  <c r="W111" i="1"/>
  <c r="AA151" i="1"/>
  <c r="W151" i="1"/>
  <c r="Z151" i="1"/>
  <c r="X151" i="1"/>
  <c r="Y151" i="1"/>
  <c r="Z43" i="1"/>
  <c r="W43" i="1"/>
  <c r="X43" i="1"/>
  <c r="Y43" i="1"/>
  <c r="AA43" i="1"/>
  <c r="W170" i="1"/>
  <c r="AA170" i="1"/>
  <c r="Y170" i="1"/>
  <c r="Z170" i="1"/>
  <c r="X170" i="1"/>
  <c r="W82" i="1"/>
  <c r="AA82" i="1"/>
  <c r="X82" i="1"/>
  <c r="Y82" i="1"/>
  <c r="Z82" i="1"/>
  <c r="Y141" i="1"/>
  <c r="X141" i="1"/>
  <c r="W141" i="1"/>
  <c r="AA141" i="1"/>
  <c r="Z141" i="1"/>
  <c r="W44" i="1"/>
  <c r="Z44" i="1"/>
  <c r="AA44" i="1"/>
  <c r="Y44" i="1"/>
  <c r="X44" i="1"/>
  <c r="Z27" i="1"/>
  <c r="W27" i="1"/>
  <c r="Y27" i="1"/>
  <c r="X27" i="1"/>
  <c r="AA27" i="1"/>
  <c r="Z184" i="1"/>
  <c r="Y184" i="1"/>
  <c r="X184" i="1"/>
  <c r="W184" i="1"/>
  <c r="AA184" i="1"/>
  <c r="X109" i="1"/>
  <c r="W109" i="1"/>
  <c r="AA109" i="1"/>
  <c r="Y109" i="1"/>
  <c r="Z109" i="1"/>
  <c r="Z156" i="1"/>
  <c r="X156" i="1"/>
  <c r="Y156" i="1"/>
  <c r="AA156" i="1"/>
  <c r="W156" i="1"/>
  <c r="Z113" i="1"/>
  <c r="W113" i="1"/>
  <c r="AA113" i="1"/>
  <c r="Y113" i="1"/>
  <c r="X113" i="1"/>
  <c r="Z143" i="1"/>
  <c r="X143" i="1"/>
  <c r="W143" i="1"/>
  <c r="AA143" i="1"/>
  <c r="Y143" i="1"/>
  <c r="AA116" i="1"/>
  <c r="Z116" i="1"/>
  <c r="Y116" i="1"/>
  <c r="X116" i="1"/>
  <c r="W116" i="1"/>
  <c r="X25" i="1"/>
  <c r="Y25" i="1"/>
  <c r="Z25" i="1"/>
  <c r="W25" i="1"/>
  <c r="AA25" i="1"/>
  <c r="Y74" i="1"/>
  <c r="W74" i="1"/>
  <c r="AA74" i="1"/>
  <c r="Z74" i="1"/>
  <c r="X74" i="1"/>
  <c r="AA112" i="1"/>
  <c r="W112" i="1"/>
  <c r="Z112" i="1"/>
  <c r="Y112" i="1"/>
  <c r="X112" i="1"/>
  <c r="Z161" i="1"/>
  <c r="AA161" i="1"/>
  <c r="X161" i="1"/>
  <c r="Y161" i="1"/>
  <c r="W161" i="1"/>
  <c r="W169" i="1"/>
  <c r="Z169" i="1"/>
  <c r="AA169" i="1"/>
  <c r="Y169" i="1"/>
  <c r="X169" i="1"/>
  <c r="Y83" i="1"/>
  <c r="Z83" i="1"/>
  <c r="X83" i="1"/>
  <c r="W83" i="1"/>
  <c r="AA83" i="1"/>
  <c r="Z110" i="1"/>
  <c r="AA110" i="1"/>
  <c r="X110" i="1"/>
  <c r="Y110" i="1"/>
  <c r="W110" i="1"/>
  <c r="W68" i="1"/>
  <c r="Y68" i="1"/>
  <c r="X68" i="1"/>
  <c r="Z68" i="1"/>
  <c r="AA68" i="1"/>
  <c r="W16" i="1"/>
  <c r="Z16" i="1"/>
  <c r="AA16" i="1"/>
  <c r="Y16" i="1"/>
  <c r="X16" i="1"/>
  <c r="X67" i="1"/>
  <c r="W67" i="1"/>
  <c r="Y67" i="1"/>
  <c r="Z67" i="1"/>
  <c r="AA67" i="1"/>
  <c r="Y41" i="1"/>
  <c r="Z41" i="1"/>
  <c r="AA41" i="1"/>
  <c r="W41" i="1"/>
  <c r="X41" i="1"/>
  <c r="AA146" i="1"/>
  <c r="Z146" i="1"/>
  <c r="X146" i="1"/>
  <c r="Y146" i="1"/>
  <c r="W146" i="1"/>
  <c r="W157" i="1"/>
  <c r="Z157" i="1"/>
  <c r="Y157" i="1"/>
  <c r="AA157" i="1"/>
  <c r="X157" i="1"/>
  <c r="AA120" i="1"/>
  <c r="Z120" i="1"/>
  <c r="X120" i="1"/>
  <c r="W120" i="1"/>
  <c r="Y120" i="1"/>
  <c r="Z179" i="1"/>
  <c r="X179" i="1"/>
  <c r="AA179" i="1"/>
  <c r="Y179" i="1"/>
  <c r="W179" i="1"/>
  <c r="Z114" i="1"/>
  <c r="X114" i="1"/>
  <c r="AA114" i="1"/>
  <c r="W114" i="1"/>
  <c r="Y114" i="1"/>
  <c r="Y17" i="1"/>
  <c r="Z17" i="1"/>
  <c r="W17" i="1"/>
  <c r="X17" i="1"/>
  <c r="AA17" i="1"/>
  <c r="Y60" i="1"/>
  <c r="Z60" i="1"/>
  <c r="W60" i="1"/>
  <c r="X60" i="1"/>
  <c r="AA60" i="1"/>
  <c r="X13" i="1"/>
  <c r="Y13" i="1"/>
  <c r="W13" i="1"/>
  <c r="Z13" i="1"/>
  <c r="AA13" i="1"/>
  <c r="AA103" i="1"/>
  <c r="Z103" i="1"/>
  <c r="X103" i="1"/>
  <c r="W103" i="1"/>
  <c r="Y103" i="1"/>
  <c r="Z31" i="1"/>
  <c r="X31" i="1"/>
  <c r="Y31" i="1"/>
  <c r="W31" i="1"/>
  <c r="AA31" i="1"/>
  <c r="Z59" i="1"/>
  <c r="X59" i="1"/>
  <c r="Y59" i="1"/>
  <c r="W59" i="1"/>
  <c r="AA59" i="1"/>
  <c r="Z80" i="1"/>
  <c r="W80" i="1"/>
  <c r="AA80" i="1"/>
  <c r="Y80" i="1"/>
  <c r="X80" i="1"/>
  <c r="W192" i="1"/>
  <c r="AA192" i="1"/>
  <c r="Z192" i="1"/>
  <c r="Y192" i="1"/>
  <c r="X192" i="1"/>
  <c r="Y102" i="1"/>
  <c r="X102" i="1"/>
  <c r="AA102" i="1"/>
  <c r="Z102" i="1"/>
  <c r="W102" i="1"/>
  <c r="Z187" i="1"/>
  <c r="W187" i="1"/>
  <c r="AA187" i="1"/>
  <c r="Y187" i="1"/>
  <c r="X187" i="1"/>
  <c r="Y65" i="1"/>
  <c r="W65" i="1"/>
  <c r="X65" i="1"/>
  <c r="AA65" i="1"/>
  <c r="Z65" i="1"/>
  <c r="Z168" i="1"/>
  <c r="X168" i="1"/>
  <c r="AA168" i="1"/>
  <c r="Y168" i="1"/>
  <c r="W168" i="1"/>
  <c r="Z177" i="1"/>
  <c r="X177" i="1"/>
  <c r="AA177" i="1"/>
  <c r="Y177" i="1"/>
  <c r="W177" i="1"/>
  <c r="Y33" i="1"/>
  <c r="W33" i="1"/>
  <c r="X33" i="1"/>
  <c r="AA33" i="1"/>
  <c r="Z33" i="1"/>
  <c r="Y21" i="1"/>
  <c r="W21" i="1"/>
  <c r="X21" i="1"/>
  <c r="AA21" i="1"/>
  <c r="Z21" i="1"/>
  <c r="X62" i="1"/>
  <c r="AA62" i="1"/>
  <c r="Y62" i="1"/>
  <c r="Z62" i="1"/>
  <c r="W62" i="1"/>
  <c r="AA171" i="1"/>
  <c r="Z171" i="1"/>
  <c r="X171" i="1"/>
  <c r="Y171" i="1"/>
  <c r="W171" i="1"/>
  <c r="W75" i="1"/>
  <c r="X75" i="1"/>
  <c r="Y75" i="1"/>
  <c r="Z75" i="1"/>
  <c r="AA75" i="1"/>
  <c r="X185" i="1"/>
  <c r="AA185" i="1"/>
  <c r="Y185" i="1"/>
  <c r="Z185" i="1"/>
  <c r="W185" i="1"/>
  <c r="AA7" i="1"/>
  <c r="X7" i="1"/>
  <c r="Z7" i="1"/>
  <c r="W7" i="1"/>
  <c r="Y7" i="1"/>
  <c r="Z164" i="1"/>
  <c r="W164" i="1"/>
  <c r="X164" i="1"/>
  <c r="AA164" i="1"/>
  <c r="Y164" i="1"/>
  <c r="Z97" i="1"/>
  <c r="X97" i="1"/>
  <c r="W97" i="1"/>
  <c r="AA97" i="1"/>
  <c r="Y97" i="1"/>
  <c r="Z149" i="1"/>
  <c r="W149" i="1"/>
  <c r="AA149" i="1"/>
  <c r="Y149" i="1"/>
  <c r="X149" i="1"/>
  <c r="W145" i="1"/>
  <c r="Y145" i="1"/>
  <c r="AA145" i="1"/>
  <c r="Z145" i="1"/>
  <c r="X145" i="1"/>
  <c r="Y115" i="1"/>
  <c r="X115" i="1"/>
  <c r="Z115" i="1"/>
  <c r="AA115" i="1"/>
  <c r="W115" i="1"/>
  <c r="Z71" i="1"/>
  <c r="W71" i="1"/>
  <c r="X71" i="1"/>
  <c r="AA71" i="1"/>
  <c r="Y71" i="1"/>
  <c r="W193" i="1"/>
  <c r="AA193" i="1"/>
  <c r="Y193" i="1"/>
  <c r="X193" i="1"/>
  <c r="Z193" i="1"/>
  <c r="Z108" i="1"/>
  <c r="X108" i="1"/>
  <c r="AA108" i="1"/>
  <c r="W108" i="1"/>
  <c r="Y108" i="1"/>
  <c r="Z34" i="1"/>
  <c r="Y34" i="1"/>
  <c r="AA34" i="1"/>
  <c r="X34" i="1"/>
  <c r="Z153" i="1"/>
  <c r="X153" i="1"/>
  <c r="AA153" i="1"/>
  <c r="W153" i="1"/>
  <c r="Y153" i="1"/>
  <c r="AA30" i="1"/>
  <c r="X30" i="1"/>
  <c r="Z30" i="1"/>
  <c r="W30" i="1"/>
  <c r="Y30" i="1"/>
  <c r="W58" i="1"/>
  <c r="Y58" i="1"/>
  <c r="Z58" i="1"/>
  <c r="AA58" i="1"/>
  <c r="X58" i="1"/>
  <c r="X12" i="1"/>
  <c r="W12" i="1"/>
  <c r="Z12" i="1"/>
  <c r="AA12" i="1"/>
  <c r="Y12" i="1"/>
  <c r="W117" i="1"/>
  <c r="Z117" i="1"/>
  <c r="X117" i="1"/>
  <c r="Y117" i="1"/>
  <c r="AA117" i="1"/>
  <c r="Z191" i="1"/>
  <c r="X191" i="1"/>
  <c r="W191" i="1"/>
  <c r="AA191" i="1"/>
  <c r="Y191" i="1"/>
  <c r="Z101" i="1"/>
  <c r="X101" i="1"/>
  <c r="AA101" i="1"/>
  <c r="Y101" i="1"/>
  <c r="W101" i="1"/>
  <c r="Z188" i="1"/>
  <c r="X188" i="1"/>
  <c r="Y188" i="1"/>
  <c r="AA188" i="1"/>
  <c r="W188" i="1"/>
  <c r="AA167" i="1"/>
  <c r="Z167" i="1"/>
  <c r="Y167" i="1"/>
  <c r="X167" i="1"/>
  <c r="W167" i="1"/>
  <c r="Z176" i="1"/>
  <c r="W176" i="1"/>
  <c r="AA176" i="1"/>
  <c r="Y176" i="1"/>
  <c r="X176" i="1"/>
  <c r="Y61" i="1"/>
  <c r="AA61" i="1"/>
  <c r="X61" i="1"/>
  <c r="Z61" i="1"/>
  <c r="W61" i="1"/>
  <c r="X76" i="1"/>
  <c r="W76" i="1"/>
  <c r="Y76" i="1"/>
  <c r="AA76" i="1"/>
  <c r="Z76" i="1"/>
  <c r="Z140" i="1"/>
  <c r="X140" i="1"/>
  <c r="Y140" i="1"/>
  <c r="W140" i="1"/>
  <c r="AA140" i="1"/>
  <c r="Z20" i="1"/>
  <c r="X20" i="1"/>
  <c r="Y20" i="1"/>
  <c r="AA20" i="1"/>
  <c r="W20" i="1"/>
  <c r="Y66" i="1"/>
  <c r="X66" i="1"/>
  <c r="Z66" i="1"/>
  <c r="W66" i="1"/>
  <c r="AA66" i="1"/>
  <c r="Z104" i="1"/>
  <c r="X104" i="1"/>
  <c r="AA104" i="1"/>
  <c r="Y104" i="1"/>
  <c r="W104" i="1"/>
  <c r="Z152" i="1"/>
  <c r="W152" i="1"/>
  <c r="X152" i="1"/>
  <c r="AA152" i="1"/>
  <c r="Y152" i="1"/>
  <c r="Y29" i="1"/>
  <c r="AA29" i="1"/>
  <c r="Z29" i="1"/>
  <c r="W29" i="1"/>
  <c r="X29" i="1"/>
  <c r="AA190" i="1"/>
  <c r="Z190" i="1"/>
  <c r="Y190" i="1"/>
  <c r="X190" i="1"/>
  <c r="W190" i="1"/>
  <c r="Z100" i="1"/>
  <c r="W100" i="1"/>
  <c r="AA100" i="1"/>
  <c r="Y100" i="1"/>
  <c r="X100" i="1"/>
  <c r="AA186" i="1"/>
  <c r="W186" i="1"/>
  <c r="Z186" i="1"/>
  <c r="Y186" i="1"/>
  <c r="X186" i="1"/>
  <c r="Z173" i="1"/>
  <c r="X173" i="1"/>
  <c r="W173" i="1"/>
  <c r="Y173" i="1"/>
  <c r="AA173" i="1"/>
  <c r="AA178" i="1"/>
  <c r="Y178" i="1"/>
  <c r="X178" i="1"/>
  <c r="Z178" i="1"/>
  <c r="W178" i="1"/>
  <c r="Z37" i="1"/>
  <c r="AA37" i="1"/>
  <c r="Y37" i="1"/>
  <c r="X37" i="1"/>
  <c r="W37" i="1"/>
  <c r="Z160" i="1"/>
  <c r="X160" i="1"/>
  <c r="AA160" i="1"/>
  <c r="Y160" i="1"/>
  <c r="W160" i="1"/>
  <c r="W28" i="1"/>
  <c r="Z28" i="1"/>
  <c r="AA28" i="1"/>
  <c r="Y28" i="1"/>
  <c r="X28" i="1"/>
  <c r="AA79" i="1"/>
  <c r="Z79" i="1"/>
  <c r="X79" i="1"/>
  <c r="W79" i="1"/>
  <c r="Y79" i="1"/>
  <c r="W72" i="1"/>
  <c r="Z72" i="1"/>
  <c r="X72" i="1"/>
  <c r="AA72" i="1"/>
  <c r="Y72" i="1"/>
  <c r="AA189" i="1"/>
  <c r="Y189" i="1"/>
  <c r="X189" i="1"/>
  <c r="W189" i="1"/>
  <c r="Z189" i="1"/>
  <c r="Z96" i="1"/>
  <c r="X96" i="1"/>
  <c r="Y96" i="1"/>
  <c r="AA96" i="1"/>
  <c r="W96" i="1"/>
  <c r="X81" i="1"/>
  <c r="AA81" i="1"/>
  <c r="Z81" i="1"/>
  <c r="W81" i="1"/>
  <c r="Y81" i="1"/>
  <c r="AA99" i="1"/>
  <c r="W99" i="1"/>
  <c r="Z99" i="1"/>
  <c r="X99" i="1"/>
  <c r="Y99" i="1"/>
  <c r="Z32" i="1"/>
  <c r="X32" i="1"/>
  <c r="W32" i="1"/>
  <c r="AA32" i="1"/>
  <c r="Y32" i="1"/>
  <c r="AA199" i="1"/>
  <c r="Z199" i="1"/>
  <c r="X199" i="1"/>
  <c r="Y199" i="1"/>
  <c r="W199" i="1"/>
  <c r="Z165" i="1"/>
  <c r="X165" i="1"/>
  <c r="W165" i="1"/>
  <c r="Y165" i="1"/>
  <c r="AA165" i="1"/>
  <c r="Z64" i="1"/>
  <c r="Y64" i="1"/>
  <c r="W64" i="1"/>
  <c r="X64" i="1"/>
  <c r="AA64" i="1"/>
  <c r="AA155" i="1"/>
  <c r="Z155" i="1"/>
  <c r="Y155" i="1"/>
  <c r="W155" i="1"/>
  <c r="X155" i="1"/>
  <c r="AA159" i="1"/>
  <c r="Z159" i="1"/>
  <c r="X159" i="1"/>
  <c r="Y159" i="1"/>
  <c r="W159" i="1"/>
  <c r="Z8" i="1"/>
  <c r="X8" i="1"/>
  <c r="AA8" i="1"/>
  <c r="W8" i="1"/>
  <c r="Y8" i="1"/>
  <c r="AA95" i="1"/>
  <c r="Z95" i="1"/>
  <c r="X95" i="1"/>
  <c r="Y95" i="1"/>
  <c r="W95" i="1"/>
  <c r="Z40" i="1"/>
  <c r="AA40" i="1"/>
  <c r="Y40" i="1"/>
  <c r="W40" i="1"/>
  <c r="X40" i="1"/>
  <c r="X98" i="1"/>
  <c r="Y98" i="1"/>
  <c r="W98" i="1"/>
  <c r="AA98" i="1"/>
  <c r="Z98" i="1"/>
  <c r="Z15" i="1"/>
  <c r="W15" i="1"/>
  <c r="Y15" i="1"/>
  <c r="AA15" i="1"/>
  <c r="X15" i="1"/>
  <c r="AA182" i="1"/>
  <c r="Z182" i="1"/>
  <c r="Y182" i="1"/>
  <c r="X182" i="1"/>
  <c r="W182" i="1"/>
  <c r="AA63" i="1"/>
  <c r="Z63" i="1"/>
  <c r="Y63" i="1"/>
  <c r="X63" i="1"/>
  <c r="W63" i="1"/>
  <c r="Y78" i="1"/>
  <c r="Z78" i="1"/>
  <c r="W78" i="1"/>
  <c r="X78" i="1"/>
  <c r="AA78" i="1"/>
  <c r="Z172" i="1"/>
  <c r="X172" i="1"/>
  <c r="W172" i="1"/>
  <c r="AA172" i="1"/>
  <c r="Y172" i="1"/>
  <c r="AA154" i="1"/>
  <c r="Y154" i="1"/>
  <c r="X154" i="1"/>
  <c r="Z154" i="1"/>
  <c r="W154" i="1"/>
  <c r="X197" i="1"/>
  <c r="AA197" i="1"/>
  <c r="Y197" i="1"/>
  <c r="Z197" i="1"/>
  <c r="W197" i="1"/>
  <c r="AA194" i="1"/>
  <c r="Z194" i="1"/>
  <c r="Y194" i="1"/>
  <c r="X194" i="1"/>
  <c r="W194" i="1"/>
  <c r="AA70" i="1"/>
  <c r="Z70" i="1"/>
  <c r="X70" i="1"/>
  <c r="W70" i="1"/>
  <c r="Y70" i="1"/>
  <c r="AA107" i="1"/>
  <c r="Z107" i="1"/>
  <c r="X107" i="1"/>
  <c r="W107" i="1"/>
  <c r="Y107" i="1"/>
  <c r="Z89" i="1"/>
  <c r="X89" i="1"/>
  <c r="Y89" i="1"/>
  <c r="W89" i="1"/>
  <c r="AA89" i="1"/>
  <c r="Z92" i="1"/>
  <c r="X92" i="1"/>
  <c r="Y92" i="1"/>
  <c r="W92" i="1"/>
  <c r="AA92" i="1"/>
  <c r="X162" i="1"/>
  <c r="AA162" i="1"/>
  <c r="Y162" i="1"/>
  <c r="Z162" i="1"/>
  <c r="W162" i="1"/>
  <c r="Z86" i="1"/>
  <c r="AA86" i="1"/>
  <c r="Y86" i="1"/>
  <c r="W144" i="1"/>
  <c r="Z144" i="1"/>
  <c r="AA144" i="1"/>
  <c r="Y144" i="1"/>
  <c r="X144" i="1"/>
  <c r="Z195" i="1"/>
  <c r="Y195" i="1"/>
  <c r="X195" i="1"/>
  <c r="W195" i="1"/>
  <c r="AA195" i="1"/>
  <c r="W69" i="1"/>
  <c r="Z69" i="1"/>
  <c r="X69" i="1"/>
  <c r="Y69" i="1"/>
  <c r="AA69" i="1"/>
  <c r="Y10" i="1"/>
  <c r="W10" i="1"/>
  <c r="AA10" i="1"/>
  <c r="Z10" i="1"/>
  <c r="X10" i="1"/>
  <c r="W106" i="1"/>
  <c r="Y106" i="1"/>
  <c r="X106" i="1"/>
  <c r="AA106" i="1"/>
  <c r="Z106" i="1"/>
  <c r="Y6" i="1"/>
  <c r="X6" i="1"/>
  <c r="AA6" i="1"/>
  <c r="W6" i="1"/>
  <c r="Z6" i="1"/>
  <c r="Z88" i="1"/>
  <c r="W88" i="1"/>
  <c r="AA88" i="1"/>
  <c r="X88" i="1"/>
  <c r="Y88" i="1"/>
  <c r="Y38" i="1"/>
  <c r="W38" i="1"/>
  <c r="AA38" i="1"/>
  <c r="X38" i="1"/>
  <c r="Z38" i="1"/>
  <c r="W93" i="1"/>
  <c r="Z93" i="1"/>
  <c r="AA93" i="1"/>
  <c r="Y93" i="1"/>
  <c r="X93" i="1"/>
  <c r="AA198" i="1"/>
  <c r="W198" i="1"/>
  <c r="Z198" i="1"/>
  <c r="Y198" i="1"/>
  <c r="X198" i="1"/>
  <c r="AA11" i="1"/>
  <c r="Z11" i="1"/>
  <c r="W11" i="1"/>
  <c r="Y11" i="1"/>
  <c r="X11" i="1"/>
  <c r="AA35" i="1"/>
  <c r="W35" i="1"/>
  <c r="X35" i="1"/>
  <c r="Z35" i="1"/>
  <c r="Y35" i="1"/>
  <c r="AA18" i="1"/>
  <c r="X18" i="1"/>
  <c r="Z18" i="1"/>
  <c r="W18" i="1"/>
  <c r="Y18" i="1"/>
  <c r="X150" i="1"/>
  <c r="Y150" i="1"/>
  <c r="W150" i="1"/>
  <c r="AA150" i="1"/>
  <c r="Z150" i="1"/>
  <c r="W181" i="1"/>
  <c r="AA181" i="1"/>
  <c r="Y181" i="1"/>
  <c r="X181" i="1"/>
  <c r="Z181" i="1"/>
  <c r="AA87" i="1"/>
  <c r="W87" i="1"/>
  <c r="Y87" i="1"/>
  <c r="X87" i="1"/>
  <c r="Z87" i="1"/>
  <c r="Z19" i="1"/>
  <c r="X19" i="1"/>
  <c r="W19" i="1"/>
  <c r="AA19" i="1"/>
  <c r="Y19" i="1"/>
  <c r="Z121" i="1"/>
  <c r="X121" i="1"/>
  <c r="W121" i="1"/>
  <c r="AA121" i="1"/>
  <c r="Y121" i="1"/>
  <c r="Z9" i="1"/>
  <c r="AA9" i="1"/>
  <c r="Y9" i="1"/>
  <c r="X9" i="1"/>
  <c r="W9" i="1"/>
  <c r="X39" i="1"/>
  <c r="W39" i="1"/>
  <c r="Y39" i="1"/>
  <c r="Z39" i="1"/>
  <c r="AA39" i="1"/>
  <c r="AA26" i="1"/>
  <c r="Z26" i="1"/>
  <c r="X26" i="1"/>
  <c r="Y26" i="1"/>
  <c r="W26" i="1"/>
  <c r="AA142" i="1"/>
  <c r="Z142" i="1"/>
  <c r="X142" i="1"/>
  <c r="W142" i="1"/>
  <c r="Y142" i="1"/>
  <c r="AA14" i="1"/>
  <c r="Z14" i="1"/>
  <c r="Y14" i="1"/>
  <c r="W14" i="1"/>
  <c r="X14" i="1"/>
  <c r="AA196" i="1"/>
  <c r="Z196" i="1"/>
  <c r="Y196" i="1"/>
  <c r="X196" i="1"/>
  <c r="W196" i="1"/>
  <c r="W119" i="1"/>
  <c r="Y119" i="1"/>
  <c r="X119" i="1"/>
  <c r="Z119" i="1"/>
  <c r="AA119" i="1"/>
  <c r="AA175" i="1"/>
  <c r="W175" i="1"/>
  <c r="Z175" i="1"/>
  <c r="X175" i="1"/>
  <c r="Y175" i="1"/>
  <c r="W105" i="1"/>
  <c r="Z105" i="1"/>
  <c r="X105" i="1"/>
  <c r="AA105" i="1"/>
  <c r="Y105" i="1"/>
  <c r="W180" i="1"/>
  <c r="Z180" i="1"/>
  <c r="X180" i="1"/>
  <c r="Y180" i="1"/>
  <c r="AA180" i="1"/>
  <c r="W94" i="1"/>
  <c r="Y94" i="1"/>
  <c r="AA94" i="1"/>
  <c r="Z94" i="1"/>
  <c r="X94" i="1"/>
  <c r="V5" i="1"/>
  <c r="V4" i="1"/>
  <c r="V3" i="1"/>
  <c r="U3" i="1"/>
  <c r="Q3" i="1"/>
  <c r="R3" i="1" s="1"/>
  <c r="S4" i="1" l="1"/>
  <c r="T4" i="1" s="1"/>
  <c r="S5" i="1"/>
  <c r="T5" i="1" s="1"/>
  <c r="S3" i="1"/>
  <c r="Q122" i="1"/>
  <c r="AC5" i="1" l="1"/>
  <c r="AB5" i="1"/>
  <c r="AD5" i="1"/>
  <c r="AC4" i="1"/>
  <c r="AD4" i="1"/>
  <c r="AB4" i="1"/>
  <c r="S138" i="1"/>
  <c r="T138" i="1" s="1"/>
  <c r="S139" i="1"/>
  <c r="T139" i="1" s="1"/>
  <c r="Z5" i="1"/>
  <c r="AA5" i="1"/>
  <c r="Y5" i="1"/>
  <c r="W5" i="1"/>
  <c r="Z4" i="1"/>
  <c r="AA4" i="1"/>
  <c r="Y4" i="1"/>
  <c r="W4" i="1"/>
  <c r="X5" i="1"/>
  <c r="X4" i="1"/>
  <c r="S131" i="1"/>
  <c r="T131" i="1" s="1"/>
  <c r="S132" i="1"/>
  <c r="T132" i="1" s="1"/>
  <c r="S130" i="1"/>
  <c r="T130" i="1" s="1"/>
  <c r="S133" i="1"/>
  <c r="T133" i="1" s="1"/>
  <c r="S123" i="1"/>
  <c r="T123" i="1" s="1"/>
  <c r="S136" i="1"/>
  <c r="T136" i="1" s="1"/>
  <c r="S137" i="1"/>
  <c r="T137" i="1" s="1"/>
  <c r="S122" i="1"/>
  <c r="T122" i="1" s="1"/>
  <c r="AC122" i="1" s="1"/>
  <c r="S134" i="1"/>
  <c r="T134" i="1" s="1"/>
  <c r="S135" i="1"/>
  <c r="T135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T3" i="1"/>
  <c r="K122" i="1"/>
  <c r="V174" i="1"/>
  <c r="X174" i="1" s="1"/>
  <c r="U174" i="1"/>
  <c r="W174" i="1" s="1"/>
  <c r="V86" i="1"/>
  <c r="X86" i="1" s="1"/>
  <c r="U86" i="1"/>
  <c r="W86" i="1" s="1"/>
  <c r="AD126" i="1" l="1"/>
  <c r="AC126" i="1"/>
  <c r="AB126" i="1"/>
  <c r="AB134" i="1"/>
  <c r="AD134" i="1"/>
  <c r="AC134" i="1"/>
  <c r="AB127" i="1"/>
  <c r="AD127" i="1"/>
  <c r="AC127" i="1"/>
  <c r="AB133" i="1"/>
  <c r="AD133" i="1"/>
  <c r="AC133" i="1"/>
  <c r="AB130" i="1"/>
  <c r="AC130" i="1"/>
  <c r="AD130" i="1"/>
  <c r="AB135" i="1"/>
  <c r="AD135" i="1"/>
  <c r="AC135" i="1"/>
  <c r="AD131" i="1"/>
  <c r="AC131" i="1"/>
  <c r="AB131" i="1"/>
  <c r="AD129" i="1"/>
  <c r="AC129" i="1"/>
  <c r="AB129" i="1"/>
  <c r="AB136" i="1"/>
  <c r="AD136" i="1"/>
  <c r="AC136" i="1"/>
  <c r="AB139" i="1"/>
  <c r="AD139" i="1"/>
  <c r="AC139" i="1"/>
  <c r="AD123" i="1"/>
  <c r="AB123" i="1"/>
  <c r="AC123" i="1"/>
  <c r="AA138" i="1"/>
  <c r="AC138" i="1"/>
  <c r="AD138" i="1"/>
  <c r="AB138" i="1"/>
  <c r="AD125" i="1"/>
  <c r="AC125" i="1"/>
  <c r="AB125" i="1"/>
  <c r="AC124" i="1"/>
  <c r="AB124" i="1"/>
  <c r="AD124" i="1"/>
  <c r="M122" i="1"/>
  <c r="AD122" i="1" s="1"/>
  <c r="AB122" i="1"/>
  <c r="AC132" i="1"/>
  <c r="AB132" i="1"/>
  <c r="AD132" i="1"/>
  <c r="AD3" i="1"/>
  <c r="AB3" i="1"/>
  <c r="AC3" i="1"/>
  <c r="AC128" i="1"/>
  <c r="AB128" i="1"/>
  <c r="AD128" i="1"/>
  <c r="AD137" i="1"/>
  <c r="AB137" i="1"/>
  <c r="AC137" i="1"/>
  <c r="X138" i="1"/>
  <c r="Y138" i="1"/>
  <c r="W138" i="1"/>
  <c r="Z138" i="1"/>
  <c r="W139" i="1"/>
  <c r="X139" i="1"/>
  <c r="Z139" i="1"/>
  <c r="AA139" i="1"/>
  <c r="Y139" i="1"/>
  <c r="W131" i="1"/>
  <c r="Y131" i="1"/>
  <c r="Z131" i="1"/>
  <c r="X131" i="1"/>
  <c r="AA131" i="1"/>
  <c r="Z134" i="1"/>
  <c r="AA134" i="1"/>
  <c r="Y134" i="1"/>
  <c r="X134" i="1"/>
  <c r="W134" i="1"/>
  <c r="Y127" i="1"/>
  <c r="X127" i="1"/>
  <c r="W127" i="1"/>
  <c r="AA127" i="1"/>
  <c r="Z127" i="1"/>
  <c r="Z125" i="1"/>
  <c r="W125" i="1"/>
  <c r="X125" i="1"/>
  <c r="AA125" i="1"/>
  <c r="Y125" i="1"/>
  <c r="Z122" i="1"/>
  <c r="AA122" i="1"/>
  <c r="Y122" i="1"/>
  <c r="X122" i="1"/>
  <c r="W122" i="1"/>
  <c r="Z126" i="1"/>
  <c r="X126" i="1"/>
  <c r="Y126" i="1"/>
  <c r="AA126" i="1"/>
  <c r="W126" i="1"/>
  <c r="AA124" i="1"/>
  <c r="W124" i="1"/>
  <c r="Z124" i="1"/>
  <c r="Y124" i="1"/>
  <c r="X124" i="1"/>
  <c r="AA132" i="1"/>
  <c r="Z132" i="1"/>
  <c r="X132" i="1"/>
  <c r="Y132" i="1"/>
  <c r="W132" i="1"/>
  <c r="X135" i="1"/>
  <c r="Y135" i="1"/>
  <c r="AA135" i="1"/>
  <c r="Z135" i="1"/>
  <c r="W135" i="1"/>
  <c r="AA3" i="1"/>
  <c r="Z3" i="1"/>
  <c r="Y3" i="1"/>
  <c r="X3" i="1"/>
  <c r="W3" i="1"/>
  <c r="AA136" i="1"/>
  <c r="W136" i="1"/>
  <c r="Z136" i="1"/>
  <c r="Y136" i="1"/>
  <c r="X136" i="1"/>
  <c r="Z133" i="1"/>
  <c r="X133" i="1"/>
  <c r="Y133" i="1"/>
  <c r="AA133" i="1"/>
  <c r="W133" i="1"/>
  <c r="Z137" i="1"/>
  <c r="W137" i="1"/>
  <c r="AA137" i="1"/>
  <c r="Y137" i="1"/>
  <c r="X137" i="1"/>
  <c r="X123" i="1"/>
  <c r="Y123" i="1"/>
  <c r="AA123" i="1"/>
  <c r="Z123" i="1"/>
  <c r="W123" i="1"/>
  <c r="Z129" i="1"/>
  <c r="X129" i="1"/>
  <c r="W129" i="1"/>
  <c r="AA129" i="1"/>
  <c r="Y129" i="1"/>
  <c r="AA128" i="1"/>
  <c r="Z128" i="1"/>
  <c r="X128" i="1"/>
  <c r="W128" i="1"/>
  <c r="Y128" i="1"/>
  <c r="W130" i="1"/>
  <c r="Z130" i="1"/>
  <c r="AA130" i="1"/>
  <c r="X130" i="1"/>
  <c r="Y130" i="1"/>
  <c r="S202" i="1"/>
  <c r="T202" i="1"/>
  <c r="Q56" i="1"/>
  <c r="R56" i="1" s="1"/>
  <c r="Q55" i="1"/>
  <c r="X56" i="1" l="1"/>
  <c r="AA56" i="1"/>
  <c r="Y56" i="1"/>
  <c r="W56" i="1"/>
  <c r="Z56" i="1"/>
  <c r="Q202" i="1"/>
  <c r="R55" i="1"/>
  <c r="R202" i="1" l="1"/>
  <c r="Z55" i="1"/>
  <c r="W55" i="1"/>
  <c r="X55" i="1"/>
  <c r="AA55" i="1"/>
  <c r="Y55" i="1"/>
  <c r="Y202" i="1" s="1"/>
</calcChain>
</file>

<file path=xl/sharedStrings.xml><?xml version="1.0" encoding="utf-8"?>
<sst xmlns="http://schemas.openxmlformats.org/spreadsheetml/2006/main" count="2063" uniqueCount="349">
  <si>
    <t>lat</t>
  </si>
  <si>
    <t>lon</t>
  </si>
  <si>
    <t>Color</t>
  </si>
  <si>
    <t>bus</t>
  </si>
  <si>
    <t>Utility Type</t>
  </si>
  <si>
    <t>Utility</t>
  </si>
  <si>
    <t>load (200 bus)</t>
  </si>
  <si>
    <t>Load 200 bus</t>
  </si>
  <si>
    <t>Load Breakup RCI (MWh)</t>
  </si>
  <si>
    <t>Load Breakup RCI (Customers)</t>
  </si>
  <si>
    <t>Total Load MWh</t>
  </si>
  <si>
    <t>Total Load MW</t>
  </si>
  <si>
    <t>Bus Load MW</t>
  </si>
  <si>
    <t>Average Load MW</t>
  </si>
  <si>
    <t>Summer Peak -Obs</t>
  </si>
  <si>
    <t>Winter Peak-Obs</t>
  </si>
  <si>
    <t>Summer Peak</t>
  </si>
  <si>
    <t>Winter Peak</t>
  </si>
  <si>
    <t>cross1</t>
  </si>
  <si>
    <t>red</t>
  </si>
  <si>
    <t>AEP New Mexico</t>
  </si>
  <si>
    <t>-</t>
  </si>
  <si>
    <t>dot1</t>
  </si>
  <si>
    <t>black</t>
  </si>
  <si>
    <t>AEP Texas Central</t>
  </si>
  <si>
    <t>brown</t>
  </si>
  <si>
    <t>AEP Texas North</t>
  </si>
  <si>
    <t>Bandera</t>
  </si>
  <si>
    <t>Bartlett</t>
  </si>
  <si>
    <t>Big Country EC</t>
  </si>
  <si>
    <t>Bluebonnet</t>
  </si>
  <si>
    <t>Brownsville</t>
  </si>
  <si>
    <t>CenterPoint</t>
  </si>
  <si>
    <t>Central Texas</t>
  </si>
  <si>
    <t>Cherokee County</t>
  </si>
  <si>
    <t>blue</t>
  </si>
  <si>
    <t>City of Boerne</t>
  </si>
  <si>
    <t>grey</t>
  </si>
  <si>
    <t>City of Brenham</t>
  </si>
  <si>
    <t>City of Byran/College Station</t>
  </si>
  <si>
    <t>City of Cuero</t>
  </si>
  <si>
    <t>City of Denton</t>
  </si>
  <si>
    <t>City of Floresville</t>
  </si>
  <si>
    <t>City of Fredericksburg</t>
  </si>
  <si>
    <t>City of Garland/Dallas</t>
  </si>
  <si>
    <t>City of Georgetown</t>
  </si>
  <si>
    <t>City of Greenville</t>
  </si>
  <si>
    <t>City of Lockhart/San Marcos</t>
  </si>
  <si>
    <t>City of New Braunfels/Sequin</t>
  </si>
  <si>
    <t>City of San Antonio</t>
  </si>
  <si>
    <t>Coleman County</t>
  </si>
  <si>
    <t>Comanche</t>
  </si>
  <si>
    <t>Concho Valley</t>
  </si>
  <si>
    <t>Cooke County</t>
  </si>
  <si>
    <t>Fannin County</t>
  </si>
  <si>
    <t>Fayette</t>
  </si>
  <si>
    <t>Fort Belknap</t>
  </si>
  <si>
    <t>Grayson-collin</t>
  </si>
  <si>
    <t>Greenbelt</t>
  </si>
  <si>
    <t>Guadelupe</t>
  </si>
  <si>
    <t>Hamilton County</t>
  </si>
  <si>
    <t>Heart of Texas</t>
  </si>
  <si>
    <t>HILCO</t>
  </si>
  <si>
    <t>Houston County</t>
  </si>
  <si>
    <t>Jackson</t>
  </si>
  <si>
    <t xml:space="preserve">Jackson </t>
  </si>
  <si>
    <t>Karnes</t>
  </si>
  <si>
    <t>Kerrville Public Utility Board</t>
  </si>
  <si>
    <t>Lamar County EC</t>
  </si>
  <si>
    <t>Lighthouse</t>
  </si>
  <si>
    <t>Magic Valley</t>
  </si>
  <si>
    <t>Medina</t>
  </si>
  <si>
    <t>green</t>
  </si>
  <si>
    <t>Mid-South</t>
  </si>
  <si>
    <t>Navarro County</t>
  </si>
  <si>
    <t>Navasota</t>
  </si>
  <si>
    <t>Reliant Energy</t>
  </si>
  <si>
    <t>Nueces</t>
  </si>
  <si>
    <t>Oncor</t>
  </si>
  <si>
    <t>Pedernales</t>
  </si>
  <si>
    <t>Perdenales</t>
  </si>
  <si>
    <t>Retail</t>
  </si>
  <si>
    <t>Rio Grande</t>
  </si>
  <si>
    <t>Sam Houston</t>
  </si>
  <si>
    <t>San Bernard</t>
  </si>
  <si>
    <t>San Patricio</t>
  </si>
  <si>
    <t>South Plains</t>
  </si>
  <si>
    <t>Southplains</t>
  </si>
  <si>
    <t>Southwest</t>
  </si>
  <si>
    <t>Southwest Texas</t>
  </si>
  <si>
    <t>Taylor EC</t>
  </si>
  <si>
    <t>Texas New Mexico</t>
  </si>
  <si>
    <t>Tri-county</t>
  </si>
  <si>
    <t>Tri-County</t>
  </si>
  <si>
    <t>Trinity Valley</t>
  </si>
  <si>
    <t>United Coop</t>
  </si>
  <si>
    <t>Victoria</t>
  </si>
  <si>
    <t>Wharton</t>
  </si>
  <si>
    <t>Wise</t>
  </si>
  <si>
    <t>Latitude</t>
  </si>
  <si>
    <t>Longitude</t>
  </si>
  <si>
    <t>Symbol</t>
  </si>
  <si>
    <t>Bus</t>
  </si>
  <si>
    <t>8-Bus Mapping</t>
  </si>
  <si>
    <t>DSO Name</t>
  </si>
  <si>
    <t>Climate Zone</t>
  </si>
  <si>
    <t>Weather File</t>
  </si>
  <si>
    <t>Seasonal Peak (5% Thresh.)</t>
  </si>
  <si>
    <t>Load - 200 bus (MW)</t>
  </si>
  <si>
    <t>Bus Load MWh</t>
  </si>
  <si>
    <t>Summer Peak (MW)</t>
  </si>
  <si>
    <t>Winter Peak (MW)</t>
  </si>
  <si>
    <t>Load Breakup RCI (Average MW)</t>
  </si>
  <si>
    <t>Residential</t>
  </si>
  <si>
    <t>Commercial</t>
  </si>
  <si>
    <t>Industrial</t>
  </si>
  <si>
    <t>Brewster</t>
  </si>
  <si>
    <t>Rural</t>
  </si>
  <si>
    <t>TX-Marfa_Ap</t>
  </si>
  <si>
    <t>Dual</t>
  </si>
  <si>
    <t>Urban</t>
  </si>
  <si>
    <t>TX-Corpus_Christi_Intl_Arpt_Ut.tmy3</t>
  </si>
  <si>
    <t>Summer</t>
  </si>
  <si>
    <t>Aransas</t>
  </si>
  <si>
    <t>Suburbs</t>
  </si>
  <si>
    <t>Kleberg</t>
  </si>
  <si>
    <t>TX-Kingsville.tm3</t>
  </si>
  <si>
    <t>Pecos 1</t>
  </si>
  <si>
    <t>Winter</t>
  </si>
  <si>
    <t>Pecos 2</t>
  </si>
  <si>
    <t>Presidio</t>
  </si>
  <si>
    <t>Frio</t>
  </si>
  <si>
    <t>TX-San_Antonio_Intl_Ap</t>
  </si>
  <si>
    <t>Milam</t>
  </si>
  <si>
    <t>TX-College_Station_Easterwood_Fl.tmy3</t>
  </si>
  <si>
    <t>Shackelford</t>
  </si>
  <si>
    <t>TX-Abilene_Dyess_Afb.tmy3</t>
  </si>
  <si>
    <t>Jones</t>
  </si>
  <si>
    <t>Stonewall</t>
  </si>
  <si>
    <t>Haskell</t>
  </si>
  <si>
    <t>Nolan</t>
  </si>
  <si>
    <t>Taylor</t>
  </si>
  <si>
    <t>Kent</t>
  </si>
  <si>
    <t>TX-Lubbock_International_Ap.tmy3</t>
  </si>
  <si>
    <t>Fisher</t>
  </si>
  <si>
    <t>Mitchell</t>
  </si>
  <si>
    <t>TX-Austin_Mueller_Municipal_Ap_Ut.tmy3</t>
  </si>
  <si>
    <t>Gonzales</t>
  </si>
  <si>
    <t>Cameron</t>
  </si>
  <si>
    <t>TX-Brownsville_S_Padre_Isl_Intl.tmy3</t>
  </si>
  <si>
    <t>Harris 1</t>
  </si>
  <si>
    <t>TX-Houston_Bush_Intercontinental.tmy3</t>
  </si>
  <si>
    <t>Harris 2</t>
  </si>
  <si>
    <t>Harris 3</t>
  </si>
  <si>
    <t>Galveston</t>
  </si>
  <si>
    <t>Fort Bend</t>
  </si>
  <si>
    <t>Ubran</t>
  </si>
  <si>
    <t>Brazoria 1</t>
  </si>
  <si>
    <t>Brazoria 2</t>
  </si>
  <si>
    <t>Chambers</t>
  </si>
  <si>
    <t>TX-Port_Arthur_Jefferson_County</t>
  </si>
  <si>
    <t>Montgomery</t>
  </si>
  <si>
    <t>Mason</t>
  </si>
  <si>
    <t>Burnet</t>
  </si>
  <si>
    <t>San Saba</t>
  </si>
  <si>
    <t>TX-Fort_Hood.tmy3</t>
  </si>
  <si>
    <t>Kimble</t>
  </si>
  <si>
    <t>TX-San_Angelo_Mathis_Field</t>
  </si>
  <si>
    <t>Hall 1</t>
  </si>
  <si>
    <t>Gillespie 1</t>
  </si>
  <si>
    <t>Cherokee 1</t>
  </si>
  <si>
    <t>TX-Tyler_Pounds_Fld</t>
  </si>
  <si>
    <t>Cherokee 2</t>
  </si>
  <si>
    <t>TX-Nacogdoches_Awos</t>
  </si>
  <si>
    <t>Cherokee 3</t>
  </si>
  <si>
    <t>Nacogdoches</t>
  </si>
  <si>
    <t>Kendall</t>
  </si>
  <si>
    <t>Washington</t>
  </si>
  <si>
    <t>Brazos</t>
  </si>
  <si>
    <t>DeWitt 1</t>
  </si>
  <si>
    <t>TX-Victoria_Regional_Ap</t>
  </si>
  <si>
    <t>Palo Pinto</t>
  </si>
  <si>
    <t>TX-Mineral_Wells_Municipal_Ap</t>
  </si>
  <si>
    <t>Wilson</t>
  </si>
  <si>
    <t>Gillespie 2</t>
  </si>
  <si>
    <t>Dallas</t>
  </si>
  <si>
    <t>TX-Dallas_Love_Field.tmy3</t>
  </si>
  <si>
    <t>Williamson</t>
  </si>
  <si>
    <t>Hunt</t>
  </si>
  <si>
    <t>Caldwell</t>
  </si>
  <si>
    <t>Bexar</t>
  </si>
  <si>
    <t>Brown</t>
  </si>
  <si>
    <t>McColloch 1</t>
  </si>
  <si>
    <t>Hamilton</t>
  </si>
  <si>
    <t>McColloch 2</t>
  </si>
  <si>
    <t>Mills</t>
  </si>
  <si>
    <t>Callahan</t>
  </si>
  <si>
    <t>Menard</t>
  </si>
  <si>
    <t>Concho</t>
  </si>
  <si>
    <t>Schleicher</t>
  </si>
  <si>
    <t>Sterling</t>
  </si>
  <si>
    <t>Tom Green</t>
  </si>
  <si>
    <t>Cooke</t>
  </si>
  <si>
    <t>TX-Wichita_Falls_Municipal_Arpt</t>
  </si>
  <si>
    <t>Montague</t>
  </si>
  <si>
    <t>Fannin</t>
  </si>
  <si>
    <t>TX-Cox_Fld.tmy3</t>
  </si>
  <si>
    <t>Lamar</t>
  </si>
  <si>
    <t>Jack</t>
  </si>
  <si>
    <t>Stephens</t>
  </si>
  <si>
    <t>Clay</t>
  </si>
  <si>
    <t>Grayson</t>
  </si>
  <si>
    <t>Childress</t>
  </si>
  <si>
    <t>TX-Childress_Municipal_Ap.tmy3</t>
  </si>
  <si>
    <t>Atacostca</t>
  </si>
  <si>
    <t>DeWitt 2</t>
  </si>
  <si>
    <t>Waller</t>
  </si>
  <si>
    <t>Lampasas</t>
  </si>
  <si>
    <t>Coryell</t>
  </si>
  <si>
    <t>TX-Mc_Gregor_Awos</t>
  </si>
  <si>
    <t>McClellan</t>
  </si>
  <si>
    <t>TX-Waco_Regional_Ap</t>
  </si>
  <si>
    <t>Hill</t>
  </si>
  <si>
    <t>Houston</t>
  </si>
  <si>
    <t>Grimes</t>
  </si>
  <si>
    <t>Live Oak 1</t>
  </si>
  <si>
    <t>Live Oak 2</t>
  </si>
  <si>
    <t>Duval</t>
  </si>
  <si>
    <t>TX-Alice_Intl_Ap.tmy3</t>
  </si>
  <si>
    <t>Kerr</t>
  </si>
  <si>
    <t>Hopkins</t>
  </si>
  <si>
    <t>Red River</t>
  </si>
  <si>
    <t>Camp</t>
  </si>
  <si>
    <t>Crosby</t>
  </si>
  <si>
    <t>Hall 2</t>
  </si>
  <si>
    <t>Floyd</t>
  </si>
  <si>
    <t>Hildalgo</t>
  </si>
  <si>
    <t>TX-Mcallen_Miller_Intl_Ap_Edinburg_Ut</t>
  </si>
  <si>
    <t>Willacy</t>
  </si>
  <si>
    <t>McMullen</t>
  </si>
  <si>
    <t>Starr</t>
  </si>
  <si>
    <t>Dimmit</t>
  </si>
  <si>
    <t>TX-Laredo_Intl_Ap_Ut.tmy3</t>
  </si>
  <si>
    <t>La Salle 1</t>
  </si>
  <si>
    <t>TX-Cotulla_Faa_Ap.tmy3</t>
  </si>
  <si>
    <t>La Salle 2</t>
  </si>
  <si>
    <t>Webb 1</t>
  </si>
  <si>
    <t>Webb 3</t>
  </si>
  <si>
    <t>Zapata</t>
  </si>
  <si>
    <t>Webb 2</t>
  </si>
  <si>
    <t>Uvalde</t>
  </si>
  <si>
    <t>TX-Del_Rio_Ut.tmy3</t>
  </si>
  <si>
    <t>Madison</t>
  </si>
  <si>
    <t>Bastrop</t>
  </si>
  <si>
    <t>Colorado</t>
  </si>
  <si>
    <t>Anderson</t>
  </si>
  <si>
    <t>Limestone</t>
  </si>
  <si>
    <t>Robertson</t>
  </si>
  <si>
    <t>Leon</t>
  </si>
  <si>
    <t>Bell 1</t>
  </si>
  <si>
    <t>Bell 2</t>
  </si>
  <si>
    <t>TX-Draughon_Miller_Cen.tmy3</t>
  </si>
  <si>
    <t>Brooks 1</t>
  </si>
  <si>
    <t>Town</t>
  </si>
  <si>
    <t>Brooks 2</t>
  </si>
  <si>
    <t>Kenedy</t>
  </si>
  <si>
    <t>Tarrant 1</t>
  </si>
  <si>
    <t>Tarrant 2</t>
  </si>
  <si>
    <t>Tarrant 3</t>
  </si>
  <si>
    <t>TX-Forth_Worth_Nas.tmy3</t>
  </si>
  <si>
    <t>Tarrant 4</t>
  </si>
  <si>
    <t>Tarrant 5</t>
  </si>
  <si>
    <t>Wichita</t>
  </si>
  <si>
    <t>Reagan</t>
  </si>
  <si>
    <t>TX-Midland_International_Ap</t>
  </si>
  <si>
    <t>Ector 1</t>
  </si>
  <si>
    <t>Ector 2</t>
  </si>
  <si>
    <t>Howard</t>
  </si>
  <si>
    <t>Ward</t>
  </si>
  <si>
    <t>TX-Wink_Winkler_County_Ap</t>
  </si>
  <si>
    <t>Upton 1</t>
  </si>
  <si>
    <t>Glasscock</t>
  </si>
  <si>
    <t>Martin</t>
  </si>
  <si>
    <t>Loving</t>
  </si>
  <si>
    <t>Upton 2</t>
  </si>
  <si>
    <t>Tom Green 2</t>
  </si>
  <si>
    <t>Milam 2</t>
  </si>
  <si>
    <t>Edwards 3</t>
  </si>
  <si>
    <t>Edwards 2</t>
  </si>
  <si>
    <t>Throckmorton</t>
  </si>
  <si>
    <t>Kinney</t>
  </si>
  <si>
    <t>Dimmit 3</t>
  </si>
  <si>
    <t>Edwards 1</t>
  </si>
  <si>
    <t>Bandera 2</t>
  </si>
  <si>
    <t>TX-Hondo_Municipal_Ap</t>
  </si>
  <si>
    <t>Webb</t>
  </si>
  <si>
    <t>Travis</t>
  </si>
  <si>
    <t>Jeff Davis</t>
  </si>
  <si>
    <t>Dimmit 2</t>
  </si>
  <si>
    <t>Val Verde</t>
  </si>
  <si>
    <t>Terrell 2</t>
  </si>
  <si>
    <t>Maverick 1</t>
  </si>
  <si>
    <t>Maverick 2</t>
  </si>
  <si>
    <t>Brewster 4</t>
  </si>
  <si>
    <t>Brewster 3</t>
  </si>
  <si>
    <t>Presidio 2</t>
  </si>
  <si>
    <t>Presidio 4</t>
  </si>
  <si>
    <t>Terrell</t>
  </si>
  <si>
    <t>Brewster 2</t>
  </si>
  <si>
    <t>Culberson</t>
  </si>
  <si>
    <t>Presidio 3</t>
  </si>
  <si>
    <t>Angelina</t>
  </si>
  <si>
    <t>TX-Lufkin_Angelina_Co</t>
  </si>
  <si>
    <t>TX-Palacios_Municipal_Ap</t>
  </si>
  <si>
    <t>Lavaca</t>
  </si>
  <si>
    <t>Bee</t>
  </si>
  <si>
    <t>Borden</t>
  </si>
  <si>
    <t>Garza</t>
  </si>
  <si>
    <t>Dawson</t>
  </si>
  <si>
    <t>Childress 2</t>
  </si>
  <si>
    <t>Cottle</t>
  </si>
  <si>
    <t>Scurry</t>
  </si>
  <si>
    <t>Crosby 2</t>
  </si>
  <si>
    <t>Wilbarger</t>
  </si>
  <si>
    <t>Pecos</t>
  </si>
  <si>
    <t>Crockett</t>
  </si>
  <si>
    <t>Sutton</t>
  </si>
  <si>
    <t>Runnels 1</t>
  </si>
  <si>
    <t>Coleman</t>
  </si>
  <si>
    <t>Runnels 2</t>
  </si>
  <si>
    <t>Reeves 1</t>
  </si>
  <si>
    <t>Jeff Davis 2</t>
  </si>
  <si>
    <t>Jack 1</t>
  </si>
  <si>
    <t>Baylor</t>
  </si>
  <si>
    <t>Foard</t>
  </si>
  <si>
    <t>Hardeman</t>
  </si>
  <si>
    <t>Van Zandt</t>
  </si>
  <si>
    <t>Henderson</t>
  </si>
  <si>
    <t>Smith</t>
  </si>
  <si>
    <t>TX-Longview_Gregg_County_Ap_Overton_Ut.tmy3</t>
  </si>
  <si>
    <t>Anderson 2</t>
  </si>
  <si>
    <t>Ellis</t>
  </si>
  <si>
    <t>Erath</t>
  </si>
  <si>
    <t>Jack 2</t>
  </si>
  <si>
    <t>Bosque</t>
  </si>
  <si>
    <t>Calhoun</t>
  </si>
  <si>
    <t>Matagorda</t>
  </si>
  <si>
    <t>Hudspeth</t>
  </si>
  <si>
    <t>TX-El_Paso_International_Ap_Ut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</si>
</sst>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rgb="FF24292E"/>
      <name val="Segoe UI"/>
      <family val="2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5"/>
      <name val="Arial"/>
      <family val="2"/>
    </font>
    <font>
      <sz val="11"/>
      <color theme="5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rgb="FF24292E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126">
    <xf numFmtId="0" fontId="0" fillId="0" borderId="0" xfId="0"/>
    <xf numFmtId="164" fontId="0" fillId="0" borderId="0" xfId="0" applyNumberFormat="1" applyFill="1"/>
    <xf numFmtId="3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Fill="1"/>
    <xf numFmtId="164" fontId="0" fillId="0" borderId="1" xfId="0" applyNumberFormat="1" applyFill="1" applyBorder="1"/>
    <xf numFmtId="164" fontId="9" fillId="0" borderId="1" xfId="0" applyNumberFormat="1" applyFont="1" applyFill="1" applyBorder="1"/>
    <xf numFmtId="0" fontId="2" fillId="0" borderId="1" xfId="0" applyFont="1" applyFill="1" applyBorder="1"/>
    <xf numFmtId="164" fontId="2" fillId="0" borderId="1" xfId="0" applyNumberFormat="1" applyFont="1" applyFill="1" applyBorder="1"/>
    <xf numFmtId="2" fontId="0" fillId="0" borderId="1" xfId="0" applyNumberFormat="1" applyFill="1" applyBorder="1"/>
    <xf numFmtId="0" fontId="0" fillId="0" borderId="1" xfId="0" applyFill="1" applyBorder="1"/>
    <xf numFmtId="0" fontId="0" fillId="0" borderId="1" xfId="0" quotePrefix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 applyProtection="1">
      <alignment horizontal="right" wrapText="1"/>
    </xf>
    <xf numFmtId="2" fontId="5" fillId="0" borderId="1" xfId="0" applyNumberFormat="1" applyFont="1" applyFill="1" applyBorder="1" applyAlignment="1" applyProtection="1">
      <alignment horizontal="right" wrapText="1"/>
    </xf>
    <xf numFmtId="1" fontId="5" fillId="0" borderId="1" xfId="0" applyNumberFormat="1" applyFont="1" applyFill="1" applyBorder="1" applyAlignment="1" applyProtection="1">
      <alignment vertical="center" wrapText="1"/>
    </xf>
    <xf numFmtId="1" fontId="0" fillId="0" borderId="1" xfId="0" applyNumberForma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vertical="center"/>
    </xf>
    <xf numFmtId="1" fontId="5" fillId="0" borderId="1" xfId="0" applyNumberFormat="1" applyFont="1" applyFill="1" applyBorder="1" applyAlignment="1" applyProtection="1">
      <alignment horizontal="right" vertical="center" wrapText="1"/>
    </xf>
    <xf numFmtId="2" fontId="5" fillId="0" borderId="1" xfId="0" applyNumberFormat="1" applyFont="1" applyFill="1" applyBorder="1" applyAlignment="1" applyProtection="1">
      <alignment horizontal="center" wrapText="1"/>
    </xf>
    <xf numFmtId="1" fontId="7" fillId="0" borderId="1" xfId="0" applyNumberFormat="1" applyFont="1" applyFill="1" applyBorder="1" applyAlignment="1" applyProtection="1">
      <alignment horizontal="right" wrapText="1"/>
    </xf>
    <xf numFmtId="1" fontId="6" fillId="0" borderId="1" xfId="1" applyNumberFormat="1" applyFont="1" applyFill="1" applyBorder="1" applyAlignment="1">
      <alignment vertical="center"/>
    </xf>
    <xf numFmtId="2" fontId="9" fillId="0" borderId="1" xfId="0" applyNumberFormat="1" applyFont="1" applyFill="1" applyBorder="1"/>
    <xf numFmtId="1" fontId="0" fillId="0" borderId="1" xfId="0" quotePrefix="1" applyNumberFormat="1" applyFill="1" applyBorder="1" applyAlignment="1">
      <alignment horizontal="center" vertical="center"/>
    </xf>
    <xf numFmtId="2" fontId="0" fillId="0" borderId="0" xfId="0" applyNumberFormat="1" applyFill="1"/>
    <xf numFmtId="0" fontId="0" fillId="0" borderId="0" xfId="0" applyFill="1" applyAlignment="1">
      <alignment vertical="center"/>
    </xf>
    <xf numFmtId="0" fontId="3" fillId="0" borderId="6" xfId="0" applyFont="1" applyFill="1" applyBorder="1" applyAlignment="1">
      <alignment horizontal="left" vertical="center"/>
    </xf>
    <xf numFmtId="0" fontId="0" fillId="0" borderId="6" xfId="0" applyFill="1" applyBorder="1"/>
    <xf numFmtId="0" fontId="0" fillId="0" borderId="6" xfId="0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0" fillId="3" borderId="7" xfId="0" quotePrefix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3" fontId="5" fillId="0" borderId="1" xfId="0" applyNumberFormat="1" applyFont="1" applyFill="1" applyBorder="1" applyAlignment="1" applyProtection="1">
      <alignment horizontal="center" wrapText="1"/>
    </xf>
    <xf numFmtId="3" fontId="5" fillId="0" borderId="1" xfId="0" applyNumberFormat="1" applyFont="1" applyFill="1" applyBorder="1" applyAlignment="1" applyProtection="1">
      <alignment horizontal="right" vertical="center" wrapText="1"/>
    </xf>
    <xf numFmtId="0" fontId="0" fillId="3" borderId="6" xfId="0" applyFill="1" applyBorder="1"/>
    <xf numFmtId="3" fontId="5" fillId="0" borderId="1" xfId="0" applyNumberFormat="1" applyFont="1" applyFill="1" applyBorder="1" applyAlignment="1" applyProtection="1">
      <alignment horizontal="center" vertical="center" wrapText="1"/>
    </xf>
    <xf numFmtId="0" fontId="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2" fontId="5" fillId="0" borderId="1" xfId="0" applyNumberFormat="1" applyFont="1" applyFill="1" applyBorder="1" applyAlignment="1" applyProtection="1">
      <alignment horizontal="right" vertical="center" wrapText="1"/>
    </xf>
    <xf numFmtId="2" fontId="0" fillId="0" borderId="1" xfId="0" applyNumberForma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right"/>
    </xf>
    <xf numFmtId="2" fontId="6" fillId="0" borderId="1" xfId="1" applyNumberFormat="1" applyFont="1" applyFill="1" applyBorder="1" applyAlignment="1">
      <alignment horizontal="right"/>
    </xf>
    <xf numFmtId="2" fontId="0" fillId="0" borderId="1" xfId="0" quotePrefix="1" applyNumberFormat="1" applyFill="1" applyBorder="1" applyAlignment="1">
      <alignment horizontal="right" vertical="center"/>
    </xf>
    <xf numFmtId="2" fontId="0" fillId="0" borderId="0" xfId="0" applyNumberFormat="1" applyFill="1" applyAlignment="1">
      <alignment horizontal="right"/>
    </xf>
    <xf numFmtId="2" fontId="2" fillId="0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 applyProtection="1">
      <alignment vertical="center" wrapText="1"/>
    </xf>
    <xf numFmtId="3" fontId="5" fillId="0" borderId="4" xfId="0" applyNumberFormat="1" applyFont="1" applyFill="1" applyBorder="1" applyAlignment="1" applyProtection="1">
      <alignment vertical="center" wrapText="1"/>
    </xf>
    <xf numFmtId="3" fontId="5" fillId="0" borderId="5" xfId="0" applyNumberFormat="1" applyFont="1" applyFill="1" applyBorder="1" applyAlignment="1" applyProtection="1">
      <alignment vertical="center" wrapText="1"/>
    </xf>
    <xf numFmtId="3" fontId="5" fillId="0" borderId="3" xfId="0" applyNumberFormat="1" applyFont="1" applyFill="1" applyBorder="1" applyAlignment="1" applyProtection="1">
      <alignment wrapText="1"/>
    </xf>
    <xf numFmtId="0" fontId="0" fillId="0" borderId="3" xfId="0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3" fontId="6" fillId="0" borderId="3" xfId="1" applyNumberFormat="1" applyFont="1" applyFill="1" applyBorder="1" applyAlignment="1">
      <alignment vertical="center"/>
    </xf>
    <xf numFmtId="3" fontId="6" fillId="0" borderId="5" xfId="1" applyNumberFormat="1" applyFont="1" applyFill="1" applyBorder="1" applyAlignment="1">
      <alignment vertical="center"/>
    </xf>
    <xf numFmtId="3" fontId="6" fillId="0" borderId="4" xfId="1" applyNumberFormat="1" applyFont="1" applyFill="1" applyBorder="1" applyAlignment="1">
      <alignment vertical="center"/>
    </xf>
    <xf numFmtId="164" fontId="0" fillId="0" borderId="6" xfId="0" applyNumberFormat="1" applyFill="1" applyBorder="1"/>
    <xf numFmtId="164" fontId="9" fillId="0" borderId="6" xfId="0" applyNumberFormat="1" applyFont="1" applyFill="1" applyBorder="1"/>
    <xf numFmtId="164" fontId="5" fillId="0" borderId="6" xfId="0" applyNumberFormat="1" applyFont="1" applyFill="1" applyBorder="1" applyAlignment="1" applyProtection="1">
      <alignment horizontal="right" wrapText="1"/>
    </xf>
    <xf numFmtId="0" fontId="0" fillId="0" borderId="6" xfId="0" quotePrefix="1" applyFill="1" applyBorder="1" applyAlignment="1">
      <alignment horizontal="center" vertical="center"/>
    </xf>
    <xf numFmtId="1" fontId="0" fillId="0" borderId="1" xfId="0" applyNumberFormat="1" applyFill="1" applyBorder="1"/>
    <xf numFmtId="0" fontId="10" fillId="3" borderId="7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0" fillId="3" borderId="10" xfId="0" applyFont="1" applyFill="1" applyBorder="1" applyAlignment="1">
      <alignment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left" vertical="center"/>
    </xf>
    <xf numFmtId="0" fontId="0" fillId="4" borderId="6" xfId="0" applyFill="1" applyBorder="1"/>
    <xf numFmtId="0" fontId="10" fillId="4" borderId="1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2" fontId="9" fillId="4" borderId="1" xfId="0" applyNumberFormat="1" applyFont="1" applyFill="1" applyBorder="1"/>
    <xf numFmtId="1" fontId="8" fillId="4" borderId="1" xfId="0" applyNumberFormat="1" applyFont="1" applyFill="1" applyBorder="1" applyAlignment="1" applyProtection="1">
      <alignment horizontal="right" wrapText="1"/>
    </xf>
    <xf numFmtId="1" fontId="9" fillId="4" borderId="3" xfId="0" applyNumberFormat="1" applyFont="1" applyFill="1" applyBorder="1" applyAlignment="1">
      <alignment vertical="center"/>
    </xf>
    <xf numFmtId="0" fontId="0" fillId="5" borderId="1" xfId="0" applyFill="1" applyBorder="1"/>
    <xf numFmtId="0" fontId="1" fillId="5" borderId="1" xfId="0" applyFont="1" applyFill="1" applyBorder="1" applyAlignment="1">
      <alignment horizontal="left" vertical="center"/>
    </xf>
    <xf numFmtId="0" fontId="0" fillId="5" borderId="6" xfId="0" applyFill="1" applyBorder="1"/>
    <xf numFmtId="0" fontId="10" fillId="5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1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 applyProtection="1">
      <alignment horizontal="center" vertical="center" wrapText="1"/>
    </xf>
    <xf numFmtId="3" fontId="5" fillId="0" borderId="5" xfId="0" applyNumberFormat="1" applyFont="1" applyFill="1" applyBorder="1" applyAlignment="1" applyProtection="1">
      <alignment horizontal="center" vertical="center" wrapText="1"/>
    </xf>
    <xf numFmtId="3" fontId="5" fillId="0" borderId="4" xfId="0" applyNumberFormat="1" applyFont="1" applyFill="1" applyBorder="1" applyAlignment="1" applyProtection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3" fontId="6" fillId="0" borderId="3" xfId="1" applyNumberFormat="1" applyFont="1" applyFill="1" applyBorder="1" applyAlignment="1">
      <alignment horizontal="center" vertical="center"/>
    </xf>
    <xf numFmtId="3" fontId="6" fillId="0" borderId="5" xfId="1" applyNumberFormat="1" applyFont="1" applyFill="1" applyBorder="1" applyAlignment="1">
      <alignment horizontal="center" vertical="center"/>
    </xf>
    <xf numFmtId="3" fontId="6" fillId="0" borderId="4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E8E9-0741-44DD-B168-28058D4DB61A}">
  <dimension ref="A1:AD202"/>
  <sheetViews>
    <sheetView topLeftCell="H160" zoomScale="85" zoomScaleNormal="85" workbookViewId="0">
      <selection activeCell="AB3" sqref="AB3:AD200"/>
    </sheetView>
  </sheetViews>
  <sheetFormatPr baseColWidth="10" defaultColWidth="9.1640625" defaultRowHeight="15"/>
  <cols>
    <col min="1" max="5" width="8.83203125" style="4" customWidth="1"/>
    <col min="6" max="6" width="11.33203125" style="4" customWidth="1"/>
    <col min="7" max="7" width="30.5" style="4" customWidth="1"/>
    <col min="8" max="8" width="22.6640625" style="36" customWidth="1"/>
    <col min="9" max="9" width="14.6640625" style="35" customWidth="1"/>
    <col min="10" max="10" width="12" style="35" customWidth="1"/>
    <col min="11" max="12" width="9.1640625" style="25"/>
    <col min="13" max="13" width="11.1640625" style="25" customWidth="1"/>
    <col min="14" max="16" width="12.5" style="26" customWidth="1"/>
    <col min="17" max="18" width="15.83203125" style="4" customWidth="1"/>
    <col min="19" max="19" width="15.83203125" style="48" customWidth="1"/>
    <col min="20" max="20" width="18.83203125" style="48" customWidth="1"/>
    <col min="21" max="22" width="18.83203125" style="1" customWidth="1"/>
    <col min="23" max="23" width="14.5" style="10" customWidth="1"/>
    <col min="24" max="24" width="12.83203125" style="10" customWidth="1"/>
    <col min="25" max="27" width="9.1640625" style="10"/>
    <col min="28" max="16384" width="9.1640625" style="4"/>
  </cols>
  <sheetData>
    <row r="1" spans="1:30">
      <c r="A1" s="17" t="s">
        <v>0</v>
      </c>
      <c r="B1" s="17" t="s">
        <v>1</v>
      </c>
      <c r="C1" s="7"/>
      <c r="D1" s="7" t="s">
        <v>2</v>
      </c>
      <c r="E1" s="17" t="s">
        <v>3</v>
      </c>
      <c r="F1" s="17" t="s">
        <v>4</v>
      </c>
      <c r="G1" s="27" t="s">
        <v>5</v>
      </c>
      <c r="H1" s="50" t="s">
        <v>6</v>
      </c>
      <c r="I1" s="30" t="s">
        <v>7</v>
      </c>
      <c r="J1" s="30" t="s">
        <v>7</v>
      </c>
      <c r="K1" s="108" t="s">
        <v>8</v>
      </c>
      <c r="L1" s="108"/>
      <c r="M1" s="108"/>
      <c r="N1" s="105" t="s">
        <v>9</v>
      </c>
      <c r="O1" s="106"/>
      <c r="P1" s="107"/>
      <c r="Q1" s="7" t="s">
        <v>10</v>
      </c>
      <c r="R1" s="7" t="s">
        <v>11</v>
      </c>
      <c r="S1" s="49" t="s">
        <v>12</v>
      </c>
      <c r="T1" s="49" t="s">
        <v>13</v>
      </c>
      <c r="U1" s="8" t="s">
        <v>14</v>
      </c>
      <c r="V1" s="62" t="s">
        <v>15</v>
      </c>
      <c r="W1" s="10" t="s">
        <v>16</v>
      </c>
      <c r="X1" s="10" t="s">
        <v>17</v>
      </c>
      <c r="Y1" s="96" t="s">
        <v>9</v>
      </c>
      <c r="Z1" s="96"/>
      <c r="AA1" s="96"/>
    </row>
    <row r="2" spans="1:30">
      <c r="A2" s="12">
        <v>30.43</v>
      </c>
      <c r="B2" s="12">
        <v>-103.33</v>
      </c>
      <c r="C2" s="10" t="s">
        <v>18</v>
      </c>
      <c r="D2" s="10" t="s">
        <v>19</v>
      </c>
      <c r="E2" s="12">
        <v>181</v>
      </c>
      <c r="F2" s="12">
        <v>7</v>
      </c>
      <c r="G2" s="28" t="s">
        <v>20</v>
      </c>
      <c r="H2" s="31">
        <v>0.05</v>
      </c>
      <c r="I2" s="32"/>
      <c r="J2" s="32"/>
      <c r="K2" s="9" t="s">
        <v>21</v>
      </c>
      <c r="L2" s="9" t="s">
        <v>21</v>
      </c>
      <c r="M2" s="9" t="s">
        <v>21</v>
      </c>
      <c r="N2" s="9" t="s">
        <v>21</v>
      </c>
      <c r="O2" s="9" t="s">
        <v>21</v>
      </c>
      <c r="P2" s="9" t="s">
        <v>21</v>
      </c>
      <c r="Q2" s="9" t="s">
        <v>21</v>
      </c>
      <c r="R2" s="9" t="s">
        <v>21</v>
      </c>
      <c r="S2" s="44"/>
      <c r="T2" s="44"/>
      <c r="U2" s="5" t="s">
        <v>21</v>
      </c>
      <c r="V2" s="62" t="s">
        <v>21</v>
      </c>
    </row>
    <row r="3" spans="1:30">
      <c r="A3" s="12">
        <v>27.78</v>
      </c>
      <c r="B3" s="12">
        <v>-97.35</v>
      </c>
      <c r="C3" s="10" t="s">
        <v>22</v>
      </c>
      <c r="D3" s="78" t="s">
        <v>23</v>
      </c>
      <c r="E3" s="79">
        <v>116</v>
      </c>
      <c r="F3" s="79">
        <v>6</v>
      </c>
      <c r="G3" s="80" t="s">
        <v>24</v>
      </c>
      <c r="H3" s="81">
        <v>664.69</v>
      </c>
      <c r="I3" s="109">
        <f>SUM(H3:H5)</f>
        <v>820.85000000000014</v>
      </c>
      <c r="J3" s="41">
        <v>820.85000000000014</v>
      </c>
      <c r="K3" s="23">
        <v>0.45389834708852228</v>
      </c>
      <c r="L3" s="23">
        <v>0.1084830198328857</v>
      </c>
      <c r="M3" s="23">
        <v>0.437618633078592</v>
      </c>
      <c r="N3" s="18">
        <v>63756.900453309172</v>
      </c>
      <c r="O3" s="18">
        <v>7026.7141432456947</v>
      </c>
      <c r="P3" s="18">
        <v>1004.6668177697192</v>
      </c>
      <c r="Q3" s="116">
        <f>4*1885851.89746147</f>
        <v>7543407.5898458799</v>
      </c>
      <c r="R3" s="56">
        <f>Q3/365/24</f>
        <v>861.11958788194977</v>
      </c>
      <c r="S3" s="45">
        <f>Q3*H3/I3</f>
        <v>6108335.9820852252</v>
      </c>
      <c r="T3" s="45">
        <f t="shared" ref="T3:T24" si="0">S3/365/24</f>
        <v>697.2986280919207</v>
      </c>
      <c r="U3" s="6">
        <f>3*433.123028105168</f>
        <v>1299.3690843155039</v>
      </c>
      <c r="V3" s="63">
        <f>3*(334.888939256573)</f>
        <v>1004.666817769719</v>
      </c>
      <c r="W3" s="5">
        <f>U3*T3/R3</f>
        <v>1052.1747416137812</v>
      </c>
      <c r="X3" s="5">
        <f>V3*T3/R3</f>
        <v>813.53717135086129</v>
      </c>
      <c r="Y3" s="66">
        <f>N3*T3/R3</f>
        <v>51627.671514052592</v>
      </c>
      <c r="Z3" s="66">
        <f>O3*T3/R3</f>
        <v>5689.9392384406165</v>
      </c>
      <c r="AA3" s="66">
        <f>P3*T3/R3</f>
        <v>813.5371713508614</v>
      </c>
      <c r="AB3" s="4">
        <f>K3*T3</f>
        <v>316.50269471801704</v>
      </c>
      <c r="AC3" s="4">
        <f>L3*T3</f>
        <v>75.645060900739821</v>
      </c>
      <c r="AD3" s="4">
        <f>M3*T3</f>
        <v>305.15087247316382</v>
      </c>
    </row>
    <row r="4" spans="1:30">
      <c r="A4" s="12">
        <v>28.17</v>
      </c>
      <c r="B4" s="12">
        <v>-97.08</v>
      </c>
      <c r="C4" s="10" t="s">
        <v>22</v>
      </c>
      <c r="D4" s="78" t="s">
        <v>25</v>
      </c>
      <c r="E4" s="79">
        <v>117</v>
      </c>
      <c r="F4" s="79">
        <v>4</v>
      </c>
      <c r="G4" s="80" t="s">
        <v>24</v>
      </c>
      <c r="H4" s="81">
        <v>45.1</v>
      </c>
      <c r="I4" s="110"/>
      <c r="J4" s="41">
        <v>820.85000000000014</v>
      </c>
      <c r="K4" s="23">
        <v>0.45389834708852228</v>
      </c>
      <c r="L4" s="23">
        <v>0.1084830198328857</v>
      </c>
      <c r="M4" s="23">
        <v>0.437618633078592</v>
      </c>
      <c r="N4" s="18">
        <v>63756.900453309172</v>
      </c>
      <c r="O4" s="18">
        <v>7026.7141432456947</v>
      </c>
      <c r="P4" s="18">
        <v>1004.6668177697192</v>
      </c>
      <c r="Q4" s="117"/>
      <c r="R4" s="56">
        <v>861.11958788194977</v>
      </c>
      <c r="S4" s="45">
        <f>Q3*H4/I3</f>
        <v>414457.79655485065</v>
      </c>
      <c r="T4" s="45">
        <f t="shared" si="0"/>
        <v>47.312533853293452</v>
      </c>
      <c r="U4" s="6">
        <f>3*433.123028105168</f>
        <v>1299.3690843155039</v>
      </c>
      <c r="V4" s="63">
        <f>3*(334.888939256573)</f>
        <v>1004.666817769719</v>
      </c>
      <c r="W4" s="5">
        <f t="shared" ref="W4:W66" si="1">U4*T4/R4</f>
        <v>71.391296464188613</v>
      </c>
      <c r="X4" s="5">
        <f t="shared" ref="X4:X66" si="2">V4*T4/R4</f>
        <v>55.199456029011792</v>
      </c>
      <c r="Y4" s="66">
        <f t="shared" ref="Y4:Y66" si="3">N4*T4/R4</f>
        <v>3502.9983680870359</v>
      </c>
      <c r="Z4" s="66">
        <f t="shared" ref="Z4:Z66" si="4">O4*T4/R4</f>
        <v>386.06908431550323</v>
      </c>
      <c r="AA4" s="66">
        <f t="shared" ref="AA4:AA66" si="5">P4*T4/R4</f>
        <v>55.199456029011792</v>
      </c>
      <c r="AB4" s="4">
        <f t="shared" ref="AB4:AB67" si="6">K4*T4</f>
        <v>21.475080912579653</v>
      </c>
      <c r="AC4" s="4">
        <f t="shared" ref="AC4:AC67" si="7">L4*T4</f>
        <v>5.1326065483509096</v>
      </c>
      <c r="AD4" s="4">
        <f t="shared" ref="AD4:AD67" si="8">M4*T4</f>
        <v>20.704846392362889</v>
      </c>
    </row>
    <row r="5" spans="1:30">
      <c r="A5" s="12">
        <v>27.59</v>
      </c>
      <c r="B5" s="12">
        <v>-97.81</v>
      </c>
      <c r="C5" s="10" t="s">
        <v>22</v>
      </c>
      <c r="D5" s="78" t="s">
        <v>25</v>
      </c>
      <c r="E5" s="79">
        <v>194</v>
      </c>
      <c r="F5" s="79">
        <v>4</v>
      </c>
      <c r="G5" s="80" t="s">
        <v>24</v>
      </c>
      <c r="H5" s="81">
        <v>111.06</v>
      </c>
      <c r="I5" s="111"/>
      <c r="J5" s="41">
        <v>820.85000000000014</v>
      </c>
      <c r="K5" s="23">
        <v>0.45389834708852228</v>
      </c>
      <c r="L5" s="23">
        <v>0.1084830198328857</v>
      </c>
      <c r="M5" s="23">
        <v>0.437618633078592</v>
      </c>
      <c r="N5" s="18">
        <v>63756.900453309172</v>
      </c>
      <c r="O5" s="18">
        <v>7026.7141432456947</v>
      </c>
      <c r="P5" s="18">
        <v>1004.6668177697192</v>
      </c>
      <c r="Q5" s="118"/>
      <c r="R5" s="58">
        <v>861.11958788194977</v>
      </c>
      <c r="S5" s="45">
        <f>Q3*H5/I3</f>
        <v>1020613.811205803</v>
      </c>
      <c r="T5" s="45">
        <f t="shared" si="0"/>
        <v>116.50842593673549</v>
      </c>
      <c r="U5" s="6">
        <f>3*433.123028105168</f>
        <v>1299.3690843155039</v>
      </c>
      <c r="V5" s="63">
        <f>3*(334.888939256573)</f>
        <v>1004.666817769719</v>
      </c>
      <c r="W5" s="5">
        <f t="shared" si="1"/>
        <v>175.80304623753409</v>
      </c>
      <c r="X5" s="5">
        <f t="shared" si="2"/>
        <v>135.93019038984585</v>
      </c>
      <c r="Y5" s="66">
        <f t="shared" si="3"/>
        <v>8626.230571169539</v>
      </c>
      <c r="Z5" s="66">
        <f t="shared" si="4"/>
        <v>950.70582048957397</v>
      </c>
      <c r="AA5" s="66">
        <f t="shared" si="5"/>
        <v>135.93019038984588</v>
      </c>
      <c r="AB5" s="4">
        <f t="shared" si="6"/>
        <v>52.882981954569757</v>
      </c>
      <c r="AC5" s="4">
        <f t="shared" si="7"/>
        <v>12.639185881593171</v>
      </c>
      <c r="AD5" s="4">
        <f t="shared" si="8"/>
        <v>50.986258100572563</v>
      </c>
    </row>
    <row r="6" spans="1:30">
      <c r="A6" s="12">
        <v>30.75</v>
      </c>
      <c r="B6" s="12">
        <v>-102.79</v>
      </c>
      <c r="C6" s="10" t="s">
        <v>18</v>
      </c>
      <c r="D6" s="10" t="s">
        <v>19</v>
      </c>
      <c r="E6" s="12">
        <v>173</v>
      </c>
      <c r="F6" s="12">
        <v>7</v>
      </c>
      <c r="G6" s="28" t="s">
        <v>26</v>
      </c>
      <c r="H6" s="31">
        <v>24.69</v>
      </c>
      <c r="I6" s="99">
        <f>SUM(H6:H8)</f>
        <v>31.860000000000003</v>
      </c>
      <c r="J6" s="41">
        <v>31.860000000000003</v>
      </c>
      <c r="K6" s="9">
        <v>0.7324129726589248</v>
      </c>
      <c r="L6" s="9">
        <v>0.23375651019151894</v>
      </c>
      <c r="M6" s="9">
        <v>3.3830517149556302E-2</v>
      </c>
      <c r="N6" s="15">
        <v>29074.854562441611</v>
      </c>
      <c r="O6" s="15">
        <v>4696.1501090003112</v>
      </c>
      <c r="P6" s="15">
        <v>56</v>
      </c>
      <c r="Q6" s="90">
        <v>573821.32170663343</v>
      </c>
      <c r="R6" s="56">
        <f>Q6/365/24</f>
        <v>65.504717089798334</v>
      </c>
      <c r="S6" s="45">
        <f>Q6*H6/I6</f>
        <v>444684.50825288071</v>
      </c>
      <c r="T6" s="45">
        <f t="shared" si="0"/>
        <v>50.763071718365381</v>
      </c>
      <c r="U6" s="3">
        <v>151.31267517907196</v>
      </c>
      <c r="V6" s="64">
        <v>185.14718156337591</v>
      </c>
      <c r="W6" s="5">
        <f t="shared" si="1"/>
        <v>117.26019931485521</v>
      </c>
      <c r="X6" s="5">
        <f t="shared" si="2"/>
        <v>143.48034880099661</v>
      </c>
      <c r="Y6" s="66">
        <f t="shared" si="3"/>
        <v>22531.643413266902</v>
      </c>
      <c r="Z6" s="66">
        <f t="shared" si="4"/>
        <v>3639.2952351292438</v>
      </c>
      <c r="AA6" s="66">
        <f t="shared" si="5"/>
        <v>43.397363465160083</v>
      </c>
      <c r="AB6" s="4">
        <f t="shared" si="6"/>
        <v>37.179532258546182</v>
      </c>
      <c r="AC6" s="4">
        <f t="shared" si="7"/>
        <v>11.866198491486884</v>
      </c>
      <c r="AD6" s="4">
        <f t="shared" si="8"/>
        <v>1.7173409683323166</v>
      </c>
    </row>
    <row r="7" spans="1:30">
      <c r="A7" s="12">
        <v>30.87</v>
      </c>
      <c r="B7" s="12">
        <v>-102.32</v>
      </c>
      <c r="C7" s="10" t="s">
        <v>18</v>
      </c>
      <c r="D7" s="10" t="s">
        <v>19</v>
      </c>
      <c r="E7" s="12">
        <v>175</v>
      </c>
      <c r="F7" s="12">
        <v>7</v>
      </c>
      <c r="G7" s="28" t="s">
        <v>26</v>
      </c>
      <c r="H7" s="31">
        <v>2.5299999999999998</v>
      </c>
      <c r="I7" s="100"/>
      <c r="J7" s="41">
        <v>31.860000000000003</v>
      </c>
      <c r="K7" s="9">
        <v>0.7324129726589248</v>
      </c>
      <c r="L7" s="9">
        <v>0.23375651019151894</v>
      </c>
      <c r="M7" s="9">
        <v>3.3830517149556302E-2</v>
      </c>
      <c r="N7" s="15">
        <v>29074.854562441611</v>
      </c>
      <c r="O7" s="15">
        <v>4696.1501090003112</v>
      </c>
      <c r="P7" s="15">
        <v>56</v>
      </c>
      <c r="Q7" s="91"/>
      <c r="R7" s="57">
        <v>65.504717089798334</v>
      </c>
      <c r="S7" s="45">
        <f>Q6*H7/I6</f>
        <v>45567.1043288695</v>
      </c>
      <c r="T7" s="45">
        <f t="shared" si="0"/>
        <v>5.2017242384554221</v>
      </c>
      <c r="U7" s="3">
        <v>151.31267517907196</v>
      </c>
      <c r="V7" s="64">
        <v>185.14718156337591</v>
      </c>
      <c r="W7" s="5">
        <f t="shared" si="1"/>
        <v>12.015727187791963</v>
      </c>
      <c r="X7" s="5">
        <f t="shared" si="2"/>
        <v>14.702522578635937</v>
      </c>
      <c r="Y7" s="66">
        <f t="shared" si="3"/>
        <v>2308.8318280909371</v>
      </c>
      <c r="Z7" s="66">
        <f t="shared" si="4"/>
        <v>372.92089691684822</v>
      </c>
      <c r="AA7" s="66">
        <f t="shared" si="5"/>
        <v>4.4469554300062768</v>
      </c>
      <c r="AB7" s="4">
        <f t="shared" si="6"/>
        <v>3.8098103124391174</v>
      </c>
      <c r="AC7" s="4">
        <f t="shared" si="7"/>
        <v>1.215936904959976</v>
      </c>
      <c r="AD7" s="4">
        <f t="shared" si="8"/>
        <v>0.17597702105632884</v>
      </c>
    </row>
    <row r="8" spans="1:30">
      <c r="A8" s="12">
        <v>30.29</v>
      </c>
      <c r="B8" s="12">
        <v>-104.01</v>
      </c>
      <c r="C8" s="10" t="s">
        <v>18</v>
      </c>
      <c r="D8" s="10" t="s">
        <v>19</v>
      </c>
      <c r="E8" s="12">
        <v>183</v>
      </c>
      <c r="F8" s="12">
        <v>7</v>
      </c>
      <c r="G8" s="28" t="s">
        <v>26</v>
      </c>
      <c r="H8" s="31">
        <v>4.6399999999999997</v>
      </c>
      <c r="I8" s="101"/>
      <c r="J8" s="41">
        <v>31.860000000000003</v>
      </c>
      <c r="K8" s="9">
        <v>0.7324129726589248</v>
      </c>
      <c r="L8" s="9">
        <v>0.23375651019151894</v>
      </c>
      <c r="M8" s="9">
        <v>3.3830517149556302E-2</v>
      </c>
      <c r="N8" s="15">
        <v>29074.854562441611</v>
      </c>
      <c r="O8" s="15">
        <v>4696.1501090003112</v>
      </c>
      <c r="P8" s="15">
        <v>56</v>
      </c>
      <c r="Q8" s="92"/>
      <c r="R8" s="58">
        <v>65.504717089798334</v>
      </c>
      <c r="S8" s="45">
        <f>Q6*H8/I6</f>
        <v>83569.7091248832</v>
      </c>
      <c r="T8" s="45">
        <f t="shared" si="0"/>
        <v>9.5399211329775344</v>
      </c>
      <c r="U8" s="3">
        <v>151.31267517907196</v>
      </c>
      <c r="V8" s="64">
        <v>185.14718156337591</v>
      </c>
      <c r="W8" s="5">
        <f t="shared" si="1"/>
        <v>22.036748676424789</v>
      </c>
      <c r="X8" s="5">
        <f t="shared" si="2"/>
        <v>26.964310183743383</v>
      </c>
      <c r="Y8" s="66">
        <f t="shared" si="3"/>
        <v>4234.3793210837748</v>
      </c>
      <c r="Z8" s="66">
        <f t="shared" si="4"/>
        <v>683.9339769542197</v>
      </c>
      <c r="AA8" s="66">
        <f t="shared" si="5"/>
        <v>8.1556811048336453</v>
      </c>
      <c r="AB8" s="4">
        <f t="shared" si="6"/>
        <v>6.9871619959357734</v>
      </c>
      <c r="AC8" s="4">
        <f t="shared" si="7"/>
        <v>2.2300186715471497</v>
      </c>
      <c r="AD8" s="4">
        <f t="shared" si="8"/>
        <v>0.32274046549461105</v>
      </c>
    </row>
    <row r="9" spans="1:30">
      <c r="A9" s="12">
        <v>28.92</v>
      </c>
      <c r="B9" s="12">
        <v>-99.1</v>
      </c>
      <c r="C9" s="10" t="s">
        <v>22</v>
      </c>
      <c r="D9" s="10" t="s">
        <v>19</v>
      </c>
      <c r="E9" s="12">
        <v>100</v>
      </c>
      <c r="F9" s="12">
        <v>1</v>
      </c>
      <c r="G9" s="28" t="s">
        <v>27</v>
      </c>
      <c r="H9" s="31">
        <v>30.66</v>
      </c>
      <c r="I9" s="99">
        <f>SUM(H9:H11)</f>
        <v>159.72</v>
      </c>
      <c r="J9" s="41">
        <v>159.72</v>
      </c>
      <c r="K9" s="9">
        <v>0.7324129726589248</v>
      </c>
      <c r="L9" s="9">
        <v>0.23375651019151894</v>
      </c>
      <c r="M9" s="9">
        <v>3.3830517149556302E-2</v>
      </c>
      <c r="N9" s="15">
        <v>29303</v>
      </c>
      <c r="O9" s="15">
        <v>4733</v>
      </c>
      <c r="P9" s="15">
        <v>56</v>
      </c>
      <c r="Q9" s="90">
        <v>578324</v>
      </c>
      <c r="R9" s="56">
        <f>Q9/365/24</f>
        <v>66.018721461187212</v>
      </c>
      <c r="S9" s="14">
        <f>Q9*H9/I9</f>
        <v>111015.61382419233</v>
      </c>
      <c r="T9" s="45">
        <f t="shared" si="0"/>
        <v>12.673015276734285</v>
      </c>
      <c r="U9" s="3">
        <v>152.5</v>
      </c>
      <c r="V9" s="64">
        <v>186.6</v>
      </c>
      <c r="W9" s="5">
        <f t="shared" si="1"/>
        <v>29.274042073628848</v>
      </c>
      <c r="X9" s="5">
        <f t="shared" si="2"/>
        <v>35.819909842223893</v>
      </c>
      <c r="Y9" s="66">
        <f t="shared" si="3"/>
        <v>5625.0311795642383</v>
      </c>
      <c r="Z9" s="66">
        <f t="shared" si="4"/>
        <v>908.5510894064613</v>
      </c>
      <c r="AA9" s="66">
        <f t="shared" si="5"/>
        <v>10.749812171299775</v>
      </c>
      <c r="AB9" s="4">
        <f t="shared" si="6"/>
        <v>9.2818807913849248</v>
      </c>
      <c r="AC9" s="4">
        <f t="shared" si="7"/>
        <v>2.9623998246932128</v>
      </c>
      <c r="AD9" s="4">
        <f t="shared" si="8"/>
        <v>0.42873466065614824</v>
      </c>
    </row>
    <row r="10" spans="1:30">
      <c r="A10" s="12">
        <v>29.85</v>
      </c>
      <c r="B10" s="12">
        <v>-99.54</v>
      </c>
      <c r="C10" s="10" t="s">
        <v>22</v>
      </c>
      <c r="D10" s="10" t="s">
        <v>25</v>
      </c>
      <c r="E10" s="12">
        <v>108</v>
      </c>
      <c r="F10" s="12">
        <v>4</v>
      </c>
      <c r="G10" s="28" t="s">
        <v>27</v>
      </c>
      <c r="H10" s="31">
        <v>19.22</v>
      </c>
      <c r="I10" s="100"/>
      <c r="J10" s="41">
        <v>159.72</v>
      </c>
      <c r="K10" s="9">
        <v>0.7324129726589248</v>
      </c>
      <c r="L10" s="9">
        <v>0.23375651019151894</v>
      </c>
      <c r="M10" s="9">
        <v>3.3830517149556302E-2</v>
      </c>
      <c r="N10" s="15">
        <v>29303</v>
      </c>
      <c r="O10" s="15">
        <v>4733</v>
      </c>
      <c r="P10" s="15">
        <v>56</v>
      </c>
      <c r="Q10" s="91"/>
      <c r="R10" s="57">
        <v>66.018721461187212</v>
      </c>
      <c r="S10" s="14">
        <f>Q9*H10/I9</f>
        <v>69592.958176809407</v>
      </c>
      <c r="T10" s="45">
        <f t="shared" si="0"/>
        <v>7.9444016183572375</v>
      </c>
      <c r="U10" s="3">
        <v>152.5</v>
      </c>
      <c r="V10" s="64">
        <v>186.6</v>
      </c>
      <c r="W10" s="5">
        <f t="shared" si="1"/>
        <v>18.351177059854741</v>
      </c>
      <c r="X10" s="5">
        <f t="shared" si="2"/>
        <v>22.454620586025538</v>
      </c>
      <c r="Y10" s="66">
        <f t="shared" si="3"/>
        <v>3526.1937139994984</v>
      </c>
      <c r="Z10" s="66">
        <f t="shared" si="4"/>
        <v>569.54833458552457</v>
      </c>
      <c r="AA10" s="66">
        <f t="shared" si="5"/>
        <v>6.7387928875532168</v>
      </c>
      <c r="AB10" s="4">
        <f t="shared" si="6"/>
        <v>5.8185828052973969</v>
      </c>
      <c r="AC10" s="4">
        <f t="shared" si="7"/>
        <v>1.8570555978670431</v>
      </c>
      <c r="AD10" s="4">
        <f t="shared" si="8"/>
        <v>0.26876321519279739</v>
      </c>
    </row>
    <row r="11" spans="1:30">
      <c r="A11" s="12">
        <v>29.19</v>
      </c>
      <c r="B11" s="12">
        <v>-98.75</v>
      </c>
      <c r="C11" s="10" t="s">
        <v>22</v>
      </c>
      <c r="D11" s="10" t="s">
        <v>19</v>
      </c>
      <c r="E11" s="12">
        <v>97</v>
      </c>
      <c r="F11" s="12">
        <v>1</v>
      </c>
      <c r="G11" s="28" t="s">
        <v>27</v>
      </c>
      <c r="H11" s="31">
        <v>109.84</v>
      </c>
      <c r="I11" s="101"/>
      <c r="J11" s="41">
        <v>159.72</v>
      </c>
      <c r="K11" s="9">
        <v>0.7324129726589248</v>
      </c>
      <c r="L11" s="9">
        <v>0.23375651019151894</v>
      </c>
      <c r="M11" s="9">
        <v>3.3830517149556302E-2</v>
      </c>
      <c r="N11" s="15">
        <v>29303</v>
      </c>
      <c r="O11" s="15">
        <v>4733</v>
      </c>
      <c r="P11" s="15">
        <v>56</v>
      </c>
      <c r="Q11" s="92"/>
      <c r="R11" s="58">
        <v>66.018721461187212</v>
      </c>
      <c r="S11" s="14">
        <f>Q9*H11/I9</f>
        <v>397715.42799899826</v>
      </c>
      <c r="T11" s="45">
        <f t="shared" si="0"/>
        <v>45.401304566095689</v>
      </c>
      <c r="U11" s="3">
        <v>152.5</v>
      </c>
      <c r="V11" s="64">
        <v>186.6</v>
      </c>
      <c r="W11" s="5">
        <f t="shared" si="1"/>
        <v>104.8747808665164</v>
      </c>
      <c r="X11" s="5">
        <f t="shared" si="2"/>
        <v>128.32546957175057</v>
      </c>
      <c r="Y11" s="66">
        <f t="shared" si="3"/>
        <v>20151.775106436264</v>
      </c>
      <c r="Z11" s="66">
        <f t="shared" si="4"/>
        <v>3254.900576008014</v>
      </c>
      <c r="AA11" s="66">
        <f t="shared" si="5"/>
        <v>38.51139494114701</v>
      </c>
      <c r="AB11" s="4">
        <f t="shared" si="6"/>
        <v>33.252504439847357</v>
      </c>
      <c r="AC11" s="4">
        <f t="shared" si="7"/>
        <v>10.612850513512802</v>
      </c>
      <c r="AD11" s="4">
        <f t="shared" si="8"/>
        <v>1.535949612735529</v>
      </c>
    </row>
    <row r="12" spans="1:30">
      <c r="A12" s="12">
        <v>30.86</v>
      </c>
      <c r="B12" s="12">
        <v>-96.88</v>
      </c>
      <c r="C12" s="10" t="s">
        <v>22</v>
      </c>
      <c r="D12" s="10" t="s">
        <v>19</v>
      </c>
      <c r="E12" s="12">
        <v>49</v>
      </c>
      <c r="F12" s="12">
        <v>1</v>
      </c>
      <c r="G12" s="28" t="s">
        <v>28</v>
      </c>
      <c r="H12" s="31">
        <v>21.74</v>
      </c>
      <c r="I12" s="31">
        <v>21.74</v>
      </c>
      <c r="J12" s="41">
        <v>21.74</v>
      </c>
      <c r="K12" s="14">
        <v>0.80767473257866862</v>
      </c>
      <c r="L12" s="14">
        <v>0.1658739225257036</v>
      </c>
      <c r="M12" s="14">
        <v>2.6451344895627792E-2</v>
      </c>
      <c r="N12" s="15">
        <v>10561</v>
      </c>
      <c r="O12" s="15">
        <v>943</v>
      </c>
      <c r="P12" s="15">
        <v>2</v>
      </c>
      <c r="Q12" s="51">
        <v>192580</v>
      </c>
      <c r="R12" s="52">
        <v>21.984018264840184</v>
      </c>
      <c r="S12" s="51">
        <v>192580</v>
      </c>
      <c r="T12" s="52">
        <v>21.984018264840184</v>
      </c>
      <c r="U12" s="3">
        <v>49.5</v>
      </c>
      <c r="V12" s="64">
        <v>52.2</v>
      </c>
      <c r="W12" s="5">
        <f t="shared" si="1"/>
        <v>49.5</v>
      </c>
      <c r="X12" s="5">
        <f t="shared" si="2"/>
        <v>52.2</v>
      </c>
      <c r="Y12" s="66">
        <f t="shared" si="3"/>
        <v>10561</v>
      </c>
      <c r="Z12" s="66">
        <f t="shared" si="4"/>
        <v>943</v>
      </c>
      <c r="AA12" s="66">
        <f t="shared" si="5"/>
        <v>2</v>
      </c>
      <c r="AB12" s="4">
        <f t="shared" si="6"/>
        <v>17.755936073059363</v>
      </c>
      <c r="AC12" s="4">
        <f t="shared" si="7"/>
        <v>3.6465753424657534</v>
      </c>
      <c r="AD12" s="4">
        <f t="shared" si="8"/>
        <v>0.58150684931506857</v>
      </c>
    </row>
    <row r="13" spans="1:30">
      <c r="A13" s="12">
        <v>32.69</v>
      </c>
      <c r="B13" s="12">
        <v>-99.46</v>
      </c>
      <c r="C13" s="10" t="s">
        <v>18</v>
      </c>
      <c r="D13" s="10" t="s">
        <v>19</v>
      </c>
      <c r="E13" s="12">
        <v>41</v>
      </c>
      <c r="F13" s="12">
        <v>7</v>
      </c>
      <c r="G13" s="28" t="s">
        <v>29</v>
      </c>
      <c r="H13" s="31">
        <v>6.17</v>
      </c>
      <c r="I13" s="99">
        <f>SUM(H13:H21)</f>
        <v>470.20000000000005</v>
      </c>
      <c r="J13" s="41">
        <v>470.20000000000005</v>
      </c>
      <c r="K13" s="14">
        <v>0.32182627587060536</v>
      </c>
      <c r="L13" s="14">
        <v>0.59969012894221285</v>
      </c>
      <c r="M13" s="14">
        <v>7.8483595187181759E-2</v>
      </c>
      <c r="N13" s="15">
        <v>8582</v>
      </c>
      <c r="O13" s="15">
        <v>3527</v>
      </c>
      <c r="P13" s="15">
        <v>701</v>
      </c>
      <c r="Q13" s="90">
        <v>234291</v>
      </c>
      <c r="R13" s="51">
        <f>Q13/365/24</f>
        <v>26.745547945205477</v>
      </c>
      <c r="S13" s="14">
        <f>Q13*H13/I13</f>
        <v>3074.3842407486172</v>
      </c>
      <c r="T13" s="45">
        <f t="shared" si="0"/>
        <v>0.35095710510828965</v>
      </c>
      <c r="U13" s="3">
        <v>63</v>
      </c>
      <c r="V13" s="64">
        <v>57</v>
      </c>
      <c r="W13" s="5">
        <f t="shared" si="1"/>
        <v>0.82669076988515522</v>
      </c>
      <c r="X13" s="5">
        <f t="shared" si="2"/>
        <v>0.74795831561037851</v>
      </c>
      <c r="Y13" s="66">
        <f t="shared" si="3"/>
        <v>112.61365376435559</v>
      </c>
      <c r="Z13" s="66">
        <f t="shared" si="4"/>
        <v>46.281561037856228</v>
      </c>
      <c r="AA13" s="66">
        <f t="shared" si="5"/>
        <v>9.1985750744364108</v>
      </c>
      <c r="AB13" s="4">
        <f t="shared" si="6"/>
        <v>0.11294721812732947</v>
      </c>
      <c r="AC13" s="4">
        <f t="shared" si="7"/>
        <v>0.21046551161557597</v>
      </c>
      <c r="AD13" s="4">
        <f t="shared" si="8"/>
        <v>2.7544375365384205E-2</v>
      </c>
    </row>
    <row r="14" spans="1:30">
      <c r="A14" s="12">
        <v>32.799999999999997</v>
      </c>
      <c r="B14" s="12">
        <v>-99.92</v>
      </c>
      <c r="C14" s="10" t="s">
        <v>18</v>
      </c>
      <c r="D14" s="10" t="s">
        <v>19</v>
      </c>
      <c r="E14" s="12">
        <v>156</v>
      </c>
      <c r="F14" s="12">
        <v>7</v>
      </c>
      <c r="G14" s="28" t="s">
        <v>29</v>
      </c>
      <c r="H14" s="31">
        <v>30.17</v>
      </c>
      <c r="I14" s="100"/>
      <c r="J14" s="41">
        <v>470.20000000000005</v>
      </c>
      <c r="K14" s="14">
        <v>0.32182627587060536</v>
      </c>
      <c r="L14" s="14">
        <v>0.59969012894221285</v>
      </c>
      <c r="M14" s="14">
        <v>7.8483595187181759E-2</v>
      </c>
      <c r="N14" s="15">
        <v>8582</v>
      </c>
      <c r="O14" s="15">
        <v>3527</v>
      </c>
      <c r="P14" s="15">
        <v>701</v>
      </c>
      <c r="Q14" s="91"/>
      <c r="R14" s="53">
        <v>26.745547945205477</v>
      </c>
      <c r="S14" s="14">
        <f>Q13*H14/I13</f>
        <v>15033.091173968523</v>
      </c>
      <c r="T14" s="45">
        <f t="shared" si="0"/>
        <v>1.7161062983982331</v>
      </c>
      <c r="U14" s="3">
        <v>63</v>
      </c>
      <c r="V14" s="64">
        <v>57</v>
      </c>
      <c r="W14" s="5">
        <f t="shared" si="1"/>
        <v>4.0423436835389195</v>
      </c>
      <c r="X14" s="5">
        <f t="shared" si="2"/>
        <v>3.6573585708209273</v>
      </c>
      <c r="Y14" s="66">
        <f t="shared" si="3"/>
        <v>550.65703955763502</v>
      </c>
      <c r="Z14" s="66">
        <f t="shared" si="4"/>
        <v>226.30708209272652</v>
      </c>
      <c r="AA14" s="66">
        <f t="shared" si="5"/>
        <v>44.979094002552102</v>
      </c>
      <c r="AB14" s="4">
        <f t="shared" si="6"/>
        <v>0.55228809901159315</v>
      </c>
      <c r="AC14" s="4">
        <f t="shared" si="7"/>
        <v>1.0291320073649801</v>
      </c>
      <c r="AD14" s="4">
        <f t="shared" si="8"/>
        <v>0.13468619202165988</v>
      </c>
    </row>
    <row r="15" spans="1:30">
      <c r="A15" s="12">
        <v>33.18</v>
      </c>
      <c r="B15" s="12">
        <v>-100.25</v>
      </c>
      <c r="C15" s="10" t="s">
        <v>18</v>
      </c>
      <c r="D15" s="10" t="s">
        <v>19</v>
      </c>
      <c r="E15" s="12">
        <v>157</v>
      </c>
      <c r="F15" s="12">
        <v>7</v>
      </c>
      <c r="G15" s="28" t="s">
        <v>29</v>
      </c>
      <c r="H15" s="31">
        <v>2.5099999999999998</v>
      </c>
      <c r="I15" s="100"/>
      <c r="J15" s="41">
        <v>470.20000000000005</v>
      </c>
      <c r="K15" s="14">
        <v>0.32182627587060536</v>
      </c>
      <c r="L15" s="14">
        <v>0.59969012894221285</v>
      </c>
      <c r="M15" s="14">
        <v>7.8483595187181759E-2</v>
      </c>
      <c r="N15" s="15">
        <v>8582</v>
      </c>
      <c r="O15" s="15">
        <v>3527</v>
      </c>
      <c r="P15" s="15">
        <v>701</v>
      </c>
      <c r="Q15" s="91"/>
      <c r="R15" s="53">
        <v>26.745547945205477</v>
      </c>
      <c r="S15" s="14">
        <f>Q13*H15/I13</f>
        <v>1250.6814334325816</v>
      </c>
      <c r="T15" s="45">
        <f t="shared" si="0"/>
        <v>0.14277185313157323</v>
      </c>
      <c r="U15" s="3">
        <v>63</v>
      </c>
      <c r="V15" s="64">
        <v>57</v>
      </c>
      <c r="W15" s="5">
        <f t="shared" si="1"/>
        <v>0.33630370055295611</v>
      </c>
      <c r="X15" s="5">
        <f t="shared" si="2"/>
        <v>0.3042747766907698</v>
      </c>
      <c r="Y15" s="66">
        <f t="shared" si="3"/>
        <v>45.812037430880473</v>
      </c>
      <c r="Z15" s="66">
        <f t="shared" si="4"/>
        <v>18.82766907698851</v>
      </c>
      <c r="AA15" s="66">
        <f t="shared" si="5"/>
        <v>3.7420459378987658</v>
      </c>
      <c r="AB15" s="4">
        <f t="shared" si="6"/>
        <v>4.594773379247924E-2</v>
      </c>
      <c r="AC15" s="4">
        <f t="shared" si="7"/>
        <v>8.5618871013791828E-2</v>
      </c>
      <c r="AD15" s="4">
        <f t="shared" si="8"/>
        <v>1.1205248325302161E-2</v>
      </c>
    </row>
    <row r="16" spans="1:30">
      <c r="A16" s="12">
        <v>33.04</v>
      </c>
      <c r="B16" s="12">
        <v>-99.56</v>
      </c>
      <c r="C16" s="10" t="s">
        <v>18</v>
      </c>
      <c r="D16" s="10" t="s">
        <v>19</v>
      </c>
      <c r="E16" s="12">
        <v>158</v>
      </c>
      <c r="F16" s="12">
        <v>7</v>
      </c>
      <c r="G16" s="28" t="s">
        <v>29</v>
      </c>
      <c r="H16" s="31">
        <v>8.9600000000000009</v>
      </c>
      <c r="I16" s="100"/>
      <c r="J16" s="41">
        <v>470.20000000000005</v>
      </c>
      <c r="K16" s="14">
        <v>0.32182627587060536</v>
      </c>
      <c r="L16" s="14">
        <v>0.59969012894221285</v>
      </c>
      <c r="M16" s="14">
        <v>7.8483595187181759E-2</v>
      </c>
      <c r="N16" s="15">
        <v>8582</v>
      </c>
      <c r="O16" s="15">
        <v>3527</v>
      </c>
      <c r="P16" s="15">
        <v>701</v>
      </c>
      <c r="Q16" s="91"/>
      <c r="R16" s="53">
        <v>26.745547945205477</v>
      </c>
      <c r="S16" s="14">
        <f>Q13*H16/I13</f>
        <v>4464.5839217354323</v>
      </c>
      <c r="T16" s="45">
        <f t="shared" si="0"/>
        <v>0.50965569882824568</v>
      </c>
      <c r="U16" s="3">
        <v>63</v>
      </c>
      <c r="V16" s="64">
        <v>57</v>
      </c>
      <c r="W16" s="5">
        <f t="shared" si="1"/>
        <v>1.2005104210974056</v>
      </c>
      <c r="X16" s="5">
        <f t="shared" si="2"/>
        <v>1.086176095278605</v>
      </c>
      <c r="Y16" s="66">
        <f t="shared" si="3"/>
        <v>163.53619736282437</v>
      </c>
      <c r="Z16" s="66">
        <f t="shared" si="4"/>
        <v>67.209527860484911</v>
      </c>
      <c r="AA16" s="66">
        <f t="shared" si="5"/>
        <v>13.358060399829863</v>
      </c>
      <c r="AB16" s="4">
        <f t="shared" si="6"/>
        <v>0.16402059553012516</v>
      </c>
      <c r="AC16" s="4">
        <f t="shared" si="7"/>
        <v>0.30563549174644428</v>
      </c>
      <c r="AD16" s="4">
        <f t="shared" si="8"/>
        <v>3.9999611551676258E-2</v>
      </c>
    </row>
    <row r="17" spans="1:30">
      <c r="A17" s="12">
        <v>32.28</v>
      </c>
      <c r="B17" s="12">
        <v>-100.11</v>
      </c>
      <c r="C17" s="10" t="s">
        <v>18</v>
      </c>
      <c r="D17" s="10" t="s">
        <v>19</v>
      </c>
      <c r="E17" s="12">
        <v>159</v>
      </c>
      <c r="F17" s="12">
        <v>7</v>
      </c>
      <c r="G17" s="28" t="s">
        <v>29</v>
      </c>
      <c r="H17" s="31">
        <v>16.16</v>
      </c>
      <c r="I17" s="100"/>
      <c r="J17" s="41">
        <v>470.20000000000005</v>
      </c>
      <c r="K17" s="14">
        <v>0.32182627587060536</v>
      </c>
      <c r="L17" s="14">
        <v>0.59969012894221285</v>
      </c>
      <c r="M17" s="14">
        <v>7.8483595187181759E-2</v>
      </c>
      <c r="N17" s="15">
        <v>8582</v>
      </c>
      <c r="O17" s="15">
        <v>3527</v>
      </c>
      <c r="P17" s="15">
        <v>701</v>
      </c>
      <c r="Q17" s="91"/>
      <c r="R17" s="53">
        <v>26.745547945205477</v>
      </c>
      <c r="S17" s="14">
        <f>Q13*H17/I13</f>
        <v>8052.1960017014026</v>
      </c>
      <c r="T17" s="45">
        <f t="shared" si="0"/>
        <v>0.91920045681522866</v>
      </c>
      <c r="U17" s="3">
        <v>63</v>
      </c>
      <c r="V17" s="64">
        <v>57</v>
      </c>
      <c r="W17" s="5">
        <f t="shared" si="1"/>
        <v>2.1652062951935349</v>
      </c>
      <c r="X17" s="5">
        <f t="shared" si="2"/>
        <v>1.9589961718417694</v>
      </c>
      <c r="Y17" s="66">
        <f t="shared" si="3"/>
        <v>294.94921310080815</v>
      </c>
      <c r="Z17" s="66">
        <f t="shared" si="4"/>
        <v>121.21718417694598</v>
      </c>
      <c r="AA17" s="66">
        <f t="shared" si="5"/>
        <v>24.09221607826457</v>
      </c>
      <c r="AB17" s="4">
        <f t="shared" si="6"/>
        <v>0.29582285979540424</v>
      </c>
      <c r="AC17" s="4">
        <f t="shared" si="7"/>
        <v>0.55123544047126538</v>
      </c>
      <c r="AD17" s="4">
        <f t="shared" si="8"/>
        <v>7.2142156548558961E-2</v>
      </c>
    </row>
    <row r="18" spans="1:30">
      <c r="A18" s="12">
        <v>32.44</v>
      </c>
      <c r="B18" s="12">
        <v>-99.72</v>
      </c>
      <c r="C18" s="10" t="s">
        <v>18</v>
      </c>
      <c r="D18" s="70" t="s">
        <v>19</v>
      </c>
      <c r="E18" s="71">
        <v>160</v>
      </c>
      <c r="F18" s="71">
        <v>7</v>
      </c>
      <c r="G18" s="72" t="s">
        <v>29</v>
      </c>
      <c r="H18" s="73">
        <v>334.72</v>
      </c>
      <c r="I18" s="100"/>
      <c r="J18" s="41">
        <v>470.20000000000005</v>
      </c>
      <c r="K18" s="14">
        <v>0.32182627587060536</v>
      </c>
      <c r="L18" s="14">
        <v>0.59969012894221285</v>
      </c>
      <c r="M18" s="14">
        <v>7.8483595187181759E-2</v>
      </c>
      <c r="N18" s="15">
        <v>8582</v>
      </c>
      <c r="O18" s="15">
        <v>3527</v>
      </c>
      <c r="P18" s="15">
        <v>701</v>
      </c>
      <c r="Q18" s="91"/>
      <c r="R18" s="53">
        <v>26.745547945205477</v>
      </c>
      <c r="S18" s="14">
        <f>Q13*H18/I13</f>
        <v>166784.09936197364</v>
      </c>
      <c r="T18" s="45">
        <f t="shared" si="0"/>
        <v>19.039280749083748</v>
      </c>
      <c r="U18" s="3">
        <v>63</v>
      </c>
      <c r="V18" s="64">
        <v>57</v>
      </c>
      <c r="W18" s="5">
        <f t="shared" si="1"/>
        <v>44.847639302424511</v>
      </c>
      <c r="X18" s="5">
        <f t="shared" si="2"/>
        <v>40.57643555933646</v>
      </c>
      <c r="Y18" s="66">
        <f t="shared" si="3"/>
        <v>6109.2450871969377</v>
      </c>
      <c r="Z18" s="66">
        <f t="shared" si="4"/>
        <v>2510.7559336452578</v>
      </c>
      <c r="AA18" s="66">
        <f t="shared" si="5"/>
        <v>499.01897065078697</v>
      </c>
      <c r="AB18" s="4">
        <f t="shared" si="6"/>
        <v>6.1273408187325318</v>
      </c>
      <c r="AC18" s="4">
        <f t="shared" si="7"/>
        <v>11.417668727385024</v>
      </c>
      <c r="AD18" s="4">
        <f t="shared" si="8"/>
        <v>1.4942712029661915</v>
      </c>
    </row>
    <row r="19" spans="1:30">
      <c r="A19" s="12">
        <v>33.22</v>
      </c>
      <c r="B19" s="12">
        <v>-100.86</v>
      </c>
      <c r="C19" s="10" t="s">
        <v>18</v>
      </c>
      <c r="D19" s="10" t="s">
        <v>19</v>
      </c>
      <c r="E19" s="12">
        <v>162</v>
      </c>
      <c r="F19" s="12">
        <v>7</v>
      </c>
      <c r="G19" s="28" t="s">
        <v>29</v>
      </c>
      <c r="H19" s="31">
        <v>1.38</v>
      </c>
      <c r="I19" s="100"/>
      <c r="J19" s="41">
        <v>470.20000000000005</v>
      </c>
      <c r="K19" s="14">
        <v>0.32182627587060536</v>
      </c>
      <c r="L19" s="14">
        <v>0.59969012894221285</v>
      </c>
      <c r="M19" s="14">
        <v>7.8483595187181759E-2</v>
      </c>
      <c r="N19" s="15">
        <v>8582</v>
      </c>
      <c r="O19" s="15">
        <v>3527</v>
      </c>
      <c r="P19" s="15">
        <v>701</v>
      </c>
      <c r="Q19" s="91"/>
      <c r="R19" s="53">
        <v>26.745547945205477</v>
      </c>
      <c r="S19" s="14">
        <f>Q13*H19/I13</f>
        <v>687.62564866014452</v>
      </c>
      <c r="T19" s="45">
        <f t="shared" si="0"/>
        <v>7.8496078614171752E-2</v>
      </c>
      <c r="U19" s="3">
        <v>63</v>
      </c>
      <c r="V19" s="64">
        <v>57</v>
      </c>
      <c r="W19" s="5">
        <f t="shared" si="1"/>
        <v>0.18490004253509146</v>
      </c>
      <c r="X19" s="5">
        <f t="shared" si="2"/>
        <v>0.16729051467460654</v>
      </c>
      <c r="Y19" s="66">
        <f t="shared" si="3"/>
        <v>25.18749468311357</v>
      </c>
      <c r="Z19" s="66">
        <f t="shared" si="4"/>
        <v>10.351467460655041</v>
      </c>
      <c r="AA19" s="66">
        <f t="shared" si="5"/>
        <v>2.0573798383666526</v>
      </c>
      <c r="AB19" s="4">
        <f t="shared" si="6"/>
        <v>2.5262100650845165E-2</v>
      </c>
      <c r="AC19" s="4">
        <f t="shared" si="7"/>
        <v>4.7073323505590736E-2</v>
      </c>
      <c r="AD19" s="4">
        <f t="shared" si="8"/>
        <v>6.1606544577358507E-3</v>
      </c>
    </row>
    <row r="20" spans="1:30">
      <c r="A20" s="12">
        <v>32.94</v>
      </c>
      <c r="B20" s="12">
        <v>-100.51</v>
      </c>
      <c r="C20" s="10" t="s">
        <v>18</v>
      </c>
      <c r="D20" s="10" t="s">
        <v>19</v>
      </c>
      <c r="E20" s="12">
        <v>164</v>
      </c>
      <c r="F20" s="12">
        <v>7</v>
      </c>
      <c r="G20" s="28" t="s">
        <v>29</v>
      </c>
      <c r="H20" s="31">
        <v>7.56</v>
      </c>
      <c r="I20" s="100"/>
      <c r="J20" s="41">
        <v>470.20000000000005</v>
      </c>
      <c r="K20" s="14">
        <v>0.32182627587060536</v>
      </c>
      <c r="L20" s="14">
        <v>0.59969012894221285</v>
      </c>
      <c r="M20" s="14">
        <v>7.8483595187181759E-2</v>
      </c>
      <c r="N20" s="15">
        <v>8582</v>
      </c>
      <c r="O20" s="15">
        <v>3527</v>
      </c>
      <c r="P20" s="15">
        <v>701</v>
      </c>
      <c r="Q20" s="91"/>
      <c r="R20" s="53">
        <v>26.745547945205477</v>
      </c>
      <c r="S20" s="14">
        <f>Q13*H20/I13</f>
        <v>3766.9926839642699</v>
      </c>
      <c r="T20" s="45">
        <f t="shared" si="0"/>
        <v>0.43002199588633222</v>
      </c>
      <c r="U20" s="3">
        <v>63</v>
      </c>
      <c r="V20" s="64">
        <v>57</v>
      </c>
      <c r="W20" s="5">
        <f t="shared" si="1"/>
        <v>1.0129306678009358</v>
      </c>
      <c r="X20" s="5">
        <f t="shared" si="2"/>
        <v>0.9164610803913229</v>
      </c>
      <c r="Y20" s="66">
        <f t="shared" si="3"/>
        <v>137.98366652488303</v>
      </c>
      <c r="Z20" s="66">
        <f t="shared" si="4"/>
        <v>56.708039132284135</v>
      </c>
      <c r="AA20" s="66">
        <f t="shared" si="5"/>
        <v>11.270863462356443</v>
      </c>
      <c r="AB20" s="4">
        <f t="shared" si="6"/>
        <v>0.13839237747854308</v>
      </c>
      <c r="AC20" s="4">
        <f t="shared" si="7"/>
        <v>0.2578799461610623</v>
      </c>
      <c r="AD20" s="4">
        <f t="shared" si="8"/>
        <v>3.3749672246726835E-2</v>
      </c>
    </row>
    <row r="21" spans="1:30">
      <c r="A21" s="12">
        <v>32.4</v>
      </c>
      <c r="B21" s="12">
        <v>-100.67</v>
      </c>
      <c r="C21" s="10" t="s">
        <v>18</v>
      </c>
      <c r="D21" s="10" t="s">
        <v>19</v>
      </c>
      <c r="E21" s="12">
        <v>161</v>
      </c>
      <c r="F21" s="12">
        <v>7</v>
      </c>
      <c r="G21" s="28" t="s">
        <v>29</v>
      </c>
      <c r="H21" s="31">
        <v>62.57</v>
      </c>
      <c r="I21" s="101"/>
      <c r="J21" s="41">
        <v>470.20000000000005</v>
      </c>
      <c r="K21" s="14">
        <v>0.32182627587060536</v>
      </c>
      <c r="L21" s="14">
        <v>0.59969012894221285</v>
      </c>
      <c r="M21" s="14">
        <v>7.8483595187181759E-2</v>
      </c>
      <c r="N21" s="15">
        <v>8582</v>
      </c>
      <c r="O21" s="15">
        <v>3527</v>
      </c>
      <c r="P21" s="15">
        <v>701</v>
      </c>
      <c r="Q21" s="92"/>
      <c r="R21" s="52">
        <v>26.745547945205477</v>
      </c>
      <c r="S21" s="14">
        <f>Q13*H21/I13</f>
        <v>31177.345533815394</v>
      </c>
      <c r="T21" s="45">
        <f t="shared" si="0"/>
        <v>3.5590577093396569</v>
      </c>
      <c r="U21" s="3">
        <v>63</v>
      </c>
      <c r="V21" s="64">
        <v>57</v>
      </c>
      <c r="W21" s="5">
        <f t="shared" si="1"/>
        <v>8.3834751169715016</v>
      </c>
      <c r="X21" s="5">
        <f t="shared" si="2"/>
        <v>7.5850489153551681</v>
      </c>
      <c r="Y21" s="66">
        <f t="shared" si="3"/>
        <v>1142.0156103785623</v>
      </c>
      <c r="Z21" s="66">
        <f t="shared" si="4"/>
        <v>469.34153551680134</v>
      </c>
      <c r="AA21" s="66">
        <f t="shared" si="5"/>
        <v>93.282794555508303</v>
      </c>
      <c r="AB21" s="4">
        <f t="shared" si="6"/>
        <v>1.1453982882053493</v>
      </c>
      <c r="AC21" s="4">
        <f t="shared" si="7"/>
        <v>2.1343317766266754</v>
      </c>
      <c r="AD21" s="4">
        <f t="shared" si="8"/>
        <v>0.27932764450763203</v>
      </c>
    </row>
    <row r="22" spans="1:30">
      <c r="A22" s="12">
        <v>29.93</v>
      </c>
      <c r="B22" s="12">
        <v>-96.78</v>
      </c>
      <c r="C22" s="10" t="s">
        <v>22</v>
      </c>
      <c r="D22" s="10" t="s">
        <v>25</v>
      </c>
      <c r="E22" s="12">
        <v>142</v>
      </c>
      <c r="F22" s="12">
        <v>4</v>
      </c>
      <c r="G22" s="28" t="s">
        <v>30</v>
      </c>
      <c r="H22" s="31">
        <v>70.94</v>
      </c>
      <c r="I22" s="97">
        <f>SUM(H22:H23)</f>
        <v>118.77</v>
      </c>
      <c r="J22" s="42">
        <v>118.77</v>
      </c>
      <c r="K22" s="14">
        <v>0.56795408934595426</v>
      </c>
      <c r="L22" s="14">
        <v>0.2736304235310002</v>
      </c>
      <c r="M22" s="14">
        <v>0.15841548712304554</v>
      </c>
      <c r="N22" s="19">
        <v>77646</v>
      </c>
      <c r="O22" s="19">
        <v>10680</v>
      </c>
      <c r="P22" s="19">
        <v>2153</v>
      </c>
      <c r="Q22" s="90">
        <v>1955276</v>
      </c>
      <c r="R22" s="51">
        <f>Q22/8760</f>
        <v>223.20502283105023</v>
      </c>
      <c r="S22" s="14">
        <f>Q22*H22/I22</f>
        <v>1167864.6075608318</v>
      </c>
      <c r="T22" s="45">
        <f t="shared" si="0"/>
        <v>133.31787757543742</v>
      </c>
      <c r="U22" s="3">
        <v>63</v>
      </c>
      <c r="V22" s="64">
        <v>57</v>
      </c>
      <c r="W22" s="5">
        <f t="shared" si="1"/>
        <v>37.629199292750698</v>
      </c>
      <c r="X22" s="5">
        <f t="shared" si="2"/>
        <v>34.045466026774434</v>
      </c>
      <c r="Y22" s="66">
        <f t="shared" si="3"/>
        <v>46377.092194998731</v>
      </c>
      <c r="Z22" s="66">
        <f t="shared" si="4"/>
        <v>6379.0452134377365</v>
      </c>
      <c r="AA22" s="66">
        <f t="shared" si="5"/>
        <v>1285.9629536078135</v>
      </c>
      <c r="AB22" s="4">
        <f t="shared" si="6"/>
        <v>75.718433751892974</v>
      </c>
      <c r="AC22" s="4">
        <f t="shared" si="7"/>
        <v>36.479827305220972</v>
      </c>
      <c r="AD22" s="4">
        <f t="shared" si="8"/>
        <v>21.119616518323468</v>
      </c>
    </row>
    <row r="23" spans="1:30">
      <c r="A23" s="12">
        <v>29.53</v>
      </c>
      <c r="B23" s="12">
        <v>-97.33</v>
      </c>
      <c r="C23" s="10" t="s">
        <v>22</v>
      </c>
      <c r="D23" s="10" t="s">
        <v>25</v>
      </c>
      <c r="E23" s="12">
        <v>94</v>
      </c>
      <c r="F23" s="12">
        <v>4</v>
      </c>
      <c r="G23" s="28" t="s">
        <v>30</v>
      </c>
      <c r="H23" s="31">
        <v>47.83</v>
      </c>
      <c r="I23" s="98"/>
      <c r="J23" s="42">
        <v>118.77</v>
      </c>
      <c r="K23" s="14">
        <v>0.56795408934595426</v>
      </c>
      <c r="L23" s="14">
        <v>0.2736304235310002</v>
      </c>
      <c r="M23" s="14">
        <v>0.15841548712304554</v>
      </c>
      <c r="N23" s="19">
        <v>77646</v>
      </c>
      <c r="O23" s="19">
        <v>10680</v>
      </c>
      <c r="P23" s="19">
        <v>2153</v>
      </c>
      <c r="Q23" s="92"/>
      <c r="R23" s="52">
        <v>223.20502283105023</v>
      </c>
      <c r="S23" s="14">
        <f>Q22*H23/I22</f>
        <v>787411.39243916818</v>
      </c>
      <c r="T23" s="45">
        <f t="shared" si="0"/>
        <v>89.887145255612793</v>
      </c>
      <c r="U23" s="3">
        <v>63</v>
      </c>
      <c r="V23" s="64">
        <v>57</v>
      </c>
      <c r="W23" s="5">
        <f t="shared" si="1"/>
        <v>25.370800707249302</v>
      </c>
      <c r="X23" s="5">
        <f t="shared" si="2"/>
        <v>22.954533973225558</v>
      </c>
      <c r="Y23" s="66">
        <f t="shared" si="3"/>
        <v>31268.907805001261</v>
      </c>
      <c r="Z23" s="66">
        <f t="shared" si="4"/>
        <v>4300.9547865622626</v>
      </c>
      <c r="AA23" s="66">
        <f t="shared" si="5"/>
        <v>867.03704639218643</v>
      </c>
      <c r="AB23" s="4">
        <f t="shared" si="6"/>
        <v>51.051771727559078</v>
      </c>
      <c r="AC23" s="4">
        <f t="shared" si="7"/>
        <v>24.595857626285863</v>
      </c>
      <c r="AD23" s="4">
        <f t="shared" si="8"/>
        <v>14.239515901767852</v>
      </c>
    </row>
    <row r="24" spans="1:30">
      <c r="A24" s="12">
        <v>26.03</v>
      </c>
      <c r="B24" s="12">
        <v>-97.47</v>
      </c>
      <c r="C24" s="10" t="s">
        <v>22</v>
      </c>
      <c r="D24" s="10" t="s">
        <v>25</v>
      </c>
      <c r="E24" s="12">
        <v>196</v>
      </c>
      <c r="F24" s="12">
        <v>4</v>
      </c>
      <c r="G24" s="28" t="s">
        <v>31</v>
      </c>
      <c r="H24" s="31">
        <v>551.5</v>
      </c>
      <c r="I24" s="33">
        <v>551.5</v>
      </c>
      <c r="J24" s="33">
        <v>551.5</v>
      </c>
      <c r="K24" s="9">
        <v>0.45389834708852228</v>
      </c>
      <c r="L24" s="9">
        <v>0.1084830198328857</v>
      </c>
      <c r="M24" s="9">
        <v>0.437618633078592</v>
      </c>
      <c r="N24" s="19">
        <v>42836</v>
      </c>
      <c r="O24" s="19">
        <v>4721</v>
      </c>
      <c r="P24" s="19">
        <v>675</v>
      </c>
      <c r="Q24" s="38">
        <v>1267037</v>
      </c>
      <c r="R24" s="38">
        <f>Q24/8760</f>
        <v>144.63892694063927</v>
      </c>
      <c r="S24" s="43">
        <v>1267037</v>
      </c>
      <c r="T24" s="45">
        <f t="shared" si="0"/>
        <v>144.63892694063927</v>
      </c>
      <c r="U24" s="3">
        <v>291</v>
      </c>
      <c r="V24" s="64">
        <v>225</v>
      </c>
      <c r="W24" s="5">
        <f t="shared" si="1"/>
        <v>291</v>
      </c>
      <c r="X24" s="5">
        <f t="shared" si="2"/>
        <v>225</v>
      </c>
      <c r="Y24" s="66">
        <f t="shared" si="3"/>
        <v>42836</v>
      </c>
      <c r="Z24" s="66">
        <f t="shared" si="4"/>
        <v>4721</v>
      </c>
      <c r="AA24" s="66">
        <f t="shared" si="5"/>
        <v>675</v>
      </c>
      <c r="AB24" s="4">
        <f t="shared" si="6"/>
        <v>65.651369863013699</v>
      </c>
      <c r="AC24" s="4">
        <f t="shared" si="7"/>
        <v>15.690867579908677</v>
      </c>
      <c r="AD24" s="4">
        <f t="shared" si="8"/>
        <v>63.296689497716891</v>
      </c>
    </row>
    <row r="25" spans="1:30">
      <c r="A25" s="12">
        <v>29.81</v>
      </c>
      <c r="B25" s="12">
        <v>-95.51</v>
      </c>
      <c r="C25" s="10" t="s">
        <v>22</v>
      </c>
      <c r="D25" s="10" t="s">
        <v>23</v>
      </c>
      <c r="E25" s="12">
        <v>75</v>
      </c>
      <c r="F25" s="12">
        <v>6</v>
      </c>
      <c r="G25" s="28" t="s">
        <v>32</v>
      </c>
      <c r="H25" s="31">
        <v>8105.63</v>
      </c>
      <c r="I25" s="87">
        <f>SUM(H25:H34)</f>
        <v>13769.619999999999</v>
      </c>
      <c r="J25" s="41">
        <v>13769.62</v>
      </c>
      <c r="K25" s="14">
        <v>0.34287104961234921</v>
      </c>
      <c r="L25" s="14">
        <v>0.32856447519382542</v>
      </c>
      <c r="M25" s="14">
        <v>0.32856447519382542</v>
      </c>
      <c r="N25" s="22">
        <v>2129773</v>
      </c>
      <c r="O25" s="22">
        <v>136783</v>
      </c>
      <c r="P25" s="22">
        <v>136784</v>
      </c>
      <c r="Q25" s="102">
        <v>86829000</v>
      </c>
      <c r="R25" s="59">
        <f>86829000/365/24</f>
        <v>9911.9863013698632</v>
      </c>
      <c r="S25" s="46">
        <f>Q25*H25/I25</f>
        <v>51112793.764098071</v>
      </c>
      <c r="T25" s="45">
        <f t="shared" ref="T25:T88" si="9">S25/365/24</f>
        <v>5834.7938086869945</v>
      </c>
      <c r="U25" s="6">
        <v>19958.540580015244</v>
      </c>
      <c r="V25" s="63">
        <v>15656.410496865397</v>
      </c>
      <c r="W25" s="5">
        <f t="shared" si="1"/>
        <v>11748.80245653758</v>
      </c>
      <c r="X25" s="5">
        <f t="shared" si="2"/>
        <v>9216.3088462649721</v>
      </c>
      <c r="Y25" s="66">
        <f t="shared" si="3"/>
        <v>1253713.0234523539</v>
      </c>
      <c r="Z25" s="66">
        <f t="shared" si="4"/>
        <v>80518.735323850618</v>
      </c>
      <c r="AA25" s="66">
        <f t="shared" si="5"/>
        <v>80519.323984249393</v>
      </c>
      <c r="AB25" s="4">
        <f t="shared" si="6"/>
        <v>2000.5818774561465</v>
      </c>
      <c r="AC25" s="4">
        <f t="shared" si="7"/>
        <v>1917.1059656154241</v>
      </c>
      <c r="AD25" s="4">
        <f t="shared" si="8"/>
        <v>1917.1059656154241</v>
      </c>
    </row>
    <row r="26" spans="1:30">
      <c r="A26" s="12">
        <v>29.75</v>
      </c>
      <c r="B26" s="12">
        <v>-95.08</v>
      </c>
      <c r="C26" s="10" t="s">
        <v>22</v>
      </c>
      <c r="D26" s="10" t="s">
        <v>23</v>
      </c>
      <c r="E26" s="12">
        <v>76</v>
      </c>
      <c r="F26" s="12">
        <v>6</v>
      </c>
      <c r="G26" s="28" t="s">
        <v>32</v>
      </c>
      <c r="H26" s="31">
        <v>1553.1</v>
      </c>
      <c r="I26" s="88"/>
      <c r="J26" s="41">
        <v>13769.62</v>
      </c>
      <c r="K26" s="14">
        <v>0.34287104961234921</v>
      </c>
      <c r="L26" s="14">
        <v>0.32856447519382542</v>
      </c>
      <c r="M26" s="14">
        <v>0.32856447519382542</v>
      </c>
      <c r="N26" s="22">
        <v>2129773</v>
      </c>
      <c r="O26" s="22">
        <v>136783</v>
      </c>
      <c r="P26" s="22">
        <v>136784</v>
      </c>
      <c r="Q26" s="103"/>
      <c r="R26" s="60">
        <v>9911.9863013698632</v>
      </c>
      <c r="S26" s="46">
        <f>Q25*H26/I25</f>
        <v>9793597.7826548591</v>
      </c>
      <c r="T26" s="45">
        <f t="shared" si="9"/>
        <v>1117.9906144583172</v>
      </c>
      <c r="U26" s="6">
        <v>19958.540580015244</v>
      </c>
      <c r="V26" s="63">
        <v>15656.410496865397</v>
      </c>
      <c r="W26" s="5">
        <f t="shared" si="1"/>
        <v>2251.1593910958813</v>
      </c>
      <c r="X26" s="5">
        <f t="shared" si="2"/>
        <v>1765.9144655176867</v>
      </c>
      <c r="Y26" s="66">
        <f t="shared" si="3"/>
        <v>240220.89544228523</v>
      </c>
      <c r="Z26" s="66">
        <f t="shared" si="4"/>
        <v>15427.998543169671</v>
      </c>
      <c r="AA26" s="66">
        <f t="shared" si="5"/>
        <v>15428.111334953324</v>
      </c>
      <c r="AB26" s="4">
        <f t="shared" si="6"/>
        <v>383.32661543607844</v>
      </c>
      <c r="AC26" s="4">
        <f t="shared" si="7"/>
        <v>367.33199951111942</v>
      </c>
      <c r="AD26" s="4">
        <f t="shared" si="8"/>
        <v>367.33199951111942</v>
      </c>
    </row>
    <row r="27" spans="1:30">
      <c r="A27" s="12">
        <v>30.08</v>
      </c>
      <c r="B27" s="12">
        <v>-95.31</v>
      </c>
      <c r="C27" s="10" t="s">
        <v>22</v>
      </c>
      <c r="D27" s="10" t="s">
        <v>23</v>
      </c>
      <c r="E27" s="12">
        <v>77</v>
      </c>
      <c r="F27" s="12">
        <v>6</v>
      </c>
      <c r="G27" s="28" t="s">
        <v>32</v>
      </c>
      <c r="H27" s="31">
        <v>1402.71</v>
      </c>
      <c r="I27" s="88"/>
      <c r="J27" s="41">
        <v>13769.62</v>
      </c>
      <c r="K27" s="14">
        <v>0.34287104961234921</v>
      </c>
      <c r="L27" s="14">
        <v>0.32856447519382542</v>
      </c>
      <c r="M27" s="14">
        <v>0.32856447519382542</v>
      </c>
      <c r="N27" s="22">
        <v>2129773</v>
      </c>
      <c r="O27" s="22">
        <v>136783</v>
      </c>
      <c r="P27" s="22">
        <v>136784</v>
      </c>
      <c r="Q27" s="103"/>
      <c r="R27" s="60">
        <v>9911.9863013698632</v>
      </c>
      <c r="S27" s="46">
        <f>Q25*H27/I25</f>
        <v>8845262.7298356816</v>
      </c>
      <c r="T27" s="45">
        <f t="shared" si="9"/>
        <v>1009.7331883374067</v>
      </c>
      <c r="U27" s="6">
        <v>19958.540580015244</v>
      </c>
      <c r="V27" s="63">
        <v>15656.410496865397</v>
      </c>
      <c r="W27" s="5">
        <f t="shared" si="1"/>
        <v>2033.1748048960817</v>
      </c>
      <c r="X27" s="5">
        <f t="shared" si="2"/>
        <v>1594.9171849374247</v>
      </c>
      <c r="Y27" s="66">
        <f t="shared" si="3"/>
        <v>216959.791543267</v>
      </c>
      <c r="Z27" s="66">
        <f t="shared" si="4"/>
        <v>13934.072394880906</v>
      </c>
      <c r="AA27" s="66">
        <f t="shared" si="5"/>
        <v>13934.174264794527</v>
      </c>
      <c r="AB27" s="4">
        <f t="shared" si="6"/>
        <v>346.20827811367053</v>
      </c>
      <c r="AC27" s="4">
        <f t="shared" si="7"/>
        <v>331.76245511186812</v>
      </c>
      <c r="AD27" s="4">
        <f t="shared" si="8"/>
        <v>331.76245511186812</v>
      </c>
    </row>
    <row r="28" spans="1:30">
      <c r="A28" s="12">
        <v>29.4</v>
      </c>
      <c r="B28" s="12">
        <v>-94.99</v>
      </c>
      <c r="C28" s="10" t="s">
        <v>22</v>
      </c>
      <c r="D28" s="10" t="s">
        <v>25</v>
      </c>
      <c r="E28" s="12">
        <v>78</v>
      </c>
      <c r="F28" s="12">
        <v>4</v>
      </c>
      <c r="G28" s="28" t="s">
        <v>32</v>
      </c>
      <c r="H28" s="31">
        <v>1004.98</v>
      </c>
      <c r="I28" s="88"/>
      <c r="J28" s="41">
        <v>13769.62</v>
      </c>
      <c r="K28" s="14">
        <v>0.34287104961234921</v>
      </c>
      <c r="L28" s="14">
        <v>0.32856447519382542</v>
      </c>
      <c r="M28" s="14">
        <v>0.32856447519382542</v>
      </c>
      <c r="N28" s="22">
        <v>2129773</v>
      </c>
      <c r="O28" s="22">
        <v>136783</v>
      </c>
      <c r="P28" s="22">
        <v>136784</v>
      </c>
      <c r="Q28" s="103"/>
      <c r="R28" s="60">
        <v>9911.9863013698632</v>
      </c>
      <c r="S28" s="46">
        <f>Q25*H28/I25</f>
        <v>6337241.5811039088</v>
      </c>
      <c r="T28" s="45">
        <f t="shared" si="9"/>
        <v>723.42940423560606</v>
      </c>
      <c r="U28" s="6">
        <v>19958.540580015244</v>
      </c>
      <c r="V28" s="63">
        <v>15656.410496865397</v>
      </c>
      <c r="W28" s="5">
        <f t="shared" si="1"/>
        <v>1456.6802941623459</v>
      </c>
      <c r="X28" s="5">
        <f t="shared" si="2"/>
        <v>1142.6879914725162</v>
      </c>
      <c r="Y28" s="66">
        <f t="shared" si="3"/>
        <v>155442.14506573166</v>
      </c>
      <c r="Z28" s="66">
        <f t="shared" si="4"/>
        <v>9983.149813865597</v>
      </c>
      <c r="AA28" s="66">
        <f t="shared" si="5"/>
        <v>9983.2227991767395</v>
      </c>
      <c r="AB28" s="4">
        <f t="shared" si="6"/>
        <v>248.04299915069871</v>
      </c>
      <c r="AC28" s="4">
        <f t="shared" si="7"/>
        <v>237.69320254245369</v>
      </c>
      <c r="AD28" s="4">
        <f t="shared" si="8"/>
        <v>237.69320254245369</v>
      </c>
    </row>
    <row r="29" spans="1:30">
      <c r="A29" s="12">
        <v>29.29</v>
      </c>
      <c r="B29" s="12">
        <v>-96.06</v>
      </c>
      <c r="C29" s="10" t="s">
        <v>22</v>
      </c>
      <c r="D29" s="10" t="s">
        <v>25</v>
      </c>
      <c r="E29" s="12">
        <v>80</v>
      </c>
      <c r="F29" s="12">
        <v>4</v>
      </c>
      <c r="G29" s="28" t="s">
        <v>32</v>
      </c>
      <c r="H29" s="31">
        <v>141.9</v>
      </c>
      <c r="I29" s="88"/>
      <c r="J29" s="41">
        <v>13769.62</v>
      </c>
      <c r="K29" s="14">
        <v>0.34287104961234921</v>
      </c>
      <c r="L29" s="14">
        <v>0.32856447519382542</v>
      </c>
      <c r="M29" s="14">
        <v>0.32856447519382542</v>
      </c>
      <c r="N29" s="22">
        <v>2129773</v>
      </c>
      <c r="O29" s="22">
        <v>136783</v>
      </c>
      <c r="P29" s="22">
        <v>136784</v>
      </c>
      <c r="Q29" s="103"/>
      <c r="R29" s="60">
        <v>9911.9863013698632</v>
      </c>
      <c r="S29" s="46">
        <f>Q25*H29/I25</f>
        <v>894798.48390877899</v>
      </c>
      <c r="T29" s="45">
        <f t="shared" si="9"/>
        <v>102.1459456516871</v>
      </c>
      <c r="U29" s="6">
        <v>19958.540580015244</v>
      </c>
      <c r="V29" s="63">
        <v>15656.410496865397</v>
      </c>
      <c r="W29" s="5">
        <f t="shared" si="1"/>
        <v>205.67865404449529</v>
      </c>
      <c r="X29" s="5">
        <f t="shared" si="2"/>
        <v>161.34393320260108</v>
      </c>
      <c r="Y29" s="66">
        <f t="shared" si="3"/>
        <v>21947.939645393268</v>
      </c>
      <c r="Z29" s="66">
        <f t="shared" si="4"/>
        <v>1409.5892043498659</v>
      </c>
      <c r="AA29" s="66">
        <f t="shared" si="5"/>
        <v>1409.5995096451466</v>
      </c>
      <c r="AB29" s="4">
        <f t="shared" si="6"/>
        <v>35.022887599239937</v>
      </c>
      <c r="AC29" s="4">
        <f t="shared" si="7"/>
        <v>33.561529026223589</v>
      </c>
      <c r="AD29" s="4">
        <f t="shared" si="8"/>
        <v>33.561529026223589</v>
      </c>
    </row>
    <row r="30" spans="1:30">
      <c r="A30" s="12">
        <v>29.49</v>
      </c>
      <c r="B30" s="12">
        <v>-95.63</v>
      </c>
      <c r="C30" s="10" t="s">
        <v>22</v>
      </c>
      <c r="D30" s="10" t="s">
        <v>23</v>
      </c>
      <c r="E30" s="12">
        <v>81</v>
      </c>
      <c r="F30" s="12">
        <v>6</v>
      </c>
      <c r="G30" s="28" t="s">
        <v>32</v>
      </c>
      <c r="H30" s="31">
        <v>759.08</v>
      </c>
      <c r="I30" s="88"/>
      <c r="J30" s="41">
        <v>13769.62</v>
      </c>
      <c r="K30" s="14">
        <v>0.34287104961234921</v>
      </c>
      <c r="L30" s="14">
        <v>0.32856447519382542</v>
      </c>
      <c r="M30" s="14">
        <v>0.32856447519382542</v>
      </c>
      <c r="N30" s="22">
        <v>2129773</v>
      </c>
      <c r="O30" s="22">
        <v>136783</v>
      </c>
      <c r="P30" s="22">
        <v>136784</v>
      </c>
      <c r="Q30" s="103"/>
      <c r="R30" s="60">
        <v>9911.9863013698632</v>
      </c>
      <c r="S30" s="46">
        <f>Q25*H30/I25</f>
        <v>4786635.892639013</v>
      </c>
      <c r="T30" s="45">
        <f t="shared" si="9"/>
        <v>546.4196224473759</v>
      </c>
      <c r="U30" s="6">
        <v>19958.540580015244</v>
      </c>
      <c r="V30" s="63">
        <v>15656.410496865397</v>
      </c>
      <c r="W30" s="5">
        <f t="shared" si="1"/>
        <v>1100.2575948702995</v>
      </c>
      <c r="X30" s="5">
        <f t="shared" si="2"/>
        <v>863.09339545757882</v>
      </c>
      <c r="Y30" s="66">
        <f t="shared" si="3"/>
        <v>117408.32999312982</v>
      </c>
      <c r="Z30" s="66">
        <f t="shared" si="4"/>
        <v>7540.4578804643843</v>
      </c>
      <c r="AA30" s="66">
        <f t="shared" si="5"/>
        <v>7540.5130076211253</v>
      </c>
      <c r="AB30" s="4">
        <f t="shared" si="6"/>
        <v>187.35146947731533</v>
      </c>
      <c r="AC30" s="4">
        <f t="shared" si="7"/>
        <v>179.53407648503028</v>
      </c>
      <c r="AD30" s="4">
        <f t="shared" si="8"/>
        <v>179.53407648503028</v>
      </c>
    </row>
    <row r="31" spans="1:30">
      <c r="A31" s="12">
        <v>29</v>
      </c>
      <c r="B31" s="12">
        <v>-95.39</v>
      </c>
      <c r="C31" s="10" t="s">
        <v>22</v>
      </c>
      <c r="D31" s="10" t="s">
        <v>25</v>
      </c>
      <c r="E31" s="12">
        <v>191</v>
      </c>
      <c r="F31" s="12">
        <v>4</v>
      </c>
      <c r="G31" s="28" t="s">
        <v>32</v>
      </c>
      <c r="H31" s="31">
        <v>250.45</v>
      </c>
      <c r="I31" s="88"/>
      <c r="J31" s="41">
        <v>13769.62</v>
      </c>
      <c r="K31" s="14">
        <v>0.34287104961234921</v>
      </c>
      <c r="L31" s="14">
        <v>0.32856447519382542</v>
      </c>
      <c r="M31" s="14">
        <v>0.32856447519382542</v>
      </c>
      <c r="N31" s="22">
        <v>2129773</v>
      </c>
      <c r="O31" s="22">
        <v>136783</v>
      </c>
      <c r="P31" s="22">
        <v>136784</v>
      </c>
      <c r="Q31" s="103"/>
      <c r="R31" s="60">
        <v>9911.9863013698632</v>
      </c>
      <c r="S31" s="46">
        <f>Q25*H31/I25</f>
        <v>1579297.253664226</v>
      </c>
      <c r="T31" s="45">
        <f t="shared" si="9"/>
        <v>180.2850746192039</v>
      </c>
      <c r="U31" s="6">
        <v>19958.540580015244</v>
      </c>
      <c r="V31" s="63">
        <v>15656.410496865397</v>
      </c>
      <c r="W31" s="5">
        <f t="shared" si="1"/>
        <v>363.01775127162682</v>
      </c>
      <c r="X31" s="5">
        <f t="shared" si="2"/>
        <v>284.76806251297705</v>
      </c>
      <c r="Y31" s="66">
        <f t="shared" si="3"/>
        <v>38737.572122542231</v>
      </c>
      <c r="Z31" s="66">
        <f t="shared" si="4"/>
        <v>2487.8901777972087</v>
      </c>
      <c r="AA31" s="66">
        <f t="shared" si="5"/>
        <v>2487.9083663891961</v>
      </c>
      <c r="AB31" s="4">
        <f t="shared" si="6"/>
        <v>61.814532764127136</v>
      </c>
      <c r="AC31" s="4">
        <f t="shared" si="7"/>
        <v>59.235270927538387</v>
      </c>
      <c r="AD31" s="4">
        <f t="shared" si="8"/>
        <v>59.235270927538387</v>
      </c>
    </row>
    <row r="32" spans="1:30">
      <c r="A32" s="12">
        <v>29.08</v>
      </c>
      <c r="B32" s="12">
        <v>-95.74</v>
      </c>
      <c r="C32" s="10" t="s">
        <v>22</v>
      </c>
      <c r="D32" s="10" t="s">
        <v>25</v>
      </c>
      <c r="E32" s="12">
        <v>192</v>
      </c>
      <c r="F32" s="12">
        <v>4</v>
      </c>
      <c r="G32" s="28" t="s">
        <v>32</v>
      </c>
      <c r="H32" s="31">
        <v>46.46</v>
      </c>
      <c r="I32" s="88"/>
      <c r="J32" s="41">
        <v>13769.62</v>
      </c>
      <c r="K32" s="14">
        <v>0.34287104961234921</v>
      </c>
      <c r="L32" s="14">
        <v>0.32856447519382542</v>
      </c>
      <c r="M32" s="14">
        <v>0.32856447519382542</v>
      </c>
      <c r="N32" s="22">
        <v>2129773</v>
      </c>
      <c r="O32" s="22">
        <v>136783</v>
      </c>
      <c r="P32" s="22">
        <v>136784</v>
      </c>
      <c r="Q32" s="103"/>
      <c r="R32" s="60">
        <v>9911.9863013698632</v>
      </c>
      <c r="S32" s="46">
        <f>Q25*H32/I25</f>
        <v>292969.25695843459</v>
      </c>
      <c r="T32" s="45">
        <f t="shared" si="9"/>
        <v>33.443979104844132</v>
      </c>
      <c r="U32" s="6">
        <v>19958.540580015244</v>
      </c>
      <c r="V32" s="63">
        <v>15656.410496865397</v>
      </c>
      <c r="W32" s="5">
        <f t="shared" si="1"/>
        <v>67.342003290396406</v>
      </c>
      <c r="X32" s="5">
        <f t="shared" si="2"/>
        <v>52.826209560203289</v>
      </c>
      <c r="Y32" s="66">
        <f t="shared" si="3"/>
        <v>7186.0555033472247</v>
      </c>
      <c r="Z32" s="66">
        <f t="shared" si="4"/>
        <v>461.51877684351496</v>
      </c>
      <c r="AA32" s="66">
        <f t="shared" si="5"/>
        <v>461.52215093807968</v>
      </c>
      <c r="AB32" s="4">
        <f t="shared" si="6"/>
        <v>11.466972218891383</v>
      </c>
      <c r="AC32" s="4">
        <f t="shared" si="7"/>
        <v>10.988503442976375</v>
      </c>
      <c r="AD32" s="4">
        <f t="shared" si="8"/>
        <v>10.988503442976375</v>
      </c>
    </row>
    <row r="33" spans="1:30">
      <c r="A33" s="12">
        <v>29.77</v>
      </c>
      <c r="B33" s="12">
        <v>-94.51</v>
      </c>
      <c r="C33" s="10" t="s">
        <v>22</v>
      </c>
      <c r="D33" s="10" t="s">
        <v>23</v>
      </c>
      <c r="E33" s="12">
        <v>193</v>
      </c>
      <c r="F33" s="12">
        <v>6</v>
      </c>
      <c r="G33" s="28" t="s">
        <v>32</v>
      </c>
      <c r="H33" s="31">
        <v>34.61</v>
      </c>
      <c r="I33" s="88"/>
      <c r="J33" s="41">
        <v>13769.62</v>
      </c>
      <c r="K33" s="14">
        <v>0.34287104961234921</v>
      </c>
      <c r="L33" s="14">
        <v>0.32856447519382542</v>
      </c>
      <c r="M33" s="14">
        <v>0.32856447519382542</v>
      </c>
      <c r="N33" s="22">
        <v>2129773</v>
      </c>
      <c r="O33" s="22">
        <v>136783</v>
      </c>
      <c r="P33" s="22">
        <v>136784</v>
      </c>
      <c r="Q33" s="103"/>
      <c r="R33" s="61">
        <v>9911.9863013698632</v>
      </c>
      <c r="S33" s="46">
        <f>Q25*H33/I25</f>
        <v>218245.07067006934</v>
      </c>
      <c r="T33" s="45">
        <f t="shared" si="9"/>
        <v>24.913820852747644</v>
      </c>
      <c r="U33" s="6">
        <v>19958.540580015244</v>
      </c>
      <c r="V33" s="63">
        <v>15656.410496865397</v>
      </c>
      <c r="W33" s="5">
        <f t="shared" si="1"/>
        <v>50.165878904016793</v>
      </c>
      <c r="X33" s="5">
        <f t="shared" si="2"/>
        <v>39.35245615322075</v>
      </c>
      <c r="Y33" s="66">
        <f t="shared" si="3"/>
        <v>5353.193735920092</v>
      </c>
      <c r="Z33" s="66">
        <f t="shared" si="4"/>
        <v>343.80466781218371</v>
      </c>
      <c r="AA33" s="66">
        <f t="shared" si="5"/>
        <v>343.80718131655055</v>
      </c>
      <c r="AB33" s="4">
        <f t="shared" si="6"/>
        <v>8.5422279056356185</v>
      </c>
      <c r="AC33" s="4">
        <f t="shared" si="7"/>
        <v>8.1857964735560138</v>
      </c>
      <c r="AD33" s="4">
        <f t="shared" si="8"/>
        <v>8.1857964735560138</v>
      </c>
    </row>
    <row r="34" spans="1:30">
      <c r="A34" s="12">
        <v>30.38</v>
      </c>
      <c r="B34" s="12">
        <v>-95.55</v>
      </c>
      <c r="C34" s="10" t="s">
        <v>22</v>
      </c>
      <c r="D34" s="10" t="s">
        <v>25</v>
      </c>
      <c r="E34" s="12">
        <v>79</v>
      </c>
      <c r="F34" s="12">
        <v>4</v>
      </c>
      <c r="G34" s="28" t="s">
        <v>32</v>
      </c>
      <c r="H34" s="31">
        <v>470.7</v>
      </c>
      <c r="I34" s="89"/>
      <c r="J34" s="41">
        <v>13769.62</v>
      </c>
      <c r="K34" s="14">
        <v>0.34287104961234921</v>
      </c>
      <c r="L34" s="14">
        <v>0.32856447519382542</v>
      </c>
      <c r="M34" s="14">
        <v>0.32856447519382542</v>
      </c>
      <c r="N34" s="22">
        <v>2129773</v>
      </c>
      <c r="O34" s="22">
        <v>136783</v>
      </c>
      <c r="P34" s="22">
        <v>136784</v>
      </c>
      <c r="Q34" s="104"/>
      <c r="R34" s="59">
        <f>86829000/365/24</f>
        <v>9911.9863013698632</v>
      </c>
      <c r="S34" s="46">
        <f>Q25*H34/I25</f>
        <v>2968158.1844669646</v>
      </c>
      <c r="T34" s="45">
        <f>S34/365/24</f>
        <v>338.83084297568092</v>
      </c>
      <c r="U34" s="6">
        <v>19958.540580015244</v>
      </c>
      <c r="V34" s="63">
        <v>15656.410496865397</v>
      </c>
      <c r="W34" s="5">
        <f>U34*T34/R34</f>
        <v>682.26175094252255</v>
      </c>
      <c r="X34" s="5">
        <f>V34*T34/R34</f>
        <v>535.19795178621803</v>
      </c>
      <c r="Y34" s="66">
        <f>N34*T34/R34</f>
        <v>72804.053496029679</v>
      </c>
      <c r="Z34" s="66">
        <f>O34*T34/R34</f>
        <v>4675.783216966046</v>
      </c>
      <c r="AA34" s="66">
        <f>P34*T34/R34</f>
        <v>4675.8174009159302</v>
      </c>
      <c r="AB34" s="4">
        <f t="shared" si="6"/>
        <v>116.17528677210881</v>
      </c>
      <c r="AC34" s="4">
        <f t="shared" si="7"/>
        <v>111.32777810178607</v>
      </c>
      <c r="AD34" s="4">
        <f t="shared" si="8"/>
        <v>111.32777810178607</v>
      </c>
    </row>
    <row r="35" spans="1:30">
      <c r="A35" s="12">
        <v>30.72</v>
      </c>
      <c r="B35" s="12">
        <v>-99.28</v>
      </c>
      <c r="C35" s="10" t="s">
        <v>22</v>
      </c>
      <c r="D35" s="10" t="s">
        <v>19</v>
      </c>
      <c r="E35" s="12">
        <v>56</v>
      </c>
      <c r="F35" s="12">
        <v>1</v>
      </c>
      <c r="G35" s="28" t="s">
        <v>33</v>
      </c>
      <c r="H35" s="31">
        <v>11.11</v>
      </c>
      <c r="I35" s="87">
        <f>SUM(H35:H40)</f>
        <v>164.73</v>
      </c>
      <c r="J35" s="41">
        <v>164.73</v>
      </c>
      <c r="K35" s="9">
        <v>0.74280160323655264</v>
      </c>
      <c r="L35" s="9">
        <v>0.17605146599890209</v>
      </c>
      <c r="M35" s="9">
        <v>8.1146930764545308E-2</v>
      </c>
      <c r="N35" s="15">
        <v>32526</v>
      </c>
      <c r="O35" s="15">
        <v>3234</v>
      </c>
      <c r="P35" s="15">
        <v>3404</v>
      </c>
      <c r="Q35" s="90">
        <v>531924</v>
      </c>
      <c r="R35" s="51">
        <f t="shared" ref="R35:R40" si="10">531924/8760</f>
        <v>60.721917808219175</v>
      </c>
      <c r="S35" s="14">
        <f>Q35*H35/I35</f>
        <v>35874.920415224915</v>
      </c>
      <c r="T35" s="45">
        <f t="shared" si="9"/>
        <v>4.0953105496832096</v>
      </c>
      <c r="U35" s="5">
        <v>140.69999999999999</v>
      </c>
      <c r="V35" s="62">
        <v>173.2</v>
      </c>
      <c r="W35" s="5">
        <f t="shared" si="1"/>
        <v>9.4893279912584223</v>
      </c>
      <c r="X35" s="5">
        <f t="shared" si="2"/>
        <v>11.681248102956353</v>
      </c>
      <c r="Y35" s="66">
        <f t="shared" si="3"/>
        <v>2193.6736477872882</v>
      </c>
      <c r="Z35" s="66">
        <f t="shared" si="4"/>
        <v>218.11291203788019</v>
      </c>
      <c r="AA35" s="66">
        <f t="shared" si="5"/>
        <v>229.57834031445398</v>
      </c>
      <c r="AB35" s="4">
        <f t="shared" si="6"/>
        <v>3.0420032420562557</v>
      </c>
      <c r="AC35" s="4">
        <f t="shared" si="7"/>
        <v>0.7209854259924986</v>
      </c>
      <c r="AD35" s="4">
        <f t="shared" si="8"/>
        <v>0.33232188163445542</v>
      </c>
    </row>
    <row r="36" spans="1:30">
      <c r="A36" s="12">
        <v>30.57</v>
      </c>
      <c r="B36" s="12">
        <v>-98.37</v>
      </c>
      <c r="C36" s="10" t="s">
        <v>22</v>
      </c>
      <c r="D36" s="10" t="s">
        <v>25</v>
      </c>
      <c r="E36" s="12">
        <v>58</v>
      </c>
      <c r="F36" s="12">
        <v>4</v>
      </c>
      <c r="G36" s="28" t="s">
        <v>33</v>
      </c>
      <c r="H36" s="31">
        <v>121.65</v>
      </c>
      <c r="I36" s="88"/>
      <c r="J36" s="41">
        <v>164.73</v>
      </c>
      <c r="K36" s="9">
        <v>0.74280160323655264</v>
      </c>
      <c r="L36" s="9">
        <v>0.17605146599890209</v>
      </c>
      <c r="M36" s="9">
        <v>8.1146930764545308E-2</v>
      </c>
      <c r="N36" s="15">
        <v>32526</v>
      </c>
      <c r="O36" s="15">
        <v>3234</v>
      </c>
      <c r="P36" s="15">
        <v>3404</v>
      </c>
      <c r="Q36" s="91"/>
      <c r="R36" s="51">
        <f t="shared" si="10"/>
        <v>60.721917808219175</v>
      </c>
      <c r="S36" s="14">
        <f>Q35*H36/I35</f>
        <v>392815.8477508651</v>
      </c>
      <c r="T36" s="45">
        <f t="shared" si="9"/>
        <v>44.841991752381858</v>
      </c>
      <c r="U36" s="5">
        <v>140.69999999999999</v>
      </c>
      <c r="V36" s="62">
        <v>173.2</v>
      </c>
      <c r="W36" s="5">
        <f t="shared" si="1"/>
        <v>103.90429794208706</v>
      </c>
      <c r="X36" s="5">
        <f t="shared" si="2"/>
        <v>127.90493534875252</v>
      </c>
      <c r="Y36" s="66">
        <f t="shared" si="3"/>
        <v>24019.837916590786</v>
      </c>
      <c r="Z36" s="66">
        <f t="shared" si="4"/>
        <v>2388.2480422509561</v>
      </c>
      <c r="AA36" s="66">
        <f t="shared" si="5"/>
        <v>2513.7898379165913</v>
      </c>
      <c r="AB36" s="4">
        <f t="shared" si="6"/>
        <v>33.308703365989516</v>
      </c>
      <c r="AC36" s="4">
        <f t="shared" si="7"/>
        <v>7.8944983863175029</v>
      </c>
      <c r="AD36" s="4">
        <f t="shared" si="8"/>
        <v>3.6387900000748425</v>
      </c>
    </row>
    <row r="37" spans="1:30">
      <c r="A37" s="12">
        <v>31.13</v>
      </c>
      <c r="B37" s="12">
        <v>-98.76</v>
      </c>
      <c r="C37" s="10" t="s">
        <v>18</v>
      </c>
      <c r="D37" s="10" t="s">
        <v>19</v>
      </c>
      <c r="E37" s="12">
        <v>60</v>
      </c>
      <c r="F37" s="12">
        <v>7</v>
      </c>
      <c r="G37" s="28" t="s">
        <v>33</v>
      </c>
      <c r="H37" s="31">
        <v>12.48</v>
      </c>
      <c r="I37" s="88"/>
      <c r="J37" s="41">
        <v>164.73</v>
      </c>
      <c r="K37" s="9">
        <v>0.74280160323655264</v>
      </c>
      <c r="L37" s="9">
        <v>0.17605146599890209</v>
      </c>
      <c r="M37" s="9">
        <v>8.1146930764545308E-2</v>
      </c>
      <c r="N37" s="15">
        <v>32526</v>
      </c>
      <c r="O37" s="15">
        <v>3234</v>
      </c>
      <c r="P37" s="15">
        <v>3404</v>
      </c>
      <c r="Q37" s="91"/>
      <c r="R37" s="51">
        <f t="shared" si="10"/>
        <v>60.721917808219175</v>
      </c>
      <c r="S37" s="14">
        <f>Q35*H37/I35</f>
        <v>40298.740484429072</v>
      </c>
      <c r="T37" s="45">
        <f t="shared" si="9"/>
        <v>4.6003128406882503</v>
      </c>
      <c r="U37" s="5">
        <v>140.69999999999999</v>
      </c>
      <c r="V37" s="62">
        <v>173.2</v>
      </c>
      <c r="W37" s="5">
        <f t="shared" si="1"/>
        <v>10.659479147696231</v>
      </c>
      <c r="X37" s="5">
        <f t="shared" si="2"/>
        <v>13.121690038244402</v>
      </c>
      <c r="Y37" s="66">
        <f t="shared" si="3"/>
        <v>2464.1806592606085</v>
      </c>
      <c r="Z37" s="66">
        <f t="shared" si="4"/>
        <v>245.0089236933164</v>
      </c>
      <c r="AA37" s="66">
        <f t="shared" si="5"/>
        <v>257.88818065926063</v>
      </c>
      <c r="AB37" s="4">
        <f t="shared" si="6"/>
        <v>3.4171197534529321</v>
      </c>
      <c r="AC37" s="4">
        <f t="shared" si="7"/>
        <v>0.80989181965674018</v>
      </c>
      <c r="AD37" s="4">
        <f t="shared" si="8"/>
        <v>0.37330126757857818</v>
      </c>
    </row>
    <row r="38" spans="1:30">
      <c r="A38" s="12">
        <v>30.47</v>
      </c>
      <c r="B38" s="12">
        <v>-99.83</v>
      </c>
      <c r="C38" s="10" t="s">
        <v>22</v>
      </c>
      <c r="D38" s="10" t="s">
        <v>19</v>
      </c>
      <c r="E38" s="12">
        <v>66</v>
      </c>
      <c r="F38" s="12">
        <v>1</v>
      </c>
      <c r="G38" s="28" t="s">
        <v>33</v>
      </c>
      <c r="H38" s="31">
        <v>9.5</v>
      </c>
      <c r="I38" s="88"/>
      <c r="J38" s="41">
        <v>164.73</v>
      </c>
      <c r="K38" s="9">
        <v>0.74280160323655264</v>
      </c>
      <c r="L38" s="9">
        <v>0.17605146599890209</v>
      </c>
      <c r="M38" s="9">
        <v>8.1146930764545308E-2</v>
      </c>
      <c r="N38" s="15">
        <v>32526</v>
      </c>
      <c r="O38" s="15">
        <v>3234</v>
      </c>
      <c r="P38" s="15">
        <v>3404</v>
      </c>
      <c r="Q38" s="91"/>
      <c r="R38" s="51">
        <f t="shared" si="10"/>
        <v>60.721917808219175</v>
      </c>
      <c r="S38" s="14">
        <f>Q35*H38/I35</f>
        <v>30676.124567474049</v>
      </c>
      <c r="T38" s="45">
        <f t="shared" si="9"/>
        <v>3.5018407040495489</v>
      </c>
      <c r="U38" s="5">
        <v>140.69999999999999</v>
      </c>
      <c r="V38" s="62">
        <v>173.2</v>
      </c>
      <c r="W38" s="5">
        <f t="shared" si="1"/>
        <v>8.1141868512110733</v>
      </c>
      <c r="X38" s="5">
        <f t="shared" si="2"/>
        <v>9.9884659746251447</v>
      </c>
      <c r="Y38" s="66">
        <f t="shared" si="3"/>
        <v>1875.7785467128028</v>
      </c>
      <c r="Z38" s="66">
        <f t="shared" si="4"/>
        <v>186.50519031141872</v>
      </c>
      <c r="AA38" s="66">
        <f t="shared" si="5"/>
        <v>196.30911188004615</v>
      </c>
      <c r="AB38" s="4">
        <f t="shared" si="6"/>
        <v>2.6011728892470232</v>
      </c>
      <c r="AC38" s="4">
        <f t="shared" si="7"/>
        <v>0.61650418964255049</v>
      </c>
      <c r="AD38" s="4">
        <f t="shared" si="8"/>
        <v>0.28416362515997534</v>
      </c>
    </row>
    <row r="39" spans="1:30">
      <c r="A39" s="12">
        <v>31.31</v>
      </c>
      <c r="B39" s="12">
        <v>-99.08</v>
      </c>
      <c r="C39" s="10" t="s">
        <v>18</v>
      </c>
      <c r="D39" s="10" t="s">
        <v>19</v>
      </c>
      <c r="E39" s="12">
        <v>67</v>
      </c>
      <c r="F39" s="12">
        <v>7</v>
      </c>
      <c r="G39" s="28" t="s">
        <v>33</v>
      </c>
      <c r="H39" s="31">
        <v>3.55</v>
      </c>
      <c r="I39" s="88"/>
      <c r="J39" s="41">
        <v>164.73</v>
      </c>
      <c r="K39" s="9">
        <v>0.74280160323655264</v>
      </c>
      <c r="L39" s="9">
        <v>0.17605146599890209</v>
      </c>
      <c r="M39" s="9">
        <v>8.1146930764545308E-2</v>
      </c>
      <c r="N39" s="15">
        <v>32526</v>
      </c>
      <c r="O39" s="15">
        <v>3234</v>
      </c>
      <c r="P39" s="15">
        <v>3404</v>
      </c>
      <c r="Q39" s="91"/>
      <c r="R39" s="51">
        <f t="shared" si="10"/>
        <v>60.721917808219175</v>
      </c>
      <c r="S39" s="14">
        <f>Q35*H39/I35</f>
        <v>11463.18339100346</v>
      </c>
      <c r="T39" s="45">
        <f t="shared" si="9"/>
        <v>1.3085825788816734</v>
      </c>
      <c r="U39" s="5">
        <v>140.69999999999999</v>
      </c>
      <c r="V39" s="62">
        <v>173.2</v>
      </c>
      <c r="W39" s="5">
        <f t="shared" si="1"/>
        <v>3.0321435075578216</v>
      </c>
      <c r="X39" s="5">
        <f t="shared" si="2"/>
        <v>3.7325320220967639</v>
      </c>
      <c r="Y39" s="66">
        <f t="shared" si="3"/>
        <v>700.94882535057354</v>
      </c>
      <c r="Z39" s="66">
        <f t="shared" si="4"/>
        <v>69.694044800582773</v>
      </c>
      <c r="AA39" s="66">
        <f t="shared" si="5"/>
        <v>73.357615492017246</v>
      </c>
      <c r="AB39" s="4">
        <f t="shared" si="6"/>
        <v>0.97201723756072966</v>
      </c>
      <c r="AC39" s="4">
        <f t="shared" si="7"/>
        <v>0.23037788139274254</v>
      </c>
      <c r="AD39" s="4">
        <f t="shared" si="8"/>
        <v>0.10618745992820131</v>
      </c>
    </row>
    <row r="40" spans="1:30">
      <c r="A40" s="12">
        <v>30.35</v>
      </c>
      <c r="B40" s="12">
        <v>-99.29</v>
      </c>
      <c r="C40" s="10" t="s">
        <v>22</v>
      </c>
      <c r="D40" s="10" t="s">
        <v>19</v>
      </c>
      <c r="E40" s="12">
        <v>128</v>
      </c>
      <c r="F40" s="12">
        <v>1</v>
      </c>
      <c r="G40" s="28" t="s">
        <v>33</v>
      </c>
      <c r="H40" s="31">
        <v>6.44</v>
      </c>
      <c r="I40" s="88"/>
      <c r="J40" s="41">
        <v>226.51</v>
      </c>
      <c r="K40" s="9">
        <v>0.74280160323655264</v>
      </c>
      <c r="L40" s="9">
        <v>0.17605146599890209</v>
      </c>
      <c r="M40" s="9">
        <v>8.1146930764545308E-2</v>
      </c>
      <c r="N40" s="15">
        <v>32526</v>
      </c>
      <c r="O40" s="15">
        <v>3234</v>
      </c>
      <c r="P40" s="15">
        <v>3404</v>
      </c>
      <c r="Q40" s="91"/>
      <c r="R40" s="51">
        <f t="shared" si="10"/>
        <v>60.721917808219175</v>
      </c>
      <c r="S40" s="14">
        <f>H40*Q35/I35</f>
        <v>20795.183391003462</v>
      </c>
      <c r="T40" s="45">
        <f t="shared" si="9"/>
        <v>2.3738793825346418</v>
      </c>
      <c r="U40" s="5">
        <v>140.69999999999999</v>
      </c>
      <c r="V40" s="62">
        <v>173.2</v>
      </c>
      <c r="W40" s="5">
        <f t="shared" si="1"/>
        <v>5.5005645601894013</v>
      </c>
      <c r="X40" s="5">
        <f t="shared" si="2"/>
        <v>6.7711285133248351</v>
      </c>
      <c r="Y40" s="66">
        <f t="shared" si="3"/>
        <v>1271.5804042979421</v>
      </c>
      <c r="Z40" s="66">
        <f t="shared" si="4"/>
        <v>126.43088690584595</v>
      </c>
      <c r="AA40" s="66">
        <f t="shared" si="5"/>
        <v>133.07691373763132</v>
      </c>
      <c r="AB40" s="4">
        <f t="shared" si="6"/>
        <v>1.7633214112369295</v>
      </c>
      <c r="AC40" s="4">
        <f t="shared" si="7"/>
        <v>0.41792494539979219</v>
      </c>
      <c r="AD40" s="4">
        <f t="shared" si="8"/>
        <v>0.19263302589792014</v>
      </c>
    </row>
    <row r="41" spans="1:30">
      <c r="A41" s="12">
        <v>32.19</v>
      </c>
      <c r="B41" s="12">
        <v>-94.59</v>
      </c>
      <c r="C41" s="10" t="s">
        <v>18</v>
      </c>
      <c r="D41" s="10" t="s">
        <v>19</v>
      </c>
      <c r="E41" s="12">
        <v>13</v>
      </c>
      <c r="F41" s="12">
        <v>1</v>
      </c>
      <c r="G41" s="28" t="s">
        <v>34</v>
      </c>
      <c r="H41" s="31">
        <v>70.489999999999995</v>
      </c>
      <c r="I41" s="99">
        <f>SUM(H41:H44)</f>
        <v>248.63</v>
      </c>
      <c r="J41" s="41">
        <v>248.63</v>
      </c>
      <c r="K41" s="14">
        <v>0.78257185445414112</v>
      </c>
      <c r="L41" s="20">
        <v>0.15683661036238025</v>
      </c>
      <c r="M41" s="14">
        <v>6.0591535183478581E-2</v>
      </c>
      <c r="N41" s="15">
        <v>18550</v>
      </c>
      <c r="O41" s="15">
        <v>1632</v>
      </c>
      <c r="P41" s="15">
        <v>2</v>
      </c>
      <c r="Q41" s="90">
        <v>323362</v>
      </c>
      <c r="R41" s="51">
        <f>323362/8760</f>
        <v>36.913470319634705</v>
      </c>
      <c r="S41" s="14">
        <f>Q41*H41/I41</f>
        <v>91677.542452640468</v>
      </c>
      <c r="T41" s="45">
        <f t="shared" si="9"/>
        <v>10.465472882721516</v>
      </c>
      <c r="U41" s="3">
        <v>85</v>
      </c>
      <c r="V41" s="64">
        <v>89</v>
      </c>
      <c r="W41" s="5">
        <f t="shared" si="1"/>
        <v>24.098660660419096</v>
      </c>
      <c r="X41" s="5">
        <f t="shared" si="2"/>
        <v>25.232715279732936</v>
      </c>
      <c r="Y41" s="66">
        <f t="shared" si="3"/>
        <v>5259.1782970679324</v>
      </c>
      <c r="Z41" s="66">
        <f t="shared" si="4"/>
        <v>462.69428468004668</v>
      </c>
      <c r="AA41" s="66">
        <f t="shared" si="5"/>
        <v>0.56702730965691994</v>
      </c>
      <c r="AB41" s="4">
        <f t="shared" si="6"/>
        <v>8.1899845215709028</v>
      </c>
      <c r="AC41" s="4">
        <f t="shared" si="7"/>
        <v>1.6413692927654508</v>
      </c>
      <c r="AD41" s="4">
        <f t="shared" si="8"/>
        <v>0.63411906838516174</v>
      </c>
    </row>
    <row r="42" spans="1:30">
      <c r="A42" s="12">
        <v>31.94</v>
      </c>
      <c r="B42" s="12">
        <v>-95.01</v>
      </c>
      <c r="C42" s="10" t="s">
        <v>18</v>
      </c>
      <c r="D42" s="10" t="s">
        <v>19</v>
      </c>
      <c r="E42" s="12">
        <v>15</v>
      </c>
      <c r="F42" s="12">
        <v>7</v>
      </c>
      <c r="G42" s="28" t="s">
        <v>34</v>
      </c>
      <c r="H42" s="31">
        <v>76.88</v>
      </c>
      <c r="I42" s="100"/>
      <c r="J42" s="41">
        <v>248.63</v>
      </c>
      <c r="K42" s="14">
        <v>0.78257185445414112</v>
      </c>
      <c r="L42" s="14">
        <v>0.15683661036238025</v>
      </c>
      <c r="M42" s="14">
        <v>6.0591535183478581E-2</v>
      </c>
      <c r="N42" s="15">
        <v>18550</v>
      </c>
      <c r="O42" s="15">
        <v>1632</v>
      </c>
      <c r="P42" s="15">
        <v>2</v>
      </c>
      <c r="Q42" s="91"/>
      <c r="R42" s="51">
        <f>323362/8760</f>
        <v>36.913470319634705</v>
      </c>
      <c r="S42" s="14">
        <f>H42</f>
        <v>76.88</v>
      </c>
      <c r="T42" s="45">
        <f t="shared" si="9"/>
        <v>8.7762557077625571E-3</v>
      </c>
      <c r="U42" s="3">
        <v>85</v>
      </c>
      <c r="V42" s="64">
        <v>89</v>
      </c>
      <c r="W42" s="5">
        <f t="shared" si="1"/>
        <v>2.0208929929923739E-2</v>
      </c>
      <c r="X42" s="5">
        <f t="shared" si="2"/>
        <v>2.1159938397214268E-2</v>
      </c>
      <c r="Y42" s="66">
        <f t="shared" si="3"/>
        <v>4.4103017670598268</v>
      </c>
      <c r="Z42" s="66">
        <f t="shared" si="4"/>
        <v>0.38801145465453579</v>
      </c>
      <c r="AA42" s="66">
        <f t="shared" si="5"/>
        <v>4.755042336452644E-4</v>
      </c>
      <c r="AB42" s="4">
        <f t="shared" si="6"/>
        <v>6.8680507043874855E-3</v>
      </c>
      <c r="AC42" s="4">
        <f t="shared" si="7"/>
        <v>1.3764381968789719E-3</v>
      </c>
      <c r="AD42" s="4">
        <f t="shared" si="8"/>
        <v>5.3176680649609964E-4</v>
      </c>
    </row>
    <row r="43" spans="1:30">
      <c r="A43" s="12">
        <v>31.62</v>
      </c>
      <c r="B43" s="12">
        <v>-95.03</v>
      </c>
      <c r="C43" s="10" t="s">
        <v>18</v>
      </c>
      <c r="D43" s="10" t="s">
        <v>19</v>
      </c>
      <c r="E43" s="12">
        <v>23</v>
      </c>
      <c r="F43" s="12">
        <v>7</v>
      </c>
      <c r="G43" s="28" t="s">
        <v>34</v>
      </c>
      <c r="H43" s="31">
        <v>8.5</v>
      </c>
      <c r="I43" s="100"/>
      <c r="J43" s="41">
        <v>248.63</v>
      </c>
      <c r="K43" s="14">
        <v>0.78257185445414112</v>
      </c>
      <c r="L43" s="14">
        <v>0.15683661036238025</v>
      </c>
      <c r="M43" s="14">
        <v>6.0591535183478581E-2</v>
      </c>
      <c r="N43" s="15">
        <v>18550</v>
      </c>
      <c r="O43" s="15">
        <v>1632</v>
      </c>
      <c r="P43" s="15">
        <v>2</v>
      </c>
      <c r="Q43" s="91"/>
      <c r="R43" s="51">
        <f>323362/8760</f>
        <v>36.913470319634705</v>
      </c>
      <c r="S43" s="14">
        <f>Q41*H43/I41</f>
        <v>11054.888790572337</v>
      </c>
      <c r="T43" s="45">
        <f t="shared" si="9"/>
        <v>1.2619736062297189</v>
      </c>
      <c r="U43" s="3">
        <v>85</v>
      </c>
      <c r="V43" s="64">
        <v>89</v>
      </c>
      <c r="W43" s="5">
        <f t="shared" si="1"/>
        <v>2.9059244660740862</v>
      </c>
      <c r="X43" s="5">
        <f t="shared" si="2"/>
        <v>3.0426738527128667</v>
      </c>
      <c r="Y43" s="66">
        <f t="shared" si="3"/>
        <v>634.17528053734463</v>
      </c>
      <c r="Z43" s="66">
        <f t="shared" si="4"/>
        <v>55.79374974862246</v>
      </c>
      <c r="AA43" s="66">
        <f t="shared" si="5"/>
        <v>6.8374693319390265E-2</v>
      </c>
      <c r="AB43" s="4">
        <f t="shared" si="6"/>
        <v>0.9875850252993712</v>
      </c>
      <c r="AC43" s="4">
        <f t="shared" si="7"/>
        <v>0.1979236627678583</v>
      </c>
      <c r="AD43" s="4">
        <f t="shared" si="8"/>
        <v>7.6464918162489362E-2</v>
      </c>
    </row>
    <row r="44" spans="1:30">
      <c r="A44" s="12">
        <v>31.65</v>
      </c>
      <c r="B44" s="12">
        <v>-94.63</v>
      </c>
      <c r="C44" s="10" t="s">
        <v>18</v>
      </c>
      <c r="D44" s="10" t="s">
        <v>25</v>
      </c>
      <c r="E44" s="12">
        <v>24</v>
      </c>
      <c r="F44" s="12">
        <v>10</v>
      </c>
      <c r="G44" s="28" t="s">
        <v>34</v>
      </c>
      <c r="H44" s="31">
        <v>92.76</v>
      </c>
      <c r="I44" s="101"/>
      <c r="J44" s="41">
        <v>248.63</v>
      </c>
      <c r="K44" s="14">
        <v>0.78257185445414112</v>
      </c>
      <c r="L44" s="14">
        <v>0.15683661036238025</v>
      </c>
      <c r="M44" s="14">
        <v>6.0591535183478581E-2</v>
      </c>
      <c r="N44" s="15">
        <v>18550</v>
      </c>
      <c r="O44" s="15">
        <v>1632</v>
      </c>
      <c r="P44" s="15">
        <v>2</v>
      </c>
      <c r="Q44" s="92"/>
      <c r="R44" s="51">
        <f>323362/8760</f>
        <v>36.913470319634705</v>
      </c>
      <c r="S44" s="14">
        <f>Q41*H44/I41</f>
        <v>120641.35108394</v>
      </c>
      <c r="T44" s="45">
        <f t="shared" si="9"/>
        <v>13.771843731043377</v>
      </c>
      <c r="U44" s="3">
        <v>85</v>
      </c>
      <c r="V44" s="64">
        <v>89</v>
      </c>
      <c r="W44" s="5">
        <f t="shared" si="1"/>
        <v>31.712182761533199</v>
      </c>
      <c r="X44" s="5">
        <f t="shared" si="2"/>
        <v>33.204520773840642</v>
      </c>
      <c r="Y44" s="66">
        <f t="shared" si="3"/>
        <v>6920.7175320757751</v>
      </c>
      <c r="Z44" s="66">
        <f t="shared" si="4"/>
        <v>608.8739090214375</v>
      </c>
      <c r="AA44" s="66">
        <f t="shared" si="5"/>
        <v>0.74616900615372239</v>
      </c>
      <c r="AB44" s="4">
        <f t="shared" si="6"/>
        <v>10.777457287855254</v>
      </c>
      <c r="AC44" s="4">
        <f t="shared" si="7"/>
        <v>2.1599292892172395</v>
      </c>
      <c r="AD44" s="4">
        <f t="shared" si="8"/>
        <v>0.83445715397088371</v>
      </c>
    </row>
    <row r="45" spans="1:30">
      <c r="A45" s="12">
        <v>29.9</v>
      </c>
      <c r="B45" s="12">
        <v>-98.5</v>
      </c>
      <c r="C45" s="10" t="s">
        <v>22</v>
      </c>
      <c r="D45" s="10" t="s">
        <v>35</v>
      </c>
      <c r="E45" s="12">
        <v>99</v>
      </c>
      <c r="F45" s="12">
        <v>3</v>
      </c>
      <c r="G45" s="28" t="s">
        <v>36</v>
      </c>
      <c r="H45" s="31">
        <v>137.04</v>
      </c>
      <c r="I45" s="33">
        <v>137.04</v>
      </c>
      <c r="J45" s="67">
        <v>137.04</v>
      </c>
      <c r="K45" s="14">
        <v>0.42815405245454613</v>
      </c>
      <c r="L45" s="14">
        <v>0.57184594754545381</v>
      </c>
      <c r="M45" s="14">
        <v>0</v>
      </c>
      <c r="N45" s="13">
        <v>4059</v>
      </c>
      <c r="O45" s="13">
        <v>1246</v>
      </c>
      <c r="P45" s="19">
        <v>0</v>
      </c>
      <c r="Q45" s="40">
        <v>133487</v>
      </c>
      <c r="R45" s="38">
        <f t="shared" ref="R45:R57" si="11">Q45/8760</f>
        <v>15.238242009132421</v>
      </c>
      <c r="S45" s="43">
        <v>133487</v>
      </c>
      <c r="T45" s="45">
        <f t="shared" si="9"/>
        <v>15.238242009132421</v>
      </c>
      <c r="U45" s="3">
        <v>34.5</v>
      </c>
      <c r="V45" s="64">
        <v>30.6</v>
      </c>
      <c r="W45" s="5">
        <f t="shared" si="1"/>
        <v>34.5</v>
      </c>
      <c r="X45" s="5">
        <f t="shared" si="2"/>
        <v>30.6</v>
      </c>
      <c r="Y45" s="66">
        <f t="shared" si="3"/>
        <v>4059</v>
      </c>
      <c r="Z45" s="66">
        <f t="shared" si="4"/>
        <v>1246</v>
      </c>
      <c r="AA45" s="66">
        <f t="shared" si="5"/>
        <v>0</v>
      </c>
      <c r="AB45" s="4">
        <f t="shared" si="6"/>
        <v>6.5243150684931512</v>
      </c>
      <c r="AC45" s="4">
        <f t="shared" si="7"/>
        <v>8.7139269406392685</v>
      </c>
      <c r="AD45" s="4">
        <f t="shared" si="8"/>
        <v>0</v>
      </c>
    </row>
    <row r="46" spans="1:30">
      <c r="A46" s="12">
        <v>30.24</v>
      </c>
      <c r="B46" s="12">
        <v>-96.45</v>
      </c>
      <c r="C46" s="10" t="s">
        <v>22</v>
      </c>
      <c r="D46" s="10" t="s">
        <v>37</v>
      </c>
      <c r="E46" s="12">
        <v>87</v>
      </c>
      <c r="F46" s="12">
        <v>5</v>
      </c>
      <c r="G46" s="28" t="s">
        <v>38</v>
      </c>
      <c r="H46" s="31">
        <v>75.06</v>
      </c>
      <c r="I46" s="33">
        <v>75.06</v>
      </c>
      <c r="J46" s="67">
        <v>75.06</v>
      </c>
      <c r="K46" s="14">
        <v>0.28494383053920386</v>
      </c>
      <c r="L46" s="14">
        <v>0.30408390420783277</v>
      </c>
      <c r="M46" s="14">
        <v>0.41097226525296338</v>
      </c>
      <c r="N46" s="13">
        <v>5716</v>
      </c>
      <c r="O46" s="13">
        <v>1321</v>
      </c>
      <c r="P46" s="13">
        <v>22</v>
      </c>
      <c r="Q46" s="40">
        <v>261441</v>
      </c>
      <c r="R46" s="38">
        <f t="shared" si="11"/>
        <v>29.844863013698632</v>
      </c>
      <c r="S46" s="43">
        <v>261441</v>
      </c>
      <c r="T46" s="45">
        <f t="shared" si="9"/>
        <v>29.844863013698628</v>
      </c>
      <c r="U46" s="3">
        <v>63.4</v>
      </c>
      <c r="V46" s="64">
        <v>43.8</v>
      </c>
      <c r="W46" s="5">
        <f t="shared" si="1"/>
        <v>63.399999999999991</v>
      </c>
      <c r="X46" s="5">
        <f t="shared" si="2"/>
        <v>43.8</v>
      </c>
      <c r="Y46" s="66">
        <f t="shared" si="3"/>
        <v>5715.9999999999991</v>
      </c>
      <c r="Z46" s="66">
        <f t="shared" si="4"/>
        <v>1320.9999999999998</v>
      </c>
      <c r="AA46" s="66">
        <f t="shared" si="5"/>
        <v>22</v>
      </c>
      <c r="AB46" s="4">
        <f t="shared" si="6"/>
        <v>8.5041095890410947</v>
      </c>
      <c r="AC46" s="4">
        <f t="shared" si="7"/>
        <v>9.0753424657534243</v>
      </c>
      <c r="AD46" s="4">
        <f t="shared" si="8"/>
        <v>12.265410958904109</v>
      </c>
    </row>
    <row r="47" spans="1:30">
      <c r="A47" s="12">
        <v>30.66</v>
      </c>
      <c r="B47" s="12">
        <v>-96.4</v>
      </c>
      <c r="C47" s="10" t="s">
        <v>22</v>
      </c>
      <c r="D47" s="10" t="s">
        <v>25</v>
      </c>
      <c r="E47" s="12">
        <v>85</v>
      </c>
      <c r="F47" s="12">
        <v>4</v>
      </c>
      <c r="G47" s="39" t="s">
        <v>39</v>
      </c>
      <c r="H47" s="31">
        <v>341.25</v>
      </c>
      <c r="I47" s="31">
        <v>341.25</v>
      </c>
      <c r="J47" s="68">
        <v>341.25</v>
      </c>
      <c r="K47" s="14">
        <v>0.5</v>
      </c>
      <c r="L47" s="14">
        <v>0.43</v>
      </c>
      <c r="M47" s="14">
        <v>7.0000000000000007E-2</v>
      </c>
      <c r="N47" s="13">
        <v>83558</v>
      </c>
      <c r="O47" s="13">
        <v>10746</v>
      </c>
      <c r="P47" s="19">
        <v>14</v>
      </c>
      <c r="Q47" s="40">
        <v>2197418</v>
      </c>
      <c r="R47" s="38">
        <f t="shared" si="11"/>
        <v>250.84680365296805</v>
      </c>
      <c r="S47" s="43">
        <v>2197418</v>
      </c>
      <c r="T47" s="45">
        <f t="shared" si="9"/>
        <v>250.84680365296802</v>
      </c>
      <c r="U47" s="3">
        <v>207</v>
      </c>
      <c r="V47" s="64">
        <v>174</v>
      </c>
      <c r="W47" s="5">
        <f t="shared" si="1"/>
        <v>207</v>
      </c>
      <c r="X47" s="5">
        <f t="shared" si="2"/>
        <v>173.99999999999997</v>
      </c>
      <c r="Y47" s="66">
        <f t="shared" si="3"/>
        <v>83557.999999999985</v>
      </c>
      <c r="Z47" s="66">
        <f t="shared" si="4"/>
        <v>10745.999999999998</v>
      </c>
      <c r="AA47" s="66">
        <f t="shared" si="5"/>
        <v>13.999999999999998</v>
      </c>
      <c r="AB47" s="4">
        <f t="shared" si="6"/>
        <v>125.42340182648401</v>
      </c>
      <c r="AC47" s="4">
        <f t="shared" si="7"/>
        <v>107.86412557077625</v>
      </c>
      <c r="AD47" s="4">
        <f t="shared" si="8"/>
        <v>17.559276255707765</v>
      </c>
    </row>
    <row r="48" spans="1:30">
      <c r="A48" s="12">
        <v>29.15</v>
      </c>
      <c r="B48" s="12">
        <v>-97.19</v>
      </c>
      <c r="C48" s="10" t="s">
        <v>22</v>
      </c>
      <c r="D48" s="10" t="s">
        <v>35</v>
      </c>
      <c r="E48" s="12">
        <v>89</v>
      </c>
      <c r="F48" s="12">
        <v>3</v>
      </c>
      <c r="G48" s="28" t="s">
        <v>40</v>
      </c>
      <c r="H48" s="31">
        <v>43.42</v>
      </c>
      <c r="I48" s="33">
        <v>43.42</v>
      </c>
      <c r="J48" s="67">
        <v>43.42</v>
      </c>
      <c r="K48" s="14">
        <v>0.41743048304134278</v>
      </c>
      <c r="L48" s="14">
        <v>0.37736396333681399</v>
      </c>
      <c r="M48" s="14">
        <v>0.2052055536218432</v>
      </c>
      <c r="N48" s="13">
        <v>3001</v>
      </c>
      <c r="O48" s="13">
        <v>614</v>
      </c>
      <c r="P48" s="13">
        <v>3</v>
      </c>
      <c r="Q48" s="40">
        <v>103428</v>
      </c>
      <c r="R48" s="38">
        <f t="shared" si="11"/>
        <v>11.806849315068494</v>
      </c>
      <c r="S48" s="43">
        <v>103428</v>
      </c>
      <c r="T48" s="45">
        <f t="shared" si="9"/>
        <v>11.806849315068492</v>
      </c>
      <c r="U48" s="3">
        <v>23.1</v>
      </c>
      <c r="V48" s="64">
        <v>21.3</v>
      </c>
      <c r="W48" s="5">
        <f t="shared" si="1"/>
        <v>23.1</v>
      </c>
      <c r="X48" s="5">
        <f t="shared" si="2"/>
        <v>21.299999999999997</v>
      </c>
      <c r="Y48" s="66">
        <f t="shared" si="3"/>
        <v>3000.9999999999995</v>
      </c>
      <c r="Z48" s="66">
        <f t="shared" si="4"/>
        <v>613.99999999999989</v>
      </c>
      <c r="AA48" s="66">
        <f t="shared" si="5"/>
        <v>2.9999999999999996</v>
      </c>
      <c r="AB48" s="4">
        <f t="shared" si="6"/>
        <v>4.928538812785388</v>
      </c>
      <c r="AC48" s="4">
        <f t="shared" si="7"/>
        <v>4.455479452054794</v>
      </c>
      <c r="AD48" s="4">
        <f t="shared" si="8"/>
        <v>2.4228310502283099</v>
      </c>
    </row>
    <row r="49" spans="1:30">
      <c r="A49" s="12">
        <v>32.68</v>
      </c>
      <c r="B49" s="12">
        <v>-98.27</v>
      </c>
      <c r="C49" s="10" t="s">
        <v>18</v>
      </c>
      <c r="D49" s="10" t="s">
        <v>25</v>
      </c>
      <c r="E49" s="12">
        <v>27</v>
      </c>
      <c r="F49" s="12">
        <v>10</v>
      </c>
      <c r="G49" s="28" t="s">
        <v>41</v>
      </c>
      <c r="H49" s="31">
        <v>108.46</v>
      </c>
      <c r="I49" s="33">
        <v>108.46</v>
      </c>
      <c r="J49" s="67">
        <v>108.46</v>
      </c>
      <c r="K49" s="14">
        <v>0.38686748570598933</v>
      </c>
      <c r="L49" s="14">
        <v>0.21460166895970023</v>
      </c>
      <c r="M49" s="14">
        <v>0.39853084533431049</v>
      </c>
      <c r="N49" s="13">
        <v>45375</v>
      </c>
      <c r="O49" s="13">
        <v>5792</v>
      </c>
      <c r="P49" s="13">
        <v>138</v>
      </c>
      <c r="Q49" s="40">
        <v>1446410</v>
      </c>
      <c r="R49" s="38">
        <f t="shared" si="11"/>
        <v>165.11529680365297</v>
      </c>
      <c r="S49" s="43">
        <v>1446410</v>
      </c>
      <c r="T49" s="45">
        <f t="shared" si="9"/>
        <v>165.11529680365297</v>
      </c>
      <c r="U49" s="3">
        <v>349</v>
      </c>
      <c r="V49" s="64">
        <v>204</v>
      </c>
      <c r="W49" s="5">
        <f t="shared" si="1"/>
        <v>349</v>
      </c>
      <c r="X49" s="5">
        <f t="shared" si="2"/>
        <v>204</v>
      </c>
      <c r="Y49" s="66">
        <f t="shared" si="3"/>
        <v>45375</v>
      </c>
      <c r="Z49" s="66">
        <f t="shared" si="4"/>
        <v>5792</v>
      </c>
      <c r="AA49" s="66">
        <f t="shared" si="5"/>
        <v>138</v>
      </c>
      <c r="AB49" s="4">
        <f t="shared" si="6"/>
        <v>63.8777397260274</v>
      </c>
      <c r="AC49" s="4">
        <f t="shared" si="7"/>
        <v>35.434018264840184</v>
      </c>
      <c r="AD49" s="4">
        <f t="shared" si="8"/>
        <v>65.803538812785391</v>
      </c>
    </row>
    <row r="50" spans="1:30">
      <c r="A50" s="12">
        <v>29.27</v>
      </c>
      <c r="B50" s="12">
        <v>-97.8</v>
      </c>
      <c r="C50" s="10" t="s">
        <v>22</v>
      </c>
      <c r="D50" s="10" t="s">
        <v>35</v>
      </c>
      <c r="E50" s="12">
        <v>95</v>
      </c>
      <c r="F50" s="12">
        <v>3</v>
      </c>
      <c r="G50" s="28" t="s">
        <v>42</v>
      </c>
      <c r="H50" s="31">
        <v>20.23</v>
      </c>
      <c r="I50" s="33">
        <v>20.23</v>
      </c>
      <c r="J50" s="67">
        <v>20.23</v>
      </c>
      <c r="K50" s="14">
        <v>0.63555294969947385</v>
      </c>
      <c r="L50" s="14">
        <v>0.36444705030052615</v>
      </c>
      <c r="M50" s="14">
        <v>0</v>
      </c>
      <c r="N50" s="13">
        <v>12841</v>
      </c>
      <c r="O50" s="13">
        <v>2527</v>
      </c>
      <c r="P50" s="13">
        <v>0</v>
      </c>
      <c r="Q50" s="40">
        <v>325762</v>
      </c>
      <c r="R50" s="38">
        <f t="shared" si="11"/>
        <v>37.18744292237443</v>
      </c>
      <c r="S50" s="43">
        <v>325762</v>
      </c>
      <c r="T50" s="45">
        <f t="shared" si="9"/>
        <v>37.18744292237443</v>
      </c>
      <c r="U50" s="3">
        <v>83.2</v>
      </c>
      <c r="V50" s="64">
        <v>85.7</v>
      </c>
      <c r="W50" s="5">
        <f t="shared" si="1"/>
        <v>83.2</v>
      </c>
      <c r="X50" s="5">
        <f t="shared" si="2"/>
        <v>85.7</v>
      </c>
      <c r="Y50" s="66">
        <f t="shared" si="3"/>
        <v>12841</v>
      </c>
      <c r="Z50" s="66">
        <f t="shared" si="4"/>
        <v>2527</v>
      </c>
      <c r="AA50" s="66">
        <f t="shared" si="5"/>
        <v>0</v>
      </c>
      <c r="AB50" s="4">
        <f t="shared" si="6"/>
        <v>23.634589041095889</v>
      </c>
      <c r="AC50" s="4">
        <f t="shared" si="7"/>
        <v>13.552853881278539</v>
      </c>
      <c r="AD50" s="4">
        <f t="shared" si="8"/>
        <v>0</v>
      </c>
    </row>
    <row r="51" spans="1:30">
      <c r="A51" s="12">
        <v>30.28</v>
      </c>
      <c r="B51" s="12">
        <v>-98.88</v>
      </c>
      <c r="C51" s="10" t="s">
        <v>22</v>
      </c>
      <c r="D51" s="10" t="s">
        <v>35</v>
      </c>
      <c r="E51" s="12">
        <v>129</v>
      </c>
      <c r="F51" s="12">
        <v>3</v>
      </c>
      <c r="G51" s="28" t="s">
        <v>43</v>
      </c>
      <c r="H51" s="31">
        <v>51.39</v>
      </c>
      <c r="I51" s="33">
        <v>51.39</v>
      </c>
      <c r="J51" s="67">
        <v>51.39</v>
      </c>
      <c r="K51" s="14">
        <v>0.39176267410303761</v>
      </c>
      <c r="L51" s="14">
        <v>0.60823732589696244</v>
      </c>
      <c r="M51" s="14">
        <v>0</v>
      </c>
      <c r="N51" s="13">
        <v>4504</v>
      </c>
      <c r="O51" s="13">
        <v>1120</v>
      </c>
      <c r="P51" s="19">
        <v>0</v>
      </c>
      <c r="Q51" s="40">
        <v>133757</v>
      </c>
      <c r="R51" s="38">
        <f t="shared" si="11"/>
        <v>15.269063926940639</v>
      </c>
      <c r="S51" s="43">
        <v>133757</v>
      </c>
      <c r="T51" s="45">
        <f t="shared" si="9"/>
        <v>15.269063926940639</v>
      </c>
      <c r="U51" s="3">
        <v>36.5</v>
      </c>
      <c r="V51" s="64">
        <v>28.2</v>
      </c>
      <c r="W51" s="5">
        <f t="shared" si="1"/>
        <v>36.5</v>
      </c>
      <c r="X51" s="5">
        <f t="shared" si="2"/>
        <v>28.199999999999996</v>
      </c>
      <c r="Y51" s="66">
        <f t="shared" si="3"/>
        <v>4504</v>
      </c>
      <c r="Z51" s="66">
        <f t="shared" si="4"/>
        <v>1120</v>
      </c>
      <c r="AA51" s="66">
        <f t="shared" si="5"/>
        <v>0</v>
      </c>
      <c r="AB51" s="4">
        <f t="shared" si="6"/>
        <v>5.9818493150684935</v>
      </c>
      <c r="AC51" s="4">
        <f t="shared" si="7"/>
        <v>9.2872146118721464</v>
      </c>
      <c r="AD51" s="4">
        <f t="shared" si="8"/>
        <v>0</v>
      </c>
    </row>
    <row r="52" spans="1:30">
      <c r="A52" s="12">
        <v>32.82</v>
      </c>
      <c r="B52" s="12">
        <v>-96.54</v>
      </c>
      <c r="C52" s="10" t="s">
        <v>18</v>
      </c>
      <c r="D52" s="10" t="s">
        <v>23</v>
      </c>
      <c r="E52" s="12">
        <v>2</v>
      </c>
      <c r="F52" s="12">
        <v>12</v>
      </c>
      <c r="G52" s="28" t="s">
        <v>44</v>
      </c>
      <c r="H52" s="31">
        <v>2377.94</v>
      </c>
      <c r="I52" s="33">
        <v>2377.94</v>
      </c>
      <c r="J52" s="67">
        <v>2377.94</v>
      </c>
      <c r="K52" s="14">
        <v>0.45426750533259547</v>
      </c>
      <c r="L52" s="14">
        <v>0.40860489949259154</v>
      </c>
      <c r="M52" s="14">
        <v>0.13712759517481299</v>
      </c>
      <c r="N52" s="13">
        <v>63084</v>
      </c>
      <c r="O52" s="13">
        <v>6441</v>
      </c>
      <c r="P52" s="13">
        <v>8</v>
      </c>
      <c r="Q52" s="40">
        <v>1924485</v>
      </c>
      <c r="R52" s="38">
        <f t="shared" si="11"/>
        <v>219.69006849315068</v>
      </c>
      <c r="S52" s="43">
        <v>1924485</v>
      </c>
      <c r="T52" s="45">
        <f t="shared" si="9"/>
        <v>219.69006849315068</v>
      </c>
      <c r="U52" s="3">
        <v>481</v>
      </c>
      <c r="V52" s="64">
        <v>307</v>
      </c>
      <c r="W52" s="5">
        <f t="shared" si="1"/>
        <v>481</v>
      </c>
      <c r="X52" s="5">
        <f t="shared" si="2"/>
        <v>307.00000000000006</v>
      </c>
      <c r="Y52" s="66">
        <f t="shared" si="3"/>
        <v>63084</v>
      </c>
      <c r="Z52" s="66">
        <f t="shared" si="4"/>
        <v>6441</v>
      </c>
      <c r="AA52" s="66">
        <f t="shared" si="5"/>
        <v>8</v>
      </c>
      <c r="AB52" s="4">
        <f t="shared" si="6"/>
        <v>99.798059360730591</v>
      </c>
      <c r="AC52" s="4">
        <f t="shared" si="7"/>
        <v>89.766438356164386</v>
      </c>
      <c r="AD52" s="4">
        <f t="shared" si="8"/>
        <v>30.125570776255703</v>
      </c>
    </row>
    <row r="53" spans="1:30">
      <c r="A53" s="12">
        <v>30.7</v>
      </c>
      <c r="B53" s="12">
        <v>-97.75</v>
      </c>
      <c r="C53" s="10" t="s">
        <v>22</v>
      </c>
      <c r="D53" s="10" t="s">
        <v>25</v>
      </c>
      <c r="E53" s="12">
        <v>51</v>
      </c>
      <c r="F53" s="12">
        <v>4</v>
      </c>
      <c r="G53" s="28" t="s">
        <v>45</v>
      </c>
      <c r="H53" s="31">
        <v>179.93</v>
      </c>
      <c r="I53" s="33">
        <v>179.93</v>
      </c>
      <c r="J53" s="67">
        <v>179.93</v>
      </c>
      <c r="K53" s="14">
        <v>0.41638292948993422</v>
      </c>
      <c r="L53" s="14">
        <v>0.39460017850649565</v>
      </c>
      <c r="M53" s="14">
        <v>0.18901689200357014</v>
      </c>
      <c r="N53" s="13">
        <v>22212</v>
      </c>
      <c r="O53" s="13">
        <v>2608</v>
      </c>
      <c r="P53" s="13">
        <v>23</v>
      </c>
      <c r="Q53" s="40">
        <v>605020</v>
      </c>
      <c r="R53" s="38">
        <f t="shared" si="11"/>
        <v>69.066210045662103</v>
      </c>
      <c r="S53" s="43">
        <v>605020</v>
      </c>
      <c r="T53" s="45">
        <f t="shared" si="9"/>
        <v>69.066210045662103</v>
      </c>
      <c r="U53" s="3">
        <v>150</v>
      </c>
      <c r="V53" s="64">
        <v>100</v>
      </c>
      <c r="W53" s="5">
        <f t="shared" si="1"/>
        <v>150</v>
      </c>
      <c r="X53" s="5">
        <f t="shared" si="2"/>
        <v>100</v>
      </c>
      <c r="Y53" s="66">
        <f t="shared" si="3"/>
        <v>22212</v>
      </c>
      <c r="Z53" s="66">
        <f t="shared" si="4"/>
        <v>2608</v>
      </c>
      <c r="AA53" s="66">
        <f t="shared" si="5"/>
        <v>23</v>
      </c>
      <c r="AB53" s="4">
        <f t="shared" si="6"/>
        <v>28.75799086757991</v>
      </c>
      <c r="AC53" s="4">
        <f t="shared" si="7"/>
        <v>27.25353881278539</v>
      </c>
      <c r="AD53" s="4">
        <f t="shared" si="8"/>
        <v>13.054680365296804</v>
      </c>
    </row>
    <row r="54" spans="1:30">
      <c r="A54" s="12">
        <v>33.119999999999997</v>
      </c>
      <c r="B54" s="12">
        <v>-96.07</v>
      </c>
      <c r="C54" s="10" t="s">
        <v>18</v>
      </c>
      <c r="D54" s="10" t="s">
        <v>35</v>
      </c>
      <c r="E54" s="12">
        <v>7</v>
      </c>
      <c r="F54" s="12">
        <v>9</v>
      </c>
      <c r="G54" s="28" t="s">
        <v>46</v>
      </c>
      <c r="H54" s="31">
        <v>208.82</v>
      </c>
      <c r="I54" s="33">
        <v>208.82</v>
      </c>
      <c r="J54" s="67">
        <v>208.82</v>
      </c>
      <c r="K54" s="14">
        <v>0.28699924092204732</v>
      </c>
      <c r="L54" s="14">
        <v>0.71300075907795268</v>
      </c>
      <c r="M54" s="14">
        <v>0</v>
      </c>
      <c r="N54" s="13">
        <v>11881</v>
      </c>
      <c r="O54" s="13">
        <v>2148</v>
      </c>
      <c r="P54" s="19">
        <v>0</v>
      </c>
      <c r="Q54" s="40">
        <v>516416</v>
      </c>
      <c r="R54" s="38">
        <f t="shared" si="11"/>
        <v>58.951598173515983</v>
      </c>
      <c r="S54" s="43">
        <v>516416</v>
      </c>
      <c r="T54" s="45">
        <f t="shared" si="9"/>
        <v>58.951598173515983</v>
      </c>
      <c r="U54" s="3">
        <v>115</v>
      </c>
      <c r="V54" s="64">
        <v>85</v>
      </c>
      <c r="W54" s="5">
        <f t="shared" si="1"/>
        <v>115</v>
      </c>
      <c r="X54" s="5">
        <f t="shared" si="2"/>
        <v>85</v>
      </c>
      <c r="Y54" s="66">
        <f t="shared" si="3"/>
        <v>11881</v>
      </c>
      <c r="Z54" s="66">
        <f t="shared" si="4"/>
        <v>2148</v>
      </c>
      <c r="AA54" s="66">
        <f t="shared" si="5"/>
        <v>0</v>
      </c>
      <c r="AB54" s="4">
        <f t="shared" si="6"/>
        <v>16.919063926940638</v>
      </c>
      <c r="AC54" s="4">
        <f t="shared" si="7"/>
        <v>42.032534246575345</v>
      </c>
      <c r="AD54" s="4">
        <f t="shared" si="8"/>
        <v>0</v>
      </c>
    </row>
    <row r="55" spans="1:30">
      <c r="A55" s="12">
        <v>29.83</v>
      </c>
      <c r="B55" s="12">
        <v>-97.63</v>
      </c>
      <c r="C55" s="10" t="s">
        <v>22</v>
      </c>
      <c r="D55" s="10" t="s">
        <v>25</v>
      </c>
      <c r="E55" s="12">
        <v>127</v>
      </c>
      <c r="F55" s="12">
        <v>4</v>
      </c>
      <c r="G55" s="28" t="s">
        <v>47</v>
      </c>
      <c r="H55" s="31">
        <v>78.95</v>
      </c>
      <c r="I55" s="33">
        <v>78.95</v>
      </c>
      <c r="J55" s="67">
        <v>78.95</v>
      </c>
      <c r="K55" s="14">
        <v>0.35</v>
      </c>
      <c r="L55" s="14">
        <v>0.55000000000000004</v>
      </c>
      <c r="M55" s="14">
        <v>0.1</v>
      </c>
      <c r="N55" s="13">
        <v>4500</v>
      </c>
      <c r="O55" s="13">
        <v>815</v>
      </c>
      <c r="P55" s="13">
        <v>14</v>
      </c>
      <c r="Q55" s="40">
        <f>609702+102515</f>
        <v>712217</v>
      </c>
      <c r="R55" s="38">
        <f t="shared" si="11"/>
        <v>81.303310502283111</v>
      </c>
      <c r="S55" s="43">
        <f>609702+102515</f>
        <v>712217</v>
      </c>
      <c r="T55" s="45">
        <f t="shared" si="9"/>
        <v>81.303310502283111</v>
      </c>
      <c r="U55" s="3">
        <v>152</v>
      </c>
      <c r="V55" s="64">
        <v>129</v>
      </c>
      <c r="W55" s="5">
        <f t="shared" si="1"/>
        <v>152</v>
      </c>
      <c r="X55" s="5">
        <f t="shared" si="2"/>
        <v>129</v>
      </c>
      <c r="Y55" s="66">
        <f t="shared" si="3"/>
        <v>4500</v>
      </c>
      <c r="Z55" s="66">
        <f t="shared" si="4"/>
        <v>814.99999999999989</v>
      </c>
      <c r="AA55" s="66">
        <f t="shared" si="5"/>
        <v>14</v>
      </c>
      <c r="AB55" s="4">
        <f t="shared" si="6"/>
        <v>28.456158675799088</v>
      </c>
      <c r="AC55" s="4">
        <f t="shared" si="7"/>
        <v>44.716820776255716</v>
      </c>
      <c r="AD55" s="4">
        <f t="shared" si="8"/>
        <v>8.1303310502283122</v>
      </c>
    </row>
    <row r="56" spans="1:30">
      <c r="A56" s="12">
        <v>29.67</v>
      </c>
      <c r="B56" s="12">
        <v>-98.04</v>
      </c>
      <c r="C56" s="10" t="s">
        <v>22</v>
      </c>
      <c r="D56" s="10" t="s">
        <v>37</v>
      </c>
      <c r="E56" s="12">
        <v>114</v>
      </c>
      <c r="F56" s="12">
        <v>5</v>
      </c>
      <c r="G56" s="28" t="s">
        <v>48</v>
      </c>
      <c r="H56" s="31">
        <v>411.14</v>
      </c>
      <c r="I56" s="33">
        <v>411.14</v>
      </c>
      <c r="J56" s="67">
        <v>411.14</v>
      </c>
      <c r="K56" s="9">
        <v>0.30458724957690808</v>
      </c>
      <c r="L56" s="9">
        <v>0.2721033223708722</v>
      </c>
      <c r="M56" s="9">
        <v>0.42330942805221972</v>
      </c>
      <c r="N56" s="13">
        <v>31043</v>
      </c>
      <c r="O56" s="13">
        <v>5705</v>
      </c>
      <c r="P56" s="13">
        <v>13</v>
      </c>
      <c r="Q56" s="40">
        <f>287391+1489629</f>
        <v>1777020</v>
      </c>
      <c r="R56" s="38">
        <f t="shared" si="11"/>
        <v>202.85616438356163</v>
      </c>
      <c r="S56" s="43">
        <f>287391+1489629</f>
        <v>1777020</v>
      </c>
      <c r="T56" s="45">
        <f t="shared" si="9"/>
        <v>202.85616438356166</v>
      </c>
      <c r="U56" s="3">
        <v>353.8</v>
      </c>
      <c r="V56" s="64">
        <v>266.89999999999998</v>
      </c>
      <c r="W56" s="5">
        <f t="shared" si="1"/>
        <v>353.80000000000007</v>
      </c>
      <c r="X56" s="5">
        <f t="shared" si="2"/>
        <v>266.90000000000003</v>
      </c>
      <c r="Y56" s="66">
        <f t="shared" si="3"/>
        <v>31043.000000000004</v>
      </c>
      <c r="Z56" s="66">
        <f t="shared" si="4"/>
        <v>5705.0000000000009</v>
      </c>
      <c r="AA56" s="66">
        <f t="shared" si="5"/>
        <v>13.000000000000002</v>
      </c>
      <c r="AB56" s="4">
        <f t="shared" si="6"/>
        <v>61.787401169310186</v>
      </c>
      <c r="AC56" s="4">
        <f t="shared" si="7"/>
        <v>55.19783629217892</v>
      </c>
      <c r="AD56" s="4">
        <f t="shared" si="8"/>
        <v>85.870926922072556</v>
      </c>
    </row>
    <row r="57" spans="1:30">
      <c r="A57" s="12">
        <v>29.37</v>
      </c>
      <c r="B57" s="12">
        <v>-98.42</v>
      </c>
      <c r="C57" s="10" t="s">
        <v>22</v>
      </c>
      <c r="D57" s="10" t="s">
        <v>23</v>
      </c>
      <c r="E57" s="12">
        <v>103</v>
      </c>
      <c r="F57" s="12">
        <v>6</v>
      </c>
      <c r="G57" s="28" t="s">
        <v>49</v>
      </c>
      <c r="H57" s="31">
        <v>3710.33</v>
      </c>
      <c r="I57" s="33">
        <v>3710.33</v>
      </c>
      <c r="J57" s="67">
        <v>3710.33</v>
      </c>
      <c r="K57" s="9">
        <v>0.43516965363603943</v>
      </c>
      <c r="L57" s="9">
        <v>0.5293749784291113</v>
      </c>
      <c r="M57" s="9">
        <v>3.545536793484929E-2</v>
      </c>
      <c r="N57" s="13">
        <v>709943</v>
      </c>
      <c r="O57" s="13">
        <v>84770</v>
      </c>
      <c r="P57" s="13">
        <v>55</v>
      </c>
      <c r="Q57" s="40">
        <v>21817599</v>
      </c>
      <c r="R57" s="38">
        <f t="shared" si="11"/>
        <v>2490.5934931506849</v>
      </c>
      <c r="S57" s="43">
        <v>21817599</v>
      </c>
      <c r="T57" s="45">
        <f t="shared" si="9"/>
        <v>2490.5934931506849</v>
      </c>
      <c r="U57" s="3">
        <v>5015</v>
      </c>
      <c r="V57" s="64">
        <v>3934</v>
      </c>
      <c r="W57" s="5">
        <f t="shared" si="1"/>
        <v>5015</v>
      </c>
      <c r="X57" s="5">
        <f t="shared" si="2"/>
        <v>3934</v>
      </c>
      <c r="Y57" s="66">
        <f t="shared" si="3"/>
        <v>709943</v>
      </c>
      <c r="Z57" s="66">
        <f t="shared" si="4"/>
        <v>84770</v>
      </c>
      <c r="AA57" s="66">
        <f t="shared" si="5"/>
        <v>54.999999999999993</v>
      </c>
      <c r="AB57" s="4">
        <f t="shared" si="6"/>
        <v>1083.830707762557</v>
      </c>
      <c r="AC57" s="4">
        <f t="shared" si="7"/>
        <v>1318.4578767123287</v>
      </c>
      <c r="AD57" s="4">
        <f t="shared" si="8"/>
        <v>88.304908675799084</v>
      </c>
    </row>
    <row r="58" spans="1:30">
      <c r="A58" s="12">
        <v>31.81</v>
      </c>
      <c r="B58" s="12">
        <v>-98.79</v>
      </c>
      <c r="C58" s="10" t="s">
        <v>18</v>
      </c>
      <c r="D58" s="10" t="s">
        <v>19</v>
      </c>
      <c r="E58" s="12">
        <v>42</v>
      </c>
      <c r="F58" s="12">
        <v>7</v>
      </c>
      <c r="G58" s="28" t="s">
        <v>50</v>
      </c>
      <c r="H58" s="31">
        <v>123.4</v>
      </c>
      <c r="I58" s="99">
        <f>SUM(H58:H59)</f>
        <v>125.28</v>
      </c>
      <c r="J58" s="41">
        <v>125.28</v>
      </c>
      <c r="K58" s="9">
        <v>0.49292033725282619</v>
      </c>
      <c r="L58" s="9">
        <v>0.25215509092971378</v>
      </c>
      <c r="M58" s="9">
        <v>0.25492457181746003</v>
      </c>
      <c r="N58" s="15">
        <v>6997</v>
      </c>
      <c r="O58" s="15">
        <v>1720</v>
      </c>
      <c r="P58" s="15">
        <v>4</v>
      </c>
      <c r="Q58" s="90">
        <v>105796</v>
      </c>
      <c r="R58" s="51">
        <f>Q58/8760</f>
        <v>12.077168949771689</v>
      </c>
      <c r="S58" s="14">
        <f>Q58*H58/I58</f>
        <v>104208.38441890167</v>
      </c>
      <c r="T58" s="45">
        <f t="shared" si="9"/>
        <v>11.895934294395168</v>
      </c>
      <c r="U58" s="3">
        <v>27</v>
      </c>
      <c r="V58" s="64">
        <v>32</v>
      </c>
      <c r="W58" s="5">
        <f>U58*T58/R58</f>
        <v>26.5948275862069</v>
      </c>
      <c r="X58" s="5">
        <f t="shared" si="2"/>
        <v>31.519795657726696</v>
      </c>
      <c r="Y58" s="66">
        <f t="shared" si="3"/>
        <v>6892.0003192848026</v>
      </c>
      <c r="Z58" s="66">
        <f t="shared" si="4"/>
        <v>1694.1890166028102</v>
      </c>
      <c r="AA58" s="66">
        <f t="shared" si="5"/>
        <v>3.9399744572158371</v>
      </c>
      <c r="AB58" s="4">
        <f t="shared" si="6"/>
        <v>5.8637479443307274</v>
      </c>
      <c r="AC58" s="4">
        <f t="shared" si="7"/>
        <v>2.9996203936971142</v>
      </c>
      <c r="AD58" s="4">
        <f t="shared" si="8"/>
        <v>3.0325659563673266</v>
      </c>
    </row>
    <row r="59" spans="1:30">
      <c r="A59" s="12">
        <v>31.46</v>
      </c>
      <c r="B59" s="12">
        <v>-99.54</v>
      </c>
      <c r="C59" s="10" t="s">
        <v>18</v>
      </c>
      <c r="D59" s="10" t="s">
        <v>19</v>
      </c>
      <c r="E59" s="12">
        <v>62</v>
      </c>
      <c r="F59" s="12">
        <v>7</v>
      </c>
      <c r="G59" s="28" t="s">
        <v>50</v>
      </c>
      <c r="H59" s="31">
        <v>1.88</v>
      </c>
      <c r="I59" s="101"/>
      <c r="J59" s="41">
        <v>125.28</v>
      </c>
      <c r="K59" s="9">
        <v>0.49292033725282619</v>
      </c>
      <c r="L59" s="9">
        <v>0.25215509092971378</v>
      </c>
      <c r="M59" s="9">
        <v>0.25492457181746003</v>
      </c>
      <c r="N59" s="15">
        <v>6997</v>
      </c>
      <c r="O59" s="15">
        <v>1720</v>
      </c>
      <c r="P59" s="15">
        <v>4</v>
      </c>
      <c r="Q59" s="92"/>
      <c r="R59" s="51">
        <f>Q58/8760</f>
        <v>12.077168949771689</v>
      </c>
      <c r="S59" s="14">
        <f>Q58*H59/I58</f>
        <v>1587.6155810983396</v>
      </c>
      <c r="T59" s="45">
        <f t="shared" si="9"/>
        <v>0.18123465537652281</v>
      </c>
      <c r="U59" s="3">
        <v>27</v>
      </c>
      <c r="V59" s="64">
        <v>32</v>
      </c>
      <c r="W59" s="5">
        <f t="shared" si="1"/>
        <v>0.40517241379310354</v>
      </c>
      <c r="X59" s="5">
        <f t="shared" si="2"/>
        <v>0.48020434227330783</v>
      </c>
      <c r="Y59" s="66">
        <f t="shared" si="3"/>
        <v>104.99968071519797</v>
      </c>
      <c r="Z59" s="66">
        <f t="shared" si="4"/>
        <v>25.810983397190295</v>
      </c>
      <c r="AA59" s="66">
        <f t="shared" si="5"/>
        <v>6.0025542784163478E-2</v>
      </c>
      <c r="AB59" s="4">
        <f t="shared" si="6"/>
        <v>8.9334247450095355E-2</v>
      </c>
      <c r="AC59" s="4">
        <f t="shared" si="7"/>
        <v>4.5699241006082449E-2</v>
      </c>
      <c r="AD59" s="4">
        <f t="shared" si="8"/>
        <v>4.620116692034501E-2</v>
      </c>
    </row>
    <row r="60" spans="1:30">
      <c r="A60" s="12">
        <v>31.68</v>
      </c>
      <c r="B60" s="12">
        <v>-98.21</v>
      </c>
      <c r="C60" s="10" t="s">
        <v>18</v>
      </c>
      <c r="D60" s="10" t="s">
        <v>25</v>
      </c>
      <c r="E60" s="12">
        <v>43</v>
      </c>
      <c r="F60" s="12">
        <v>10</v>
      </c>
      <c r="G60" s="28" t="s">
        <v>51</v>
      </c>
      <c r="H60" s="31">
        <v>18.71</v>
      </c>
      <c r="I60" s="99">
        <f>SUM(H60:H63)</f>
        <v>75.900000000000006</v>
      </c>
      <c r="J60" s="41">
        <v>75.900000000000006</v>
      </c>
      <c r="K60" s="14">
        <v>0.387651371118305</v>
      </c>
      <c r="L60" s="14">
        <v>0.3965709196170118</v>
      </c>
      <c r="M60" s="14">
        <v>0.2157777092646832</v>
      </c>
      <c r="N60" s="15">
        <v>6235</v>
      </c>
      <c r="O60" s="15">
        <v>10444</v>
      </c>
      <c r="P60" s="15">
        <v>5</v>
      </c>
      <c r="Q60" s="90">
        <v>233532</v>
      </c>
      <c r="R60" s="51">
        <f>233532/8760</f>
        <v>26.658904109589042</v>
      </c>
      <c r="S60" s="14">
        <f>Q60*H60/I60</f>
        <v>57567.63794466402</v>
      </c>
      <c r="T60" s="45">
        <f t="shared" si="9"/>
        <v>6.571648167199089</v>
      </c>
      <c r="U60" s="5">
        <v>27.243579999353152</v>
      </c>
      <c r="V60" s="62">
        <v>25.56791131666613</v>
      </c>
      <c r="W60" s="5">
        <f t="shared" si="1"/>
        <v>6.7157757811317174</v>
      </c>
      <c r="X60" s="5">
        <f t="shared" si="2"/>
        <v>6.3027091005905556</v>
      </c>
      <c r="Y60" s="66">
        <f t="shared" si="3"/>
        <v>1536.9808959156783</v>
      </c>
      <c r="Z60" s="66">
        <f t="shared" si="4"/>
        <v>2574.5354413702235</v>
      </c>
      <c r="AA60" s="66">
        <f t="shared" si="5"/>
        <v>1.2325428194993411</v>
      </c>
      <c r="AB60" s="4">
        <f t="shared" si="6"/>
        <v>2.547508422521823</v>
      </c>
      <c r="AC60" s="4">
        <f t="shared" si="7"/>
        <v>2.6061245570655927</v>
      </c>
      <c r="AD60" s="4">
        <f t="shared" si="8"/>
        <v>1.4180151876116733</v>
      </c>
    </row>
    <row r="61" spans="1:30">
      <c r="A61" s="12">
        <v>31.11</v>
      </c>
      <c r="B61" s="12">
        <v>-99.4</v>
      </c>
      <c r="C61" s="10" t="s">
        <v>18</v>
      </c>
      <c r="D61" s="10" t="s">
        <v>19</v>
      </c>
      <c r="E61" s="12">
        <v>59</v>
      </c>
      <c r="F61" s="12">
        <v>7</v>
      </c>
      <c r="G61" s="28" t="s">
        <v>51</v>
      </c>
      <c r="H61" s="31">
        <v>17.39</v>
      </c>
      <c r="I61" s="100"/>
      <c r="J61" s="41">
        <v>75.900000000000006</v>
      </c>
      <c r="K61" s="14">
        <v>0.387651371118305</v>
      </c>
      <c r="L61" s="14">
        <v>0.3965709196170118</v>
      </c>
      <c r="M61" s="14">
        <v>0.2157777092646832</v>
      </c>
      <c r="N61" s="15">
        <v>6235</v>
      </c>
      <c r="O61" s="15">
        <v>10444</v>
      </c>
      <c r="P61" s="15">
        <v>5</v>
      </c>
      <c r="Q61" s="91"/>
      <c r="R61" s="51">
        <f>233532/8760</f>
        <v>26.658904109589042</v>
      </c>
      <c r="S61" s="14">
        <f>Q60*H61/I60</f>
        <v>53506.211857707509</v>
      </c>
      <c r="T61" s="45">
        <f t="shared" si="9"/>
        <v>6.1080150522497156</v>
      </c>
      <c r="U61" s="5">
        <v>27.243579999353152</v>
      </c>
      <c r="V61" s="62">
        <v>25.56791131666613</v>
      </c>
      <c r="W61" s="5">
        <f t="shared" si="1"/>
        <v>6.24197438983862</v>
      </c>
      <c r="X61" s="5">
        <f t="shared" si="2"/>
        <v>5.8580497733441899</v>
      </c>
      <c r="Y61" s="66">
        <f t="shared" si="3"/>
        <v>1428.546113306983</v>
      </c>
      <c r="Z61" s="66">
        <f t="shared" si="4"/>
        <v>2392.9006587615286</v>
      </c>
      <c r="AA61" s="66">
        <f t="shared" si="5"/>
        <v>1.1455862977602107</v>
      </c>
      <c r="AB61" s="4">
        <f t="shared" si="6"/>
        <v>2.3677804098158477</v>
      </c>
      <c r="AC61" s="4">
        <f t="shared" si="7"/>
        <v>2.4222611463052202</v>
      </c>
      <c r="AD61" s="4">
        <f t="shared" si="8"/>
        <v>1.317973496128648</v>
      </c>
    </row>
    <row r="62" spans="1:30">
      <c r="A62" s="12">
        <v>31.38</v>
      </c>
      <c r="B62" s="12">
        <v>-98.47</v>
      </c>
      <c r="C62" s="10" t="s">
        <v>18</v>
      </c>
      <c r="D62" s="10" t="s">
        <v>19</v>
      </c>
      <c r="E62" s="12">
        <v>65</v>
      </c>
      <c r="F62" s="12">
        <v>7</v>
      </c>
      <c r="G62" s="28" t="s">
        <v>51</v>
      </c>
      <c r="H62" s="31">
        <v>12.49</v>
      </c>
      <c r="I62" s="100"/>
      <c r="J62" s="41">
        <v>75.900000000000006</v>
      </c>
      <c r="K62" s="14">
        <v>0.387651371118305</v>
      </c>
      <c r="L62" s="14">
        <v>0.3965709196170118</v>
      </c>
      <c r="M62" s="14">
        <v>0.2157777092646832</v>
      </c>
      <c r="N62" s="15">
        <v>6235</v>
      </c>
      <c r="O62" s="15">
        <v>10444</v>
      </c>
      <c r="P62" s="15">
        <v>5</v>
      </c>
      <c r="Q62" s="91"/>
      <c r="R62" s="51">
        <f>233532/8760</f>
        <v>26.658904109589042</v>
      </c>
      <c r="S62" s="14">
        <f>Q60*H62/I60</f>
        <v>38429.705928853757</v>
      </c>
      <c r="T62" s="45">
        <f t="shared" si="9"/>
        <v>4.3869527316043095</v>
      </c>
      <c r="U62" s="5">
        <v>27.243579999353152</v>
      </c>
      <c r="V62" s="62">
        <v>25.56791131666613</v>
      </c>
      <c r="W62" s="5">
        <f t="shared" si="1"/>
        <v>4.4831661948869677</v>
      </c>
      <c r="X62" s="5">
        <f t="shared" si="2"/>
        <v>4.2074204525054011</v>
      </c>
      <c r="Y62" s="66">
        <f t="shared" si="3"/>
        <v>1026.0230566534913</v>
      </c>
      <c r="Z62" s="66">
        <f t="shared" si="4"/>
        <v>1718.6503293807641</v>
      </c>
      <c r="AA62" s="66">
        <f t="shared" si="5"/>
        <v>0.82279314888010535</v>
      </c>
      <c r="AB62" s="4">
        <f t="shared" si="6"/>
        <v>1.700608241437604</v>
      </c>
      <c r="AC62" s="4">
        <f t="shared" si="7"/>
        <v>1.739737879088683</v>
      </c>
      <c r="AD62" s="4">
        <f t="shared" si="8"/>
        <v>0.94660661107802246</v>
      </c>
    </row>
    <row r="63" spans="1:30">
      <c r="A63" s="12">
        <v>32.340000000000003</v>
      </c>
      <c r="B63" s="12">
        <v>-99.16</v>
      </c>
      <c r="C63" s="10" t="s">
        <v>18</v>
      </c>
      <c r="D63" s="10" t="s">
        <v>19</v>
      </c>
      <c r="E63" s="12">
        <v>44</v>
      </c>
      <c r="F63" s="12">
        <v>7</v>
      </c>
      <c r="G63" s="28" t="s">
        <v>51</v>
      </c>
      <c r="H63" s="31">
        <v>27.31</v>
      </c>
      <c r="I63" s="101"/>
      <c r="J63" s="41">
        <v>75.900000000000006</v>
      </c>
      <c r="K63" s="14">
        <v>0.387651371118305</v>
      </c>
      <c r="L63" s="14">
        <v>0.3965709196170118</v>
      </c>
      <c r="M63" s="14">
        <v>0.2157777092646832</v>
      </c>
      <c r="N63" s="15">
        <v>6235</v>
      </c>
      <c r="O63" s="15">
        <v>10444</v>
      </c>
      <c r="P63" s="15">
        <v>5</v>
      </c>
      <c r="Q63" s="92"/>
      <c r="R63" s="51">
        <f>233532/8760</f>
        <v>26.658904109589042</v>
      </c>
      <c r="S63" s="14">
        <f>Q60*H63/I60</f>
        <v>84028.444268774692</v>
      </c>
      <c r="T63" s="45">
        <f t="shared" si="9"/>
        <v>9.5922881585359239</v>
      </c>
      <c r="U63" s="5">
        <v>27.243579999353152</v>
      </c>
      <c r="V63" s="62">
        <v>25.56791131666613</v>
      </c>
      <c r="W63" s="5">
        <f t="shared" si="1"/>
        <v>9.8026636334958415</v>
      </c>
      <c r="X63" s="5">
        <f t="shared" si="2"/>
        <v>9.1997319902259793</v>
      </c>
      <c r="Y63" s="66">
        <f t="shared" si="3"/>
        <v>2243.449934123847</v>
      </c>
      <c r="Z63" s="66">
        <f t="shared" si="4"/>
        <v>3757.913570487483</v>
      </c>
      <c r="AA63" s="66">
        <f t="shared" si="5"/>
        <v>1.7990777338603423</v>
      </c>
      <c r="AB63" s="4">
        <f t="shared" si="6"/>
        <v>3.718463656818332</v>
      </c>
      <c r="AC63" s="4">
        <f t="shared" si="7"/>
        <v>3.804022536261964</v>
      </c>
      <c r="AD63" s="4">
        <f t="shared" si="8"/>
        <v>2.0698019654556279</v>
      </c>
    </row>
    <row r="64" spans="1:30">
      <c r="A64" s="12">
        <v>30.88</v>
      </c>
      <c r="B64" s="12">
        <v>-99.86</v>
      </c>
      <c r="C64" s="10" t="s">
        <v>18</v>
      </c>
      <c r="D64" s="10" t="s">
        <v>19</v>
      </c>
      <c r="E64" s="12">
        <v>64</v>
      </c>
      <c r="F64" s="12">
        <v>7</v>
      </c>
      <c r="G64" s="28" t="s">
        <v>52</v>
      </c>
      <c r="H64" s="31">
        <v>4.84</v>
      </c>
      <c r="I64" s="99">
        <f>SUM(H64:H68)</f>
        <v>31.350000000000005</v>
      </c>
      <c r="J64" s="41">
        <v>31.350000000000005</v>
      </c>
      <c r="K64" s="9">
        <v>0.34841256897442169</v>
      </c>
      <c r="L64" s="9">
        <v>0.33206257305172743</v>
      </c>
      <c r="M64" s="9">
        <v>0.31952485797385088</v>
      </c>
      <c r="N64" s="15">
        <v>10157</v>
      </c>
      <c r="O64" s="15">
        <v>2736</v>
      </c>
      <c r="P64" s="15">
        <v>1346</v>
      </c>
      <c r="Q64" s="90">
        <v>294312</v>
      </c>
      <c r="R64" s="51">
        <f>294312/8760</f>
        <v>33.597260273972601</v>
      </c>
      <c r="S64" s="14">
        <f>Q64*H64/I64</f>
        <v>45437.642105263156</v>
      </c>
      <c r="T64" s="45">
        <f t="shared" si="9"/>
        <v>5.1869454458062965</v>
      </c>
      <c r="U64" s="5">
        <v>27.243579999353152</v>
      </c>
      <c r="V64" s="62">
        <v>25.56791131666613</v>
      </c>
      <c r="W64" s="5">
        <f t="shared" si="1"/>
        <v>4.206026385865048</v>
      </c>
      <c r="X64" s="5">
        <f t="shared" si="2"/>
        <v>3.9473266594151215</v>
      </c>
      <c r="Y64" s="66">
        <f t="shared" si="3"/>
        <v>1568.0982456140352</v>
      </c>
      <c r="Z64" s="66">
        <f t="shared" si="4"/>
        <v>422.4</v>
      </c>
      <c r="AA64" s="66">
        <f t="shared" si="5"/>
        <v>207.80350877192984</v>
      </c>
      <c r="AB64" s="4">
        <f t="shared" si="6"/>
        <v>1.8071969879035488</v>
      </c>
      <c r="AC64" s="4">
        <f t="shared" si="7"/>
        <v>1.7223904510133783</v>
      </c>
      <c r="AD64" s="4">
        <f t="shared" si="8"/>
        <v>1.6573580068893696</v>
      </c>
    </row>
    <row r="65" spans="1:30">
      <c r="A65" s="12">
        <v>31.22</v>
      </c>
      <c r="B65" s="12">
        <v>-99.9</v>
      </c>
      <c r="C65" s="10" t="s">
        <v>18</v>
      </c>
      <c r="D65" s="10" t="s">
        <v>19</v>
      </c>
      <c r="E65" s="12">
        <v>63</v>
      </c>
      <c r="F65" s="12">
        <v>7</v>
      </c>
      <c r="G65" s="28" t="s">
        <v>52</v>
      </c>
      <c r="H65" s="31">
        <v>7.55</v>
      </c>
      <c r="I65" s="100"/>
      <c r="J65" s="41">
        <v>31.350000000000005</v>
      </c>
      <c r="K65" s="9">
        <v>0.34841256897442169</v>
      </c>
      <c r="L65" s="9">
        <v>0.33206257305172743</v>
      </c>
      <c r="M65" s="9">
        <v>0.31952485797385088</v>
      </c>
      <c r="N65" s="15">
        <v>10157</v>
      </c>
      <c r="O65" s="15">
        <v>2736</v>
      </c>
      <c r="P65" s="15">
        <v>1346</v>
      </c>
      <c r="Q65" s="91"/>
      <c r="R65" s="51">
        <f>294312/8760</f>
        <v>33.597260273972601</v>
      </c>
      <c r="S65" s="14">
        <f>Q64*H65/I64</f>
        <v>70878.966507177029</v>
      </c>
      <c r="T65" s="45">
        <f t="shared" si="9"/>
        <v>8.0912062222804817</v>
      </c>
      <c r="U65" s="5">
        <v>27.243579999353152</v>
      </c>
      <c r="V65" s="62">
        <v>25.56791131666613</v>
      </c>
      <c r="W65" s="5">
        <f t="shared" si="1"/>
        <v>6.5610535564630394</v>
      </c>
      <c r="X65" s="5">
        <f t="shared" si="2"/>
        <v>6.1575033633438361</v>
      </c>
      <c r="Y65" s="66">
        <f t="shared" si="3"/>
        <v>2446.1036682615627</v>
      </c>
      <c r="Z65" s="66">
        <f t="shared" si="4"/>
        <v>658.90909090909076</v>
      </c>
      <c r="AA65" s="66">
        <f t="shared" si="5"/>
        <v>324.15629984051031</v>
      </c>
      <c r="AB65" s="4">
        <f t="shared" si="6"/>
        <v>2.8190779460065682</v>
      </c>
      <c r="AC65" s="4">
        <f t="shared" si="7"/>
        <v>2.6867867572626039</v>
      </c>
      <c r="AD65" s="4">
        <f t="shared" si="8"/>
        <v>2.5853415190113096</v>
      </c>
    </row>
    <row r="66" spans="1:30">
      <c r="A66" s="12">
        <v>31.08</v>
      </c>
      <c r="B66" s="12">
        <v>-100.68</v>
      </c>
      <c r="C66" s="10" t="s">
        <v>18</v>
      </c>
      <c r="D66" s="10" t="s">
        <v>19</v>
      </c>
      <c r="E66" s="12">
        <v>69</v>
      </c>
      <c r="F66" s="12">
        <v>7</v>
      </c>
      <c r="G66" s="28" t="s">
        <v>52</v>
      </c>
      <c r="H66" s="31">
        <v>11.56</v>
      </c>
      <c r="I66" s="100"/>
      <c r="J66" s="41">
        <v>31.350000000000005</v>
      </c>
      <c r="K66" s="9">
        <v>0.34841256897442169</v>
      </c>
      <c r="L66" s="9">
        <v>0.33206257305172743</v>
      </c>
      <c r="M66" s="9">
        <v>0.31952485797385088</v>
      </c>
      <c r="N66" s="15">
        <v>10157</v>
      </c>
      <c r="O66" s="15">
        <v>2736</v>
      </c>
      <c r="P66" s="15">
        <v>1346</v>
      </c>
      <c r="Q66" s="91"/>
      <c r="R66" s="51">
        <f>294312/8760</f>
        <v>33.597260273972601</v>
      </c>
      <c r="S66" s="14">
        <f>Q64*H66/I64</f>
        <v>108524.61626794258</v>
      </c>
      <c r="T66" s="45">
        <f t="shared" si="9"/>
        <v>12.388654825107601</v>
      </c>
      <c r="U66" s="5">
        <v>27.243579999353152</v>
      </c>
      <c r="V66" s="62">
        <v>25.56791131666613</v>
      </c>
      <c r="W66" s="5">
        <f t="shared" si="1"/>
        <v>10.045798557975198</v>
      </c>
      <c r="X66" s="5">
        <f t="shared" si="2"/>
        <v>9.4279124344708283</v>
      </c>
      <c r="Y66" s="66">
        <f t="shared" si="3"/>
        <v>3745.2925039872412</v>
      </c>
      <c r="Z66" s="66">
        <f t="shared" si="4"/>
        <v>1008.8727272727274</v>
      </c>
      <c r="AA66" s="66">
        <f t="shared" si="5"/>
        <v>496.32408293460929</v>
      </c>
      <c r="AB66" s="4">
        <f t="shared" si="6"/>
        <v>4.3163630537531041</v>
      </c>
      <c r="AC66" s="4">
        <f t="shared" si="7"/>
        <v>4.1138085978749279</v>
      </c>
      <c r="AD66" s="4">
        <f t="shared" si="8"/>
        <v>3.9584831734795687</v>
      </c>
    </row>
    <row r="67" spans="1:30">
      <c r="A67" s="12">
        <v>31.95</v>
      </c>
      <c r="B67" s="12">
        <v>-101.02</v>
      </c>
      <c r="C67" s="10" t="s">
        <v>18</v>
      </c>
      <c r="D67" s="10" t="s">
        <v>19</v>
      </c>
      <c r="E67" s="12">
        <v>72</v>
      </c>
      <c r="F67" s="12">
        <v>7</v>
      </c>
      <c r="G67" s="28" t="s">
        <v>52</v>
      </c>
      <c r="H67" s="31">
        <v>6.67</v>
      </c>
      <c r="I67" s="100"/>
      <c r="J67" s="41">
        <v>31.350000000000005</v>
      </c>
      <c r="K67" s="9">
        <v>0.34841256897442169</v>
      </c>
      <c r="L67" s="9">
        <v>0.33206257305172743</v>
      </c>
      <c r="M67" s="9">
        <v>0.31952485797385088</v>
      </c>
      <c r="N67" s="15">
        <v>10157</v>
      </c>
      <c r="O67" s="15">
        <v>2736</v>
      </c>
      <c r="P67" s="15">
        <v>1346</v>
      </c>
      <c r="Q67" s="91"/>
      <c r="R67" s="51">
        <f>294312/8760</f>
        <v>33.597260273972601</v>
      </c>
      <c r="S67" s="14">
        <f>Q64*H67/I64</f>
        <v>62617.577033492817</v>
      </c>
      <c r="T67" s="45">
        <f t="shared" si="9"/>
        <v>7.1481252321338831</v>
      </c>
      <c r="U67" s="5">
        <v>27.243579999353152</v>
      </c>
      <c r="V67" s="62">
        <v>25.56791131666613</v>
      </c>
      <c r="W67" s="5">
        <f t="shared" ref="W67:W131" si="12">U67*T67/R67</f>
        <v>5.7963214863057573</v>
      </c>
      <c r="X67" s="5">
        <f t="shared" ref="X67:X131" si="13">V67*T67/R67</f>
        <v>5.4398076070865411</v>
      </c>
      <c r="Y67" s="66">
        <f t="shared" ref="Y67:Y131" si="14">N67*T67/R67</f>
        <v>2160.9948963317383</v>
      </c>
      <c r="Z67" s="66">
        <f t="shared" ref="Z67:Z131" si="15">O67*T67/R67</f>
        <v>582.10909090909092</v>
      </c>
      <c r="AA67" s="66">
        <f t="shared" ref="AA67:AA131" si="16">P67*T67/R67</f>
        <v>286.37384370015951</v>
      </c>
      <c r="AB67" s="4">
        <f t="shared" si="6"/>
        <v>2.4904966754786506</v>
      </c>
      <c r="AC67" s="4">
        <f t="shared" si="7"/>
        <v>2.3736248570783536</v>
      </c>
      <c r="AD67" s="4">
        <f t="shared" si="8"/>
        <v>2.2840036995768789</v>
      </c>
    </row>
    <row r="68" spans="1:30">
      <c r="A68" s="12">
        <v>31.6</v>
      </c>
      <c r="B68" s="12">
        <v>-100.8</v>
      </c>
      <c r="C68" s="10" t="s">
        <v>18</v>
      </c>
      <c r="D68" s="10" t="s">
        <v>19</v>
      </c>
      <c r="E68" s="12">
        <v>74</v>
      </c>
      <c r="F68" s="12">
        <v>7</v>
      </c>
      <c r="G68" s="28" t="s">
        <v>52</v>
      </c>
      <c r="H68" s="31">
        <v>0.73</v>
      </c>
      <c r="I68" s="101"/>
      <c r="J68" s="41">
        <v>31.350000000000005</v>
      </c>
      <c r="K68" s="9">
        <v>0.34841256897442169</v>
      </c>
      <c r="L68" s="9">
        <v>0.33206257305172743</v>
      </c>
      <c r="M68" s="9">
        <v>0.31952485797385088</v>
      </c>
      <c r="N68" s="15">
        <v>10157</v>
      </c>
      <c r="O68" s="15">
        <v>2736</v>
      </c>
      <c r="P68" s="15">
        <v>1346</v>
      </c>
      <c r="Q68" s="92"/>
      <c r="R68" s="51">
        <f>294312/8760</f>
        <v>33.597260273972601</v>
      </c>
      <c r="S68" s="14">
        <f>Q64*H68/I64</f>
        <v>6853.198086124401</v>
      </c>
      <c r="T68" s="45">
        <f t="shared" si="9"/>
        <v>0.78232854864433798</v>
      </c>
      <c r="U68" s="5">
        <v>27.243579999353152</v>
      </c>
      <c r="V68" s="62">
        <v>25.56791131666613</v>
      </c>
      <c r="W68" s="5">
        <f t="shared" si="12"/>
        <v>0.63438001274410838</v>
      </c>
      <c r="X68" s="5">
        <f t="shared" si="13"/>
        <v>0.59536125234980131</v>
      </c>
      <c r="Y68" s="66">
        <f t="shared" si="14"/>
        <v>236.51068580542261</v>
      </c>
      <c r="Z68" s="66">
        <f t="shared" si="15"/>
        <v>63.709090909090897</v>
      </c>
      <c r="AA68" s="66">
        <f t="shared" si="16"/>
        <v>31.342264752791067</v>
      </c>
      <c r="AB68" s="4">
        <f t="shared" ref="AB68:AB131" si="17">K68*T68</f>
        <v>0.27257309941520463</v>
      </c>
      <c r="AC68" s="4">
        <f t="shared" ref="AC68:AC131" si="18">L68*T68</f>
        <v>0.25978203083466239</v>
      </c>
      <c r="AD68" s="4">
        <f t="shared" ref="AD68:AD131" si="19">M68*T68</f>
        <v>0.24997341839447099</v>
      </c>
    </row>
    <row r="69" spans="1:30">
      <c r="A69" s="12">
        <v>33.71</v>
      </c>
      <c r="B69" s="12">
        <v>-97.36</v>
      </c>
      <c r="C69" s="10" t="s">
        <v>18</v>
      </c>
      <c r="D69" s="10" t="s">
        <v>25</v>
      </c>
      <c r="E69" s="12">
        <v>31</v>
      </c>
      <c r="F69" s="12">
        <v>10</v>
      </c>
      <c r="G69" s="28" t="s">
        <v>53</v>
      </c>
      <c r="H69" s="31">
        <v>62.47</v>
      </c>
      <c r="I69" s="99">
        <f>SUM(H69:H70)</f>
        <v>74.319999999999993</v>
      </c>
      <c r="J69" s="41">
        <v>74.319999999999993</v>
      </c>
      <c r="K69" s="14">
        <v>0.37548204485901215</v>
      </c>
      <c r="L69" s="14">
        <v>0.62451795514098785</v>
      </c>
      <c r="M69" s="14">
        <v>0</v>
      </c>
      <c r="N69" s="15">
        <v>13611</v>
      </c>
      <c r="O69" s="15">
        <v>2324</v>
      </c>
      <c r="P69" s="15">
        <v>0</v>
      </c>
      <c r="Q69" s="90">
        <v>485432</v>
      </c>
      <c r="R69" s="51">
        <f>485432/8760</f>
        <v>55.414611872146118</v>
      </c>
      <c r="S69" s="14">
        <f>Q69*H69/I69</f>
        <v>408031.98385360604</v>
      </c>
      <c r="T69" s="45">
        <f t="shared" si="9"/>
        <v>46.578993590594301</v>
      </c>
      <c r="U69" s="3">
        <v>59.8</v>
      </c>
      <c r="V69" s="64">
        <v>54.8</v>
      </c>
      <c r="W69" s="5">
        <f t="shared" si="12"/>
        <v>50.265150699677072</v>
      </c>
      <c r="X69" s="5">
        <f t="shared" si="13"/>
        <v>46.062378902045211</v>
      </c>
      <c r="Y69" s="66">
        <f t="shared" si="14"/>
        <v>11440.785387513457</v>
      </c>
      <c r="Z69" s="66">
        <f t="shared" si="15"/>
        <v>1953.4483315392897</v>
      </c>
      <c r="AA69" s="66">
        <f t="shared" si="16"/>
        <v>0</v>
      </c>
      <c r="AB69" s="4">
        <f t="shared" si="17"/>
        <v>17.489575760871169</v>
      </c>
      <c r="AC69" s="4">
        <f t="shared" si="18"/>
        <v>29.089417829723132</v>
      </c>
      <c r="AD69" s="4">
        <f t="shared" si="19"/>
        <v>0</v>
      </c>
    </row>
    <row r="70" spans="1:30">
      <c r="A70" s="12">
        <v>33.799999999999997</v>
      </c>
      <c r="B70" s="12">
        <v>-97.74</v>
      </c>
      <c r="C70" s="10" t="s">
        <v>18</v>
      </c>
      <c r="D70" s="10" t="s">
        <v>25</v>
      </c>
      <c r="E70" s="12">
        <v>32</v>
      </c>
      <c r="F70" s="12">
        <v>10</v>
      </c>
      <c r="G70" s="28" t="s">
        <v>53</v>
      </c>
      <c r="H70" s="31">
        <v>11.85</v>
      </c>
      <c r="I70" s="101"/>
      <c r="J70" s="41">
        <v>74.319999999999993</v>
      </c>
      <c r="K70" s="14">
        <v>0.37548204485901215</v>
      </c>
      <c r="L70" s="14">
        <v>0.62451795514098785</v>
      </c>
      <c r="M70" s="14">
        <v>0</v>
      </c>
      <c r="N70" s="15">
        <v>13611</v>
      </c>
      <c r="O70" s="15">
        <v>2324</v>
      </c>
      <c r="P70" s="15">
        <v>0</v>
      </c>
      <c r="Q70" s="92"/>
      <c r="R70" s="51">
        <f>485432/8760</f>
        <v>55.414611872146118</v>
      </c>
      <c r="S70" s="14">
        <f>H70/I69</f>
        <v>0.15944564047362755</v>
      </c>
      <c r="T70" s="45">
        <f t="shared" si="9"/>
        <v>1.8201557131692642E-5</v>
      </c>
      <c r="U70" s="3">
        <v>59.8</v>
      </c>
      <c r="V70" s="64">
        <v>54.8</v>
      </c>
      <c r="W70" s="5">
        <f t="shared" si="12"/>
        <v>1.9641987549899733E-5</v>
      </c>
      <c r="X70" s="5">
        <f t="shared" si="13"/>
        <v>1.7999680898570323E-5</v>
      </c>
      <c r="Y70" s="66">
        <f t="shared" si="14"/>
        <v>4.4706871662489175E-3</v>
      </c>
      <c r="Z70" s="66">
        <f t="shared" si="15"/>
        <v>7.6334413153790936E-4</v>
      </c>
      <c r="AA70" s="66">
        <f t="shared" si="16"/>
        <v>0</v>
      </c>
      <c r="AB70" s="4">
        <f t="shared" si="17"/>
        <v>6.8343578914260889E-6</v>
      </c>
      <c r="AC70" s="4">
        <f t="shared" si="18"/>
        <v>1.1367199240266553E-5</v>
      </c>
      <c r="AD70" s="4">
        <f t="shared" si="19"/>
        <v>0</v>
      </c>
    </row>
    <row r="71" spans="1:30">
      <c r="A71" s="12">
        <v>33.61</v>
      </c>
      <c r="B71" s="12">
        <v>-96.16</v>
      </c>
      <c r="C71" s="10" t="s">
        <v>18</v>
      </c>
      <c r="D71" s="10" t="s">
        <v>19</v>
      </c>
      <c r="E71" s="12">
        <v>11</v>
      </c>
      <c r="F71" s="12">
        <v>7</v>
      </c>
      <c r="G71" s="28" t="s">
        <v>54</v>
      </c>
      <c r="H71" s="31">
        <v>37.76</v>
      </c>
      <c r="I71" s="99">
        <f>SUM(H71:H72)</f>
        <v>136.76</v>
      </c>
      <c r="J71" s="41">
        <v>136.76</v>
      </c>
      <c r="K71" s="14">
        <v>0.87823916891558573</v>
      </c>
      <c r="L71" s="14">
        <v>0.12120222860625054</v>
      </c>
      <c r="M71" s="14">
        <v>5.5860247816372135E-4</v>
      </c>
      <c r="N71" s="15">
        <v>13611</v>
      </c>
      <c r="O71" s="15">
        <v>2324</v>
      </c>
      <c r="P71" s="15">
        <v>0</v>
      </c>
      <c r="Q71" s="90">
        <v>137844</v>
      </c>
      <c r="R71" s="51">
        <f>137844/8760</f>
        <v>15.735616438356164</v>
      </c>
      <c r="S71" s="14">
        <f>Q71*H71/I71</f>
        <v>38059.296870429949</v>
      </c>
      <c r="T71" s="45">
        <f t="shared" si="9"/>
        <v>4.3446685925148349</v>
      </c>
      <c r="U71" s="3">
        <v>40</v>
      </c>
      <c r="V71" s="64">
        <v>38</v>
      </c>
      <c r="W71" s="5">
        <f t="shared" si="12"/>
        <v>11.044164960514772</v>
      </c>
      <c r="X71" s="5">
        <f t="shared" si="13"/>
        <v>10.491956712489033</v>
      </c>
      <c r="Y71" s="66">
        <f t="shared" si="14"/>
        <v>3758.0532319391637</v>
      </c>
      <c r="Z71" s="66">
        <f t="shared" si="15"/>
        <v>641.66598420590822</v>
      </c>
      <c r="AA71" s="66">
        <f t="shared" si="16"/>
        <v>0</v>
      </c>
      <c r="AB71" s="4">
        <f t="shared" si="17"/>
        <v>3.8156581339038764</v>
      </c>
      <c r="AC71" s="4">
        <f t="shared" si="18"/>
        <v>0.52658351596837982</v>
      </c>
      <c r="AD71" s="4">
        <f t="shared" si="19"/>
        <v>2.4269426425788739E-3</v>
      </c>
    </row>
    <row r="72" spans="1:30">
      <c r="A72" s="12">
        <v>33.65</v>
      </c>
      <c r="B72" s="12">
        <v>-95.58</v>
      </c>
      <c r="C72" s="10" t="s">
        <v>18</v>
      </c>
      <c r="D72" s="70" t="s">
        <v>25</v>
      </c>
      <c r="E72" s="71">
        <v>8</v>
      </c>
      <c r="F72" s="71">
        <v>10</v>
      </c>
      <c r="G72" s="72" t="s">
        <v>54</v>
      </c>
      <c r="H72" s="73">
        <v>99</v>
      </c>
      <c r="I72" s="101"/>
      <c r="J72" s="41">
        <v>136.76</v>
      </c>
      <c r="K72" s="14">
        <v>0.87823916891558573</v>
      </c>
      <c r="L72" s="14">
        <v>0.12120222860625054</v>
      </c>
      <c r="M72" s="14">
        <v>5.5860247816372135E-4</v>
      </c>
      <c r="N72" s="15">
        <v>13611</v>
      </c>
      <c r="O72" s="15">
        <v>2324</v>
      </c>
      <c r="P72" s="15">
        <v>0</v>
      </c>
      <c r="Q72" s="92"/>
      <c r="R72" s="51">
        <f>137844/8760</f>
        <v>15.735616438356164</v>
      </c>
      <c r="S72" s="14">
        <f>Q71*H72/I71</f>
        <v>99784.703129570058</v>
      </c>
      <c r="T72" s="45">
        <f t="shared" si="9"/>
        <v>11.390947845841332</v>
      </c>
      <c r="U72" s="3">
        <v>40</v>
      </c>
      <c r="V72" s="64">
        <v>38</v>
      </c>
      <c r="W72" s="5">
        <f t="shared" si="12"/>
        <v>28.955835039485233</v>
      </c>
      <c r="X72" s="5">
        <f t="shared" si="13"/>
        <v>27.508043287510972</v>
      </c>
      <c r="Y72" s="66">
        <f t="shared" si="14"/>
        <v>9852.9467680608395</v>
      </c>
      <c r="Z72" s="66">
        <f t="shared" si="15"/>
        <v>1682.3340157940922</v>
      </c>
      <c r="AA72" s="66">
        <f t="shared" si="16"/>
        <v>0</v>
      </c>
      <c r="AB72" s="4">
        <f t="shared" si="17"/>
        <v>10.003976569292472</v>
      </c>
      <c r="AC72" s="4">
        <f t="shared" si="18"/>
        <v>1.3806082648535383</v>
      </c>
      <c r="AD72" s="4">
        <f t="shared" si="19"/>
        <v>6.3630116953206708E-3</v>
      </c>
    </row>
    <row r="73" spans="1:30">
      <c r="A73" s="12">
        <v>28.76</v>
      </c>
      <c r="B73" s="12">
        <v>-97.99</v>
      </c>
      <c r="C73" s="10" t="s">
        <v>22</v>
      </c>
      <c r="D73" s="10" t="s">
        <v>19</v>
      </c>
      <c r="E73" s="12">
        <v>102</v>
      </c>
      <c r="F73" s="12">
        <v>1</v>
      </c>
      <c r="G73" s="28" t="s">
        <v>55</v>
      </c>
      <c r="H73" s="31">
        <v>33.19</v>
      </c>
      <c r="I73" s="33">
        <v>33.19</v>
      </c>
      <c r="J73" s="33">
        <v>33.19</v>
      </c>
      <c r="K73" s="9">
        <v>0.50956300667816934</v>
      </c>
      <c r="L73" s="9">
        <v>0.22410515094567715</v>
      </c>
      <c r="M73" s="9">
        <v>0.26633184237615348</v>
      </c>
      <c r="N73" s="13">
        <v>9371</v>
      </c>
      <c r="O73" s="13">
        <v>289</v>
      </c>
      <c r="P73" s="13">
        <v>9</v>
      </c>
      <c r="Q73" s="37">
        <v>272979</v>
      </c>
      <c r="R73" s="37">
        <f>272979/8760</f>
        <v>31.161986301369861</v>
      </c>
      <c r="S73" s="2">
        <v>272979</v>
      </c>
      <c r="T73" s="45">
        <f t="shared" si="9"/>
        <v>31.161986301369865</v>
      </c>
      <c r="U73" s="3">
        <v>37.9</v>
      </c>
      <c r="V73" s="64">
        <v>37.9</v>
      </c>
      <c r="W73" s="5">
        <f t="shared" si="12"/>
        <v>37.900000000000006</v>
      </c>
      <c r="X73" s="5">
        <f t="shared" si="13"/>
        <v>37.900000000000006</v>
      </c>
      <c r="Y73" s="66">
        <f t="shared" si="14"/>
        <v>9371</v>
      </c>
      <c r="Z73" s="66">
        <f t="shared" si="15"/>
        <v>289.00000000000006</v>
      </c>
      <c r="AA73" s="66">
        <f t="shared" si="16"/>
        <v>9.0000000000000018</v>
      </c>
      <c r="AB73" s="4">
        <f t="shared" si="17"/>
        <v>15.878995433789953</v>
      </c>
      <c r="AC73" s="4">
        <f t="shared" si="18"/>
        <v>6.9835616438356176</v>
      </c>
      <c r="AD73" s="4">
        <f t="shared" si="19"/>
        <v>8.2994292237442924</v>
      </c>
    </row>
    <row r="74" spans="1:30">
      <c r="A74" s="12">
        <v>33.46</v>
      </c>
      <c r="B74" s="12">
        <v>-98.55</v>
      </c>
      <c r="C74" s="10" t="s">
        <v>18</v>
      </c>
      <c r="D74" s="10" t="s">
        <v>19</v>
      </c>
      <c r="E74" s="12">
        <v>34</v>
      </c>
      <c r="F74" s="12">
        <v>7</v>
      </c>
      <c r="G74" s="28" t="s">
        <v>56</v>
      </c>
      <c r="H74" s="31">
        <v>21.46</v>
      </c>
      <c r="I74" s="99">
        <f>SUM(H74:H76)</f>
        <v>52.990000000000009</v>
      </c>
      <c r="J74" s="41">
        <v>52.990000000000009</v>
      </c>
      <c r="K74" s="9">
        <v>0.4106356445831989</v>
      </c>
      <c r="L74" s="9">
        <v>0.5893643554168011</v>
      </c>
      <c r="M74" s="9">
        <v>0</v>
      </c>
      <c r="N74" s="15">
        <v>4343</v>
      </c>
      <c r="O74" s="15">
        <v>1835</v>
      </c>
      <c r="P74" s="16">
        <v>0</v>
      </c>
      <c r="Q74" s="90">
        <v>114671</v>
      </c>
      <c r="R74" s="51">
        <f>114671/8760</f>
        <v>13.090296803652969</v>
      </c>
      <c r="S74" s="14">
        <f>Q74*H74/I74</f>
        <v>46439.69918852613</v>
      </c>
      <c r="T74" s="45">
        <f t="shared" si="9"/>
        <v>5.3013355238043527</v>
      </c>
      <c r="U74" s="3">
        <v>24</v>
      </c>
      <c r="V74" s="64">
        <v>22</v>
      </c>
      <c r="W74" s="5">
        <f t="shared" si="12"/>
        <v>9.7195697301377599</v>
      </c>
      <c r="X74" s="5">
        <f t="shared" si="13"/>
        <v>8.9096055859596124</v>
      </c>
      <c r="Y74" s="66">
        <f t="shared" si="14"/>
        <v>1758.8371390828454</v>
      </c>
      <c r="Z74" s="66">
        <f t="shared" si="15"/>
        <v>743.14210228344962</v>
      </c>
      <c r="AA74" s="66">
        <f t="shared" si="16"/>
        <v>0</v>
      </c>
      <c r="AB74" s="4">
        <f t="shared" si="17"/>
        <v>2.1769173299692106</v>
      </c>
      <c r="AC74" s="4">
        <f t="shared" si="18"/>
        <v>3.1244181938351421</v>
      </c>
      <c r="AD74" s="4">
        <f t="shared" si="19"/>
        <v>0</v>
      </c>
    </row>
    <row r="75" spans="1:30">
      <c r="A75" s="12">
        <v>32.799999999999997</v>
      </c>
      <c r="B75" s="12">
        <v>-98.89</v>
      </c>
      <c r="C75" s="10" t="s">
        <v>18</v>
      </c>
      <c r="D75" s="10" t="s">
        <v>19</v>
      </c>
      <c r="E75" s="12">
        <v>39</v>
      </c>
      <c r="F75" s="12">
        <v>7</v>
      </c>
      <c r="G75" s="28" t="s">
        <v>56</v>
      </c>
      <c r="H75" s="31">
        <v>22.55</v>
      </c>
      <c r="I75" s="100"/>
      <c r="J75" s="41">
        <v>52.990000000000009</v>
      </c>
      <c r="K75" s="9">
        <v>0.4106356445831989</v>
      </c>
      <c r="L75" s="9">
        <v>0.5893643554168011</v>
      </c>
      <c r="M75" s="9">
        <v>0</v>
      </c>
      <c r="N75" s="15">
        <v>4343</v>
      </c>
      <c r="O75" s="15">
        <v>1835</v>
      </c>
      <c r="P75" s="16">
        <v>0</v>
      </c>
      <c r="Q75" s="91"/>
      <c r="R75" s="51">
        <f>114671/8760</f>
        <v>13.090296803652969</v>
      </c>
      <c r="S75" s="14">
        <f>Q74*H75/I74</f>
        <v>48798.472353274199</v>
      </c>
      <c r="T75" s="45">
        <f t="shared" si="9"/>
        <v>5.5706018668121233</v>
      </c>
      <c r="U75" s="3">
        <v>24</v>
      </c>
      <c r="V75" s="64">
        <v>22</v>
      </c>
      <c r="W75" s="5">
        <f t="shared" si="12"/>
        <v>10.21324778260049</v>
      </c>
      <c r="X75" s="5">
        <f t="shared" si="13"/>
        <v>9.3621438007171154</v>
      </c>
      <c r="Y75" s="66">
        <f t="shared" si="14"/>
        <v>1848.172296659747</v>
      </c>
      <c r="Z75" s="66">
        <f t="shared" si="15"/>
        <v>780.88790337799583</v>
      </c>
      <c r="AA75" s="66">
        <f t="shared" si="16"/>
        <v>0</v>
      </c>
      <c r="AB75" s="4">
        <f t="shared" si="17"/>
        <v>2.2874876882947675</v>
      </c>
      <c r="AC75" s="4">
        <f t="shared" si="18"/>
        <v>3.2831141785173559</v>
      </c>
      <c r="AD75" s="4">
        <f t="shared" si="19"/>
        <v>0</v>
      </c>
    </row>
    <row r="76" spans="1:30">
      <c r="A76" s="12">
        <v>33.76</v>
      </c>
      <c r="B76" s="12">
        <v>-98.2</v>
      </c>
      <c r="C76" s="10" t="s">
        <v>18</v>
      </c>
      <c r="D76" s="10" t="s">
        <v>19</v>
      </c>
      <c r="E76" s="12">
        <v>37</v>
      </c>
      <c r="F76" s="12">
        <v>7</v>
      </c>
      <c r="G76" s="28" t="s">
        <v>56</v>
      </c>
      <c r="H76" s="31">
        <v>8.98</v>
      </c>
      <c r="I76" s="101"/>
      <c r="J76" s="41">
        <v>52.990000000000009</v>
      </c>
      <c r="K76" s="9">
        <v>0.4106356445831989</v>
      </c>
      <c r="L76" s="9">
        <v>0.5893643554168011</v>
      </c>
      <c r="M76" s="9">
        <v>0</v>
      </c>
      <c r="N76" s="15">
        <v>4343</v>
      </c>
      <c r="O76" s="15">
        <v>1835</v>
      </c>
      <c r="P76" s="16">
        <v>0</v>
      </c>
      <c r="Q76" s="92"/>
      <c r="R76" s="51">
        <f>114671/8760</f>
        <v>13.090296803652969</v>
      </c>
      <c r="S76" s="14">
        <f>Q74*H76/I74</f>
        <v>19432.82845819966</v>
      </c>
      <c r="T76" s="45">
        <f t="shared" si="9"/>
        <v>2.2183594130364908</v>
      </c>
      <c r="U76" s="3">
        <v>24</v>
      </c>
      <c r="V76" s="64">
        <v>22</v>
      </c>
      <c r="W76" s="5">
        <f t="shared" si="12"/>
        <v>4.0671824872617472</v>
      </c>
      <c r="X76" s="5">
        <f t="shared" si="13"/>
        <v>3.7282506133232678</v>
      </c>
      <c r="Y76" s="66">
        <f t="shared" si="14"/>
        <v>735.99056425740707</v>
      </c>
      <c r="Z76" s="66">
        <f t="shared" si="15"/>
        <v>310.96999433855439</v>
      </c>
      <c r="AA76" s="66">
        <f t="shared" si="16"/>
        <v>0</v>
      </c>
      <c r="AB76" s="4">
        <f t="shared" si="17"/>
        <v>0.91093744748944616</v>
      </c>
      <c r="AC76" s="4">
        <f t="shared" si="18"/>
        <v>1.3074219655470447</v>
      </c>
      <c r="AD76" s="4">
        <f t="shared" si="19"/>
        <v>0</v>
      </c>
    </row>
    <row r="77" spans="1:30">
      <c r="A77" s="12">
        <v>33.58</v>
      </c>
      <c r="B77" s="12">
        <v>-96.62</v>
      </c>
      <c r="C77" s="10" t="s">
        <v>18</v>
      </c>
      <c r="D77" s="10" t="s">
        <v>25</v>
      </c>
      <c r="E77" s="12">
        <v>1</v>
      </c>
      <c r="F77" s="12">
        <v>10</v>
      </c>
      <c r="G77" s="28" t="s">
        <v>57</v>
      </c>
      <c r="H77" s="31">
        <v>328.92</v>
      </c>
      <c r="I77" s="33">
        <v>328.92</v>
      </c>
      <c r="J77" s="33">
        <v>328.92</v>
      </c>
      <c r="K77" s="9">
        <v>0.82300061673468494</v>
      </c>
      <c r="L77" s="9">
        <v>0.17699938326531509</v>
      </c>
      <c r="M77" s="9">
        <v>0</v>
      </c>
      <c r="N77" s="13">
        <v>44211</v>
      </c>
      <c r="O77" s="13">
        <v>2790</v>
      </c>
      <c r="P77" s="16">
        <v>0</v>
      </c>
      <c r="Q77" s="37">
        <v>864229</v>
      </c>
      <c r="R77" s="37">
        <f>864229/8760</f>
        <v>98.656278538812785</v>
      </c>
      <c r="S77" s="2">
        <v>864229</v>
      </c>
      <c r="T77" s="45">
        <f t="shared" si="9"/>
        <v>98.656278538812785</v>
      </c>
      <c r="U77" s="5">
        <v>46.3</v>
      </c>
      <c r="V77" s="62">
        <v>62.1</v>
      </c>
      <c r="W77" s="5">
        <f t="shared" si="12"/>
        <v>46.29999999999999</v>
      </c>
      <c r="X77" s="5">
        <f t="shared" si="13"/>
        <v>62.099999999999994</v>
      </c>
      <c r="Y77" s="66">
        <f t="shared" si="14"/>
        <v>44211</v>
      </c>
      <c r="Z77" s="66">
        <f t="shared" si="15"/>
        <v>2790</v>
      </c>
      <c r="AA77" s="66">
        <f t="shared" si="16"/>
        <v>0</v>
      </c>
      <c r="AB77" s="4">
        <f t="shared" si="17"/>
        <v>81.194178082191783</v>
      </c>
      <c r="AC77" s="4">
        <f t="shared" si="18"/>
        <v>17.462100456621002</v>
      </c>
      <c r="AD77" s="4">
        <f t="shared" si="19"/>
        <v>0</v>
      </c>
    </row>
    <row r="78" spans="1:30">
      <c r="A78" s="12">
        <v>34.700000000000003</v>
      </c>
      <c r="B78" s="12">
        <v>-100.07</v>
      </c>
      <c r="C78" s="10" t="s">
        <v>18</v>
      </c>
      <c r="D78" s="10" t="s">
        <v>19</v>
      </c>
      <c r="E78" s="12">
        <v>146</v>
      </c>
      <c r="F78" s="12">
        <v>7</v>
      </c>
      <c r="G78" s="28" t="s">
        <v>58</v>
      </c>
      <c r="H78" s="31">
        <v>0.28999999999999998</v>
      </c>
      <c r="I78" s="97">
        <f>SUM(H78:H79)</f>
        <v>41.72</v>
      </c>
      <c r="J78" s="42">
        <v>41.72</v>
      </c>
      <c r="K78" s="9">
        <v>8.9339521221022664E-2</v>
      </c>
      <c r="L78" s="9">
        <v>7.305089108611057E-2</v>
      </c>
      <c r="M78" s="9">
        <v>0.83760958769286675</v>
      </c>
      <c r="N78" s="13">
        <v>3613</v>
      </c>
      <c r="O78" s="13">
        <v>912</v>
      </c>
      <c r="P78" s="13">
        <v>773</v>
      </c>
      <c r="Q78" s="90">
        <v>264172</v>
      </c>
      <c r="R78" s="51">
        <f>264172/8760</f>
        <v>30.156621004566212</v>
      </c>
      <c r="S78" s="14">
        <f>Q78*H78/I78</f>
        <v>1836.2866730584849</v>
      </c>
      <c r="T78" s="45">
        <f t="shared" si="9"/>
        <v>0.20962176633087726</v>
      </c>
      <c r="U78" s="3">
        <v>1.9</v>
      </c>
      <c r="V78" s="64">
        <v>1.85</v>
      </c>
      <c r="W78" s="5">
        <f t="shared" si="12"/>
        <v>1.320709491850431E-2</v>
      </c>
      <c r="X78" s="5">
        <f t="shared" si="13"/>
        <v>1.2859539789069988E-2</v>
      </c>
      <c r="Y78" s="66">
        <f t="shared" si="14"/>
        <v>25.114333652924248</v>
      </c>
      <c r="Z78" s="66">
        <f t="shared" si="15"/>
        <v>6.339405560882069</v>
      </c>
      <c r="AA78" s="66">
        <f t="shared" si="16"/>
        <v>5.3732023010546488</v>
      </c>
      <c r="AB78" s="4">
        <f t="shared" si="17"/>
        <v>1.8727508241505663E-2</v>
      </c>
      <c r="AC78" s="4">
        <f t="shared" si="18"/>
        <v>1.5313056821515035E-2</v>
      </c>
      <c r="AD78" s="4">
        <f t="shared" si="19"/>
        <v>0.17558120126785656</v>
      </c>
    </row>
    <row r="79" spans="1:30">
      <c r="A79" s="12">
        <v>28.72</v>
      </c>
      <c r="B79" s="12">
        <v>-98.48</v>
      </c>
      <c r="C79" s="10" t="s">
        <v>22</v>
      </c>
      <c r="D79" s="10" t="s">
        <v>25</v>
      </c>
      <c r="E79" s="12">
        <v>105</v>
      </c>
      <c r="F79" s="12">
        <v>4</v>
      </c>
      <c r="G79" s="28" t="s">
        <v>58</v>
      </c>
      <c r="H79" s="31">
        <v>41.43</v>
      </c>
      <c r="I79" s="98"/>
      <c r="J79" s="42">
        <v>41.72</v>
      </c>
      <c r="K79" s="9">
        <v>8.9339521221022664E-2</v>
      </c>
      <c r="L79" s="9">
        <v>7.305089108611057E-2</v>
      </c>
      <c r="M79" s="9">
        <v>0.83760958769286675</v>
      </c>
      <c r="N79" s="13">
        <v>3613</v>
      </c>
      <c r="O79" s="13">
        <v>912</v>
      </c>
      <c r="P79" s="13">
        <v>773</v>
      </c>
      <c r="Q79" s="92"/>
      <c r="R79" s="51">
        <f>264172/8760</f>
        <v>30.156621004566212</v>
      </c>
      <c r="S79" s="14">
        <f>Q78*H79/I78</f>
        <v>262335.71332694148</v>
      </c>
      <c r="T79" s="45">
        <f t="shared" si="9"/>
        <v>29.946999238235332</v>
      </c>
      <c r="U79" s="3">
        <v>1.9</v>
      </c>
      <c r="V79" s="64">
        <v>1.85</v>
      </c>
      <c r="W79" s="5">
        <f t="shared" si="12"/>
        <v>1.8867929050814953</v>
      </c>
      <c r="X79" s="5">
        <f t="shared" si="13"/>
        <v>1.8371404602109298</v>
      </c>
      <c r="Y79" s="66">
        <f t="shared" si="14"/>
        <v>3587.8856663470751</v>
      </c>
      <c r="Z79" s="66">
        <f t="shared" si="15"/>
        <v>905.66059443911786</v>
      </c>
      <c r="AA79" s="66">
        <f t="shared" si="16"/>
        <v>767.62679769894532</v>
      </c>
      <c r="AB79" s="4">
        <f t="shared" si="17"/>
        <v>2.675450573950275</v>
      </c>
      <c r="AC79" s="4">
        <f t="shared" si="18"/>
        <v>2.1876549797081655</v>
      </c>
      <c r="AD79" s="4">
        <f t="shared" si="19"/>
        <v>25.083893684576893</v>
      </c>
    </row>
    <row r="80" spans="1:30">
      <c r="A80" s="12">
        <v>28.94</v>
      </c>
      <c r="B80" s="12">
        <v>-97.55</v>
      </c>
      <c r="C80" s="10" t="s">
        <v>22</v>
      </c>
      <c r="D80" s="10" t="s">
        <v>25</v>
      </c>
      <c r="E80" s="12">
        <v>93</v>
      </c>
      <c r="F80" s="12">
        <v>4</v>
      </c>
      <c r="G80" s="28" t="s">
        <v>59</v>
      </c>
      <c r="H80" s="31">
        <v>12.94</v>
      </c>
      <c r="I80" s="99">
        <f>SUM(H80:H81)</f>
        <v>164.85999999999999</v>
      </c>
      <c r="J80" s="41">
        <v>164.85999999999999</v>
      </c>
      <c r="K80" s="9">
        <v>0.43260582276123705</v>
      </c>
      <c r="L80" s="9">
        <v>0.10708022207168381</v>
      </c>
      <c r="M80" s="9">
        <v>0.46031395516707913</v>
      </c>
      <c r="N80" s="15">
        <v>73278</v>
      </c>
      <c r="O80" s="15">
        <v>6309</v>
      </c>
      <c r="P80" s="15">
        <v>109</v>
      </c>
      <c r="Q80" s="90">
        <v>2341226</v>
      </c>
      <c r="R80" s="51">
        <f>2341226/8760</f>
        <v>267.2632420091324</v>
      </c>
      <c r="S80" s="14">
        <f>Q80*H80/I80</f>
        <v>183764.79703991266</v>
      </c>
      <c r="T80" s="45">
        <f t="shared" si="9"/>
        <v>20.977716557067655</v>
      </c>
      <c r="U80" s="3">
        <v>489</v>
      </c>
      <c r="V80" s="64">
        <v>439</v>
      </c>
      <c r="W80" s="5">
        <f t="shared" si="12"/>
        <v>38.382021108819607</v>
      </c>
      <c r="X80" s="5">
        <f t="shared" si="13"/>
        <v>34.457479073152982</v>
      </c>
      <c r="Y80" s="66">
        <f t="shared" si="14"/>
        <v>5751.6518257915814</v>
      </c>
      <c r="Z80" s="66">
        <f t="shared" si="15"/>
        <v>495.19871406041494</v>
      </c>
      <c r="AA80" s="66">
        <f t="shared" si="16"/>
        <v>8.5555016377532471</v>
      </c>
      <c r="AB80" s="4">
        <f t="shared" si="17"/>
        <v>9.0750823308222781</v>
      </c>
      <c r="AC80" s="4">
        <f t="shared" si="18"/>
        <v>2.2462985474876431</v>
      </c>
      <c r="AD80" s="4">
        <f t="shared" si="19"/>
        <v>9.6563356787577348</v>
      </c>
    </row>
    <row r="81" spans="1:30">
      <c r="A81" s="12">
        <v>29.97</v>
      </c>
      <c r="B81" s="12">
        <v>-96.1</v>
      </c>
      <c r="C81" s="10" t="s">
        <v>22</v>
      </c>
      <c r="D81" s="10" t="s">
        <v>19</v>
      </c>
      <c r="E81" s="12">
        <v>82</v>
      </c>
      <c r="F81" s="12">
        <v>1</v>
      </c>
      <c r="G81" s="28" t="s">
        <v>59</v>
      </c>
      <c r="H81" s="31">
        <v>151.91999999999999</v>
      </c>
      <c r="I81" s="101"/>
      <c r="J81" s="41">
        <v>164.85999999999999</v>
      </c>
      <c r="K81" s="9">
        <v>0.43260582276123705</v>
      </c>
      <c r="L81" s="9">
        <v>0.10708022207168381</v>
      </c>
      <c r="M81" s="9">
        <v>0.46031395516707913</v>
      </c>
      <c r="N81" s="15">
        <v>73278</v>
      </c>
      <c r="O81" s="15">
        <v>6309</v>
      </c>
      <c r="P81" s="15">
        <v>109</v>
      </c>
      <c r="Q81" s="92"/>
      <c r="R81" s="51">
        <f>2341226/8760</f>
        <v>267.2632420091324</v>
      </c>
      <c r="S81" s="14">
        <f>Q80*H81/I80</f>
        <v>2157461.2029600875</v>
      </c>
      <c r="T81" s="45">
        <f t="shared" si="9"/>
        <v>246.28552545206477</v>
      </c>
      <c r="U81" s="3">
        <v>489</v>
      </c>
      <c r="V81" s="64">
        <v>439</v>
      </c>
      <c r="W81" s="5">
        <f t="shared" si="12"/>
        <v>450.61797889118048</v>
      </c>
      <c r="X81" s="5">
        <f t="shared" si="13"/>
        <v>404.54252092684709</v>
      </c>
      <c r="Y81" s="66">
        <f t="shared" si="14"/>
        <v>67526.348174208426</v>
      </c>
      <c r="Z81" s="66">
        <f t="shared" si="15"/>
        <v>5813.8012859395858</v>
      </c>
      <c r="AA81" s="66">
        <f t="shared" si="16"/>
        <v>100.44449836224678</v>
      </c>
      <c r="AB81" s="4">
        <f t="shared" si="17"/>
        <v>106.54455237237407</v>
      </c>
      <c r="AC81" s="4">
        <f t="shared" si="18"/>
        <v>26.372308758448433</v>
      </c>
      <c r="AD81" s="4">
        <f t="shared" si="19"/>
        <v>113.36866432124226</v>
      </c>
    </row>
    <row r="82" spans="1:30">
      <c r="A82" s="12">
        <v>31.1</v>
      </c>
      <c r="B82" s="12">
        <v>-98.26</v>
      </c>
      <c r="C82" s="10" t="s">
        <v>22</v>
      </c>
      <c r="D82" s="10" t="s">
        <v>25</v>
      </c>
      <c r="E82" s="12">
        <v>190</v>
      </c>
      <c r="F82" s="12">
        <v>10</v>
      </c>
      <c r="G82" s="28" t="s">
        <v>60</v>
      </c>
      <c r="H82" s="31">
        <v>27.37</v>
      </c>
      <c r="I82" s="93">
        <f>SUM(H82:H83)</f>
        <v>120.04</v>
      </c>
      <c r="J82" s="33">
        <v>120.04</v>
      </c>
      <c r="K82" s="9">
        <v>0.89975941886810085</v>
      </c>
      <c r="L82" s="9">
        <v>0.1002405811318992</v>
      </c>
      <c r="M82" s="9">
        <v>0</v>
      </c>
      <c r="N82" s="13">
        <v>16920</v>
      </c>
      <c r="O82" s="13">
        <v>758</v>
      </c>
      <c r="P82" s="16">
        <v>0</v>
      </c>
      <c r="Q82" s="90">
        <v>214065</v>
      </c>
      <c r="R82" s="51">
        <f>214065/8760</f>
        <v>24.436643835616437</v>
      </c>
      <c r="S82" s="14">
        <f>Q82*H82/I82</f>
        <v>48808.389286904363</v>
      </c>
      <c r="T82" s="45">
        <f t="shared" si="9"/>
        <v>5.5717339368612286</v>
      </c>
      <c r="U82" s="3">
        <v>58.2</v>
      </c>
      <c r="V82" s="64">
        <v>75.599999999999994</v>
      </c>
      <c r="W82" s="5">
        <f t="shared" si="12"/>
        <v>13.27002665778074</v>
      </c>
      <c r="X82" s="5">
        <f t="shared" si="13"/>
        <v>17.237354215261579</v>
      </c>
      <c r="Y82" s="66">
        <f t="shared" si="14"/>
        <v>3857.8840386537822</v>
      </c>
      <c r="Z82" s="66">
        <f t="shared" si="15"/>
        <v>172.8295568143952</v>
      </c>
      <c r="AA82" s="66">
        <f t="shared" si="16"/>
        <v>0</v>
      </c>
      <c r="AB82" s="4">
        <f t="shared" si="17"/>
        <v>5.0132200891179348</v>
      </c>
      <c r="AC82" s="4">
        <f t="shared" si="18"/>
        <v>0.55851384774329405</v>
      </c>
      <c r="AD82" s="4">
        <f t="shared" si="19"/>
        <v>0</v>
      </c>
    </row>
    <row r="83" spans="1:30">
      <c r="A83" s="12">
        <v>31.45</v>
      </c>
      <c r="B83" s="12">
        <v>-97.63</v>
      </c>
      <c r="C83" s="10" t="s">
        <v>18</v>
      </c>
      <c r="D83" s="10" t="s">
        <v>25</v>
      </c>
      <c r="E83" s="12">
        <v>52</v>
      </c>
      <c r="F83" s="12">
        <v>10</v>
      </c>
      <c r="G83" s="28" t="s">
        <v>60</v>
      </c>
      <c r="H83" s="31">
        <v>92.67</v>
      </c>
      <c r="I83" s="95"/>
      <c r="J83" s="33">
        <v>120.04</v>
      </c>
      <c r="K83" s="9">
        <v>0.89975941886810085</v>
      </c>
      <c r="L83" s="9">
        <v>0.1002405811318992</v>
      </c>
      <c r="M83" s="9">
        <v>0</v>
      </c>
      <c r="N83" s="13">
        <v>16920</v>
      </c>
      <c r="O83" s="13">
        <v>758</v>
      </c>
      <c r="P83" s="16">
        <v>0</v>
      </c>
      <c r="Q83" s="92"/>
      <c r="R83" s="52">
        <f>214065/8760</f>
        <v>24.436643835616437</v>
      </c>
      <c r="S83" s="14">
        <f>Q82*H83/I82</f>
        <v>165256.61071309564</v>
      </c>
      <c r="T83" s="45">
        <f t="shared" si="9"/>
        <v>18.864909898755212</v>
      </c>
      <c r="U83" s="3">
        <v>58.2</v>
      </c>
      <c r="V83" s="64">
        <v>75.599999999999994</v>
      </c>
      <c r="W83" s="5">
        <f t="shared" si="12"/>
        <v>44.929973342219277</v>
      </c>
      <c r="X83" s="5">
        <f t="shared" si="13"/>
        <v>58.362645784738426</v>
      </c>
      <c r="Y83" s="66">
        <f t="shared" si="14"/>
        <v>13062.115961346221</v>
      </c>
      <c r="Z83" s="66">
        <f t="shared" si="15"/>
        <v>585.17044318560488</v>
      </c>
      <c r="AA83" s="66">
        <f t="shared" si="16"/>
        <v>0</v>
      </c>
      <c r="AB83" s="4">
        <f t="shared" si="17"/>
        <v>16.973880367503071</v>
      </c>
      <c r="AC83" s="4">
        <f t="shared" si="18"/>
        <v>1.8910295312521399</v>
      </c>
      <c r="AD83" s="4">
        <f t="shared" si="19"/>
        <v>0</v>
      </c>
    </row>
    <row r="84" spans="1:30">
      <c r="A84" s="12">
        <v>31.5</v>
      </c>
      <c r="B84" s="12">
        <v>-97.02</v>
      </c>
      <c r="C84" s="10" t="s">
        <v>18</v>
      </c>
      <c r="D84" s="70" t="s">
        <v>25</v>
      </c>
      <c r="E84" s="71">
        <v>53</v>
      </c>
      <c r="F84" s="71">
        <v>10</v>
      </c>
      <c r="G84" s="72" t="s">
        <v>61</v>
      </c>
      <c r="H84" s="73">
        <v>553.41999999999996</v>
      </c>
      <c r="I84" s="33">
        <v>553.41999999999996</v>
      </c>
      <c r="J84" s="33">
        <v>553.41999999999996</v>
      </c>
      <c r="K84" s="9">
        <v>0.732976653696498</v>
      </c>
      <c r="L84" s="9">
        <v>0.16123284865861151</v>
      </c>
      <c r="M84" s="9">
        <v>0.10579049764489043</v>
      </c>
      <c r="N84" s="15">
        <v>15911</v>
      </c>
      <c r="O84" s="15">
        <v>4958</v>
      </c>
      <c r="P84" s="15">
        <v>47</v>
      </c>
      <c r="Q84" s="2">
        <v>390640</v>
      </c>
      <c r="R84" s="2">
        <f>390640/8760</f>
        <v>44.593607305936075</v>
      </c>
      <c r="S84" s="2">
        <v>390640</v>
      </c>
      <c r="T84" s="45">
        <f t="shared" si="9"/>
        <v>44.593607305936075</v>
      </c>
      <c r="U84" s="3">
        <v>91</v>
      </c>
      <c r="V84" s="64">
        <v>122</v>
      </c>
      <c r="W84" s="5">
        <f t="shared" si="12"/>
        <v>91</v>
      </c>
      <c r="X84" s="5">
        <f t="shared" si="13"/>
        <v>122</v>
      </c>
      <c r="Y84" s="66">
        <f t="shared" si="14"/>
        <v>15911.000000000002</v>
      </c>
      <c r="Z84" s="66">
        <f t="shared" si="15"/>
        <v>4958</v>
      </c>
      <c r="AA84" s="66">
        <f t="shared" si="16"/>
        <v>47</v>
      </c>
      <c r="AB84" s="4">
        <f t="shared" si="17"/>
        <v>32.68607305936073</v>
      </c>
      <c r="AC84" s="4">
        <f t="shared" si="18"/>
        <v>7.1899543378995441</v>
      </c>
      <c r="AD84" s="4">
        <f t="shared" si="19"/>
        <v>4.7175799086757992</v>
      </c>
    </row>
    <row r="85" spans="1:30">
      <c r="A85" s="12">
        <v>31.86</v>
      </c>
      <c r="B85" s="12">
        <v>-97.36</v>
      </c>
      <c r="C85" s="10" t="s">
        <v>18</v>
      </c>
      <c r="D85" s="10" t="s">
        <v>19</v>
      </c>
      <c r="E85" s="12">
        <v>54</v>
      </c>
      <c r="F85" s="12">
        <v>7</v>
      </c>
      <c r="G85" s="28" t="s">
        <v>62</v>
      </c>
      <c r="H85" s="31">
        <v>93.21</v>
      </c>
      <c r="I85" s="33">
        <v>93.21</v>
      </c>
      <c r="J85" s="33">
        <v>93.21</v>
      </c>
      <c r="K85" s="9">
        <v>0.72599546559414874</v>
      </c>
      <c r="L85" s="9">
        <v>0.25619991266183978</v>
      </c>
      <c r="M85" s="9">
        <v>1.7804621744011453E-2</v>
      </c>
      <c r="N85" s="13">
        <v>20189</v>
      </c>
      <c r="O85" s="13">
        <v>6098</v>
      </c>
      <c r="P85" s="13">
        <v>1</v>
      </c>
      <c r="Q85" s="2">
        <v>501499</v>
      </c>
      <c r="R85" s="2">
        <f>501499/8760</f>
        <v>57.24874429223744</v>
      </c>
      <c r="S85" s="2">
        <v>501499</v>
      </c>
      <c r="T85" s="45">
        <f t="shared" si="9"/>
        <v>57.24874429223744</v>
      </c>
      <c r="U85" s="3">
        <v>132</v>
      </c>
      <c r="V85" s="64">
        <v>164</v>
      </c>
      <c r="W85" s="5">
        <f t="shared" si="12"/>
        <v>132</v>
      </c>
      <c r="X85" s="5">
        <f t="shared" si="13"/>
        <v>164</v>
      </c>
      <c r="Y85" s="66">
        <f t="shared" si="14"/>
        <v>20189</v>
      </c>
      <c r="Z85" s="66">
        <f t="shared" si="15"/>
        <v>6098</v>
      </c>
      <c r="AA85" s="66">
        <f t="shared" si="16"/>
        <v>1</v>
      </c>
      <c r="AB85" s="4">
        <f t="shared" si="17"/>
        <v>41.562328767123283</v>
      </c>
      <c r="AC85" s="4">
        <f t="shared" si="18"/>
        <v>14.667123287671231</v>
      </c>
      <c r="AD85" s="4">
        <f t="shared" si="19"/>
        <v>1.0192922374429223</v>
      </c>
    </row>
    <row r="86" spans="1:30">
      <c r="A86" s="12">
        <v>31.3</v>
      </c>
      <c r="B86" s="12">
        <v>-95.45</v>
      </c>
      <c r="C86" s="10" t="s">
        <v>22</v>
      </c>
      <c r="D86" s="10" t="s">
        <v>25</v>
      </c>
      <c r="E86" s="12">
        <v>20</v>
      </c>
      <c r="F86" s="12">
        <v>4</v>
      </c>
      <c r="G86" s="28" t="s">
        <v>63</v>
      </c>
      <c r="H86" s="31">
        <v>39</v>
      </c>
      <c r="I86" s="97">
        <f>SUM(H86:H87)</f>
        <v>83.68</v>
      </c>
      <c r="J86" s="42">
        <v>83.68</v>
      </c>
      <c r="K86" s="9">
        <v>0.46849135378275064</v>
      </c>
      <c r="L86" s="9">
        <v>0.19057652868938715</v>
      </c>
      <c r="M86" s="9">
        <v>0.34093211752786223</v>
      </c>
      <c r="N86" s="15">
        <v>19819</v>
      </c>
      <c r="O86" s="15">
        <v>1474</v>
      </c>
      <c r="P86" s="15">
        <v>13</v>
      </c>
      <c r="Q86" s="90">
        <v>408618</v>
      </c>
      <c r="R86" s="51">
        <f>408618/8760</f>
        <v>46.645890410958906</v>
      </c>
      <c r="S86" s="14">
        <f>Q86*H86/I86</f>
        <v>190440.9894837476</v>
      </c>
      <c r="T86" s="45">
        <f t="shared" si="9"/>
        <v>21.739838982162969</v>
      </c>
      <c r="U86" s="6">
        <f>U85*Q85/Q86</f>
        <v>162.00428762315903</v>
      </c>
      <c r="V86" s="63">
        <f>V85*Q85/Q86</f>
        <v>201.27805431968244</v>
      </c>
      <c r="W86" s="5">
        <f t="shared" si="12"/>
        <v>75.503910340621431</v>
      </c>
      <c r="X86" s="5">
        <f t="shared" si="13"/>
        <v>93.807888605014512</v>
      </c>
      <c r="Y86" s="66">
        <f t="shared" si="14"/>
        <v>9236.8666347992348</v>
      </c>
      <c r="Z86" s="66">
        <f t="shared" si="15"/>
        <v>686.97418738049703</v>
      </c>
      <c r="AA86" s="66">
        <f t="shared" si="16"/>
        <v>6.0587954110898661</v>
      </c>
      <c r="AB86" s="4">
        <f t="shared" si="17"/>
        <v>10.184926595772545</v>
      </c>
      <c r="AC86" s="4">
        <f t="shared" si="18"/>
        <v>4.1431030474868384</v>
      </c>
      <c r="AD86" s="4">
        <f t="shared" si="19"/>
        <v>7.411809338903586</v>
      </c>
    </row>
    <row r="87" spans="1:30">
      <c r="A87" s="12">
        <v>30.6</v>
      </c>
      <c r="B87" s="12">
        <v>-95.97</v>
      </c>
      <c r="C87" s="10" t="s">
        <v>22</v>
      </c>
      <c r="D87" s="10" t="s">
        <v>19</v>
      </c>
      <c r="E87" s="12">
        <v>86</v>
      </c>
      <c r="F87" s="12">
        <v>1</v>
      </c>
      <c r="G87" s="28" t="s">
        <v>63</v>
      </c>
      <c r="H87" s="31">
        <v>44.68</v>
      </c>
      <c r="I87" s="98"/>
      <c r="J87" s="42">
        <v>83.68</v>
      </c>
      <c r="K87" s="9">
        <v>0.46849135378275064</v>
      </c>
      <c r="L87" s="9">
        <v>0.19057652868938715</v>
      </c>
      <c r="M87" s="9">
        <v>0.34093211752786223</v>
      </c>
      <c r="N87" s="15">
        <v>19819</v>
      </c>
      <c r="O87" s="15">
        <v>1474</v>
      </c>
      <c r="P87" s="15">
        <v>13</v>
      </c>
      <c r="Q87" s="92"/>
      <c r="R87" s="51">
        <f>408618/8760</f>
        <v>46.645890410958906</v>
      </c>
      <c r="S87" s="14">
        <f>Q86*H87/I86</f>
        <v>218177.01051625234</v>
      </c>
      <c r="T87" s="45">
        <f t="shared" si="9"/>
        <v>24.90605142879593</v>
      </c>
      <c r="U87" s="6">
        <v>162.00428762315903</v>
      </c>
      <c r="V87" s="63">
        <v>201.27805431968244</v>
      </c>
      <c r="W87" s="5">
        <f t="shared" si="12"/>
        <v>86.500377282537571</v>
      </c>
      <c r="X87" s="5">
        <f t="shared" si="13"/>
        <v>107.47016571466789</v>
      </c>
      <c r="Y87" s="66">
        <f t="shared" si="14"/>
        <v>10582.133365200762</v>
      </c>
      <c r="Z87" s="66">
        <f t="shared" si="15"/>
        <v>787.02581261950274</v>
      </c>
      <c r="AA87" s="66">
        <f t="shared" si="16"/>
        <v>6.9412045889101321</v>
      </c>
      <c r="AB87" s="4">
        <f t="shared" si="17"/>
        <v>11.668269751259416</v>
      </c>
      <c r="AC87" s="4">
        <f t="shared" si="18"/>
        <v>4.746508824659279</v>
      </c>
      <c r="AD87" s="4">
        <f t="shared" si="19"/>
        <v>8.4912728528772359</v>
      </c>
    </row>
    <row r="88" spans="1:30">
      <c r="A88" s="12">
        <v>28.07</v>
      </c>
      <c r="B88" s="12">
        <v>-97.91</v>
      </c>
      <c r="C88" s="10" t="s">
        <v>22</v>
      </c>
      <c r="D88" s="10" t="s">
        <v>19</v>
      </c>
      <c r="E88" s="12">
        <v>121</v>
      </c>
      <c r="F88" s="12">
        <v>1</v>
      </c>
      <c r="G88" s="28" t="s">
        <v>64</v>
      </c>
      <c r="H88" s="31">
        <v>33.58</v>
      </c>
      <c r="I88" s="97">
        <f>SUM(H88:H89)</f>
        <v>50.51</v>
      </c>
      <c r="J88" s="42">
        <v>50.51</v>
      </c>
      <c r="K88" s="9">
        <v>0.21509868256453146</v>
      </c>
      <c r="L88" s="9">
        <v>7.0716905063155408E-2</v>
      </c>
      <c r="M88" s="9">
        <v>0.71418441237231312</v>
      </c>
      <c r="N88" s="15">
        <v>13939</v>
      </c>
      <c r="O88" s="15">
        <v>1611</v>
      </c>
      <c r="P88" s="15">
        <v>27</v>
      </c>
      <c r="Q88" s="90">
        <v>699465</v>
      </c>
      <c r="R88" s="51">
        <f>699465/8760</f>
        <v>79.847602739726028</v>
      </c>
      <c r="S88" s="14">
        <f>Q88*H88/I88</f>
        <v>465017.51534349634</v>
      </c>
      <c r="T88" s="45">
        <f t="shared" si="9"/>
        <v>53.084191249257572</v>
      </c>
      <c r="U88" s="3">
        <v>76</v>
      </c>
      <c r="V88" s="64">
        <v>60</v>
      </c>
      <c r="W88" s="5">
        <f t="shared" si="12"/>
        <v>50.526232429221935</v>
      </c>
      <c r="X88" s="5">
        <f t="shared" si="13"/>
        <v>39.889130865175211</v>
      </c>
      <c r="Y88" s="66">
        <f t="shared" si="14"/>
        <v>9266.9099188279561</v>
      </c>
      <c r="Z88" s="66">
        <f t="shared" si="15"/>
        <v>1071.0231637299544</v>
      </c>
      <c r="AA88" s="66">
        <f t="shared" si="16"/>
        <v>17.950108889328845</v>
      </c>
      <c r="AB88" s="4">
        <f t="shared" si="17"/>
        <v>11.418339602718934</v>
      </c>
      <c r="AC88" s="4">
        <f t="shared" si="18"/>
        <v>3.753949712928133</v>
      </c>
      <c r="AD88" s="4">
        <f t="shared" si="19"/>
        <v>37.911901933610508</v>
      </c>
    </row>
    <row r="89" spans="1:30">
      <c r="A89" s="12">
        <v>28.37</v>
      </c>
      <c r="B89" s="12">
        <v>-98.19</v>
      </c>
      <c r="C89" s="10" t="s">
        <v>22</v>
      </c>
      <c r="D89" s="10" t="s">
        <v>25</v>
      </c>
      <c r="E89" s="12">
        <v>101</v>
      </c>
      <c r="F89" s="12">
        <v>4</v>
      </c>
      <c r="G89" s="28" t="s">
        <v>65</v>
      </c>
      <c r="H89" s="31">
        <v>16.93</v>
      </c>
      <c r="I89" s="98"/>
      <c r="J89" s="42">
        <v>50.51</v>
      </c>
      <c r="K89" s="9">
        <v>0.21509868256453146</v>
      </c>
      <c r="L89" s="9">
        <v>7.0716905063155408E-2</v>
      </c>
      <c r="M89" s="9">
        <v>0.71418441237231312</v>
      </c>
      <c r="N89" s="15">
        <v>13939</v>
      </c>
      <c r="O89" s="15">
        <v>1611</v>
      </c>
      <c r="P89" s="15">
        <v>27</v>
      </c>
      <c r="Q89" s="92"/>
      <c r="R89" s="51">
        <f>699465/8760</f>
        <v>79.847602739726028</v>
      </c>
      <c r="S89" s="14">
        <f>Q88*H89/I88</f>
        <v>234447.48465650366</v>
      </c>
      <c r="T89" s="45">
        <f t="shared" ref="T89:T155" si="20">S89/365/24</f>
        <v>26.763411490468453</v>
      </c>
      <c r="U89" s="3">
        <v>76</v>
      </c>
      <c r="V89" s="64">
        <v>60</v>
      </c>
      <c r="W89" s="5">
        <f t="shared" si="12"/>
        <v>25.473767570778062</v>
      </c>
      <c r="X89" s="5">
        <f t="shared" si="13"/>
        <v>20.110869134824785</v>
      </c>
      <c r="Y89" s="66">
        <f t="shared" si="14"/>
        <v>4672.0900811720448</v>
      </c>
      <c r="Z89" s="66">
        <f t="shared" si="15"/>
        <v>539.97683627004551</v>
      </c>
      <c r="AA89" s="66">
        <f t="shared" si="16"/>
        <v>9.0498911106711528</v>
      </c>
      <c r="AB89" s="4">
        <f t="shared" si="17"/>
        <v>5.7567745525322076</v>
      </c>
      <c r="AC89" s="4">
        <f t="shared" si="18"/>
        <v>1.8926256295376203</v>
      </c>
      <c r="AD89" s="4">
        <f t="shared" si="19"/>
        <v>19.114011308398624</v>
      </c>
    </row>
    <row r="90" spans="1:30">
      <c r="A90" s="12">
        <v>27.75</v>
      </c>
      <c r="B90" s="12">
        <v>-98.23</v>
      </c>
      <c r="C90" s="10" t="s">
        <v>22</v>
      </c>
      <c r="D90" s="10" t="s">
        <v>19</v>
      </c>
      <c r="E90" s="12">
        <v>115</v>
      </c>
      <c r="F90" s="12">
        <v>1</v>
      </c>
      <c r="G90" s="28" t="s">
        <v>66</v>
      </c>
      <c r="H90" s="31">
        <v>75.95</v>
      </c>
      <c r="I90" s="33">
        <v>75.95</v>
      </c>
      <c r="J90" s="33">
        <v>75.95</v>
      </c>
      <c r="K90" s="9">
        <v>0.22078712385588853</v>
      </c>
      <c r="L90" s="9">
        <v>0.4684233512582639</v>
      </c>
      <c r="M90" s="9">
        <v>0.3107895248858476</v>
      </c>
      <c r="N90" s="13">
        <v>15688</v>
      </c>
      <c r="O90" s="13">
        <v>3937</v>
      </c>
      <c r="P90" s="13">
        <v>21</v>
      </c>
      <c r="Q90" s="2">
        <v>966252</v>
      </c>
      <c r="R90" s="2">
        <f>966252/8760</f>
        <v>110.3027397260274</v>
      </c>
      <c r="S90" s="2">
        <v>966252</v>
      </c>
      <c r="T90" s="45">
        <f t="shared" si="20"/>
        <v>110.30273972602741</v>
      </c>
      <c r="U90" s="3">
        <v>182.6</v>
      </c>
      <c r="V90" s="64">
        <v>174.4</v>
      </c>
      <c r="W90" s="5">
        <f t="shared" si="12"/>
        <v>182.6</v>
      </c>
      <c r="X90" s="5">
        <f t="shared" si="13"/>
        <v>174.40000000000003</v>
      </c>
      <c r="Y90" s="66">
        <f t="shared" si="14"/>
        <v>15688.000000000004</v>
      </c>
      <c r="Z90" s="66">
        <f t="shared" si="15"/>
        <v>3937.0000000000005</v>
      </c>
      <c r="AA90" s="66">
        <f t="shared" si="16"/>
        <v>21.000000000000004</v>
      </c>
      <c r="AB90" s="4">
        <f t="shared" si="17"/>
        <v>24.353424657534251</v>
      </c>
      <c r="AC90" s="4">
        <f t="shared" si="18"/>
        <v>51.668378995433798</v>
      </c>
      <c r="AD90" s="4">
        <f t="shared" si="19"/>
        <v>34.280936073059365</v>
      </c>
    </row>
    <row r="91" spans="1:30">
      <c r="A91" s="12">
        <v>30.03</v>
      </c>
      <c r="B91" s="12">
        <v>-99.14</v>
      </c>
      <c r="C91" s="10" t="s">
        <v>22</v>
      </c>
      <c r="D91" s="10" t="s">
        <v>25</v>
      </c>
      <c r="E91" s="12">
        <v>104</v>
      </c>
      <c r="F91" s="12">
        <v>4</v>
      </c>
      <c r="G91" s="28" t="s">
        <v>67</v>
      </c>
      <c r="H91" s="31">
        <v>120.96</v>
      </c>
      <c r="I91" s="33">
        <v>120.96</v>
      </c>
      <c r="J91" s="33">
        <v>120.96</v>
      </c>
      <c r="K91" s="9">
        <v>0.53330568972199421</v>
      </c>
      <c r="L91" s="9">
        <v>0.46669431027800584</v>
      </c>
      <c r="M91" s="9">
        <v>0</v>
      </c>
      <c r="N91" s="13">
        <v>18765</v>
      </c>
      <c r="O91" s="13">
        <v>3832</v>
      </c>
      <c r="P91" s="16">
        <v>0</v>
      </c>
      <c r="Q91" s="2">
        <v>479918</v>
      </c>
      <c r="R91" s="2">
        <f>479918/8760</f>
        <v>54.785159817351598</v>
      </c>
      <c r="S91" s="2">
        <v>479918</v>
      </c>
      <c r="T91" s="45">
        <f t="shared" si="20"/>
        <v>54.785159817351598</v>
      </c>
      <c r="U91" s="3">
        <v>119.5</v>
      </c>
      <c r="V91" s="64">
        <v>110.5</v>
      </c>
      <c r="W91" s="5">
        <f t="shared" si="12"/>
        <v>119.5</v>
      </c>
      <c r="X91" s="5">
        <f t="shared" si="13"/>
        <v>110.5</v>
      </c>
      <c r="Y91" s="66">
        <f t="shared" si="14"/>
        <v>18765</v>
      </c>
      <c r="Z91" s="66">
        <f t="shared" si="15"/>
        <v>3832</v>
      </c>
      <c r="AA91" s="66">
        <f t="shared" si="16"/>
        <v>0</v>
      </c>
      <c r="AB91" s="4">
        <f t="shared" si="17"/>
        <v>29.217237442922375</v>
      </c>
      <c r="AC91" s="4">
        <f t="shared" si="18"/>
        <v>25.567922374429223</v>
      </c>
      <c r="AD91" s="4">
        <f t="shared" si="19"/>
        <v>0</v>
      </c>
    </row>
    <row r="92" spans="1:30">
      <c r="A92" s="12">
        <v>33.19</v>
      </c>
      <c r="B92" s="12">
        <v>-95.59</v>
      </c>
      <c r="C92" s="10" t="s">
        <v>18</v>
      </c>
      <c r="D92" s="10" t="s">
        <v>25</v>
      </c>
      <c r="E92" s="12">
        <v>9</v>
      </c>
      <c r="F92" s="12">
        <v>10</v>
      </c>
      <c r="G92" s="28" t="s">
        <v>68</v>
      </c>
      <c r="H92" s="31">
        <v>52.59</v>
      </c>
      <c r="I92" s="97">
        <f>SUM(H92:H94)</f>
        <v>140.09</v>
      </c>
      <c r="J92" s="42">
        <v>140.09</v>
      </c>
      <c r="K92" s="9">
        <v>0.71654616479791655</v>
      </c>
      <c r="L92" s="9">
        <v>0.28345383520208339</v>
      </c>
      <c r="M92" s="9">
        <v>0</v>
      </c>
      <c r="N92" s="13">
        <v>11519</v>
      </c>
      <c r="O92" s="13">
        <v>757</v>
      </c>
      <c r="P92" s="16">
        <v>0</v>
      </c>
      <c r="Q92" s="90">
        <v>197369</v>
      </c>
      <c r="R92" s="51">
        <f>197369/8760</f>
        <v>22.530707762557078</v>
      </c>
      <c r="S92" s="14">
        <f>Q92*H92/I92</f>
        <v>74092.624098793633</v>
      </c>
      <c r="T92" s="45">
        <f t="shared" si="20"/>
        <v>8.4580621117344332</v>
      </c>
      <c r="U92" s="3">
        <v>52</v>
      </c>
      <c r="V92" s="64">
        <v>57</v>
      </c>
      <c r="W92" s="5">
        <f t="shared" si="12"/>
        <v>19.520879434649153</v>
      </c>
      <c r="X92" s="5">
        <f t="shared" si="13"/>
        <v>21.397887072596188</v>
      </c>
      <c r="Y92" s="66">
        <f t="shared" si="14"/>
        <v>4324.2501963023769</v>
      </c>
      <c r="Z92" s="66">
        <f t="shared" si="15"/>
        <v>284.17895638518092</v>
      </c>
      <c r="AA92" s="66">
        <f t="shared" si="16"/>
        <v>0</v>
      </c>
      <c r="AB92" s="4">
        <f t="shared" si="17"/>
        <v>6.0605919677858751</v>
      </c>
      <c r="AC92" s="4">
        <f t="shared" si="18"/>
        <v>2.3974701439485573</v>
      </c>
      <c r="AD92" s="4">
        <f t="shared" si="19"/>
        <v>0</v>
      </c>
    </row>
    <row r="93" spans="1:30">
      <c r="A93" s="12">
        <v>33.54</v>
      </c>
      <c r="B93" s="12">
        <v>-95.06</v>
      </c>
      <c r="C93" s="10" t="s">
        <v>18</v>
      </c>
      <c r="D93" s="10" t="s">
        <v>25</v>
      </c>
      <c r="E93" s="12">
        <v>10</v>
      </c>
      <c r="F93" s="12">
        <v>10</v>
      </c>
      <c r="G93" s="28" t="s">
        <v>68</v>
      </c>
      <c r="H93" s="31">
        <v>25.54</v>
      </c>
      <c r="I93" s="112"/>
      <c r="J93" s="42">
        <v>140.09</v>
      </c>
      <c r="K93" s="9">
        <v>0.71654616479791655</v>
      </c>
      <c r="L93" s="9">
        <v>0.28345383520208339</v>
      </c>
      <c r="M93" s="9">
        <v>0</v>
      </c>
      <c r="N93" s="13">
        <v>11519</v>
      </c>
      <c r="O93" s="13">
        <v>757</v>
      </c>
      <c r="P93" s="16">
        <v>0</v>
      </c>
      <c r="Q93" s="91"/>
      <c r="R93" s="51">
        <f>197369/8760</f>
        <v>22.530707762557078</v>
      </c>
      <c r="S93" s="14">
        <f>Q92*H93/I92</f>
        <v>35982.613034477836</v>
      </c>
      <c r="T93" s="45">
        <f t="shared" si="20"/>
        <v>4.1076042276801177</v>
      </c>
      <c r="U93" s="3">
        <v>52</v>
      </c>
      <c r="V93" s="64">
        <v>57</v>
      </c>
      <c r="W93" s="5">
        <f t="shared" si="12"/>
        <v>9.4801913055892619</v>
      </c>
      <c r="X93" s="5">
        <f t="shared" si="13"/>
        <v>10.391748161895922</v>
      </c>
      <c r="Y93" s="66">
        <f t="shared" si="14"/>
        <v>2100.0446855592832</v>
      </c>
      <c r="Z93" s="66">
        <f t="shared" si="15"/>
        <v>138.0097080448283</v>
      </c>
      <c r="AA93" s="66">
        <f t="shared" si="16"/>
        <v>0</v>
      </c>
      <c r="AB93" s="4">
        <f t="shared" si="17"/>
        <v>2.9432880558518963</v>
      </c>
      <c r="AC93" s="4">
        <f t="shared" si="18"/>
        <v>1.1643161718282211</v>
      </c>
      <c r="AD93" s="4">
        <f t="shared" si="19"/>
        <v>0</v>
      </c>
    </row>
    <row r="94" spans="1:30">
      <c r="A94" s="12">
        <v>33.08</v>
      </c>
      <c r="B94" s="12">
        <v>-94.97</v>
      </c>
      <c r="C94" s="10" t="s">
        <v>18</v>
      </c>
      <c r="D94" s="10" t="s">
        <v>25</v>
      </c>
      <c r="E94" s="12">
        <v>12</v>
      </c>
      <c r="F94" s="12">
        <v>10</v>
      </c>
      <c r="G94" s="28" t="s">
        <v>68</v>
      </c>
      <c r="H94" s="31">
        <v>61.96</v>
      </c>
      <c r="I94" s="98"/>
      <c r="J94" s="42">
        <v>140.09</v>
      </c>
      <c r="K94" s="9">
        <v>0.71654616479791655</v>
      </c>
      <c r="L94" s="9">
        <v>0.28345383520208339</v>
      </c>
      <c r="M94" s="9">
        <v>0</v>
      </c>
      <c r="N94" s="13">
        <v>11519</v>
      </c>
      <c r="O94" s="13">
        <v>757</v>
      </c>
      <c r="P94" s="16">
        <v>0</v>
      </c>
      <c r="Q94" s="92"/>
      <c r="R94" s="51">
        <f>197369/8760</f>
        <v>22.530707762557078</v>
      </c>
      <c r="S94" s="14">
        <f>Q92*H94/I92</f>
        <v>87293.762866728532</v>
      </c>
      <c r="T94" s="45">
        <f t="shared" si="20"/>
        <v>9.9650414231425266</v>
      </c>
      <c r="U94" s="3">
        <v>52</v>
      </c>
      <c r="V94" s="64">
        <v>57</v>
      </c>
      <c r="W94" s="5">
        <f t="shared" si="12"/>
        <v>22.998929259761582</v>
      </c>
      <c r="X94" s="5">
        <f t="shared" si="13"/>
        <v>25.210364765507887</v>
      </c>
      <c r="Y94" s="66">
        <f t="shared" si="14"/>
        <v>5094.7051181383395</v>
      </c>
      <c r="Z94" s="66">
        <f t="shared" si="15"/>
        <v>334.81133556999072</v>
      </c>
      <c r="AA94" s="66">
        <f t="shared" si="16"/>
        <v>0</v>
      </c>
      <c r="AB94" s="4">
        <f t="shared" si="17"/>
        <v>7.14041221380515</v>
      </c>
      <c r="AC94" s="4">
        <f t="shared" si="18"/>
        <v>2.8246292093373762</v>
      </c>
      <c r="AD94" s="4">
        <f t="shared" si="19"/>
        <v>0</v>
      </c>
    </row>
    <row r="95" spans="1:30">
      <c r="A95" s="12">
        <v>33.79</v>
      </c>
      <c r="B95" s="12">
        <v>-101.05</v>
      </c>
      <c r="C95" s="10" t="s">
        <v>18</v>
      </c>
      <c r="D95" s="10" t="s">
        <v>19</v>
      </c>
      <c r="E95" s="12">
        <v>144</v>
      </c>
      <c r="F95" s="12">
        <v>7</v>
      </c>
      <c r="G95" s="28" t="s">
        <v>69</v>
      </c>
      <c r="H95" s="31">
        <v>10.66</v>
      </c>
      <c r="I95" s="99">
        <f>SUM(H95:H97)</f>
        <v>27.14</v>
      </c>
      <c r="J95" s="41">
        <v>27.14</v>
      </c>
      <c r="K95" s="9">
        <v>0.11631327193546084</v>
      </c>
      <c r="L95" s="9">
        <v>8.0873848789890762E-2</v>
      </c>
      <c r="M95" s="9">
        <v>0.80281287927464839</v>
      </c>
      <c r="N95" s="15">
        <v>3734</v>
      </c>
      <c r="O95" s="15">
        <v>379</v>
      </c>
      <c r="P95" s="15">
        <v>5059</v>
      </c>
      <c r="Q95" s="90">
        <v>210105</v>
      </c>
      <c r="R95" s="51">
        <f>210105/8760</f>
        <v>23.984589041095891</v>
      </c>
      <c r="S95" s="14">
        <f>Q95*H95/I95</f>
        <v>82524.661016949147</v>
      </c>
      <c r="T95" s="45">
        <f t="shared" si="20"/>
        <v>9.4206234037613186</v>
      </c>
      <c r="U95" s="3">
        <v>17.3</v>
      </c>
      <c r="V95" s="64">
        <v>1.85</v>
      </c>
      <c r="W95" s="5">
        <f t="shared" si="12"/>
        <v>6.7950626381724399</v>
      </c>
      <c r="X95" s="5">
        <f t="shared" si="13"/>
        <v>0.72663964627855571</v>
      </c>
      <c r="Y95" s="66">
        <f t="shared" si="14"/>
        <v>1466.6337509211494</v>
      </c>
      <c r="Z95" s="66">
        <f t="shared" si="15"/>
        <v>148.86293294030949</v>
      </c>
      <c r="AA95" s="66">
        <f t="shared" si="16"/>
        <v>1987.0648489314665</v>
      </c>
      <c r="AB95" s="4">
        <f t="shared" si="17"/>
        <v>1.0957435317632569</v>
      </c>
      <c r="AC95" s="4">
        <f t="shared" si="18"/>
        <v>0.7618820726622989</v>
      </c>
      <c r="AD95" s="4">
        <f t="shared" si="19"/>
        <v>7.5629977993357631</v>
      </c>
    </row>
    <row r="96" spans="1:30">
      <c r="A96" s="12">
        <v>34.51</v>
      </c>
      <c r="B96" s="12">
        <v>-100.8</v>
      </c>
      <c r="C96" s="10" t="s">
        <v>18</v>
      </c>
      <c r="D96" s="10" t="s">
        <v>19</v>
      </c>
      <c r="E96" s="12">
        <v>149</v>
      </c>
      <c r="F96" s="12">
        <v>7</v>
      </c>
      <c r="G96" s="28" t="s">
        <v>69</v>
      </c>
      <c r="H96" s="31">
        <v>1.37</v>
      </c>
      <c r="I96" s="100"/>
      <c r="J96" s="41">
        <v>27.14</v>
      </c>
      <c r="K96" s="9">
        <v>0.11631327193546084</v>
      </c>
      <c r="L96" s="9">
        <v>8.0873848789890762E-2</v>
      </c>
      <c r="M96" s="9">
        <v>0.80281287927464839</v>
      </c>
      <c r="N96" s="15">
        <v>3734</v>
      </c>
      <c r="O96" s="15">
        <v>379</v>
      </c>
      <c r="P96" s="15">
        <v>5059</v>
      </c>
      <c r="Q96" s="91"/>
      <c r="R96" s="51">
        <f>210105/8760</f>
        <v>23.984589041095891</v>
      </c>
      <c r="S96" s="14">
        <f>Q95*H96/I95</f>
        <v>10605.889830508475</v>
      </c>
      <c r="T96" s="45">
        <f t="shared" si="20"/>
        <v>1.2107180171813328</v>
      </c>
      <c r="U96" s="3">
        <v>17.3</v>
      </c>
      <c r="V96" s="64">
        <v>1.85</v>
      </c>
      <c r="W96" s="5">
        <f t="shared" si="12"/>
        <v>0.87328666175386893</v>
      </c>
      <c r="X96" s="5">
        <f t="shared" si="13"/>
        <v>9.3386145910095808E-2</v>
      </c>
      <c r="Y96" s="66">
        <f t="shared" si="14"/>
        <v>188.48857774502579</v>
      </c>
      <c r="Z96" s="66">
        <f t="shared" si="15"/>
        <v>19.131540162122331</v>
      </c>
      <c r="AA96" s="66">
        <f t="shared" si="16"/>
        <v>255.37324981577009</v>
      </c>
      <c r="AB96" s="4">
        <f t="shared" si="17"/>
        <v>0.14082257396957432</v>
      </c>
      <c r="AC96" s="4">
        <f t="shared" si="18"/>
        <v>9.791542584871947E-2</v>
      </c>
      <c r="AD96" s="4">
        <f t="shared" si="19"/>
        <v>0.97198001736303896</v>
      </c>
    </row>
    <row r="97" spans="1:30">
      <c r="A97" s="12">
        <v>34.229999999999997</v>
      </c>
      <c r="B97" s="12">
        <v>-101.3</v>
      </c>
      <c r="C97" s="10" t="s">
        <v>18</v>
      </c>
      <c r="D97" s="10" t="s">
        <v>19</v>
      </c>
      <c r="E97" s="12">
        <v>147</v>
      </c>
      <c r="F97" s="12">
        <v>7</v>
      </c>
      <c r="G97" s="28" t="s">
        <v>69</v>
      </c>
      <c r="H97" s="31">
        <v>15.11</v>
      </c>
      <c r="I97" s="101"/>
      <c r="J97" s="41">
        <v>27.14</v>
      </c>
      <c r="K97" s="9">
        <v>0.11631327193546084</v>
      </c>
      <c r="L97" s="9">
        <v>8.0873848789890762E-2</v>
      </c>
      <c r="M97" s="9">
        <v>0.80281287927464839</v>
      </c>
      <c r="N97" s="15">
        <v>3734</v>
      </c>
      <c r="O97" s="15">
        <v>379</v>
      </c>
      <c r="P97" s="15">
        <v>5059</v>
      </c>
      <c r="Q97" s="92"/>
      <c r="R97" s="51">
        <f>210105/8760</f>
        <v>23.984589041095891</v>
      </c>
      <c r="S97" s="14">
        <f>Q95*H97/I95</f>
        <v>116974.44915254237</v>
      </c>
      <c r="T97" s="45">
        <f t="shared" si="20"/>
        <v>13.353247620153239</v>
      </c>
      <c r="U97" s="3">
        <v>17.3</v>
      </c>
      <c r="V97" s="64">
        <v>1.85</v>
      </c>
      <c r="W97" s="5">
        <f t="shared" si="12"/>
        <v>9.631650700073692</v>
      </c>
      <c r="X97" s="5">
        <f t="shared" si="13"/>
        <v>1.0299742078113485</v>
      </c>
      <c r="Y97" s="66">
        <f t="shared" si="14"/>
        <v>2078.8776713338243</v>
      </c>
      <c r="Z97" s="66">
        <f t="shared" si="15"/>
        <v>211.00552689756816</v>
      </c>
      <c r="AA97" s="66">
        <f t="shared" si="16"/>
        <v>2816.5619012527632</v>
      </c>
      <c r="AB97" s="4">
        <f t="shared" si="17"/>
        <v>1.553159921664429</v>
      </c>
      <c r="AC97" s="4">
        <f t="shared" si="18"/>
        <v>1.0799285288862417</v>
      </c>
      <c r="AD97" s="4">
        <f t="shared" si="19"/>
        <v>10.720159169602567</v>
      </c>
    </row>
    <row r="98" spans="1:30">
      <c r="A98" s="12">
        <v>26.32</v>
      </c>
      <c r="B98" s="12">
        <v>-98.21</v>
      </c>
      <c r="C98" s="10" t="s">
        <v>22</v>
      </c>
      <c r="D98" s="70" t="s">
        <v>25</v>
      </c>
      <c r="E98" s="71">
        <v>122</v>
      </c>
      <c r="F98" s="71">
        <v>4</v>
      </c>
      <c r="G98" s="72" t="s">
        <v>70</v>
      </c>
      <c r="H98" s="73">
        <v>1449.14</v>
      </c>
      <c r="I98" s="99">
        <f>SUM(H98:H99)</f>
        <v>1667.6100000000001</v>
      </c>
      <c r="J98" s="41">
        <v>1667.6100000000001</v>
      </c>
      <c r="K98" s="9">
        <v>0.68295831457071421</v>
      </c>
      <c r="L98" s="9">
        <v>9.9791143576526076E-2</v>
      </c>
      <c r="M98" s="9">
        <v>0.21725054185275972</v>
      </c>
      <c r="N98" s="15">
        <v>98641</v>
      </c>
      <c r="O98" s="15">
        <v>19101</v>
      </c>
      <c r="P98" s="15">
        <v>692</v>
      </c>
      <c r="Q98" s="90">
        <v>2282908</v>
      </c>
      <c r="R98" s="51">
        <f>2282908/8760</f>
        <v>260.60593607305935</v>
      </c>
      <c r="S98" s="14">
        <f>Q98*H98/I98</f>
        <v>1983829.1321831844</v>
      </c>
      <c r="T98" s="45">
        <f t="shared" si="20"/>
        <v>226.46451280629958</v>
      </c>
      <c r="U98" s="3">
        <v>535.4</v>
      </c>
      <c r="V98" s="64">
        <v>481</v>
      </c>
      <c r="W98" s="5">
        <f t="shared" si="12"/>
        <v>465.25839734710149</v>
      </c>
      <c r="X98" s="5">
        <f t="shared" si="13"/>
        <v>417.98522436301056</v>
      </c>
      <c r="Y98" s="66">
        <f t="shared" si="14"/>
        <v>85718.254711833099</v>
      </c>
      <c r="Z98" s="66">
        <f t="shared" si="15"/>
        <v>16598.619065608866</v>
      </c>
      <c r="AA98" s="66">
        <f t="shared" si="16"/>
        <v>601.34256810645172</v>
      </c>
      <c r="AB98" s="4">
        <f t="shared" si="17"/>
        <v>154.66582197626829</v>
      </c>
      <c r="AC98" s="4">
        <f t="shared" si="18"/>
        <v>22.59915271244147</v>
      </c>
      <c r="AD98" s="4">
        <f t="shared" si="19"/>
        <v>49.199538117589825</v>
      </c>
    </row>
    <row r="99" spans="1:30">
      <c r="A99" s="12">
        <v>26.36</v>
      </c>
      <c r="B99" s="12">
        <v>-97.67</v>
      </c>
      <c r="C99" s="10" t="s">
        <v>22</v>
      </c>
      <c r="D99" s="10" t="s">
        <v>25</v>
      </c>
      <c r="E99" s="12">
        <v>124</v>
      </c>
      <c r="F99" s="12">
        <v>4</v>
      </c>
      <c r="G99" s="28" t="s">
        <v>70</v>
      </c>
      <c r="H99" s="31">
        <v>218.47</v>
      </c>
      <c r="I99" s="101"/>
      <c r="J99" s="41">
        <v>1667.6100000000001</v>
      </c>
      <c r="K99" s="9">
        <v>0.68295831457071421</v>
      </c>
      <c r="L99" s="9">
        <v>9.9791143576526076E-2</v>
      </c>
      <c r="M99" s="9">
        <v>0.21725054185275972</v>
      </c>
      <c r="N99" s="15">
        <v>98641</v>
      </c>
      <c r="O99" s="15">
        <v>19101</v>
      </c>
      <c r="P99" s="15">
        <v>692</v>
      </c>
      <c r="Q99" s="92"/>
      <c r="R99" s="51">
        <f>2282908/8760</f>
        <v>260.60593607305935</v>
      </c>
      <c r="S99" s="14">
        <f>Q98*H99/I98</f>
        <v>299078.86781681568</v>
      </c>
      <c r="T99" s="45">
        <f t="shared" si="20"/>
        <v>34.14142326675978</v>
      </c>
      <c r="U99" s="3">
        <v>535.4</v>
      </c>
      <c r="V99" s="64">
        <v>481</v>
      </c>
      <c r="W99" s="5">
        <f t="shared" si="12"/>
        <v>70.141602652898456</v>
      </c>
      <c r="X99" s="5">
        <f t="shared" si="13"/>
        <v>63.014775636989469</v>
      </c>
      <c r="Y99" s="66">
        <f t="shared" si="14"/>
        <v>12922.745288166898</v>
      </c>
      <c r="Z99" s="66">
        <f t="shared" si="15"/>
        <v>2502.3809343911348</v>
      </c>
      <c r="AA99" s="66">
        <f t="shared" si="16"/>
        <v>90.657431893548249</v>
      </c>
      <c r="AB99" s="4">
        <f t="shared" si="17"/>
        <v>23.317168891311628</v>
      </c>
      <c r="AC99" s="4">
        <f t="shared" si="18"/>
        <v>3.407011671120173</v>
      </c>
      <c r="AD99" s="4">
        <f t="shared" si="19"/>
        <v>7.4172427043279798</v>
      </c>
    </row>
    <row r="100" spans="1:30">
      <c r="A100" s="12">
        <v>28.35</v>
      </c>
      <c r="B100" s="12">
        <v>-98.62</v>
      </c>
      <c r="C100" s="10" t="s">
        <v>22</v>
      </c>
      <c r="D100" s="10" t="s">
        <v>25</v>
      </c>
      <c r="E100" s="12">
        <v>107</v>
      </c>
      <c r="F100" s="12">
        <v>4</v>
      </c>
      <c r="G100" s="28" t="s">
        <v>71</v>
      </c>
      <c r="H100" s="31">
        <v>1.1599999999999999</v>
      </c>
      <c r="I100" s="87">
        <f>SUM(H100:H109)</f>
        <v>327.78</v>
      </c>
      <c r="J100" s="41">
        <v>327.78</v>
      </c>
      <c r="K100" s="14">
        <v>0.32162120420676543</v>
      </c>
      <c r="L100" s="14">
        <v>0.23003227573968105</v>
      </c>
      <c r="M100" s="14">
        <v>0.44834652005355352</v>
      </c>
      <c r="N100" s="15">
        <v>26218</v>
      </c>
      <c r="O100" s="15">
        <v>4784</v>
      </c>
      <c r="P100" s="15">
        <v>1058</v>
      </c>
      <c r="Q100" s="90">
        <v>1016553</v>
      </c>
      <c r="R100" s="51">
        <f t="shared" ref="R100:R109" si="21">1016553/8760</f>
        <v>116.04486301369863</v>
      </c>
      <c r="S100" s="14">
        <f>Q100*H100/I100</f>
        <v>3597.5394471901886</v>
      </c>
      <c r="T100" s="45">
        <f t="shared" si="20"/>
        <v>0.410678019085638</v>
      </c>
      <c r="U100" s="3">
        <v>195.1</v>
      </c>
      <c r="V100" s="64">
        <v>183.1</v>
      </c>
      <c r="W100" s="5">
        <f t="shared" si="12"/>
        <v>0.69045091219720545</v>
      </c>
      <c r="X100" s="5">
        <f t="shared" si="13"/>
        <v>0.64798340350234918</v>
      </c>
      <c r="Y100" s="66">
        <f t="shared" si="14"/>
        <v>92.784428580145232</v>
      </c>
      <c r="Z100" s="66">
        <f t="shared" si="15"/>
        <v>16.930380133016047</v>
      </c>
      <c r="AA100" s="66">
        <f t="shared" si="16"/>
        <v>3.7442186832631648</v>
      </c>
      <c r="AB100" s="4">
        <f t="shared" si="17"/>
        <v>0.1320827590395719</v>
      </c>
      <c r="AC100" s="4">
        <f t="shared" si="18"/>
        <v>9.4469199326533471E-2</v>
      </c>
      <c r="AD100" s="4">
        <f t="shared" si="19"/>
        <v>0.18412606071953264</v>
      </c>
    </row>
    <row r="101" spans="1:30">
      <c r="A101" s="12">
        <v>26.42</v>
      </c>
      <c r="B101" s="12">
        <v>-98.81</v>
      </c>
      <c r="C101" s="10" t="s">
        <v>22</v>
      </c>
      <c r="D101" s="70" t="s">
        <v>25</v>
      </c>
      <c r="E101" s="71">
        <v>123</v>
      </c>
      <c r="F101" s="71">
        <v>4</v>
      </c>
      <c r="G101" s="72" t="s">
        <v>71</v>
      </c>
      <c r="H101" s="73">
        <v>111.46</v>
      </c>
      <c r="I101" s="88"/>
      <c r="J101" s="41">
        <v>327.78</v>
      </c>
      <c r="K101" s="14">
        <v>0.32162120420676543</v>
      </c>
      <c r="L101" s="14">
        <v>0.23003227573968105</v>
      </c>
      <c r="M101" s="14">
        <v>0.44834652005355352</v>
      </c>
      <c r="N101" s="15">
        <v>26218</v>
      </c>
      <c r="O101" s="15">
        <v>4784</v>
      </c>
      <c r="P101" s="15">
        <v>1058</v>
      </c>
      <c r="Q101" s="91"/>
      <c r="R101" s="51">
        <f t="shared" si="21"/>
        <v>116.04486301369863</v>
      </c>
      <c r="S101" s="14">
        <f>Q100*H101/I100</f>
        <v>345673.9196412228</v>
      </c>
      <c r="T101" s="45">
        <f t="shared" si="20"/>
        <v>39.460493109728631</v>
      </c>
      <c r="U101" s="3">
        <v>195.1</v>
      </c>
      <c r="V101" s="64">
        <v>183.1</v>
      </c>
      <c r="W101" s="5">
        <f t="shared" si="12"/>
        <v>66.342809201293562</v>
      </c>
      <c r="X101" s="5">
        <f t="shared" si="13"/>
        <v>62.262267374458489</v>
      </c>
      <c r="Y101" s="66">
        <f t="shared" si="14"/>
        <v>8915.3038013301611</v>
      </c>
      <c r="Z101" s="66">
        <f t="shared" si="15"/>
        <v>1626.7760082982488</v>
      </c>
      <c r="AA101" s="66">
        <f t="shared" si="16"/>
        <v>359.76777106595893</v>
      </c>
      <c r="AB101" s="4">
        <f t="shared" si="17"/>
        <v>12.691331312543692</v>
      </c>
      <c r="AC101" s="4">
        <f t="shared" si="18"/>
        <v>9.0771870318408805</v>
      </c>
      <c r="AD101" s="4">
        <f t="shared" si="19"/>
        <v>17.691974765344057</v>
      </c>
    </row>
    <row r="102" spans="1:30">
      <c r="A102" s="12">
        <v>28.52</v>
      </c>
      <c r="B102" s="12">
        <v>-99.51</v>
      </c>
      <c r="C102" s="10" t="s">
        <v>22</v>
      </c>
      <c r="D102" s="10" t="s">
        <v>19</v>
      </c>
      <c r="E102" s="12">
        <v>135</v>
      </c>
      <c r="F102" s="12">
        <v>1</v>
      </c>
      <c r="G102" s="28" t="s">
        <v>71</v>
      </c>
      <c r="H102" s="31">
        <v>1.45</v>
      </c>
      <c r="I102" s="88"/>
      <c r="J102" s="41">
        <v>327.78</v>
      </c>
      <c r="K102" s="14">
        <v>0.32162120420676543</v>
      </c>
      <c r="L102" s="14">
        <v>0.23003227573968105</v>
      </c>
      <c r="M102" s="14">
        <v>0.44834652005355352</v>
      </c>
      <c r="N102" s="15">
        <v>26218</v>
      </c>
      <c r="O102" s="15">
        <v>4784</v>
      </c>
      <c r="P102" s="15">
        <v>1058</v>
      </c>
      <c r="Q102" s="91"/>
      <c r="R102" s="51">
        <f t="shared" si="21"/>
        <v>116.04486301369863</v>
      </c>
      <c r="S102" s="14">
        <f>Q100*H102/I100</f>
        <v>4496.9243089877355</v>
      </c>
      <c r="T102" s="45">
        <f t="shared" si="20"/>
        <v>0.51334752385704741</v>
      </c>
      <c r="U102" s="3">
        <v>195.1</v>
      </c>
      <c r="V102" s="64">
        <v>183.1</v>
      </c>
      <c r="W102" s="5">
        <f t="shared" si="12"/>
        <v>0.86306364024650672</v>
      </c>
      <c r="X102" s="5">
        <f t="shared" si="13"/>
        <v>0.80997925437793628</v>
      </c>
      <c r="Y102" s="66">
        <f t="shared" si="14"/>
        <v>115.98053572518151</v>
      </c>
      <c r="Z102" s="66">
        <f t="shared" si="15"/>
        <v>21.162975166270055</v>
      </c>
      <c r="AA102" s="66">
        <f t="shared" si="16"/>
        <v>4.6802733540789552</v>
      </c>
      <c r="AB102" s="4">
        <f t="shared" si="17"/>
        <v>0.16510344879946484</v>
      </c>
      <c r="AC102" s="4">
        <f t="shared" si="18"/>
        <v>0.11808649915816682</v>
      </c>
      <c r="AD102" s="4">
        <f t="shared" si="19"/>
        <v>0.23015757589941574</v>
      </c>
    </row>
    <row r="103" spans="1:30">
      <c r="A103" s="12">
        <v>28.37</v>
      </c>
      <c r="B103" s="12">
        <v>-99.14</v>
      </c>
      <c r="C103" s="10" t="s">
        <v>22</v>
      </c>
      <c r="D103" s="10" t="s">
        <v>72</v>
      </c>
      <c r="E103" s="12">
        <v>96</v>
      </c>
      <c r="F103" s="12">
        <v>2</v>
      </c>
      <c r="G103" s="28" t="s">
        <v>71</v>
      </c>
      <c r="H103" s="31">
        <v>9.25</v>
      </c>
      <c r="I103" s="88"/>
      <c r="J103" s="41">
        <v>327.78</v>
      </c>
      <c r="K103" s="14">
        <v>0.32162120420676543</v>
      </c>
      <c r="L103" s="14">
        <v>0.23003227573968105</v>
      </c>
      <c r="M103" s="14">
        <v>0.44834652005355352</v>
      </c>
      <c r="N103" s="15">
        <v>26218</v>
      </c>
      <c r="O103" s="15">
        <v>4784</v>
      </c>
      <c r="P103" s="15">
        <v>1058</v>
      </c>
      <c r="Q103" s="91"/>
      <c r="R103" s="51">
        <f t="shared" si="21"/>
        <v>116.04486301369863</v>
      </c>
      <c r="S103" s="14">
        <f>Q100*H103/I100</f>
        <v>28687.275764232108</v>
      </c>
      <c r="T103" s="45">
        <f t="shared" si="20"/>
        <v>3.274803169432889</v>
      </c>
      <c r="U103" s="3">
        <v>195.1</v>
      </c>
      <c r="V103" s="64">
        <v>183.1</v>
      </c>
      <c r="W103" s="5">
        <f t="shared" si="12"/>
        <v>5.5057508084690951</v>
      </c>
      <c r="X103" s="5">
        <f t="shared" si="13"/>
        <v>5.1671090365489043</v>
      </c>
      <c r="Y103" s="66">
        <f t="shared" si="14"/>
        <v>739.87583135029593</v>
      </c>
      <c r="Z103" s="66">
        <f t="shared" si="15"/>
        <v>135.0051864055159</v>
      </c>
      <c r="AA103" s="66">
        <f t="shared" si="16"/>
        <v>29.856916224296786</v>
      </c>
      <c r="AB103" s="4">
        <f t="shared" si="17"/>
        <v>1.0532461388931378</v>
      </c>
      <c r="AC103" s="4">
        <f t="shared" si="18"/>
        <v>0.75331042566416773</v>
      </c>
      <c r="AD103" s="4">
        <f t="shared" si="19"/>
        <v>1.4682466048755833</v>
      </c>
    </row>
    <row r="104" spans="1:30">
      <c r="A104" s="12">
        <v>28.04</v>
      </c>
      <c r="B104" s="12">
        <v>-99.4</v>
      </c>
      <c r="C104" s="10" t="s">
        <v>22</v>
      </c>
      <c r="D104" s="10" t="s">
        <v>72</v>
      </c>
      <c r="E104" s="12">
        <v>106</v>
      </c>
      <c r="F104" s="12">
        <v>2</v>
      </c>
      <c r="G104" s="28" t="s">
        <v>71</v>
      </c>
      <c r="H104" s="31">
        <v>3.42</v>
      </c>
      <c r="I104" s="88"/>
      <c r="J104" s="41">
        <v>327.78</v>
      </c>
      <c r="K104" s="14">
        <v>0.32162120420676543</v>
      </c>
      <c r="L104" s="14">
        <v>0.23003227573968105</v>
      </c>
      <c r="M104" s="14">
        <v>0.44834652005355352</v>
      </c>
      <c r="N104" s="15">
        <v>26218</v>
      </c>
      <c r="O104" s="15">
        <v>4784</v>
      </c>
      <c r="P104" s="15">
        <v>1058</v>
      </c>
      <c r="Q104" s="91"/>
      <c r="R104" s="51">
        <f t="shared" si="21"/>
        <v>116.04486301369863</v>
      </c>
      <c r="S104" s="14">
        <f>Q100*H104/I100</f>
        <v>10606.538714991762</v>
      </c>
      <c r="T104" s="45">
        <f t="shared" si="20"/>
        <v>1.2107920907524843</v>
      </c>
      <c r="U104" s="3">
        <v>195.1</v>
      </c>
      <c r="V104" s="64">
        <v>183.1</v>
      </c>
      <c r="W104" s="5">
        <f t="shared" si="12"/>
        <v>2.0356397583745194</v>
      </c>
      <c r="X104" s="5">
        <f t="shared" si="13"/>
        <v>1.9104338275672708</v>
      </c>
      <c r="Y104" s="66">
        <f t="shared" si="14"/>
        <v>273.55409115870401</v>
      </c>
      <c r="Z104" s="66">
        <f t="shared" si="15"/>
        <v>49.915431081823172</v>
      </c>
      <c r="AA104" s="66">
        <f t="shared" si="16"/>
        <v>11.038989566172432</v>
      </c>
      <c r="AB104" s="4">
        <f t="shared" si="17"/>
        <v>0.38941641027184121</v>
      </c>
      <c r="AC104" s="4">
        <f t="shared" si="18"/>
        <v>0.27852126008340039</v>
      </c>
      <c r="AD104" s="4">
        <f t="shared" si="19"/>
        <v>0.54285442039724274</v>
      </c>
    </row>
    <row r="105" spans="1:30">
      <c r="A105" s="12">
        <v>27.75</v>
      </c>
      <c r="B105" s="12">
        <v>-99.13</v>
      </c>
      <c r="C105" s="10" t="s">
        <v>22</v>
      </c>
      <c r="D105" s="10" t="s">
        <v>72</v>
      </c>
      <c r="E105" s="12">
        <v>110</v>
      </c>
      <c r="F105" s="12">
        <v>2</v>
      </c>
      <c r="G105" s="28" t="s">
        <v>71</v>
      </c>
      <c r="H105" s="31">
        <v>1.19</v>
      </c>
      <c r="I105" s="88"/>
      <c r="J105" s="41">
        <v>327.78</v>
      </c>
      <c r="K105" s="14">
        <v>0.32162120420676543</v>
      </c>
      <c r="L105" s="14">
        <v>0.23003227573968105</v>
      </c>
      <c r="M105" s="14">
        <v>0.44834652005355352</v>
      </c>
      <c r="N105" s="15">
        <v>26218</v>
      </c>
      <c r="O105" s="15">
        <v>4784</v>
      </c>
      <c r="P105" s="15">
        <v>1058</v>
      </c>
      <c r="Q105" s="91"/>
      <c r="R105" s="51">
        <f t="shared" si="21"/>
        <v>116.04486301369863</v>
      </c>
      <c r="S105" s="14">
        <f>Q100*H105/I100</f>
        <v>3690.5792604795897</v>
      </c>
      <c r="T105" s="45">
        <f t="shared" si="20"/>
        <v>0.42129900233785272</v>
      </c>
      <c r="U105" s="3">
        <v>195.1</v>
      </c>
      <c r="V105" s="64">
        <v>183.1</v>
      </c>
      <c r="W105" s="5">
        <f t="shared" si="12"/>
        <v>0.70830740130575387</v>
      </c>
      <c r="X105" s="5">
        <f t="shared" si="13"/>
        <v>0.66474159497223739</v>
      </c>
      <c r="Y105" s="66">
        <f t="shared" si="14"/>
        <v>95.184025871011031</v>
      </c>
      <c r="Z105" s="66">
        <f t="shared" si="15"/>
        <v>17.368234791628531</v>
      </c>
      <c r="AA105" s="66">
        <f t="shared" si="16"/>
        <v>3.8410519250716941</v>
      </c>
      <c r="AB105" s="4">
        <f t="shared" si="17"/>
        <v>0.13549869246300908</v>
      </c>
      <c r="AC105" s="4">
        <f t="shared" si="18"/>
        <v>9.6912368274633467E-2</v>
      </c>
      <c r="AD105" s="4">
        <f t="shared" si="19"/>
        <v>0.18888794160021019</v>
      </c>
    </row>
    <row r="106" spans="1:30">
      <c r="A106" s="12">
        <v>27.83</v>
      </c>
      <c r="B106" s="12">
        <v>-99.69</v>
      </c>
      <c r="C106" s="10" t="s">
        <v>22</v>
      </c>
      <c r="D106" s="70" t="s">
        <v>19</v>
      </c>
      <c r="E106" s="71">
        <v>111</v>
      </c>
      <c r="F106" s="71">
        <v>1</v>
      </c>
      <c r="G106" s="72" t="s">
        <v>71</v>
      </c>
      <c r="H106" s="73">
        <v>100.84</v>
      </c>
      <c r="I106" s="88"/>
      <c r="J106" s="41">
        <v>327.78</v>
      </c>
      <c r="K106" s="14">
        <v>0.32162120420676543</v>
      </c>
      <c r="L106" s="14">
        <v>0.23003227573968105</v>
      </c>
      <c r="M106" s="14">
        <v>0.44834652005355352</v>
      </c>
      <c r="N106" s="15">
        <v>26218</v>
      </c>
      <c r="O106" s="15">
        <v>4784</v>
      </c>
      <c r="P106" s="15">
        <v>1058</v>
      </c>
      <c r="Q106" s="91"/>
      <c r="R106" s="51">
        <f t="shared" si="21"/>
        <v>116.04486301369863</v>
      </c>
      <c r="S106" s="14">
        <f>Q100*H107/I100</f>
        <v>77316.084843492587</v>
      </c>
      <c r="T106" s="45">
        <f t="shared" si="20"/>
        <v>8.8260370825904779</v>
      </c>
      <c r="U106" s="3">
        <v>195.1</v>
      </c>
      <c r="V106" s="64">
        <v>183.1</v>
      </c>
      <c r="W106" s="5">
        <f t="shared" si="12"/>
        <v>14.838742449203734</v>
      </c>
      <c r="X106" s="5">
        <f t="shared" si="13"/>
        <v>13.92605711147721</v>
      </c>
      <c r="Y106" s="66">
        <f t="shared" si="14"/>
        <v>1994.0653487095003</v>
      </c>
      <c r="Z106" s="66">
        <f t="shared" si="15"/>
        <v>363.85722130697417</v>
      </c>
      <c r="AA106" s="66">
        <f t="shared" si="16"/>
        <v>80.468423942888521</v>
      </c>
      <c r="AB106" s="4">
        <f t="shared" si="17"/>
        <v>2.8386406748763164</v>
      </c>
      <c r="AC106" s="4">
        <f t="shared" si="18"/>
        <v>2.0302733958711028</v>
      </c>
      <c r="AD106" s="4">
        <f t="shared" si="19"/>
        <v>3.9571230118430587</v>
      </c>
    </row>
    <row r="107" spans="1:30">
      <c r="A107" s="12">
        <v>26.94</v>
      </c>
      <c r="B107" s="12">
        <v>-99.17</v>
      </c>
      <c r="C107" s="10" t="s">
        <v>22</v>
      </c>
      <c r="D107" s="10" t="s">
        <v>72</v>
      </c>
      <c r="E107" s="12">
        <v>112</v>
      </c>
      <c r="F107" s="12">
        <v>2</v>
      </c>
      <c r="G107" s="28" t="s">
        <v>71</v>
      </c>
      <c r="H107" s="31">
        <v>24.93</v>
      </c>
      <c r="I107" s="88"/>
      <c r="J107" s="41">
        <v>327.78</v>
      </c>
      <c r="K107" s="14">
        <v>0.32162120420676543</v>
      </c>
      <c r="L107" s="14">
        <v>0.23003227573968105</v>
      </c>
      <c r="M107" s="14">
        <v>0.44834652005355352</v>
      </c>
      <c r="N107" s="15">
        <v>26218</v>
      </c>
      <c r="O107" s="15">
        <v>4784</v>
      </c>
      <c r="P107" s="15">
        <v>1058</v>
      </c>
      <c r="Q107" s="91"/>
      <c r="R107" s="51">
        <f t="shared" si="21"/>
        <v>116.04486301369863</v>
      </c>
      <c r="S107" s="14">
        <f>Q100*H108/I100</f>
        <v>38146.323448654592</v>
      </c>
      <c r="T107" s="45">
        <f t="shared" si="20"/>
        <v>4.3546031334080579</v>
      </c>
      <c r="U107" s="3">
        <v>195.1</v>
      </c>
      <c r="V107" s="64">
        <v>183.1</v>
      </c>
      <c r="W107" s="5">
        <f t="shared" si="12"/>
        <v>7.3211605345048509</v>
      </c>
      <c r="X107" s="5">
        <f t="shared" si="13"/>
        <v>6.8708585026542188</v>
      </c>
      <c r="Y107" s="66">
        <f t="shared" si="14"/>
        <v>983.83488925498807</v>
      </c>
      <c r="Z107" s="66">
        <f t="shared" si="15"/>
        <v>179.52041003111844</v>
      </c>
      <c r="AA107" s="66">
        <f t="shared" si="16"/>
        <v>39.701629141497349</v>
      </c>
      <c r="AB107" s="4">
        <f t="shared" si="17"/>
        <v>1.4005327036092536</v>
      </c>
      <c r="AC107" s="4">
        <f t="shared" si="18"/>
        <v>1.0016992687210016</v>
      </c>
      <c r="AD107" s="4">
        <f t="shared" si="19"/>
        <v>1.952371161077803</v>
      </c>
    </row>
    <row r="108" spans="1:30">
      <c r="A108" s="12">
        <v>27.4</v>
      </c>
      <c r="B108" s="12">
        <v>-98.95</v>
      </c>
      <c r="C108" s="10" t="s">
        <v>22</v>
      </c>
      <c r="D108" s="10" t="s">
        <v>19</v>
      </c>
      <c r="E108" s="12">
        <v>118</v>
      </c>
      <c r="F108" s="12">
        <v>1</v>
      </c>
      <c r="G108" s="28" t="s">
        <v>71</v>
      </c>
      <c r="H108" s="31">
        <v>12.3</v>
      </c>
      <c r="I108" s="88"/>
      <c r="J108" s="41">
        <v>327.78</v>
      </c>
      <c r="K108" s="14">
        <v>0.32162120420676543</v>
      </c>
      <c r="L108" s="14">
        <v>0.23003227573968105</v>
      </c>
      <c r="M108" s="14">
        <v>0.44834652005355352</v>
      </c>
      <c r="N108" s="15">
        <v>26218</v>
      </c>
      <c r="O108" s="15">
        <v>4784</v>
      </c>
      <c r="P108" s="15">
        <v>1058</v>
      </c>
      <c r="Q108" s="91"/>
      <c r="R108" s="51">
        <f t="shared" si="21"/>
        <v>116.04486301369863</v>
      </c>
      <c r="S108" s="14">
        <f>Q100*H110/I100</f>
        <v>100451.98508145708</v>
      </c>
      <c r="T108" s="45">
        <f t="shared" si="20"/>
        <v>11.46712158464122</v>
      </c>
      <c r="U108" s="3">
        <v>195.1</v>
      </c>
      <c r="V108" s="64">
        <v>183.1</v>
      </c>
      <c r="W108" s="5">
        <f t="shared" si="12"/>
        <v>19.279056074196109</v>
      </c>
      <c r="X108" s="5">
        <f t="shared" si="13"/>
        <v>18.093260723656112</v>
      </c>
      <c r="Y108" s="66">
        <f t="shared" si="14"/>
        <v>2590.7652083714688</v>
      </c>
      <c r="Z108" s="66">
        <f t="shared" si="15"/>
        <v>472.7370797486119</v>
      </c>
      <c r="AA108" s="66">
        <f t="shared" si="16"/>
        <v>104.54762340594301</v>
      </c>
      <c r="AB108" s="4">
        <f t="shared" si="17"/>
        <v>3.6880694528377012</v>
      </c>
      <c r="AC108" s="4">
        <f t="shared" si="18"/>
        <v>2.6378080742986372</v>
      </c>
      <c r="AD108" s="4">
        <f t="shared" si="19"/>
        <v>5.1412440575048812</v>
      </c>
    </row>
    <row r="109" spans="1:30">
      <c r="A109" s="12">
        <v>29.27</v>
      </c>
      <c r="B109" s="12">
        <v>-99.76</v>
      </c>
      <c r="C109" s="10" t="s">
        <v>22</v>
      </c>
      <c r="D109" s="10" t="s">
        <v>25</v>
      </c>
      <c r="E109" s="12">
        <v>130</v>
      </c>
      <c r="F109" s="12">
        <v>4</v>
      </c>
      <c r="G109" s="28" t="s">
        <v>71</v>
      </c>
      <c r="H109" s="31">
        <v>61.78</v>
      </c>
      <c r="I109" s="89"/>
      <c r="J109" s="41">
        <v>327.78</v>
      </c>
      <c r="K109" s="14">
        <v>0.32162120420676543</v>
      </c>
      <c r="L109" s="14">
        <v>0.23003227573968105</v>
      </c>
      <c r="M109" s="14">
        <v>0.44834652005355352</v>
      </c>
      <c r="N109" s="15">
        <v>26218</v>
      </c>
      <c r="O109" s="15">
        <v>4784</v>
      </c>
      <c r="P109" s="15">
        <v>1058</v>
      </c>
      <c r="Q109" s="92"/>
      <c r="R109" s="51">
        <f t="shared" si="21"/>
        <v>116.04486301369863</v>
      </c>
      <c r="S109" s="14">
        <f>Q100*H111/I100</f>
        <v>382982.88477027277</v>
      </c>
      <c r="T109" s="45">
        <f>S109/365/24</f>
        <v>43.719507393866756</v>
      </c>
      <c r="U109" s="3">
        <v>195.1</v>
      </c>
      <c r="V109" s="64">
        <v>183.1</v>
      </c>
      <c r="W109" s="5">
        <f>U109*T109/R109</f>
        <v>73.50326133382147</v>
      </c>
      <c r="X109" s="5">
        <f>V109*T109/R109</f>
        <v>68.982302153883708</v>
      </c>
      <c r="Y109" s="66">
        <f>N109*T109/R109</f>
        <v>9877.542314967357</v>
      </c>
      <c r="Z109" s="66">
        <f>O109*T109/R109</f>
        <v>1802.355726401855</v>
      </c>
      <c r="AA109" s="66">
        <f>P109*T109/R109</f>
        <v>398.5979010311795</v>
      </c>
      <c r="AB109" s="4">
        <f t="shared" si="17"/>
        <v>14.061120615342011</v>
      </c>
      <c r="AC109" s="4">
        <f t="shared" si="18"/>
        <v>10.056897780028981</v>
      </c>
      <c r="AD109" s="4">
        <f t="shared" si="19"/>
        <v>19.601488998495764</v>
      </c>
    </row>
    <row r="110" spans="1:30">
      <c r="A110" s="12">
        <v>31.02</v>
      </c>
      <c r="B110" s="12">
        <v>-95.92</v>
      </c>
      <c r="C110" s="10" t="s">
        <v>22</v>
      </c>
      <c r="D110" s="10" t="s">
        <v>25</v>
      </c>
      <c r="E110" s="12">
        <v>19</v>
      </c>
      <c r="F110" s="12">
        <v>4</v>
      </c>
      <c r="G110" s="28" t="s">
        <v>73</v>
      </c>
      <c r="H110" s="31">
        <v>32.39</v>
      </c>
      <c r="I110" s="97">
        <f>SUM(H110:H112)</f>
        <v>175.07</v>
      </c>
      <c r="J110" s="42">
        <v>175.07</v>
      </c>
      <c r="K110" s="9">
        <v>0.60043803573565446</v>
      </c>
      <c r="L110" s="9">
        <v>0.18128727712452056</v>
      </c>
      <c r="M110" s="9">
        <v>0.21827468713982504</v>
      </c>
      <c r="N110" s="13">
        <v>22882</v>
      </c>
      <c r="O110" s="13">
        <v>1507</v>
      </c>
      <c r="P110" s="13">
        <v>12</v>
      </c>
      <c r="Q110" s="90">
        <v>635108</v>
      </c>
      <c r="R110" s="51">
        <f>635108/8760</f>
        <v>72.500913242009133</v>
      </c>
      <c r="S110" s="14">
        <f>Q110*H110/I110</f>
        <v>117502.41686182671</v>
      </c>
      <c r="T110" s="45">
        <f t="shared" si="20"/>
        <v>13.413517906601223</v>
      </c>
      <c r="U110" s="3">
        <v>143.30000000000001</v>
      </c>
      <c r="V110" s="64">
        <v>146.19999999999999</v>
      </c>
      <c r="W110" s="5">
        <f t="shared" si="12"/>
        <v>26.512177985948483</v>
      </c>
      <c r="X110" s="5">
        <f t="shared" si="13"/>
        <v>27.048711943793915</v>
      </c>
      <c r="Y110" s="66">
        <f t="shared" si="14"/>
        <v>4233.4379391100711</v>
      </c>
      <c r="Z110" s="66">
        <f t="shared" si="15"/>
        <v>278.81264637002346</v>
      </c>
      <c r="AA110" s="66">
        <f t="shared" si="16"/>
        <v>2.2201405152224827</v>
      </c>
      <c r="AB110" s="4">
        <f t="shared" si="17"/>
        <v>8.0539863441446666</v>
      </c>
      <c r="AC110" s="4">
        <f t="shared" si="18"/>
        <v>2.4317001379487349</v>
      </c>
      <c r="AD110" s="4">
        <f t="shared" si="19"/>
        <v>2.927831424507823</v>
      </c>
    </row>
    <row r="111" spans="1:30">
      <c r="A111" s="12">
        <v>30.15</v>
      </c>
      <c r="B111" s="12">
        <v>-97.27</v>
      </c>
      <c r="C111" s="10" t="s">
        <v>22</v>
      </c>
      <c r="D111" s="10" t="s">
        <v>25</v>
      </c>
      <c r="E111" s="12">
        <v>125</v>
      </c>
      <c r="F111" s="12">
        <v>4</v>
      </c>
      <c r="G111" s="28" t="s">
        <v>73</v>
      </c>
      <c r="H111" s="31">
        <v>123.49</v>
      </c>
      <c r="I111" s="112"/>
      <c r="J111" s="42">
        <v>175.07</v>
      </c>
      <c r="K111" s="9">
        <v>0.60043803573565446</v>
      </c>
      <c r="L111" s="9">
        <v>0.18128727712452056</v>
      </c>
      <c r="M111" s="9">
        <v>0.21827468713982504</v>
      </c>
      <c r="N111" s="13">
        <v>22882</v>
      </c>
      <c r="O111" s="13">
        <v>1507</v>
      </c>
      <c r="P111" s="13">
        <v>12</v>
      </c>
      <c r="Q111" s="91"/>
      <c r="R111" s="51">
        <f>635108/8760</f>
        <v>72.500913242009133</v>
      </c>
      <c r="S111" s="14">
        <f>Q110*H111/I110</f>
        <v>447989.30096532818</v>
      </c>
      <c r="T111" s="45">
        <f t="shared" si="20"/>
        <v>51.140331160425596</v>
      </c>
      <c r="U111" s="3">
        <v>143.30000000000001</v>
      </c>
      <c r="V111" s="64">
        <v>146.19999999999999</v>
      </c>
      <c r="W111" s="5">
        <f t="shared" si="12"/>
        <v>101.08023647683785</v>
      </c>
      <c r="X111" s="5">
        <f t="shared" si="13"/>
        <v>103.12582395613184</v>
      </c>
      <c r="Y111" s="66">
        <f t="shared" si="14"/>
        <v>16140.390586622496</v>
      </c>
      <c r="Z111" s="66">
        <f t="shared" si="15"/>
        <v>1063.0001142400183</v>
      </c>
      <c r="AA111" s="66">
        <f t="shared" si="16"/>
        <v>8.4644999143199868</v>
      </c>
      <c r="AB111" s="4">
        <f t="shared" si="17"/>
        <v>30.706599988836828</v>
      </c>
      <c r="AC111" s="4">
        <f t="shared" si="18"/>
        <v>9.2710913873198297</v>
      </c>
      <c r="AD111" s="4">
        <f t="shared" si="19"/>
        <v>11.162639784268942</v>
      </c>
    </row>
    <row r="112" spans="1:30">
      <c r="A112" s="12">
        <v>29.57</v>
      </c>
      <c r="B112" s="12">
        <v>-96.54</v>
      </c>
      <c r="C112" s="10" t="s">
        <v>22</v>
      </c>
      <c r="D112" s="10" t="s">
        <v>72</v>
      </c>
      <c r="E112" s="12">
        <v>84</v>
      </c>
      <c r="F112" s="12">
        <v>2</v>
      </c>
      <c r="G112" s="28" t="s">
        <v>73</v>
      </c>
      <c r="H112" s="31">
        <v>19.190000000000001</v>
      </c>
      <c r="I112" s="98"/>
      <c r="J112" s="42">
        <v>175.07</v>
      </c>
      <c r="K112" s="9">
        <v>0.60043803573565446</v>
      </c>
      <c r="L112" s="9">
        <v>0.18128727712452056</v>
      </c>
      <c r="M112" s="9">
        <v>0.21827468713982504</v>
      </c>
      <c r="N112" s="13">
        <v>22882</v>
      </c>
      <c r="O112" s="13">
        <v>1507</v>
      </c>
      <c r="P112" s="13">
        <v>12</v>
      </c>
      <c r="Q112" s="92"/>
      <c r="R112" s="51">
        <f>635108/8760</f>
        <v>72.500913242009133</v>
      </c>
      <c r="S112" s="14">
        <f>Q110*H112/I110</f>
        <v>69616.282172845153</v>
      </c>
      <c r="T112" s="45">
        <f t="shared" si="20"/>
        <v>7.947064174982323</v>
      </c>
      <c r="U112" s="3">
        <v>143.30000000000001</v>
      </c>
      <c r="V112" s="64">
        <v>146.19999999999999</v>
      </c>
      <c r="W112" s="5">
        <f t="shared" si="12"/>
        <v>15.707585537213685</v>
      </c>
      <c r="X112" s="5">
        <f t="shared" si="13"/>
        <v>16.025464100074252</v>
      </c>
      <c r="Y112" s="66">
        <f t="shared" si="14"/>
        <v>2508.1714742674358</v>
      </c>
      <c r="Z112" s="66">
        <f t="shared" si="15"/>
        <v>165.18723938995831</v>
      </c>
      <c r="AA112" s="66">
        <f t="shared" si="16"/>
        <v>1.3153595704575314</v>
      </c>
      <c r="AB112" s="4">
        <f t="shared" si="17"/>
        <v>4.7717196030915758</v>
      </c>
      <c r="AC112" s="4">
        <f t="shared" si="18"/>
        <v>1.4407016254163698</v>
      </c>
      <c r="AD112" s="4">
        <f t="shared" si="19"/>
        <v>1.7346429464743782</v>
      </c>
    </row>
    <row r="113" spans="1:30">
      <c r="A113" s="12">
        <v>31.79</v>
      </c>
      <c r="B113" s="12">
        <v>-95.61</v>
      </c>
      <c r="C113" s="10" t="s">
        <v>18</v>
      </c>
      <c r="D113" s="10" t="s">
        <v>25</v>
      </c>
      <c r="E113" s="12">
        <v>16</v>
      </c>
      <c r="F113" s="12">
        <v>10</v>
      </c>
      <c r="G113" s="28" t="s">
        <v>74</v>
      </c>
      <c r="H113" s="31">
        <v>69.38</v>
      </c>
      <c r="I113" s="99">
        <f>SUM(H113:H114)</f>
        <v>130.97999999999999</v>
      </c>
      <c r="J113" s="41">
        <v>130.97999999999999</v>
      </c>
      <c r="K113" s="9">
        <v>0.47771009753719657</v>
      </c>
      <c r="L113" s="9">
        <v>6.756640164963397E-2</v>
      </c>
      <c r="M113" s="9">
        <v>0.45472350081316948</v>
      </c>
      <c r="N113" s="13">
        <v>14610</v>
      </c>
      <c r="O113" s="13">
        <v>1278</v>
      </c>
      <c r="P113" s="13">
        <v>11</v>
      </c>
      <c r="Q113" s="90">
        <v>463618</v>
      </c>
      <c r="R113" s="51">
        <f>463618/8760</f>
        <v>52.924429223744291</v>
      </c>
      <c r="S113" s="14">
        <f>Q113*H113/I113</f>
        <v>245578.07940143533</v>
      </c>
      <c r="T113" s="45">
        <f t="shared" si="20"/>
        <v>28.034027328930975</v>
      </c>
      <c r="U113" s="3">
        <v>112</v>
      </c>
      <c r="V113" s="64">
        <v>127</v>
      </c>
      <c r="W113" s="5">
        <f t="shared" si="12"/>
        <v>59.326309360207674</v>
      </c>
      <c r="X113" s="5">
        <f t="shared" si="13"/>
        <v>67.271797220949765</v>
      </c>
      <c r="Y113" s="66">
        <f t="shared" si="14"/>
        <v>7738.9051763628031</v>
      </c>
      <c r="Z113" s="66">
        <f t="shared" si="15"/>
        <v>676.95556573522674</v>
      </c>
      <c r="AA113" s="66">
        <f t="shared" si="16"/>
        <v>5.8266910978775392</v>
      </c>
      <c r="AB113" s="4">
        <f t="shared" si="17"/>
        <v>13.392137929664051</v>
      </c>
      <c r="AC113" s="4">
        <f t="shared" si="18"/>
        <v>1.8941583503633657</v>
      </c>
      <c r="AD113" s="4">
        <f t="shared" si="19"/>
        <v>12.74773104890356</v>
      </c>
    </row>
    <row r="114" spans="1:30">
      <c r="A114" s="12">
        <v>31.66</v>
      </c>
      <c r="B114" s="12">
        <v>-96.51</v>
      </c>
      <c r="C114" s="10" t="s">
        <v>18</v>
      </c>
      <c r="D114" s="10" t="s">
        <v>25</v>
      </c>
      <c r="E114" s="12">
        <v>21</v>
      </c>
      <c r="F114" s="12">
        <v>10</v>
      </c>
      <c r="G114" s="28" t="s">
        <v>74</v>
      </c>
      <c r="H114" s="31">
        <v>61.6</v>
      </c>
      <c r="I114" s="101"/>
      <c r="J114" s="41">
        <v>130.97999999999999</v>
      </c>
      <c r="K114" s="9">
        <v>0.47771009753719657</v>
      </c>
      <c r="L114" s="9">
        <v>6.756640164963397E-2</v>
      </c>
      <c r="M114" s="9">
        <v>0.45472350081316948</v>
      </c>
      <c r="N114" s="13">
        <v>14610</v>
      </c>
      <c r="O114" s="13">
        <v>1278</v>
      </c>
      <c r="P114" s="13">
        <v>11</v>
      </c>
      <c r="Q114" s="92"/>
      <c r="R114" s="51">
        <f>463618/8760</f>
        <v>52.924429223744291</v>
      </c>
      <c r="S114" s="14">
        <f>Q113
*H114/I113</f>
        <v>218039.9205985647</v>
      </c>
      <c r="T114" s="45">
        <f t="shared" si="20"/>
        <v>24.890401894813323</v>
      </c>
      <c r="U114" s="3">
        <v>112</v>
      </c>
      <c r="V114" s="64">
        <v>127</v>
      </c>
      <c r="W114" s="5">
        <f t="shared" si="12"/>
        <v>52.673690639792348</v>
      </c>
      <c r="X114" s="5">
        <f t="shared" si="13"/>
        <v>59.72820277905025</v>
      </c>
      <c r="Y114" s="66">
        <f t="shared" si="14"/>
        <v>6871.0948236371987</v>
      </c>
      <c r="Z114" s="66">
        <f t="shared" si="15"/>
        <v>601.04443426477337</v>
      </c>
      <c r="AA114" s="66">
        <f t="shared" si="16"/>
        <v>5.1733089021224634</v>
      </c>
      <c r="AB114" s="4">
        <f t="shared" si="17"/>
        <v>11.890396316911295</v>
      </c>
      <c r="AC114" s="4">
        <f t="shared" si="18"/>
        <v>1.6817548916457674</v>
      </c>
      <c r="AD114" s="4">
        <f t="shared" si="19"/>
        <v>11.318250686256262</v>
      </c>
    </row>
    <row r="115" spans="1:30">
      <c r="A115" s="12">
        <v>31.17</v>
      </c>
      <c r="B115" s="12">
        <v>-96.52</v>
      </c>
      <c r="C115" s="10" t="s">
        <v>22</v>
      </c>
      <c r="D115" s="10" t="s">
        <v>25</v>
      </c>
      <c r="E115" s="12">
        <v>55</v>
      </c>
      <c r="F115" s="12">
        <v>4</v>
      </c>
      <c r="G115" s="28" t="s">
        <v>75</v>
      </c>
      <c r="H115" s="31">
        <v>19.77</v>
      </c>
      <c r="I115" s="93">
        <f>SUM(H115:H116)</f>
        <v>50.379999999999995</v>
      </c>
      <c r="J115" s="42">
        <v>50.38</v>
      </c>
      <c r="K115" s="9">
        <v>0.47680859819182791</v>
      </c>
      <c r="L115" s="9">
        <v>0.21097857026328798</v>
      </c>
      <c r="M115" s="9">
        <v>0.31221283154488411</v>
      </c>
      <c r="N115" s="13">
        <v>17638</v>
      </c>
      <c r="O115" s="13">
        <v>1695</v>
      </c>
      <c r="P115" s="13">
        <v>21</v>
      </c>
      <c r="Q115" s="90">
        <v>410691</v>
      </c>
      <c r="R115" s="51">
        <f>410691/8760</f>
        <v>46.882534246575339</v>
      </c>
      <c r="S115" s="14">
        <f>Q115*H115/I115</f>
        <v>161162.38725684796</v>
      </c>
      <c r="T115" s="45">
        <f t="shared" si="20"/>
        <v>18.397532791877619</v>
      </c>
      <c r="U115" s="3">
        <v>145</v>
      </c>
      <c r="V115" s="64">
        <v>151.69999999999999</v>
      </c>
      <c r="W115" s="5">
        <f t="shared" si="12"/>
        <v>56.900555776101633</v>
      </c>
      <c r="X115" s="5">
        <f t="shared" si="13"/>
        <v>59.529753870583555</v>
      </c>
      <c r="Y115" s="66">
        <f t="shared" si="14"/>
        <v>6921.4620881302108</v>
      </c>
      <c r="Z115" s="66">
        <f t="shared" si="15"/>
        <v>665.14787614132592</v>
      </c>
      <c r="AA115" s="66">
        <f t="shared" si="16"/>
        <v>8.2407701468836834</v>
      </c>
      <c r="AB115" s="4">
        <f t="shared" si="17"/>
        <v>8.7721018206833534</v>
      </c>
      <c r="AC115" s="4">
        <f t="shared" si="18"/>
        <v>3.8814851648022972</v>
      </c>
      <c r="AD115" s="4">
        <f t="shared" si="19"/>
        <v>5.7439458063919684</v>
      </c>
    </row>
    <row r="116" spans="1:30">
      <c r="A116" s="12">
        <v>31.42</v>
      </c>
      <c r="B116" s="12">
        <v>-96.25</v>
      </c>
      <c r="C116" s="10" t="s">
        <v>22</v>
      </c>
      <c r="D116" s="10" t="s">
        <v>19</v>
      </c>
      <c r="E116" s="12">
        <v>17</v>
      </c>
      <c r="F116" s="12">
        <v>1</v>
      </c>
      <c r="G116" s="28" t="s">
        <v>75</v>
      </c>
      <c r="H116" s="31">
        <v>30.61</v>
      </c>
      <c r="I116" s="94"/>
      <c r="J116" s="42">
        <v>50.38</v>
      </c>
      <c r="K116" s="9">
        <v>0.47680859819182791</v>
      </c>
      <c r="L116" s="9">
        <v>0.21097857026328798</v>
      </c>
      <c r="M116" s="9">
        <v>0.31221283154488411</v>
      </c>
      <c r="N116" s="13">
        <v>17638</v>
      </c>
      <c r="O116" s="13">
        <v>1695</v>
      </c>
      <c r="P116" s="13">
        <v>21</v>
      </c>
      <c r="Q116" s="91"/>
      <c r="R116" s="51">
        <f>410691/8760</f>
        <v>46.882534246575339</v>
      </c>
      <c r="S116" s="14">
        <f>Q115*H116/I115</f>
        <v>249528.61274315207</v>
      </c>
      <c r="T116" s="45">
        <f t="shared" si="20"/>
        <v>28.485001454697723</v>
      </c>
      <c r="U116" s="3">
        <v>145</v>
      </c>
      <c r="V116" s="64">
        <v>151.69999999999999</v>
      </c>
      <c r="W116" s="5">
        <f t="shared" si="12"/>
        <v>88.099444223898374</v>
      </c>
      <c r="X116" s="5">
        <f t="shared" si="13"/>
        <v>92.170246129416441</v>
      </c>
      <c r="Y116" s="66">
        <f t="shared" si="14"/>
        <v>10716.537911869791</v>
      </c>
      <c r="Z116" s="66">
        <f t="shared" si="15"/>
        <v>1029.8521238586741</v>
      </c>
      <c r="AA116" s="66">
        <f t="shared" si="16"/>
        <v>12.759229853116318</v>
      </c>
      <c r="AB116" s="4">
        <f t="shared" si="17"/>
        <v>13.581893613106601</v>
      </c>
      <c r="AC116" s="4">
        <f t="shared" si="18"/>
        <v>6.0097248808598041</v>
      </c>
      <c r="AD116" s="4">
        <f t="shared" si="19"/>
        <v>8.8933829607313193</v>
      </c>
    </row>
    <row r="117" spans="1:30">
      <c r="A117" s="12">
        <v>31.09</v>
      </c>
      <c r="B117" s="12">
        <v>-97.77</v>
      </c>
      <c r="C117" s="10" t="s">
        <v>22</v>
      </c>
      <c r="D117" s="10" t="s">
        <v>25</v>
      </c>
      <c r="E117" s="12">
        <v>50</v>
      </c>
      <c r="F117" s="12">
        <v>4</v>
      </c>
      <c r="G117" s="28" t="s">
        <v>76</v>
      </c>
      <c r="H117" s="31">
        <v>606.22</v>
      </c>
      <c r="I117" s="93">
        <f>SUM(H117:H118)</f>
        <v>940.05</v>
      </c>
      <c r="J117" s="42">
        <v>940.05</v>
      </c>
      <c r="K117" s="9">
        <v>0.14000000000000001</v>
      </c>
      <c r="L117" s="9">
        <v>0.64</v>
      </c>
      <c r="M117" s="9">
        <v>0.22</v>
      </c>
      <c r="N117" s="13">
        <v>17638</v>
      </c>
      <c r="O117" s="13">
        <v>1695</v>
      </c>
      <c r="P117" s="13">
        <v>21</v>
      </c>
      <c r="Q117" s="91">
        <f>13189561</f>
        <v>13189561</v>
      </c>
      <c r="R117" s="51">
        <f>Q117/8760</f>
        <v>1505.6576484018265</v>
      </c>
      <c r="S117" s="14">
        <f>Q117*H117/I117</f>
        <v>8505691.8987500668</v>
      </c>
      <c r="T117" s="45">
        <f t="shared" si="20"/>
        <v>970.9693948344825</v>
      </c>
      <c r="U117" s="3"/>
      <c r="V117" s="64"/>
      <c r="W117" s="5">
        <f t="shared" si="12"/>
        <v>0</v>
      </c>
      <c r="X117" s="5">
        <f t="shared" si="13"/>
        <v>0</v>
      </c>
      <c r="Y117" s="66">
        <f t="shared" si="14"/>
        <v>11374.403872134462</v>
      </c>
      <c r="Z117" s="66">
        <f t="shared" si="15"/>
        <v>1093.0726025211425</v>
      </c>
      <c r="AA117" s="66">
        <f t="shared" si="16"/>
        <v>13.542492420615924</v>
      </c>
      <c r="AB117" s="4">
        <f t="shared" si="17"/>
        <v>135.93571527682755</v>
      </c>
      <c r="AC117" s="4">
        <f t="shared" si="18"/>
        <v>621.42041269406877</v>
      </c>
      <c r="AD117" s="4">
        <f t="shared" si="19"/>
        <v>213.61326686358615</v>
      </c>
    </row>
    <row r="118" spans="1:30">
      <c r="A118" s="12">
        <v>31.06</v>
      </c>
      <c r="B118" s="12">
        <v>-97.33</v>
      </c>
      <c r="C118" s="10" t="s">
        <v>22</v>
      </c>
      <c r="D118" s="10" t="s">
        <v>25</v>
      </c>
      <c r="E118" s="12">
        <v>47</v>
      </c>
      <c r="F118" s="12">
        <v>4</v>
      </c>
      <c r="G118" s="28" t="s">
        <v>76</v>
      </c>
      <c r="H118" s="31">
        <v>333.83</v>
      </c>
      <c r="I118" s="95"/>
      <c r="J118" s="42">
        <v>940.05</v>
      </c>
      <c r="K118" s="9">
        <v>0.14000000000000001</v>
      </c>
      <c r="L118" s="9">
        <v>0.64</v>
      </c>
      <c r="M118" s="9">
        <v>0.22</v>
      </c>
      <c r="N118" s="13">
        <v>17638</v>
      </c>
      <c r="O118" s="13">
        <v>1695</v>
      </c>
      <c r="P118" s="13">
        <v>21</v>
      </c>
      <c r="Q118" s="92"/>
      <c r="R118" s="51">
        <f>Q117/8760</f>
        <v>1505.6576484018265</v>
      </c>
      <c r="S118" s="14">
        <f>Q117*H118/I117</f>
        <v>4683869.1012499342</v>
      </c>
      <c r="T118" s="45">
        <f>S118/365/24</f>
        <v>534.68825356734408</v>
      </c>
      <c r="U118" s="3"/>
      <c r="V118" s="64"/>
      <c r="W118" s="5">
        <f>U118*T118/R118</f>
        <v>0</v>
      </c>
      <c r="X118" s="5">
        <f>V118*T118/R118</f>
        <v>0</v>
      </c>
      <c r="Y118" s="66">
        <f>N118*T118/R118</f>
        <v>6263.5961278655404</v>
      </c>
      <c r="Z118" s="66">
        <f>O118*T118/R118</f>
        <v>601.92739747885764</v>
      </c>
      <c r="AA118" s="66">
        <f>P118*T118/R118</f>
        <v>7.4575075793840764</v>
      </c>
      <c r="AB118" s="4">
        <f t="shared" si="17"/>
        <v>74.856355499428176</v>
      </c>
      <c r="AC118" s="4">
        <f t="shared" si="18"/>
        <v>342.2004822831002</v>
      </c>
      <c r="AD118" s="4">
        <f t="shared" si="19"/>
        <v>117.6314157848157</v>
      </c>
    </row>
    <row r="119" spans="1:30">
      <c r="A119" s="12">
        <v>27.26</v>
      </c>
      <c r="B119" s="12">
        <v>-98.2</v>
      </c>
      <c r="C119" s="10" t="s">
        <v>22</v>
      </c>
      <c r="D119" s="10" t="s">
        <v>35</v>
      </c>
      <c r="E119" s="12">
        <v>119</v>
      </c>
      <c r="F119" s="12">
        <v>3</v>
      </c>
      <c r="G119" s="28" t="s">
        <v>77</v>
      </c>
      <c r="H119" s="31">
        <v>20.16</v>
      </c>
      <c r="I119" s="99">
        <f>SUM(H119:H121)</f>
        <v>24.46</v>
      </c>
      <c r="J119" s="41">
        <v>24.46</v>
      </c>
      <c r="K119" s="9">
        <v>0.48157966279966308</v>
      </c>
      <c r="L119" s="9">
        <v>0.11358205163630854</v>
      </c>
      <c r="M119" s="9">
        <v>0.4048382855640284</v>
      </c>
      <c r="N119" s="13">
        <v>36188</v>
      </c>
      <c r="O119" s="13">
        <v>5790</v>
      </c>
      <c r="P119" s="13">
        <v>30</v>
      </c>
      <c r="Q119" s="90">
        <v>1121885</v>
      </c>
      <c r="R119" s="51">
        <f>1121885/8760</f>
        <v>128.06906392694063</v>
      </c>
      <c r="S119" s="14">
        <f>Q119*H119/I119</f>
        <v>924660.7358953394</v>
      </c>
      <c r="T119" s="45">
        <f t="shared" si="20"/>
        <v>105.55487852686524</v>
      </c>
      <c r="U119" s="3">
        <v>160</v>
      </c>
      <c r="V119" s="64">
        <v>130.5</v>
      </c>
      <c r="W119" s="5">
        <f t="shared" si="12"/>
        <v>131.87244480784958</v>
      </c>
      <c r="X119" s="5">
        <f t="shared" si="13"/>
        <v>107.55846279640231</v>
      </c>
      <c r="Y119" s="66">
        <f t="shared" si="14"/>
        <v>29826.250204415377</v>
      </c>
      <c r="Z119" s="66">
        <f t="shared" si="15"/>
        <v>4772.1340964840565</v>
      </c>
      <c r="AA119" s="66">
        <f t="shared" si="16"/>
        <v>24.726083401471797</v>
      </c>
      <c r="AB119" s="4">
        <f t="shared" si="17"/>
        <v>50.833082807827161</v>
      </c>
      <c r="AC119" s="4">
        <f t="shared" si="18"/>
        <v>11.989139663302682</v>
      </c>
      <c r="AD119" s="4">
        <f t="shared" si="19"/>
        <v>42.732656055735397</v>
      </c>
    </row>
    <row r="120" spans="1:30">
      <c r="A120" s="12">
        <v>26.88</v>
      </c>
      <c r="B120" s="12">
        <v>-98.22</v>
      </c>
      <c r="C120" s="10" t="s">
        <v>22</v>
      </c>
      <c r="D120" s="10" t="s">
        <v>35</v>
      </c>
      <c r="E120" s="12">
        <v>120</v>
      </c>
      <c r="F120" s="12">
        <v>3</v>
      </c>
      <c r="G120" s="28" t="s">
        <v>77</v>
      </c>
      <c r="H120" s="31">
        <v>0.8</v>
      </c>
      <c r="I120" s="100"/>
      <c r="J120" s="41">
        <v>24.46</v>
      </c>
      <c r="K120" s="9">
        <v>0.48157966279966308</v>
      </c>
      <c r="L120" s="9">
        <v>0.11358205163630854</v>
      </c>
      <c r="M120" s="9">
        <v>0.4048382855640284</v>
      </c>
      <c r="N120" s="13">
        <v>36188</v>
      </c>
      <c r="O120" s="13">
        <v>5790</v>
      </c>
      <c r="P120" s="13">
        <v>30</v>
      </c>
      <c r="Q120" s="91"/>
      <c r="R120" s="51">
        <f>1121885/8760</f>
        <v>128.06906392694063</v>
      </c>
      <c r="S120" s="14">
        <f>Q119*H120/I119</f>
        <v>36692.88634505315</v>
      </c>
      <c r="T120" s="45">
        <f t="shared" si="20"/>
        <v>4.1886856558279852</v>
      </c>
      <c r="U120" s="3">
        <v>160</v>
      </c>
      <c r="V120" s="64">
        <v>130.5</v>
      </c>
      <c r="W120" s="5">
        <f t="shared" si="12"/>
        <v>5.2330335241210149</v>
      </c>
      <c r="X120" s="5">
        <f t="shared" si="13"/>
        <v>4.2681929681112027</v>
      </c>
      <c r="Y120" s="66">
        <f t="shared" si="14"/>
        <v>1183.5813573180706</v>
      </c>
      <c r="Z120" s="66">
        <f t="shared" si="15"/>
        <v>189.37040065412921</v>
      </c>
      <c r="AA120" s="66">
        <f t="shared" si="16"/>
        <v>0.98119378577269034</v>
      </c>
      <c r="AB120" s="4">
        <f t="shared" si="17"/>
        <v>2.0171858257074269</v>
      </c>
      <c r="AC120" s="4">
        <f t="shared" si="18"/>
        <v>0.47575951044851911</v>
      </c>
      <c r="AD120" s="4">
        <f t="shared" si="19"/>
        <v>1.6957403196720395</v>
      </c>
    </row>
    <row r="121" spans="1:30">
      <c r="A121" s="12">
        <v>27.09</v>
      </c>
      <c r="B121" s="12">
        <v>-97.61</v>
      </c>
      <c r="C121" s="10" t="s">
        <v>22</v>
      </c>
      <c r="D121" s="10" t="s">
        <v>35</v>
      </c>
      <c r="E121" s="12">
        <v>195</v>
      </c>
      <c r="F121" s="12">
        <v>3</v>
      </c>
      <c r="G121" s="28" t="s">
        <v>77</v>
      </c>
      <c r="H121" s="31">
        <v>3.5</v>
      </c>
      <c r="I121" s="101"/>
      <c r="J121" s="41">
        <v>24.46</v>
      </c>
      <c r="K121" s="9">
        <v>0.48157966279966308</v>
      </c>
      <c r="L121" s="9">
        <v>0.11358205163630854</v>
      </c>
      <c r="M121" s="9">
        <v>0.4048382855640284</v>
      </c>
      <c r="N121" s="13">
        <v>36188</v>
      </c>
      <c r="O121" s="13">
        <v>5790</v>
      </c>
      <c r="P121" s="13">
        <v>30</v>
      </c>
      <c r="Q121" s="92"/>
      <c r="R121" s="51">
        <f>1121885/8760</f>
        <v>128.06906392694063</v>
      </c>
      <c r="S121" s="14">
        <f>Q119*H121/I119</f>
        <v>160531.37775960751</v>
      </c>
      <c r="T121" s="45">
        <f t="shared" si="20"/>
        <v>18.325499744247434</v>
      </c>
      <c r="U121" s="3">
        <v>160</v>
      </c>
      <c r="V121" s="64">
        <v>130.5</v>
      </c>
      <c r="W121" s="5">
        <f t="shared" si="12"/>
        <v>22.894521668029437</v>
      </c>
      <c r="X121" s="5">
        <f t="shared" si="13"/>
        <v>18.67334423548651</v>
      </c>
      <c r="Y121" s="66">
        <f t="shared" si="14"/>
        <v>5178.168438266558</v>
      </c>
      <c r="Z121" s="66">
        <f t="shared" si="15"/>
        <v>828.49550286181523</v>
      </c>
      <c r="AA121" s="66">
        <f t="shared" si="16"/>
        <v>4.2927228127555193</v>
      </c>
      <c r="AB121" s="4">
        <f t="shared" si="17"/>
        <v>8.8251879874699917</v>
      </c>
      <c r="AC121" s="4">
        <f t="shared" si="18"/>
        <v>2.0814478582122709</v>
      </c>
      <c r="AD121" s="4">
        <f t="shared" si="19"/>
        <v>7.4188638985651725</v>
      </c>
    </row>
    <row r="122" spans="1:30">
      <c r="A122" s="12">
        <v>33.020000000000003</v>
      </c>
      <c r="B122" s="12">
        <v>-96.85</v>
      </c>
      <c r="C122" s="10" t="s">
        <v>18</v>
      </c>
      <c r="D122" s="10" t="s">
        <v>23</v>
      </c>
      <c r="E122" s="12">
        <v>0</v>
      </c>
      <c r="F122" s="12">
        <v>12</v>
      </c>
      <c r="G122" s="28" t="s">
        <v>78</v>
      </c>
      <c r="H122" s="31">
        <v>5267.95</v>
      </c>
      <c r="I122" s="87">
        <f>SUM(H122:H139)</f>
        <v>13988.830000000002</v>
      </c>
      <c r="J122" s="41">
        <v>13897.6</v>
      </c>
      <c r="K122" s="9">
        <f>41377*1000/Q122</f>
        <v>0.57114755576466947</v>
      </c>
      <c r="L122" s="9">
        <v>0.22</v>
      </c>
      <c r="M122" s="9">
        <f t="shared" ref="M122" si="22">1-K122-L122</f>
        <v>0.20885244423533053</v>
      </c>
      <c r="N122" s="18">
        <v>1776966.3120549701</v>
      </c>
      <c r="O122" s="18">
        <v>114124.2672631379</v>
      </c>
      <c r="P122" s="18">
        <v>114125.10160854092</v>
      </c>
      <c r="Q122" s="119">
        <f>41377+72404*1000</f>
        <v>72445377</v>
      </c>
      <c r="R122" s="55">
        <f t="shared" ref="R122:R139" si="23">41377+72404*1000/8760</f>
        <v>49642.296803652964</v>
      </c>
      <c r="S122" s="14">
        <f>Q122*H122/I122</f>
        <v>27281668.571792632</v>
      </c>
      <c r="T122" s="45">
        <f t="shared" si="20"/>
        <v>3114.345727373588</v>
      </c>
      <c r="U122" s="3">
        <v>25343.200000000001</v>
      </c>
      <c r="V122" s="64">
        <v>17974.7</v>
      </c>
      <c r="W122" s="5">
        <f t="shared" si="12"/>
        <v>1589.9241517803098</v>
      </c>
      <c r="X122" s="5">
        <f t="shared" si="13"/>
        <v>1127.6559254950255</v>
      </c>
      <c r="Y122" s="66">
        <f t="shared" si="14"/>
        <v>111479.27871919029</v>
      </c>
      <c r="Z122" s="66">
        <f t="shared" si="15"/>
        <v>7159.6692140650703</v>
      </c>
      <c r="AA122" s="66">
        <f t="shared" si="16"/>
        <v>7159.7215573329759</v>
      </c>
      <c r="AB122" s="4">
        <f t="shared" si="17"/>
        <v>1778.7509499955665</v>
      </c>
      <c r="AC122" s="4">
        <f t="shared" si="18"/>
        <v>685.15606002218942</v>
      </c>
      <c r="AD122" s="4">
        <f t="shared" si="19"/>
        <v>650.43871735583218</v>
      </c>
    </row>
    <row r="123" spans="1:30">
      <c r="A123" s="12">
        <v>32.67</v>
      </c>
      <c r="B123" s="12">
        <v>-97.11</v>
      </c>
      <c r="C123" s="10" t="s">
        <v>18</v>
      </c>
      <c r="D123" s="10" t="s">
        <v>23</v>
      </c>
      <c r="E123" s="12">
        <v>3</v>
      </c>
      <c r="F123" s="12">
        <v>12</v>
      </c>
      <c r="G123" s="28" t="s">
        <v>78</v>
      </c>
      <c r="H123" s="31">
        <v>6355.57</v>
      </c>
      <c r="I123" s="88"/>
      <c r="J123" s="41">
        <v>13897.6</v>
      </c>
      <c r="K123" s="9">
        <v>0.57114755576466947</v>
      </c>
      <c r="L123" s="9">
        <v>0.22</v>
      </c>
      <c r="M123" s="9">
        <v>0.20885244423533053</v>
      </c>
      <c r="N123" s="18">
        <v>1776966.3120549701</v>
      </c>
      <c r="O123" s="18">
        <v>114124.2672631379</v>
      </c>
      <c r="P123" s="18">
        <v>114125.10160854092</v>
      </c>
      <c r="Q123" s="120"/>
      <c r="R123" s="55">
        <f t="shared" si="23"/>
        <v>49642.296803652964</v>
      </c>
      <c r="S123" s="14">
        <f>Q122*H123/I122</f>
        <v>32914236.909011684</v>
      </c>
      <c r="T123" s="45">
        <f t="shared" si="20"/>
        <v>3757.3329804807859</v>
      </c>
      <c r="U123" s="3">
        <v>25343.200000000001</v>
      </c>
      <c r="V123" s="64">
        <v>17974.7</v>
      </c>
      <c r="W123" s="5">
        <f t="shared" si="12"/>
        <v>1918.1796033239464</v>
      </c>
      <c r="X123" s="5">
        <f t="shared" si="13"/>
        <v>1360.4715630175724</v>
      </c>
      <c r="Y123" s="66">
        <f t="shared" si="14"/>
        <v>134495.27035171638</v>
      </c>
      <c r="Z123" s="66">
        <f t="shared" si="15"/>
        <v>8637.8532193425417</v>
      </c>
      <c r="AA123" s="66">
        <f t="shared" si="16"/>
        <v>8637.9163693920309</v>
      </c>
      <c r="AB123" s="4">
        <f t="shared" si="17"/>
        <v>2145.9915479955812</v>
      </c>
      <c r="AC123" s="4">
        <f t="shared" si="18"/>
        <v>826.61325570577287</v>
      </c>
      <c r="AD123" s="4">
        <f t="shared" si="19"/>
        <v>784.72817677943158</v>
      </c>
    </row>
    <row r="124" spans="1:30">
      <c r="A124" s="12">
        <v>32.85</v>
      </c>
      <c r="B124" s="12">
        <v>-97.57</v>
      </c>
      <c r="C124" s="10" t="s">
        <v>18</v>
      </c>
      <c r="D124" s="10" t="s">
        <v>23</v>
      </c>
      <c r="E124" s="12">
        <v>25</v>
      </c>
      <c r="F124" s="12">
        <v>9</v>
      </c>
      <c r="G124" s="28" t="s">
        <v>78</v>
      </c>
      <c r="H124" s="31">
        <v>611.88</v>
      </c>
      <c r="I124" s="88"/>
      <c r="J124" s="41">
        <v>13897.6</v>
      </c>
      <c r="K124" s="9">
        <v>0.57114755576466947</v>
      </c>
      <c r="L124" s="9">
        <v>0.22</v>
      </c>
      <c r="M124" s="9">
        <v>0.20885244423533053</v>
      </c>
      <c r="N124" s="18">
        <v>1776966.3120549701</v>
      </c>
      <c r="O124" s="18">
        <v>114124.2672631379</v>
      </c>
      <c r="P124" s="18">
        <v>114125.10160854092</v>
      </c>
      <c r="Q124" s="120"/>
      <c r="R124" s="55">
        <f t="shared" si="23"/>
        <v>49642.296803652964</v>
      </c>
      <c r="S124" s="14">
        <f>Q122*H124/I122</f>
        <v>3168805.2023478732</v>
      </c>
      <c r="T124" s="45">
        <f t="shared" si="20"/>
        <v>361.73575369267957</v>
      </c>
      <c r="U124" s="3">
        <v>25343.200000000001</v>
      </c>
      <c r="V124" s="64">
        <v>17974.7</v>
      </c>
      <c r="W124" s="5">
        <f t="shared" si="12"/>
        <v>184.67198625486881</v>
      </c>
      <c r="X124" s="5">
        <f t="shared" si="13"/>
        <v>130.97886420560113</v>
      </c>
      <c r="Y124" s="66">
        <f t="shared" si="14"/>
        <v>12948.479211590498</v>
      </c>
      <c r="Z124" s="66">
        <f t="shared" si="15"/>
        <v>831.60591856455267</v>
      </c>
      <c r="AA124" s="66">
        <f t="shared" si="16"/>
        <v>831.6119983107094</v>
      </c>
      <c r="AB124" s="4">
        <f t="shared" si="17"/>
        <v>206.60449155426446</v>
      </c>
      <c r="AC124" s="4">
        <f t="shared" si="18"/>
        <v>79.581865812389509</v>
      </c>
      <c r="AD124" s="4">
        <f t="shared" si="19"/>
        <v>75.549396326025615</v>
      </c>
    </row>
    <row r="125" spans="1:30">
      <c r="A125" s="12">
        <v>32.33</v>
      </c>
      <c r="B125" s="12">
        <v>-97.73</v>
      </c>
      <c r="C125" s="10" t="s">
        <v>18</v>
      </c>
      <c r="D125" s="10" t="s">
        <v>23</v>
      </c>
      <c r="E125" s="12">
        <v>26</v>
      </c>
      <c r="F125" s="12">
        <v>12</v>
      </c>
      <c r="G125" s="28" t="s">
        <v>78</v>
      </c>
      <c r="H125" s="31">
        <v>324.8</v>
      </c>
      <c r="I125" s="88"/>
      <c r="J125" s="41">
        <v>13897.6</v>
      </c>
      <c r="K125" s="9">
        <v>0.57114755576466947</v>
      </c>
      <c r="L125" s="9">
        <v>0.22</v>
      </c>
      <c r="M125" s="9">
        <v>0.20885244423533053</v>
      </c>
      <c r="N125" s="18">
        <v>1776966.3120549701</v>
      </c>
      <c r="O125" s="18">
        <v>114124.2672631379</v>
      </c>
      <c r="P125" s="18">
        <v>114125.10160854092</v>
      </c>
      <c r="Q125" s="120"/>
      <c r="R125" s="55">
        <f t="shared" si="23"/>
        <v>49642.296803652964</v>
      </c>
      <c r="S125" s="14">
        <f>Q122*H125/I122</f>
        <v>1682074.8017954323</v>
      </c>
      <c r="T125" s="45">
        <f t="shared" si="20"/>
        <v>192.01767143783476</v>
      </c>
      <c r="U125" s="3">
        <v>25343.200000000001</v>
      </c>
      <c r="V125" s="64">
        <v>17974.7</v>
      </c>
      <c r="W125" s="5">
        <f t="shared" si="12"/>
        <v>98.028144628981821</v>
      </c>
      <c r="X125" s="5">
        <f t="shared" si="13"/>
        <v>69.52659850620914</v>
      </c>
      <c r="Y125" s="66">
        <f t="shared" si="14"/>
        <v>6873.3510621765608</v>
      </c>
      <c r="Z125" s="66">
        <f t="shared" si="15"/>
        <v>441.43557944330058</v>
      </c>
      <c r="AA125" s="66">
        <f t="shared" si="16"/>
        <v>441.43880671262093</v>
      </c>
      <c r="AB125" s="4">
        <f t="shared" si="17"/>
        <v>109.67042370534271</v>
      </c>
      <c r="AC125" s="4">
        <f t="shared" si="18"/>
        <v>42.243887716323648</v>
      </c>
      <c r="AD125" s="4">
        <f t="shared" si="19"/>
        <v>40.103360016168402</v>
      </c>
    </row>
    <row r="126" spans="1:30">
      <c r="A126" s="12">
        <v>33.24</v>
      </c>
      <c r="B126" s="12">
        <v>-97.35</v>
      </c>
      <c r="C126" s="10" t="s">
        <v>18</v>
      </c>
      <c r="D126" s="10" t="s">
        <v>23</v>
      </c>
      <c r="E126" s="12">
        <v>29</v>
      </c>
      <c r="F126" s="12">
        <v>12</v>
      </c>
      <c r="G126" s="28" t="s">
        <v>78</v>
      </c>
      <c r="H126" s="31">
        <v>161.35</v>
      </c>
      <c r="I126" s="88"/>
      <c r="J126" s="41">
        <v>13897.6</v>
      </c>
      <c r="K126" s="9">
        <v>0.57114755576466947</v>
      </c>
      <c r="L126" s="9">
        <v>0.22</v>
      </c>
      <c r="M126" s="9">
        <v>0.20885244423533053</v>
      </c>
      <c r="N126" s="18">
        <v>1776966.3120549701</v>
      </c>
      <c r="O126" s="18">
        <v>114124.2672631379</v>
      </c>
      <c r="P126" s="18">
        <v>114125.10160854092</v>
      </c>
      <c r="Q126" s="120"/>
      <c r="R126" s="55">
        <f t="shared" si="23"/>
        <v>49642.296803652964</v>
      </c>
      <c r="S126" s="14">
        <f>Q122*H126/I122</f>
        <v>835599.65908156708</v>
      </c>
      <c r="T126" s="45">
        <f t="shared" si="20"/>
        <v>95.388088936251947</v>
      </c>
      <c r="U126" s="3">
        <v>25343.200000000001</v>
      </c>
      <c r="V126" s="64">
        <v>17974.7</v>
      </c>
      <c r="W126" s="5">
        <f t="shared" si="12"/>
        <v>48.697170984871342</v>
      </c>
      <c r="X126" s="5">
        <f t="shared" si="13"/>
        <v>34.538536542416388</v>
      </c>
      <c r="Y126" s="66">
        <f t="shared" si="14"/>
        <v>3414.4556461890024</v>
      </c>
      <c r="Z126" s="66">
        <f t="shared" si="15"/>
        <v>219.29073504672579</v>
      </c>
      <c r="AA126" s="66">
        <f t="shared" si="16"/>
        <v>219.29233824840321</v>
      </c>
      <c r="AB126" s="4">
        <f t="shared" si="17"/>
        <v>54.48067384500321</v>
      </c>
      <c r="AC126" s="4">
        <f t="shared" si="18"/>
        <v>20.985379565975428</v>
      </c>
      <c r="AD126" s="4">
        <f t="shared" si="19"/>
        <v>19.922035525273309</v>
      </c>
    </row>
    <row r="127" spans="1:30">
      <c r="A127" s="12">
        <v>33.9</v>
      </c>
      <c r="B127" s="12">
        <v>-98.55</v>
      </c>
      <c r="C127" s="10" t="s">
        <v>18</v>
      </c>
      <c r="D127" s="10" t="s">
        <v>23</v>
      </c>
      <c r="E127" s="12">
        <v>33</v>
      </c>
      <c r="F127" s="12">
        <v>12</v>
      </c>
      <c r="G127" s="28" t="s">
        <v>78</v>
      </c>
      <c r="H127" s="31">
        <v>255.97</v>
      </c>
      <c r="I127" s="88"/>
      <c r="J127" s="41">
        <v>13897.6</v>
      </c>
      <c r="K127" s="9">
        <v>0.57114755576466947</v>
      </c>
      <c r="L127" s="9">
        <v>0.22</v>
      </c>
      <c r="M127" s="9">
        <v>0.20885244423533053</v>
      </c>
      <c r="N127" s="18">
        <v>1776966.3120549701</v>
      </c>
      <c r="O127" s="18">
        <v>114124.2672631379</v>
      </c>
      <c r="P127" s="18">
        <v>114125.10160854092</v>
      </c>
      <c r="Q127" s="120"/>
      <c r="R127" s="55">
        <f t="shared" si="23"/>
        <v>49642.296803652964</v>
      </c>
      <c r="S127" s="14">
        <f>Q122*H127/I122</f>
        <v>1325617.8787425393</v>
      </c>
      <c r="T127" s="45">
        <f t="shared" si="20"/>
        <v>151.3262418655867</v>
      </c>
      <c r="U127" s="3">
        <v>25343.200000000001</v>
      </c>
      <c r="V127" s="64">
        <v>17974.7</v>
      </c>
      <c r="W127" s="5">
        <f t="shared" si="12"/>
        <v>77.2545079454448</v>
      </c>
      <c r="X127" s="5">
        <f t="shared" si="13"/>
        <v>54.792867671288022</v>
      </c>
      <c r="Y127" s="66">
        <f t="shared" si="14"/>
        <v>5416.7847025410529</v>
      </c>
      <c r="Z127" s="66">
        <f t="shared" si="15"/>
        <v>347.88874775277594</v>
      </c>
      <c r="AA127" s="66">
        <f t="shared" si="16"/>
        <v>347.89129111523874</v>
      </c>
      <c r="AB127" s="4">
        <f t="shared" si="17"/>
        <v>86.429613164583031</v>
      </c>
      <c r="AC127" s="4">
        <f t="shared" si="18"/>
        <v>33.291773210429071</v>
      </c>
      <c r="AD127" s="4">
        <f t="shared" si="19"/>
        <v>31.604855490574586</v>
      </c>
    </row>
    <row r="128" spans="1:30">
      <c r="A128" s="12">
        <v>31.29</v>
      </c>
      <c r="B128" s="12">
        <v>-101.6</v>
      </c>
      <c r="C128" s="10" t="s">
        <v>18</v>
      </c>
      <c r="D128" s="10" t="s">
        <v>35</v>
      </c>
      <c r="E128" s="12">
        <v>70</v>
      </c>
      <c r="F128" s="12">
        <v>9</v>
      </c>
      <c r="G128" s="28" t="s">
        <v>78</v>
      </c>
      <c r="H128" s="31">
        <v>6.29</v>
      </c>
      <c r="I128" s="88"/>
      <c r="J128" s="41">
        <v>13897.6</v>
      </c>
      <c r="K128" s="9">
        <v>0.57114755576466947</v>
      </c>
      <c r="L128" s="9">
        <v>0.22</v>
      </c>
      <c r="M128" s="9">
        <v>0.20885244423533053</v>
      </c>
      <c r="N128" s="18">
        <v>1776966.3120549701</v>
      </c>
      <c r="O128" s="18">
        <v>114124.2672631379</v>
      </c>
      <c r="P128" s="18">
        <v>114125.10160854092</v>
      </c>
      <c r="Q128" s="120"/>
      <c r="R128" s="55">
        <f t="shared" si="23"/>
        <v>49642.296803652964</v>
      </c>
      <c r="S128" s="14">
        <f>Q122*H128/I122</f>
        <v>32574.662879597501</v>
      </c>
      <c r="T128" s="45">
        <f t="shared" si="20"/>
        <v>3.7185688218718607</v>
      </c>
      <c r="U128" s="3">
        <v>25343.200000000001</v>
      </c>
      <c r="V128" s="64">
        <v>17974.7</v>
      </c>
      <c r="W128" s="5">
        <f t="shared" si="12"/>
        <v>1.8983898698161803</v>
      </c>
      <c r="X128" s="5">
        <f t="shared" si="13"/>
        <v>1.3464356668844069</v>
      </c>
      <c r="Y128" s="66">
        <f t="shared" si="14"/>
        <v>133.10769144424432</v>
      </c>
      <c r="Z128" s="66">
        <f t="shared" si="15"/>
        <v>8.5487370526427338</v>
      </c>
      <c r="AA128" s="66">
        <f t="shared" si="16"/>
        <v>8.548799551177293</v>
      </c>
      <c r="AB128" s="4">
        <f t="shared" si="17"/>
        <v>2.1238514935548198</v>
      </c>
      <c r="AC128" s="4">
        <f t="shared" si="18"/>
        <v>0.81808514081180939</v>
      </c>
      <c r="AD128" s="4">
        <f t="shared" si="19"/>
        <v>0.77663218750523155</v>
      </c>
    </row>
    <row r="129" spans="1:30">
      <c r="A129" s="12">
        <v>31.86</v>
      </c>
      <c r="B129" s="12">
        <v>-102.31</v>
      </c>
      <c r="C129" s="10" t="s">
        <v>18</v>
      </c>
      <c r="D129" s="10" t="s">
        <v>23</v>
      </c>
      <c r="E129" s="12">
        <v>165</v>
      </c>
      <c r="F129" s="12">
        <v>12</v>
      </c>
      <c r="G129" s="28" t="s">
        <v>78</v>
      </c>
      <c r="H129" s="31">
        <v>507.79</v>
      </c>
      <c r="I129" s="88"/>
      <c r="J129" s="41">
        <v>13897.6</v>
      </c>
      <c r="K129" s="9">
        <v>0.57114755576466947</v>
      </c>
      <c r="L129" s="9">
        <v>0.22</v>
      </c>
      <c r="M129" s="9">
        <v>0.20885244423533053</v>
      </c>
      <c r="N129" s="18">
        <v>1776966.3120549701</v>
      </c>
      <c r="O129" s="18">
        <v>114124.2672631379</v>
      </c>
      <c r="P129" s="18">
        <v>114125.10160854092</v>
      </c>
      <c r="Q129" s="120"/>
      <c r="R129" s="55">
        <f t="shared" si="23"/>
        <v>49642.296803652964</v>
      </c>
      <c r="S129" s="14">
        <f>Q122*H129/I122</f>
        <v>2629743.7303069662</v>
      </c>
      <c r="T129" s="45">
        <f t="shared" si="20"/>
        <v>300.19905597111489</v>
      </c>
      <c r="U129" s="3">
        <v>25343.200000000001</v>
      </c>
      <c r="V129" s="64">
        <v>17974.7</v>
      </c>
      <c r="W129" s="5">
        <f t="shared" si="12"/>
        <v>153.25650111191709</v>
      </c>
      <c r="X129" s="5">
        <f t="shared" si="13"/>
        <v>108.69738748604661</v>
      </c>
      <c r="Y129" s="66">
        <f t="shared" si="14"/>
        <v>10745.747955242106</v>
      </c>
      <c r="Z129" s="66">
        <f t="shared" si="15"/>
        <v>690.13723179037436</v>
      </c>
      <c r="AA129" s="66">
        <f t="shared" si="16"/>
        <v>690.14227728017795</v>
      </c>
      <c r="AB129" s="4">
        <f t="shared" si="17"/>
        <v>171.45795706076348</v>
      </c>
      <c r="AC129" s="4">
        <f t="shared" si="18"/>
        <v>66.04379231364527</v>
      </c>
      <c r="AD129" s="4">
        <f t="shared" si="19"/>
        <v>62.697306596706142</v>
      </c>
    </row>
    <row r="130" spans="1:30">
      <c r="A130" s="12">
        <v>32.06</v>
      </c>
      <c r="B130" s="12">
        <v>-102.66</v>
      </c>
      <c r="C130" s="10" t="s">
        <v>18</v>
      </c>
      <c r="D130" s="10" t="s">
        <v>19</v>
      </c>
      <c r="E130" s="12">
        <v>166</v>
      </c>
      <c r="F130" s="12">
        <v>7</v>
      </c>
      <c r="G130" s="28" t="s">
        <v>78</v>
      </c>
      <c r="H130" s="31">
        <v>27.95</v>
      </c>
      <c r="I130" s="88"/>
      <c r="J130" s="41">
        <v>13897.6</v>
      </c>
      <c r="K130" s="9">
        <v>0.57114755576466947</v>
      </c>
      <c r="L130" s="9">
        <v>0.22</v>
      </c>
      <c r="M130" s="9">
        <v>0.20885244423533053</v>
      </c>
      <c r="N130" s="18">
        <v>1776966.3120549701</v>
      </c>
      <c r="O130" s="18">
        <v>114124.2672631379</v>
      </c>
      <c r="P130" s="18">
        <v>114125.10160854092</v>
      </c>
      <c r="Q130" s="120"/>
      <c r="R130" s="55">
        <f t="shared" si="23"/>
        <v>49642.296803652964</v>
      </c>
      <c r="S130" s="14">
        <f>Q122*H130/I122</f>
        <v>144747.50834415742</v>
      </c>
      <c r="T130" s="45">
        <f t="shared" si="20"/>
        <v>16.523688167141259</v>
      </c>
      <c r="U130" s="3">
        <v>25343.200000000001</v>
      </c>
      <c r="V130" s="64">
        <v>17974.7</v>
      </c>
      <c r="W130" s="5">
        <f t="shared" si="12"/>
        <v>8.4356115836823928</v>
      </c>
      <c r="X130" s="5">
        <f t="shared" si="13"/>
        <v>5.9829692987947816</v>
      </c>
      <c r="Y130" s="66">
        <f t="shared" si="14"/>
        <v>591.47217422362951</v>
      </c>
      <c r="Z130" s="66">
        <f t="shared" si="15"/>
        <v>37.986836346798796</v>
      </c>
      <c r="AA130" s="66">
        <f t="shared" si="16"/>
        <v>37.987114062862538</v>
      </c>
      <c r="AB130" s="4">
        <f t="shared" si="17"/>
        <v>9.4374641088803219</v>
      </c>
      <c r="AC130" s="4">
        <f t="shared" si="18"/>
        <v>3.6352113967710769</v>
      </c>
      <c r="AD130" s="4">
        <f t="shared" si="19"/>
        <v>3.4510126614898606</v>
      </c>
    </row>
    <row r="131" spans="1:30">
      <c r="A131" s="12">
        <v>32.200000000000003</v>
      </c>
      <c r="B131" s="12">
        <v>-101.43</v>
      </c>
      <c r="C131" s="10" t="s">
        <v>18</v>
      </c>
      <c r="D131" s="10" t="s">
        <v>25</v>
      </c>
      <c r="E131" s="12">
        <v>169</v>
      </c>
      <c r="F131" s="12">
        <v>10</v>
      </c>
      <c r="G131" s="28" t="s">
        <v>78</v>
      </c>
      <c r="H131" s="31">
        <v>62.76</v>
      </c>
      <c r="I131" s="88"/>
      <c r="J131" s="41">
        <v>13897.6</v>
      </c>
      <c r="K131" s="9">
        <v>0.57114755576466947</v>
      </c>
      <c r="L131" s="9">
        <v>0.22</v>
      </c>
      <c r="M131" s="9">
        <v>0.20885244423533053</v>
      </c>
      <c r="N131" s="18">
        <v>1776966.3120549701</v>
      </c>
      <c r="O131" s="18">
        <v>114124.2672631379</v>
      </c>
      <c r="P131" s="18">
        <v>114125.10160854092</v>
      </c>
      <c r="Q131" s="120"/>
      <c r="R131" s="55">
        <f t="shared" si="23"/>
        <v>49642.296803652964</v>
      </c>
      <c r="S131" s="14">
        <f>Q122*H131/I122</f>
        <v>325021.59655382182</v>
      </c>
      <c r="T131" s="45">
        <f t="shared" si="20"/>
        <v>37.102921981029887</v>
      </c>
      <c r="U131" s="3">
        <v>25343.200000000001</v>
      </c>
      <c r="V131" s="64">
        <v>17974.7</v>
      </c>
      <c r="W131" s="5">
        <f t="shared" si="12"/>
        <v>18.941645187545866</v>
      </c>
      <c r="X131" s="5">
        <f t="shared" si="13"/>
        <v>13.434388307418979</v>
      </c>
      <c r="Y131" s="66">
        <f t="shared" si="14"/>
        <v>1328.1142631225396</v>
      </c>
      <c r="Z131" s="66">
        <f t="shared" si="15"/>
        <v>85.297096569770744</v>
      </c>
      <c r="AA131" s="66">
        <f t="shared" si="16"/>
        <v>85.297720164051967</v>
      </c>
      <c r="AB131" s="4">
        <f t="shared" si="17"/>
        <v>21.191243201192449</v>
      </c>
      <c r="AC131" s="4">
        <f t="shared" si="18"/>
        <v>8.1626428358265759</v>
      </c>
      <c r="AD131" s="4">
        <f t="shared" si="19"/>
        <v>7.7490359440108643</v>
      </c>
    </row>
    <row r="132" spans="1:30">
      <c r="A132" s="12">
        <v>31.59</v>
      </c>
      <c r="B132" s="12">
        <v>-102.96</v>
      </c>
      <c r="C132" s="10" t="s">
        <v>18</v>
      </c>
      <c r="D132" s="10" t="s">
        <v>25</v>
      </c>
      <c r="E132" s="12">
        <v>170</v>
      </c>
      <c r="F132" s="12">
        <v>10</v>
      </c>
      <c r="G132" s="28" t="s">
        <v>78</v>
      </c>
      <c r="H132" s="31">
        <v>32.6</v>
      </c>
      <c r="I132" s="88"/>
      <c r="J132" s="41">
        <v>13897.6</v>
      </c>
      <c r="K132" s="9">
        <v>0.57114755576466947</v>
      </c>
      <c r="L132" s="9">
        <v>0.22</v>
      </c>
      <c r="M132" s="9">
        <v>0.20885244423533053</v>
      </c>
      <c r="N132" s="18">
        <v>1776966.3120549701</v>
      </c>
      <c r="O132" s="18">
        <v>114124.2672631379</v>
      </c>
      <c r="P132" s="18">
        <v>114125.10160854092</v>
      </c>
      <c r="Q132" s="120"/>
      <c r="R132" s="55">
        <f t="shared" si="23"/>
        <v>49642.296803652964</v>
      </c>
      <c r="S132" s="14">
        <f>Q122*H132/I122</f>
        <v>168828.93638710314</v>
      </c>
      <c r="T132" s="45">
        <f t="shared" si="20"/>
        <v>19.272709633230953</v>
      </c>
      <c r="U132" s="3">
        <v>25343.200000000001</v>
      </c>
      <c r="V132" s="64">
        <v>17974.7</v>
      </c>
      <c r="W132" s="5">
        <f t="shared" ref="W132:W196" si="24">U132*T132/R132</f>
        <v>9.8390317577118456</v>
      </c>
      <c r="X132" s="5">
        <f t="shared" ref="X132:X196" si="25">V132*T132/R132</f>
        <v>6.9783470175567048</v>
      </c>
      <c r="Y132" s="66">
        <f t="shared" ref="Y132:Y196" si="26">N132*T132/R132</f>
        <v>689.87452163471653</v>
      </c>
      <c r="Z132" s="66">
        <f t="shared" ref="Z132:Z196" si="27">O132*T132/R132</f>
        <v>44.306649907178574</v>
      </c>
      <c r="AA132" s="66">
        <f t="shared" ref="AA132:AA196" si="28">P132*T132/R132</f>
        <v>44.306973826451483</v>
      </c>
      <c r="AB132" s="4">
        <f t="shared" ref="AB132:AB195" si="29">K132*T132</f>
        <v>11.007560999982058</v>
      </c>
      <c r="AC132" s="4">
        <f t="shared" ref="AC132:AC195" si="30">L132*T132</f>
        <v>4.2399961193108098</v>
      </c>
      <c r="AD132" s="4">
        <f t="shared" ref="AD132:AD195" si="31">M132*T132</f>
        <v>4.0251525139380853</v>
      </c>
    </row>
    <row r="133" spans="1:30">
      <c r="A133" s="12">
        <v>31.2</v>
      </c>
      <c r="B133" s="12">
        <v>-102.24</v>
      </c>
      <c r="C133" s="10" t="s">
        <v>18</v>
      </c>
      <c r="D133" s="10" t="s">
        <v>19</v>
      </c>
      <c r="E133" s="12">
        <v>171</v>
      </c>
      <c r="F133" s="12">
        <v>7</v>
      </c>
      <c r="G133" s="28" t="s">
        <v>78</v>
      </c>
      <c r="H133" s="31">
        <v>14.19</v>
      </c>
      <c r="I133" s="88"/>
      <c r="J133" s="41">
        <v>13897.6</v>
      </c>
      <c r="K133" s="9">
        <v>0.57114755576466947</v>
      </c>
      <c r="L133" s="9">
        <v>0.22</v>
      </c>
      <c r="M133" s="9">
        <v>0.20885244423533053</v>
      </c>
      <c r="N133" s="18">
        <v>1776966.3120549701</v>
      </c>
      <c r="O133" s="18">
        <v>114124.2672631379</v>
      </c>
      <c r="P133" s="18">
        <v>114125.10160854092</v>
      </c>
      <c r="Q133" s="120"/>
      <c r="R133" s="55">
        <f t="shared" si="23"/>
        <v>49642.296803652964</v>
      </c>
      <c r="S133" s="14">
        <f>Q122*H133/I122</f>
        <v>73487.196543956845</v>
      </c>
      <c r="T133" s="45">
        <f t="shared" si="20"/>
        <v>8.3889493771640229</v>
      </c>
      <c r="U133" s="3">
        <v>25343.200000000001</v>
      </c>
      <c r="V133" s="64">
        <v>17974.7</v>
      </c>
      <c r="W133" s="5">
        <f t="shared" si="24"/>
        <v>4.2826951117156762</v>
      </c>
      <c r="X133" s="5">
        <f t="shared" si="25"/>
        <v>3.0375074901573504</v>
      </c>
      <c r="Y133" s="66">
        <f t="shared" si="26"/>
        <v>300.28587306738109</v>
      </c>
      <c r="Z133" s="66">
        <f t="shared" si="27"/>
        <v>19.285624606836311</v>
      </c>
      <c r="AA133" s="66">
        <f t="shared" si="28"/>
        <v>19.285765601145595</v>
      </c>
      <c r="AB133" s="4">
        <f t="shared" si="29"/>
        <v>4.7913279322007778</v>
      </c>
      <c r="AC133" s="4">
        <f t="shared" si="30"/>
        <v>1.8455688629760851</v>
      </c>
      <c r="AD133" s="4">
        <f t="shared" si="31"/>
        <v>1.75205258198716</v>
      </c>
    </row>
    <row r="134" spans="1:30">
      <c r="A134" s="12">
        <v>31.74</v>
      </c>
      <c r="B134" s="12">
        <v>-101.49</v>
      </c>
      <c r="C134" s="10" t="s">
        <v>18</v>
      </c>
      <c r="D134" s="10" t="s">
        <v>35</v>
      </c>
      <c r="E134" s="12">
        <v>174</v>
      </c>
      <c r="F134" s="12">
        <v>9</v>
      </c>
      <c r="G134" s="28" t="s">
        <v>78</v>
      </c>
      <c r="H134" s="31">
        <v>1.79</v>
      </c>
      <c r="I134" s="88"/>
      <c r="J134" s="41">
        <v>13897.6</v>
      </c>
      <c r="K134" s="9">
        <v>0.57114755576466947</v>
      </c>
      <c r="L134" s="9">
        <v>0.22</v>
      </c>
      <c r="M134" s="9">
        <v>0.20885244423533053</v>
      </c>
      <c r="N134" s="18">
        <v>1776966.3120549701</v>
      </c>
      <c r="O134" s="18">
        <v>114124.2672631379</v>
      </c>
      <c r="P134" s="18">
        <v>114125.10160854092</v>
      </c>
      <c r="Q134" s="120"/>
      <c r="R134" s="55">
        <f t="shared" si="23"/>
        <v>49642.296803652964</v>
      </c>
      <c r="S134" s="14">
        <f>Q122*H134/I122</f>
        <v>9270.0550961016743</v>
      </c>
      <c r="T134" s="45">
        <f t="shared" si="20"/>
        <v>1.0582254675915153</v>
      </c>
      <c r="U134" s="3">
        <v>25343.200000000001</v>
      </c>
      <c r="V134" s="64">
        <v>17974.7</v>
      </c>
      <c r="W134" s="5">
        <f t="shared" si="24"/>
        <v>0.54024131430380973</v>
      </c>
      <c r="X134" s="5">
        <f t="shared" si="25"/>
        <v>0.38316690679222393</v>
      </c>
      <c r="Y134" s="66">
        <f t="shared" si="26"/>
        <v>37.879613304482888</v>
      </c>
      <c r="Z134" s="66">
        <f t="shared" si="27"/>
        <v>2.4327884458236082</v>
      </c>
      <c r="AA134" s="66">
        <f t="shared" si="28"/>
        <v>2.4328062315750962</v>
      </c>
      <c r="AB134" s="4">
        <f t="shared" si="29"/>
        <v>0.60440288926281838</v>
      </c>
      <c r="AC134" s="4">
        <f t="shared" si="30"/>
        <v>0.23280960287013336</v>
      </c>
      <c r="AD134" s="4">
        <f t="shared" si="31"/>
        <v>0.22101297545856352</v>
      </c>
    </row>
    <row r="135" spans="1:30">
      <c r="A135" s="12">
        <v>32.229999999999997</v>
      </c>
      <c r="B135" s="12">
        <v>-101.84</v>
      </c>
      <c r="C135" s="10" t="s">
        <v>18</v>
      </c>
      <c r="D135" s="10" t="s">
        <v>35</v>
      </c>
      <c r="E135" s="12">
        <v>176</v>
      </c>
      <c r="F135" s="12">
        <v>9</v>
      </c>
      <c r="G135" s="28" t="s">
        <v>78</v>
      </c>
      <c r="H135" s="31">
        <v>8.2200000000000006</v>
      </c>
      <c r="I135" s="88"/>
      <c r="J135" s="41">
        <v>13897.6</v>
      </c>
      <c r="K135" s="9">
        <v>0.57114755576466947</v>
      </c>
      <c r="L135" s="9">
        <v>0.22</v>
      </c>
      <c r="M135" s="9">
        <v>0.20885244423533053</v>
      </c>
      <c r="N135" s="18">
        <v>1776966.3120549701</v>
      </c>
      <c r="O135" s="18">
        <v>114124.2672631379</v>
      </c>
      <c r="P135" s="18">
        <v>114125.10160854092</v>
      </c>
      <c r="Q135" s="120"/>
      <c r="R135" s="55">
        <f t="shared" si="23"/>
        <v>49642.296803652964</v>
      </c>
      <c r="S135" s="14">
        <f>Q122*H135/I122</f>
        <v>42569.750217852386</v>
      </c>
      <c r="T135" s="45">
        <f t="shared" si="20"/>
        <v>4.859560527152099</v>
      </c>
      <c r="U135" s="3">
        <v>25343.200000000001</v>
      </c>
      <c r="V135" s="64">
        <v>17974.7</v>
      </c>
      <c r="W135" s="5">
        <f t="shared" si="24"/>
        <v>2.4808846947359315</v>
      </c>
      <c r="X135" s="5">
        <f t="shared" si="25"/>
        <v>1.7595709351017212</v>
      </c>
      <c r="Y135" s="66">
        <f t="shared" si="26"/>
        <v>173.94995606863097</v>
      </c>
      <c r="Z135" s="66">
        <f t="shared" si="27"/>
        <v>11.171799455122938</v>
      </c>
      <c r="AA135" s="66">
        <f t="shared" si="28"/>
        <v>11.171881130473349</v>
      </c>
      <c r="AB135" s="4">
        <f t="shared" si="29"/>
        <v>2.7755261171733898</v>
      </c>
      <c r="AC135" s="4">
        <f t="shared" si="30"/>
        <v>1.0691033159734618</v>
      </c>
      <c r="AD135" s="4">
        <f t="shared" si="31"/>
        <v>1.0149310940052472</v>
      </c>
    </row>
    <row r="136" spans="1:30">
      <c r="A136" s="12">
        <v>31.82</v>
      </c>
      <c r="B136" s="12">
        <v>-103.7</v>
      </c>
      <c r="C136" s="10" t="s">
        <v>18</v>
      </c>
      <c r="D136" s="10" t="s">
        <v>19</v>
      </c>
      <c r="E136" s="12">
        <v>177</v>
      </c>
      <c r="F136" s="12">
        <v>7</v>
      </c>
      <c r="G136" s="28" t="s">
        <v>78</v>
      </c>
      <c r="H136" s="31">
        <v>0.21</v>
      </c>
      <c r="I136" s="88"/>
      <c r="J136" s="41">
        <v>13897.6</v>
      </c>
      <c r="K136" s="9">
        <v>0.57114755576466947</v>
      </c>
      <c r="L136" s="9">
        <v>0.22</v>
      </c>
      <c r="M136" s="9">
        <v>0.20885244423533053</v>
      </c>
      <c r="N136" s="18">
        <v>1776966.3120549701</v>
      </c>
      <c r="O136" s="18">
        <v>114124.2672631379</v>
      </c>
      <c r="P136" s="18">
        <v>114125.10160854092</v>
      </c>
      <c r="Q136" s="120"/>
      <c r="R136" s="55">
        <f t="shared" si="23"/>
        <v>49642.296803652964</v>
      </c>
      <c r="S136" s="14">
        <f>Q122*H136/I122</f>
        <v>1087.5483632298053</v>
      </c>
      <c r="T136" s="45">
        <f t="shared" si="20"/>
        <v>0.1241493565330828</v>
      </c>
      <c r="U136" s="3">
        <v>25343.200000000001</v>
      </c>
      <c r="V136" s="64">
        <v>17974.7</v>
      </c>
      <c r="W136" s="5">
        <f t="shared" si="24"/>
        <v>6.3380265923910648E-2</v>
      </c>
      <c r="X136" s="5">
        <f t="shared" si="25"/>
        <v>4.4952542137635214E-2</v>
      </c>
      <c r="Y136" s="66">
        <f t="shared" si="26"/>
        <v>4.4439769798555346</v>
      </c>
      <c r="Z136" s="66">
        <f t="shared" si="27"/>
        <v>0.28541093498489256</v>
      </c>
      <c r="AA136" s="66">
        <f t="shared" si="28"/>
        <v>0.28541302158143589</v>
      </c>
      <c r="AB136" s="4">
        <f t="shared" si="29"/>
        <v>7.0907601533626741E-2</v>
      </c>
      <c r="AC136" s="4">
        <f t="shared" si="30"/>
        <v>2.7312858437278216E-2</v>
      </c>
      <c r="AD136" s="4">
        <f t="shared" si="31"/>
        <v>2.5928896562177846E-2</v>
      </c>
    </row>
    <row r="137" spans="1:30">
      <c r="A137" s="12">
        <v>31.52</v>
      </c>
      <c r="B137" s="12">
        <v>-101.92</v>
      </c>
      <c r="C137" s="10" t="s">
        <v>18</v>
      </c>
      <c r="D137" s="10" t="s">
        <v>19</v>
      </c>
      <c r="E137" s="12">
        <v>178</v>
      </c>
      <c r="F137" s="12">
        <v>7</v>
      </c>
      <c r="G137" s="28" t="s">
        <v>78</v>
      </c>
      <c r="H137" s="31">
        <v>0.43</v>
      </c>
      <c r="I137" s="88"/>
      <c r="J137" s="41">
        <v>13897.6</v>
      </c>
      <c r="K137" s="9">
        <v>0.57114755576466947</v>
      </c>
      <c r="L137" s="9">
        <v>0.22</v>
      </c>
      <c r="M137" s="9">
        <v>0.20885244423533053</v>
      </c>
      <c r="N137" s="18">
        <v>1776966.3120549701</v>
      </c>
      <c r="O137" s="18">
        <v>114124.2672631379</v>
      </c>
      <c r="P137" s="18">
        <v>114125.10160854092</v>
      </c>
      <c r="Q137" s="120"/>
      <c r="R137" s="55">
        <f t="shared" si="23"/>
        <v>49642.296803652964</v>
      </c>
      <c r="S137" s="14">
        <f>Q122*H137/I122</f>
        <v>2226.8847437562681</v>
      </c>
      <c r="T137" s="45">
        <f t="shared" si="20"/>
        <v>0.25421058718678863</v>
      </c>
      <c r="U137" s="3">
        <v>25343.200000000001</v>
      </c>
      <c r="V137" s="64">
        <v>17974.7</v>
      </c>
      <c r="W137" s="5">
        <f t="shared" si="24"/>
        <v>0.12977863974895992</v>
      </c>
      <c r="X137" s="5">
        <f t="shared" si="25"/>
        <v>9.2045681519919736E-2</v>
      </c>
      <c r="Y137" s="66">
        <f t="shared" si="26"/>
        <v>9.0995719111327613</v>
      </c>
      <c r="Z137" s="66">
        <f t="shared" si="27"/>
        <v>0.58441286687382776</v>
      </c>
      <c r="AA137" s="66">
        <f t="shared" si="28"/>
        <v>0.58441713942865448</v>
      </c>
      <c r="AB137" s="4">
        <f t="shared" si="29"/>
        <v>0.14519175552123573</v>
      </c>
      <c r="AC137" s="4">
        <f t="shared" si="30"/>
        <v>5.5926329181093498E-2</v>
      </c>
      <c r="AD137" s="4">
        <f t="shared" si="31"/>
        <v>5.3092502484459403E-2</v>
      </c>
    </row>
    <row r="138" spans="1:30">
      <c r="A138" s="12">
        <v>31.45</v>
      </c>
      <c r="B138" s="12">
        <v>-100.45</v>
      </c>
      <c r="C138" s="10" t="s">
        <v>18</v>
      </c>
      <c r="D138" s="10" t="s">
        <v>25</v>
      </c>
      <c r="E138" s="12">
        <v>68</v>
      </c>
      <c r="F138" s="12">
        <v>10</v>
      </c>
      <c r="G138" s="28" t="s">
        <v>78</v>
      </c>
      <c r="H138" s="31">
        <v>257.85000000000002</v>
      </c>
      <c r="I138" s="88"/>
      <c r="J138" s="41">
        <v>13897.6</v>
      </c>
      <c r="K138" s="9">
        <v>0.56999999999999995</v>
      </c>
      <c r="L138" s="9">
        <v>0.22</v>
      </c>
      <c r="M138" s="9">
        <v>0.21</v>
      </c>
      <c r="N138" s="18">
        <v>1776966.3120549701</v>
      </c>
      <c r="O138" s="18">
        <v>114124.2672631379</v>
      </c>
      <c r="P138" s="18">
        <v>114125.10160854092</v>
      </c>
      <c r="Q138" s="120"/>
      <c r="R138" s="55">
        <f t="shared" si="23"/>
        <v>49642.296803652964</v>
      </c>
      <c r="S138" s="14">
        <f>Q122*H138/I122</f>
        <v>1335354.0259943111</v>
      </c>
      <c r="T138" s="45">
        <f>S138/365/24</f>
        <v>152.43767420026381</v>
      </c>
      <c r="U138" s="3">
        <v>25343.200000000001</v>
      </c>
      <c r="V138" s="64">
        <v>17974.7</v>
      </c>
      <c r="W138" s="5">
        <f>U138*T138/R138</f>
        <v>77.821912230858857</v>
      </c>
      <c r="X138" s="5">
        <f>V138*T138/R138</f>
        <v>55.195299953282088</v>
      </c>
      <c r="Y138" s="66">
        <f>N138*T138/R138</f>
        <v>5456.568877408331</v>
      </c>
      <c r="Z138" s="66">
        <f>O138*T138/R138</f>
        <v>350.44385517073596</v>
      </c>
      <c r="AA138" s="66">
        <f>P138*T138/R138</f>
        <v>350.44641721320585</v>
      </c>
      <c r="AB138" s="4">
        <f t="shared" si="29"/>
        <v>86.889474294150361</v>
      </c>
      <c r="AC138" s="4">
        <f t="shared" si="30"/>
        <v>33.536288324058042</v>
      </c>
      <c r="AD138" s="4">
        <f t="shared" si="31"/>
        <v>32.011911582055397</v>
      </c>
    </row>
    <row r="139" spans="1:30">
      <c r="A139" s="12">
        <v>30.57</v>
      </c>
      <c r="B139" s="12">
        <v>-97.08</v>
      </c>
      <c r="C139" s="10" t="s">
        <v>22</v>
      </c>
      <c r="D139" s="10" t="s">
        <v>25</v>
      </c>
      <c r="E139" s="12">
        <v>48</v>
      </c>
      <c r="F139" s="12">
        <v>4</v>
      </c>
      <c r="G139" s="28" t="s">
        <v>78</v>
      </c>
      <c r="H139" s="31">
        <v>91.23</v>
      </c>
      <c r="I139" s="89"/>
      <c r="J139" s="41">
        <v>13897.6</v>
      </c>
      <c r="K139" s="9">
        <v>0.56999999999999995</v>
      </c>
      <c r="L139" s="9">
        <v>0.22</v>
      </c>
      <c r="M139" s="9">
        <v>0.21</v>
      </c>
      <c r="N139" s="18">
        <v>1776966.3120549701</v>
      </c>
      <c r="O139" s="18">
        <v>114124.2672631379</v>
      </c>
      <c r="P139" s="18">
        <v>114125.10160854092</v>
      </c>
      <c r="Q139" s="121"/>
      <c r="R139" s="55">
        <f t="shared" si="23"/>
        <v>49642.296803652964</v>
      </c>
      <c r="S139" s="14">
        <f>Q122*H139/I122</f>
        <v>472462.08179740544</v>
      </c>
      <c r="T139" s="45">
        <f>S139/365/24</f>
        <v>53.934027602443543</v>
      </c>
      <c r="U139" s="3">
        <v>25343.200000000001</v>
      </c>
      <c r="V139" s="64">
        <v>17974.7</v>
      </c>
      <c r="W139" s="5">
        <f>U139*T139/R139</f>
        <v>27.534198382087467</v>
      </c>
      <c r="X139" s="5">
        <f>V139*T139/R139</f>
        <v>19.528668662935523</v>
      </c>
      <c r="Y139" s="66">
        <f>N139*T139/R139</f>
        <v>1930.5905708200974</v>
      </c>
      <c r="Z139" s="66">
        <f>O139*T139/R139</f>
        <v>123.99066475557977</v>
      </c>
      <c r="AA139" s="66">
        <f>P139*T139/R139</f>
        <v>123.99157123273521</v>
      </c>
      <c r="AB139" s="4">
        <f t="shared" si="29"/>
        <v>30.742395733392815</v>
      </c>
      <c r="AC139" s="4">
        <f t="shared" si="30"/>
        <v>11.86548607253758</v>
      </c>
      <c r="AD139" s="4">
        <f t="shared" si="31"/>
        <v>11.326145796513144</v>
      </c>
    </row>
    <row r="140" spans="1:30">
      <c r="A140" s="12">
        <v>29.71</v>
      </c>
      <c r="B140" s="12">
        <v>-100.07</v>
      </c>
      <c r="C140" s="10" t="s">
        <v>22</v>
      </c>
      <c r="D140" s="10" t="s">
        <v>19</v>
      </c>
      <c r="E140" s="12">
        <v>133</v>
      </c>
      <c r="F140" s="12">
        <v>1</v>
      </c>
      <c r="G140" s="28" t="s">
        <v>79</v>
      </c>
      <c r="H140" s="31">
        <v>3.69</v>
      </c>
      <c r="I140" s="99">
        <f>SUM(H140:H146)</f>
        <v>225.26999999999998</v>
      </c>
      <c r="J140" s="41">
        <v>225.26999999999998</v>
      </c>
      <c r="K140" s="9">
        <v>0.68640798582347962</v>
      </c>
      <c r="L140" s="9">
        <v>0.11789314399166333</v>
      </c>
      <c r="M140" s="9">
        <v>0.1956988701848571</v>
      </c>
      <c r="N140" s="13">
        <v>262148</v>
      </c>
      <c r="O140" s="13">
        <v>24130</v>
      </c>
      <c r="P140" s="13">
        <v>1144</v>
      </c>
      <c r="Q140" s="90">
        <v>5559051</v>
      </c>
      <c r="R140" s="51">
        <f t="shared" ref="R140:R146" si="32">5559051/8760</f>
        <v>634.59486301369861</v>
      </c>
      <c r="S140" s="14">
        <f>Q140*H140/I140</f>
        <v>91059.165401518185</v>
      </c>
      <c r="T140" s="45">
        <f t="shared" si="20"/>
        <v>10.394881895150478</v>
      </c>
      <c r="U140" s="3">
        <v>1443</v>
      </c>
      <c r="V140" s="64">
        <v>1157.5</v>
      </c>
      <c r="W140" s="5">
        <f t="shared" si="24"/>
        <v>23.636835797043549</v>
      </c>
      <c r="X140" s="5">
        <f t="shared" si="25"/>
        <v>18.960247702756696</v>
      </c>
      <c r="Y140" s="66">
        <f t="shared" si="26"/>
        <v>4294.074310827008</v>
      </c>
      <c r="Z140" s="66">
        <f t="shared" si="27"/>
        <v>395.25769077107475</v>
      </c>
      <c r="AA140" s="66">
        <f t="shared" si="28"/>
        <v>18.739113064322815</v>
      </c>
      <c r="AB140" s="4">
        <f t="shared" si="29"/>
        <v>7.1351299445231939</v>
      </c>
      <c r="AC140" s="4">
        <f t="shared" si="30"/>
        <v>1.2254853080413095</v>
      </c>
      <c r="AD140" s="4">
        <f t="shared" si="31"/>
        <v>2.0342666425859748</v>
      </c>
    </row>
    <row r="141" spans="1:30">
      <c r="A141" s="12">
        <v>29.99</v>
      </c>
      <c r="B141" s="12">
        <v>-100.29</v>
      </c>
      <c r="C141" s="10" t="s">
        <v>22</v>
      </c>
      <c r="D141" s="10" t="s">
        <v>19</v>
      </c>
      <c r="E141" s="12">
        <v>141</v>
      </c>
      <c r="F141" s="12">
        <v>1</v>
      </c>
      <c r="G141" s="28" t="s">
        <v>79</v>
      </c>
      <c r="H141" s="31">
        <v>3.98</v>
      </c>
      <c r="I141" s="100"/>
      <c r="J141" s="41">
        <v>225.26999999999998</v>
      </c>
      <c r="K141" s="9">
        <v>0.68640798582347962</v>
      </c>
      <c r="L141" s="9">
        <v>0.11789314399166333</v>
      </c>
      <c r="M141" s="9">
        <v>0.1956988701848571</v>
      </c>
      <c r="N141" s="13">
        <v>262148</v>
      </c>
      <c r="O141" s="13">
        <v>24130</v>
      </c>
      <c r="P141" s="13">
        <v>1144</v>
      </c>
      <c r="Q141" s="91"/>
      <c r="R141" s="51">
        <f t="shared" si="32"/>
        <v>634.59486301369861</v>
      </c>
      <c r="S141" s="14">
        <f>Q140*H141/I140</f>
        <v>98215.576774537229</v>
      </c>
      <c r="T141" s="45">
        <f t="shared" si="20"/>
        <v>11.211823832709728</v>
      </c>
      <c r="U141" s="3">
        <v>1443</v>
      </c>
      <c r="V141" s="64">
        <v>1157.5</v>
      </c>
      <c r="W141" s="5">
        <f t="shared" si="24"/>
        <v>25.494473298708215</v>
      </c>
      <c r="X141" s="5">
        <f t="shared" si="25"/>
        <v>20.45034847072402</v>
      </c>
      <c r="Y141" s="66">
        <f t="shared" si="26"/>
        <v>4631.5489856616505</v>
      </c>
      <c r="Z141" s="66">
        <f t="shared" si="27"/>
        <v>426.32130332489902</v>
      </c>
      <c r="AA141" s="66">
        <f t="shared" si="28"/>
        <v>20.211834687264169</v>
      </c>
      <c r="AB141" s="4">
        <f t="shared" si="29"/>
        <v>7.6958854144179698</v>
      </c>
      <c r="AC141" s="4">
        <f t="shared" si="30"/>
        <v>1.3217971615188104</v>
      </c>
      <c r="AD141" s="4">
        <f t="shared" si="31"/>
        <v>2.1941412567729479</v>
      </c>
    </row>
    <row r="142" spans="1:30">
      <c r="A142" s="12">
        <v>33.14</v>
      </c>
      <c r="B142" s="12">
        <v>-99.2</v>
      </c>
      <c r="C142" s="10" t="s">
        <v>18</v>
      </c>
      <c r="D142" s="10" t="s">
        <v>35</v>
      </c>
      <c r="E142" s="12">
        <v>46</v>
      </c>
      <c r="F142" s="12">
        <v>3</v>
      </c>
      <c r="G142" s="28" t="s">
        <v>79</v>
      </c>
      <c r="H142" s="31">
        <v>3.71</v>
      </c>
      <c r="I142" s="100"/>
      <c r="J142" s="41">
        <v>225.26999999999998</v>
      </c>
      <c r="K142" s="9">
        <v>0.68640798582347962</v>
      </c>
      <c r="L142" s="9">
        <v>0.11789314399166333</v>
      </c>
      <c r="M142" s="9">
        <v>0.1956988701848571</v>
      </c>
      <c r="N142" s="13">
        <v>262148</v>
      </c>
      <c r="O142" s="13">
        <v>24130</v>
      </c>
      <c r="P142" s="13">
        <v>1144</v>
      </c>
      <c r="Q142" s="91"/>
      <c r="R142" s="51">
        <f t="shared" si="32"/>
        <v>634.59486301369861</v>
      </c>
      <c r="S142" s="14">
        <f>Q140*H142/I140</f>
        <v>91552.711013450535</v>
      </c>
      <c r="T142" s="45">
        <f t="shared" si="20"/>
        <v>10.451222718430426</v>
      </c>
      <c r="U142" s="3">
        <v>1443</v>
      </c>
      <c r="V142" s="64">
        <v>1157.5</v>
      </c>
      <c r="W142" s="5">
        <f t="shared" si="24"/>
        <v>23.764948728192838</v>
      </c>
      <c r="X142" s="5">
        <f t="shared" si="25"/>
        <v>19.063013272961339</v>
      </c>
      <c r="Y142" s="66">
        <f t="shared" si="26"/>
        <v>4317.3484263328455</v>
      </c>
      <c r="Z142" s="66">
        <f t="shared" si="27"/>
        <v>397.40000887823504</v>
      </c>
      <c r="AA142" s="66">
        <f t="shared" si="28"/>
        <v>18.840680072801529</v>
      </c>
      <c r="AB142" s="4">
        <f t="shared" si="29"/>
        <v>7.1738027355504199</v>
      </c>
      <c r="AC142" s="4">
        <f t="shared" si="30"/>
        <v>1.2321275048328613</v>
      </c>
      <c r="AD142" s="4">
        <f t="shared" si="31"/>
        <v>2.0452924780471453</v>
      </c>
    </row>
    <row r="143" spans="1:30">
      <c r="A143" s="12">
        <v>29.27</v>
      </c>
      <c r="B143" s="12">
        <v>-100.27</v>
      </c>
      <c r="C143" s="10" t="s">
        <v>22</v>
      </c>
      <c r="D143" s="10" t="s">
        <v>35</v>
      </c>
      <c r="E143" s="12">
        <v>131</v>
      </c>
      <c r="F143" s="12">
        <v>3</v>
      </c>
      <c r="G143" s="28" t="s">
        <v>79</v>
      </c>
      <c r="H143" s="31">
        <v>9.09</v>
      </c>
      <c r="I143" s="100"/>
      <c r="J143" s="41">
        <v>225.26999999999998</v>
      </c>
      <c r="K143" s="9">
        <v>0.68640798582347962</v>
      </c>
      <c r="L143" s="9">
        <v>0.11789314399166333</v>
      </c>
      <c r="M143" s="9">
        <v>0.1956988701848571</v>
      </c>
      <c r="N143" s="13">
        <v>262148</v>
      </c>
      <c r="O143" s="13">
        <v>24130</v>
      </c>
      <c r="P143" s="13">
        <v>1144</v>
      </c>
      <c r="Q143" s="91"/>
      <c r="R143" s="51">
        <f t="shared" si="32"/>
        <v>634.59486301369861</v>
      </c>
      <c r="S143" s="14">
        <f>Q140*H143/I140</f>
        <v>224316.48062325211</v>
      </c>
      <c r="T143" s="45">
        <f t="shared" si="20"/>
        <v>25.606904180736539</v>
      </c>
      <c r="U143" s="3">
        <v>1443</v>
      </c>
      <c r="V143" s="64">
        <v>1157.5</v>
      </c>
      <c r="W143" s="5">
        <f t="shared" si="24"/>
        <v>58.227327207351173</v>
      </c>
      <c r="X143" s="5">
        <f t="shared" si="25"/>
        <v>46.706951658010382</v>
      </c>
      <c r="Y143" s="66">
        <f t="shared" si="26"/>
        <v>10578.085497403115</v>
      </c>
      <c r="Z143" s="66">
        <f t="shared" si="27"/>
        <v>973.68357970435466</v>
      </c>
      <c r="AA143" s="66">
        <f t="shared" si="28"/>
        <v>46.162205353575708</v>
      </c>
      <c r="AB143" s="4">
        <f t="shared" si="29"/>
        <v>17.576783521874209</v>
      </c>
      <c r="AC143" s="4">
        <f t="shared" si="30"/>
        <v>3.0188784417602985</v>
      </c>
      <c r="AD143" s="4">
        <f t="shared" si="31"/>
        <v>5.0112422171020343</v>
      </c>
    </row>
    <row r="144" spans="1:30">
      <c r="A144" s="12">
        <v>28.77</v>
      </c>
      <c r="B144" s="12">
        <v>-99.8</v>
      </c>
      <c r="C144" s="10" t="s">
        <v>22</v>
      </c>
      <c r="D144" s="10" t="s">
        <v>25</v>
      </c>
      <c r="E144" s="12">
        <v>134</v>
      </c>
      <c r="F144" s="12">
        <v>4</v>
      </c>
      <c r="G144" s="28" t="s">
        <v>79</v>
      </c>
      <c r="H144" s="31">
        <v>21.54</v>
      </c>
      <c r="I144" s="100"/>
      <c r="J144" s="41">
        <v>225.26999999999998</v>
      </c>
      <c r="K144" s="9">
        <v>0.68640798582347962</v>
      </c>
      <c r="L144" s="9">
        <v>0.11789314399166333</v>
      </c>
      <c r="M144" s="9">
        <v>0.1956988701848571</v>
      </c>
      <c r="N144" s="13">
        <v>262148</v>
      </c>
      <c r="O144" s="13">
        <v>24130</v>
      </c>
      <c r="P144" s="13">
        <v>1144</v>
      </c>
      <c r="Q144" s="91"/>
      <c r="R144" s="51">
        <f t="shared" si="32"/>
        <v>634.59486301369861</v>
      </c>
      <c r="S144" s="14">
        <f>Q140*H144/I140</f>
        <v>531548.62405113864</v>
      </c>
      <c r="T144" s="45">
        <f t="shared" si="20"/>
        <v>60.679066672504412</v>
      </c>
      <c r="U144" s="3">
        <v>1443</v>
      </c>
      <c r="V144" s="64">
        <v>1157.5</v>
      </c>
      <c r="W144" s="5">
        <f t="shared" si="24"/>
        <v>137.97762684778266</v>
      </c>
      <c r="X144" s="5">
        <f t="shared" si="25"/>
        <v>110.67851911040086</v>
      </c>
      <c r="Y144" s="66">
        <f t="shared" si="26"/>
        <v>25066.222399786922</v>
      </c>
      <c r="Z144" s="66">
        <f t="shared" si="27"/>
        <v>2307.2766014116396</v>
      </c>
      <c r="AA144" s="66">
        <f t="shared" si="28"/>
        <v>109.38766813157545</v>
      </c>
      <c r="AB144" s="4">
        <f t="shared" si="29"/>
        <v>41.650595936322382</v>
      </c>
      <c r="AC144" s="4">
        <f t="shared" si="30"/>
        <v>7.1536459445013021</v>
      </c>
      <c r="AD144" s="4">
        <f t="shared" si="31"/>
        <v>11.87482479168073</v>
      </c>
    </row>
    <row r="145" spans="1:30">
      <c r="A145" s="12">
        <v>29.73</v>
      </c>
      <c r="B145" s="12">
        <v>-100.88</v>
      </c>
      <c r="C145" s="10" t="s">
        <v>22</v>
      </c>
      <c r="D145" s="10" t="s">
        <v>25</v>
      </c>
      <c r="E145" s="12">
        <v>136</v>
      </c>
      <c r="F145" s="12">
        <v>4</v>
      </c>
      <c r="G145" s="28" t="s">
        <v>79</v>
      </c>
      <c r="H145" s="31">
        <v>114.68</v>
      </c>
      <c r="I145" s="100"/>
      <c r="J145" s="41">
        <v>225.26999999999998</v>
      </c>
      <c r="K145" s="9">
        <v>0.68640798582347962</v>
      </c>
      <c r="L145" s="9">
        <v>0.11789314399166333</v>
      </c>
      <c r="M145" s="9">
        <v>0.1956988701848571</v>
      </c>
      <c r="N145" s="13">
        <v>262148</v>
      </c>
      <c r="O145" s="13">
        <v>24130</v>
      </c>
      <c r="P145" s="13">
        <v>1144</v>
      </c>
      <c r="Q145" s="91"/>
      <c r="R145" s="51">
        <f t="shared" si="32"/>
        <v>634.59486301369861</v>
      </c>
      <c r="S145" s="14">
        <f>Q140*H145/I140</f>
        <v>2829990.5388200833</v>
      </c>
      <c r="T145" s="45">
        <f t="shared" si="20"/>
        <v>323.05828068722411</v>
      </c>
      <c r="U145" s="3">
        <v>1443</v>
      </c>
      <c r="V145" s="64">
        <v>1157.5</v>
      </c>
      <c r="W145" s="5">
        <f t="shared" si="24"/>
        <v>734.59954721001475</v>
      </c>
      <c r="X145" s="5">
        <f t="shared" si="25"/>
        <v>589.25777955342494</v>
      </c>
      <c r="Y145" s="66">
        <f t="shared" si="26"/>
        <v>133453.77831047191</v>
      </c>
      <c r="Z145" s="66">
        <f t="shared" si="27"/>
        <v>12284.052026457142</v>
      </c>
      <c r="AA145" s="66">
        <f t="shared" si="28"/>
        <v>582.38522661694878</v>
      </c>
      <c r="AB145" s="4">
        <f t="shared" si="29"/>
        <v>221.74978375011383</v>
      </c>
      <c r="AC145" s="4">
        <f t="shared" si="30"/>
        <v>38.086356402758099</v>
      </c>
      <c r="AD145" s="4">
        <f t="shared" si="31"/>
        <v>63.222140534352199</v>
      </c>
    </row>
    <row r="146" spans="1:30">
      <c r="A146" s="12">
        <v>29.58</v>
      </c>
      <c r="B146" s="12">
        <v>-99.05</v>
      </c>
      <c r="C146" s="10" t="s">
        <v>22</v>
      </c>
      <c r="D146" s="10" t="s">
        <v>25</v>
      </c>
      <c r="E146" s="12">
        <v>98</v>
      </c>
      <c r="F146" s="12">
        <v>4</v>
      </c>
      <c r="G146" s="28" t="s">
        <v>80</v>
      </c>
      <c r="H146" s="31">
        <v>68.58</v>
      </c>
      <c r="I146" s="101"/>
      <c r="J146" s="41">
        <v>225.26999999999998</v>
      </c>
      <c r="K146" s="9">
        <v>0.68640798582347962</v>
      </c>
      <c r="L146" s="9">
        <v>0.11789314399166333</v>
      </c>
      <c r="M146" s="9">
        <v>0.1956988701848571</v>
      </c>
      <c r="N146" s="13">
        <v>262148</v>
      </c>
      <c r="O146" s="13">
        <v>24130</v>
      </c>
      <c r="P146" s="13">
        <v>1144</v>
      </c>
      <c r="Q146" s="92"/>
      <c r="R146" s="51">
        <f t="shared" si="32"/>
        <v>634.59486301369861</v>
      </c>
      <c r="S146" s="14">
        <f>Q140*H146/I140</f>
        <v>1692367.9033160207</v>
      </c>
      <c r="T146" s="45">
        <f t="shared" si="20"/>
        <v>193.192683026943</v>
      </c>
      <c r="U146" s="3">
        <v>1443</v>
      </c>
      <c r="V146" s="64">
        <v>1157.5</v>
      </c>
      <c r="W146" s="5">
        <f t="shared" si="24"/>
        <v>439.29924091090692</v>
      </c>
      <c r="X146" s="5">
        <f t="shared" si="25"/>
        <v>352.38314023172194</v>
      </c>
      <c r="Y146" s="66">
        <f t="shared" si="26"/>
        <v>79806.942069516575</v>
      </c>
      <c r="Z146" s="66">
        <f t="shared" si="27"/>
        <v>7346.0087894526559</v>
      </c>
      <c r="AA146" s="66">
        <f t="shared" si="28"/>
        <v>348.27327207351181</v>
      </c>
      <c r="AB146" s="4">
        <f t="shared" si="29"/>
        <v>132.60900043235787</v>
      </c>
      <c r="AC146" s="4">
        <f t="shared" si="30"/>
        <v>22.776092798231161</v>
      </c>
      <c r="AD146" s="4">
        <f t="shared" si="31"/>
        <v>37.807589796353966</v>
      </c>
    </row>
    <row r="147" spans="1:30">
      <c r="A147" s="12">
        <v>27.52</v>
      </c>
      <c r="B147" s="12">
        <v>-99.44</v>
      </c>
      <c r="C147" s="10" t="s">
        <v>22</v>
      </c>
      <c r="D147" s="10" t="s">
        <v>37</v>
      </c>
      <c r="E147" s="12">
        <v>109</v>
      </c>
      <c r="F147" s="12">
        <v>5</v>
      </c>
      <c r="G147" s="28" t="s">
        <v>81</v>
      </c>
      <c r="H147" s="31">
        <v>356.61</v>
      </c>
      <c r="I147" s="33">
        <v>356.61</v>
      </c>
      <c r="J147" s="33">
        <v>356.61</v>
      </c>
      <c r="K147" s="9">
        <v>0.74280160323655264</v>
      </c>
      <c r="L147" s="9">
        <v>0.17605146599890209</v>
      </c>
      <c r="M147" s="9">
        <v>8.1146930764545308E-2</v>
      </c>
      <c r="N147" s="15">
        <v>32526</v>
      </c>
      <c r="O147" s="15">
        <v>3234</v>
      </c>
      <c r="P147" s="15">
        <v>3404</v>
      </c>
      <c r="Q147" s="2">
        <f>531924*I147/I148</f>
        <v>63956.781294042281</v>
      </c>
      <c r="R147" s="2">
        <f>531924/8760</f>
        <v>60.721917808219175</v>
      </c>
      <c r="S147" s="2">
        <v>531924</v>
      </c>
      <c r="T147" s="45">
        <f t="shared" si="20"/>
        <v>60.721917808219182</v>
      </c>
      <c r="U147" s="5">
        <f>140.7*I147/I148</f>
        <v>16.917302336558883</v>
      </c>
      <c r="V147" s="62">
        <f>173.2*I147/I148</f>
        <v>20.824994773930342</v>
      </c>
      <c r="W147" s="5">
        <f t="shared" si="24"/>
        <v>16.917302336558883</v>
      </c>
      <c r="X147" s="5">
        <f t="shared" si="25"/>
        <v>20.824994773930342</v>
      </c>
      <c r="Y147" s="66">
        <f>N147*T147/R147*I147/I148</f>
        <v>3910.8185913213529</v>
      </c>
      <c r="Z147" s="66">
        <f>O147*T147/R147*I147/I148</f>
        <v>388.84545669105506</v>
      </c>
      <c r="AA147" s="66">
        <f>P147*T147/R147*I147/I148</f>
        <v>409.28569405576729</v>
      </c>
      <c r="AB147" s="4">
        <f t="shared" si="29"/>
        <v>45.104337899543388</v>
      </c>
      <c r="AC147" s="4">
        <f t="shared" si="30"/>
        <v>10.690182648401827</v>
      </c>
      <c r="AD147" s="4">
        <f t="shared" si="31"/>
        <v>4.9273972602739731</v>
      </c>
    </row>
    <row r="148" spans="1:30">
      <c r="A148" s="12">
        <v>30.29</v>
      </c>
      <c r="B148" s="12">
        <v>-97.69</v>
      </c>
      <c r="C148" s="10" t="s">
        <v>22</v>
      </c>
      <c r="D148" s="10" t="s">
        <v>23</v>
      </c>
      <c r="E148" s="12">
        <v>126</v>
      </c>
      <c r="F148" s="12">
        <v>12</v>
      </c>
      <c r="G148" s="29" t="s">
        <v>81</v>
      </c>
      <c r="H148" s="31">
        <v>2965.9</v>
      </c>
      <c r="I148" s="33">
        <v>2965.9</v>
      </c>
      <c r="J148" s="33">
        <v>2965.9</v>
      </c>
      <c r="K148" s="9">
        <v>0.33</v>
      </c>
      <c r="L148" s="9">
        <v>0.45</v>
      </c>
      <c r="M148" s="9">
        <v>0.22</v>
      </c>
      <c r="N148" s="15">
        <v>414091</v>
      </c>
      <c r="O148" s="15">
        <v>50121</v>
      </c>
      <c r="P148" s="15">
        <v>110</v>
      </c>
      <c r="Q148" s="2">
        <v>12939762</v>
      </c>
      <c r="R148" s="2">
        <f>12939762/8760</f>
        <v>1477.1417808219178</v>
      </c>
      <c r="S148" s="2">
        <v>12939762</v>
      </c>
      <c r="T148" s="45">
        <f t="shared" si="20"/>
        <v>1477.1417808219178</v>
      </c>
      <c r="U148" s="5">
        <f>2.5*SUM(U140)</f>
        <v>3607.5</v>
      </c>
      <c r="V148" s="5">
        <f>2.5*SUM(V140)</f>
        <v>2893.75</v>
      </c>
      <c r="W148" s="5">
        <f t="shared" si="24"/>
        <v>3607.5</v>
      </c>
      <c r="X148" s="5">
        <f t="shared" si="25"/>
        <v>2893.75</v>
      </c>
      <c r="Y148" s="66">
        <f t="shared" si="26"/>
        <v>414091</v>
      </c>
      <c r="Z148" s="66">
        <f t="shared" si="27"/>
        <v>50121</v>
      </c>
      <c r="AA148" s="66">
        <f t="shared" si="28"/>
        <v>109.99999999999999</v>
      </c>
      <c r="AB148" s="4">
        <f t="shared" si="29"/>
        <v>487.45678767123292</v>
      </c>
      <c r="AC148" s="4">
        <f t="shared" si="30"/>
        <v>664.71380136986306</v>
      </c>
      <c r="AD148" s="4">
        <f t="shared" si="31"/>
        <v>324.97119178082193</v>
      </c>
    </row>
    <row r="149" spans="1:30">
      <c r="A149" s="12">
        <v>30.59</v>
      </c>
      <c r="B149" s="12">
        <v>-104.66</v>
      </c>
      <c r="C149" s="10" t="s">
        <v>18</v>
      </c>
      <c r="D149" s="10" t="s">
        <v>25</v>
      </c>
      <c r="E149" s="12">
        <v>188</v>
      </c>
      <c r="F149" s="12">
        <v>10</v>
      </c>
      <c r="G149" s="28" t="s">
        <v>82</v>
      </c>
      <c r="H149" s="31">
        <v>0.39</v>
      </c>
      <c r="I149" s="97">
        <f>SUM(H149:H162)</f>
        <v>151.03</v>
      </c>
      <c r="J149" s="42">
        <v>151.03</v>
      </c>
      <c r="K149" s="9">
        <v>0.31531538227140637</v>
      </c>
      <c r="L149" s="9">
        <v>0.34201157925247677</v>
      </c>
      <c r="M149" s="9">
        <v>0.34267303847611685</v>
      </c>
      <c r="N149" s="13">
        <v>8283</v>
      </c>
      <c r="O149" s="13">
        <v>4171</v>
      </c>
      <c r="P149" s="13">
        <v>521</v>
      </c>
      <c r="Q149" s="90">
        <v>269102</v>
      </c>
      <c r="R149" s="51">
        <f t="shared" ref="R149:R162" si="33">269102/8760</f>
        <v>30.719406392694065</v>
      </c>
      <c r="S149" s="14">
        <f>Q149*H149/I149</f>
        <v>694.89359729854993</v>
      </c>
      <c r="T149" s="45">
        <f t="shared" si="20"/>
        <v>7.9325753116272824E-2</v>
      </c>
      <c r="U149" s="3">
        <v>26</v>
      </c>
      <c r="V149" s="64">
        <v>23</v>
      </c>
      <c r="W149" s="5">
        <f t="shared" si="24"/>
        <v>6.7138979010792549E-2</v>
      </c>
      <c r="X149" s="5">
        <f t="shared" si="25"/>
        <v>5.9392173740316488E-2</v>
      </c>
      <c r="Y149" s="66">
        <f t="shared" si="26"/>
        <v>21.388929351784412</v>
      </c>
      <c r="Z149" s="66">
        <f t="shared" si="27"/>
        <v>10.77064159438522</v>
      </c>
      <c r="AA149" s="66">
        <f t="shared" si="28"/>
        <v>1.3453618486393433</v>
      </c>
      <c r="AB149" s="4">
        <f t="shared" si="29"/>
        <v>2.5012630167824772E-2</v>
      </c>
      <c r="AC149" s="4">
        <f t="shared" si="30"/>
        <v>2.713032609868855E-2</v>
      </c>
      <c r="AD149" s="4">
        <f t="shared" si="31"/>
        <v>2.7182796849759504E-2</v>
      </c>
    </row>
    <row r="150" spans="1:30">
      <c r="A150" s="12">
        <v>28.45</v>
      </c>
      <c r="B150" s="12">
        <v>-99.89</v>
      </c>
      <c r="C150" s="10" t="s">
        <v>22</v>
      </c>
      <c r="D150" s="10" t="s">
        <v>19</v>
      </c>
      <c r="E150" s="12">
        <v>132</v>
      </c>
      <c r="F150" s="12">
        <v>1</v>
      </c>
      <c r="G150" s="28" t="s">
        <v>82</v>
      </c>
      <c r="H150" s="31">
        <v>16.91</v>
      </c>
      <c r="I150" s="112"/>
      <c r="J150" s="42">
        <v>151.03</v>
      </c>
      <c r="K150" s="9">
        <v>0.31531538227140637</v>
      </c>
      <c r="L150" s="9">
        <v>0.34201157925247677</v>
      </c>
      <c r="M150" s="9">
        <v>0.34267303847611685</v>
      </c>
      <c r="N150" s="13">
        <v>8283</v>
      </c>
      <c r="O150" s="13">
        <v>4171</v>
      </c>
      <c r="P150" s="13">
        <v>521</v>
      </c>
      <c r="Q150" s="91"/>
      <c r="R150" s="51">
        <f t="shared" si="33"/>
        <v>30.719406392694065</v>
      </c>
      <c r="S150" s="14">
        <f>Q149*H150/I149</f>
        <v>30129.873667483283</v>
      </c>
      <c r="T150" s="45">
        <f t="shared" si="20"/>
        <v>3.4394832953748042</v>
      </c>
      <c r="U150" s="3">
        <v>72.2</v>
      </c>
      <c r="V150" s="64">
        <v>51.6</v>
      </c>
      <c r="W150" s="5">
        <f t="shared" si="24"/>
        <v>8.083837648149375</v>
      </c>
      <c r="X150" s="5">
        <f t="shared" si="25"/>
        <v>5.7773687346884728</v>
      </c>
      <c r="Y150" s="66">
        <f t="shared" si="26"/>
        <v>927.4020393299345</v>
      </c>
      <c r="Z150" s="66">
        <f t="shared" si="27"/>
        <v>467.00397272065157</v>
      </c>
      <c r="AA150" s="66">
        <f t="shared" si="28"/>
        <v>58.333509898695631</v>
      </c>
      <c r="AB150" s="4">
        <f t="shared" si="29"/>
        <v>1.0845219900972229</v>
      </c>
      <c r="AC150" s="4">
        <f t="shared" si="30"/>
        <v>1.1763431136636497</v>
      </c>
      <c r="AD150" s="4">
        <f t="shared" si="31"/>
        <v>1.1786181916139316</v>
      </c>
    </row>
    <row r="151" spans="1:30">
      <c r="A151" s="12">
        <v>29.36</v>
      </c>
      <c r="B151" s="12">
        <v>-100.78</v>
      </c>
      <c r="C151" s="10" t="s">
        <v>22</v>
      </c>
      <c r="D151" s="10" t="s">
        <v>19</v>
      </c>
      <c r="E151" s="12">
        <v>137</v>
      </c>
      <c r="F151" s="12">
        <v>1</v>
      </c>
      <c r="G151" s="28" t="s">
        <v>82</v>
      </c>
      <c r="H151" s="31">
        <v>0.8</v>
      </c>
      <c r="I151" s="112"/>
      <c r="J151" s="42">
        <v>151.03</v>
      </c>
      <c r="K151" s="9">
        <v>0.31531538227140637</v>
      </c>
      <c r="L151" s="9">
        <v>0.34201157925247677</v>
      </c>
      <c r="M151" s="9">
        <v>0.34267303847611685</v>
      </c>
      <c r="N151" s="13">
        <v>8283</v>
      </c>
      <c r="O151" s="13">
        <v>4171</v>
      </c>
      <c r="P151" s="13">
        <v>521</v>
      </c>
      <c r="Q151" s="91"/>
      <c r="R151" s="51">
        <f t="shared" si="33"/>
        <v>30.719406392694065</v>
      </c>
      <c r="S151" s="14">
        <f>Q149*H151/I149</f>
        <v>1425.4227636893334</v>
      </c>
      <c r="T151" s="45">
        <f t="shared" si="20"/>
        <v>0.16271949357184171</v>
      </c>
      <c r="U151" s="3">
        <v>72.2</v>
      </c>
      <c r="V151" s="64">
        <v>51.6</v>
      </c>
      <c r="W151" s="5">
        <f t="shared" si="24"/>
        <v>0.38244057472025428</v>
      </c>
      <c r="X151" s="5">
        <f t="shared" si="25"/>
        <v>0.27332318082500168</v>
      </c>
      <c r="Y151" s="66">
        <f t="shared" si="26"/>
        <v>43.87472687545521</v>
      </c>
      <c r="Z151" s="66">
        <f t="shared" si="27"/>
        <v>22.0936237833543</v>
      </c>
      <c r="AA151" s="66">
        <f t="shared" si="28"/>
        <v>2.7597166125935249</v>
      </c>
      <c r="AB151" s="4">
        <f t="shared" si="29"/>
        <v>5.1307959318614919E-2</v>
      </c>
      <c r="AC151" s="4">
        <f t="shared" si="30"/>
        <v>5.5651950971668827E-2</v>
      </c>
      <c r="AD151" s="4">
        <f t="shared" si="31"/>
        <v>5.5759583281557959E-2</v>
      </c>
    </row>
    <row r="152" spans="1:30">
      <c r="A152" s="12">
        <v>30.01</v>
      </c>
      <c r="B152" s="12">
        <v>-101.75</v>
      </c>
      <c r="C152" s="10" t="s">
        <v>22</v>
      </c>
      <c r="D152" s="10" t="s">
        <v>19</v>
      </c>
      <c r="E152" s="12">
        <v>138</v>
      </c>
      <c r="F152" s="12">
        <v>1</v>
      </c>
      <c r="G152" s="28" t="s">
        <v>82</v>
      </c>
      <c r="H152" s="31">
        <v>0.15</v>
      </c>
      <c r="I152" s="112"/>
      <c r="J152" s="42">
        <v>151.03</v>
      </c>
      <c r="K152" s="9">
        <v>0.31531538227140637</v>
      </c>
      <c r="L152" s="9">
        <v>0.34201157925247677</v>
      </c>
      <c r="M152" s="9">
        <v>0.34267303847611685</v>
      </c>
      <c r="N152" s="13">
        <v>8283</v>
      </c>
      <c r="O152" s="13">
        <v>4171</v>
      </c>
      <c r="P152" s="13">
        <v>521</v>
      </c>
      <c r="Q152" s="91"/>
      <c r="R152" s="51">
        <f t="shared" si="33"/>
        <v>30.719406392694065</v>
      </c>
      <c r="S152" s="14">
        <f>Q149*H152/I149</f>
        <v>267.26676819174997</v>
      </c>
      <c r="T152" s="45">
        <f t="shared" si="20"/>
        <v>3.0509905044720315E-2</v>
      </c>
      <c r="U152" s="3">
        <v>72.2</v>
      </c>
      <c r="V152" s="64">
        <v>51.6</v>
      </c>
      <c r="W152" s="5">
        <f t="shared" si="24"/>
        <v>7.170760776004767E-2</v>
      </c>
      <c r="X152" s="5">
        <f t="shared" si="25"/>
        <v>5.1248096404687804E-2</v>
      </c>
      <c r="Y152" s="66">
        <f t="shared" si="26"/>
        <v>8.2265112891478509</v>
      </c>
      <c r="Z152" s="66">
        <f t="shared" si="27"/>
        <v>4.142554459378931</v>
      </c>
      <c r="AA152" s="66">
        <f t="shared" si="28"/>
        <v>0.51744686486128577</v>
      </c>
      <c r="AB152" s="4">
        <f t="shared" si="29"/>
        <v>9.6202423722402952E-3</v>
      </c>
      <c r="AC152" s="4">
        <f t="shared" si="30"/>
        <v>1.0434740807187903E-2</v>
      </c>
      <c r="AD152" s="4">
        <f t="shared" si="31"/>
        <v>1.0454921865292116E-2</v>
      </c>
    </row>
    <row r="153" spans="1:30">
      <c r="A153" s="12">
        <v>28.74</v>
      </c>
      <c r="B153" s="12">
        <v>-100.31</v>
      </c>
      <c r="C153" s="10" t="s">
        <v>22</v>
      </c>
      <c r="D153" s="70" t="s">
        <v>19</v>
      </c>
      <c r="E153" s="71">
        <v>139</v>
      </c>
      <c r="F153" s="71">
        <v>1</v>
      </c>
      <c r="G153" s="72" t="s">
        <v>82</v>
      </c>
      <c r="H153" s="73">
        <v>98.17</v>
      </c>
      <c r="I153" s="112"/>
      <c r="J153" s="42">
        <v>151.03</v>
      </c>
      <c r="K153" s="9">
        <v>0.31531538227140637</v>
      </c>
      <c r="L153" s="9">
        <v>0.34201157925247677</v>
      </c>
      <c r="M153" s="9">
        <v>0.34267303847611685</v>
      </c>
      <c r="N153" s="13">
        <v>8283</v>
      </c>
      <c r="O153" s="13">
        <v>4171</v>
      </c>
      <c r="P153" s="13">
        <v>521</v>
      </c>
      <c r="Q153" s="91"/>
      <c r="R153" s="51">
        <f t="shared" si="33"/>
        <v>30.719406392694065</v>
      </c>
      <c r="S153" s="14">
        <f>Q149*H153/I149</f>
        <v>174917.19088922729</v>
      </c>
      <c r="T153" s="45">
        <f t="shared" si="20"/>
        <v>19.967715854934621</v>
      </c>
      <c r="U153" s="3">
        <v>72.2</v>
      </c>
      <c r="V153" s="64">
        <v>51.6</v>
      </c>
      <c r="W153" s="5">
        <f t="shared" si="24"/>
        <v>46.930239025359192</v>
      </c>
      <c r="X153" s="5">
        <f t="shared" si="25"/>
        <v>33.54017082698801</v>
      </c>
      <c r="Y153" s="66">
        <f t="shared" si="26"/>
        <v>5383.9774217042959</v>
      </c>
      <c r="Z153" s="66">
        <f t="shared" si="27"/>
        <v>2711.1638085148643</v>
      </c>
      <c r="AA153" s="66">
        <f t="shared" si="28"/>
        <v>338.65172482288278</v>
      </c>
      <c r="AB153" s="4">
        <f t="shared" si="29"/>
        <v>6.296127957885532</v>
      </c>
      <c r="AC153" s="4">
        <f t="shared" si="30"/>
        <v>6.8291900336109093</v>
      </c>
      <c r="AD153" s="4">
        <f t="shared" si="31"/>
        <v>6.8423978634381797</v>
      </c>
    </row>
    <row r="154" spans="1:30">
      <c r="A154" s="12">
        <v>28.95</v>
      </c>
      <c r="B154" s="12">
        <v>-100.59</v>
      </c>
      <c r="C154" s="10" t="s">
        <v>22</v>
      </c>
      <c r="D154" s="10" t="s">
        <v>19</v>
      </c>
      <c r="E154" s="12">
        <v>140</v>
      </c>
      <c r="F154" s="12">
        <v>1</v>
      </c>
      <c r="G154" s="28" t="s">
        <v>82</v>
      </c>
      <c r="H154" s="31">
        <v>1.82</v>
      </c>
      <c r="I154" s="112"/>
      <c r="J154" s="42">
        <v>151.03</v>
      </c>
      <c r="K154" s="9">
        <v>0.31531538227140637</v>
      </c>
      <c r="L154" s="9">
        <v>0.34201157925247677</v>
      </c>
      <c r="M154" s="9">
        <v>0.34267303847611685</v>
      </c>
      <c r="N154" s="13">
        <v>8283</v>
      </c>
      <c r="O154" s="13">
        <v>4171</v>
      </c>
      <c r="P154" s="13">
        <v>521</v>
      </c>
      <c r="Q154" s="91"/>
      <c r="R154" s="51">
        <f t="shared" si="33"/>
        <v>30.719406392694065</v>
      </c>
      <c r="S154" s="14">
        <f>Q149*H154/I149</f>
        <v>3242.8367873932334</v>
      </c>
      <c r="T154" s="45">
        <f t="shared" si="20"/>
        <v>0.37018684787593986</v>
      </c>
      <c r="U154" s="3">
        <v>72.2</v>
      </c>
      <c r="V154" s="64">
        <v>51.6</v>
      </c>
      <c r="W154" s="5">
        <f t="shared" si="24"/>
        <v>0.87005230748857842</v>
      </c>
      <c r="X154" s="5">
        <f t="shared" si="25"/>
        <v>0.62181023637687882</v>
      </c>
      <c r="Y154" s="66">
        <f t="shared" si="26"/>
        <v>99.815003641660596</v>
      </c>
      <c r="Z154" s="66">
        <f t="shared" si="27"/>
        <v>50.262994107131028</v>
      </c>
      <c r="AA154" s="66">
        <f t="shared" si="28"/>
        <v>6.278355293650268</v>
      </c>
      <c r="AB154" s="4">
        <f t="shared" si="29"/>
        <v>0.11672560744984893</v>
      </c>
      <c r="AC154" s="4">
        <f t="shared" si="30"/>
        <v>0.12660818846054656</v>
      </c>
      <c r="AD154" s="4">
        <f t="shared" si="31"/>
        <v>0.12685305196554436</v>
      </c>
    </row>
    <row r="155" spans="1:30">
      <c r="A155" s="12">
        <v>29.82</v>
      </c>
      <c r="B155" s="12">
        <v>-103.22</v>
      </c>
      <c r="C155" s="10" t="s">
        <v>22</v>
      </c>
      <c r="D155" s="10" t="s">
        <v>19</v>
      </c>
      <c r="E155" s="12">
        <v>180</v>
      </c>
      <c r="F155" s="12">
        <v>1</v>
      </c>
      <c r="G155" s="28" t="s">
        <v>82</v>
      </c>
      <c r="H155" s="31">
        <v>15.17</v>
      </c>
      <c r="I155" s="112"/>
      <c r="J155" s="42">
        <v>151.03</v>
      </c>
      <c r="K155" s="9">
        <v>0.31531538227140637</v>
      </c>
      <c r="L155" s="9">
        <v>0.34201157925247677</v>
      </c>
      <c r="M155" s="9">
        <v>0.34267303847611685</v>
      </c>
      <c r="N155" s="13">
        <v>8283</v>
      </c>
      <c r="O155" s="13">
        <v>4171</v>
      </c>
      <c r="P155" s="13">
        <v>521</v>
      </c>
      <c r="Q155" s="91"/>
      <c r="R155" s="51">
        <f t="shared" si="33"/>
        <v>30.719406392694065</v>
      </c>
      <c r="S155" s="14">
        <f>Q149*H155/I149</f>
        <v>27029.579156458982</v>
      </c>
      <c r="T155" s="45">
        <f t="shared" si="20"/>
        <v>3.0855683968560483</v>
      </c>
      <c r="U155" s="3">
        <v>72.2</v>
      </c>
      <c r="V155" s="64">
        <v>51.6</v>
      </c>
      <c r="W155" s="5">
        <f t="shared" si="24"/>
        <v>7.2520293981328212</v>
      </c>
      <c r="X155" s="5">
        <f t="shared" si="25"/>
        <v>5.1828908163940941</v>
      </c>
      <c r="Y155" s="66">
        <f t="shared" si="26"/>
        <v>831.97450837581937</v>
      </c>
      <c r="Z155" s="66">
        <f t="shared" si="27"/>
        <v>418.95034099185597</v>
      </c>
      <c r="AA155" s="66">
        <f t="shared" si="28"/>
        <v>52.331126266304715</v>
      </c>
      <c r="AB155" s="4">
        <f t="shared" si="29"/>
        <v>0.97292717857923539</v>
      </c>
      <c r="AC155" s="4">
        <f t="shared" si="30"/>
        <v>1.0553001203002701</v>
      </c>
      <c r="AD155" s="4">
        <f t="shared" si="31"/>
        <v>1.0573410979765427</v>
      </c>
    </row>
    <row r="156" spans="1:30">
      <c r="A156" s="12">
        <v>29.16</v>
      </c>
      <c r="B156" s="12">
        <v>-103.28</v>
      </c>
      <c r="C156" s="10" t="s">
        <v>22</v>
      </c>
      <c r="D156" s="10" t="s">
        <v>19</v>
      </c>
      <c r="E156" s="12">
        <v>182</v>
      </c>
      <c r="F156" s="12">
        <v>1</v>
      </c>
      <c r="G156" s="28" t="s">
        <v>82</v>
      </c>
      <c r="H156" s="31">
        <v>0.37</v>
      </c>
      <c r="I156" s="112"/>
      <c r="J156" s="42">
        <v>151.03</v>
      </c>
      <c r="K156" s="9">
        <v>0.31531538227140637</v>
      </c>
      <c r="L156" s="9">
        <v>0.34201157925247677</v>
      </c>
      <c r="M156" s="9">
        <v>0.34267303847611685</v>
      </c>
      <c r="N156" s="13">
        <v>8283</v>
      </c>
      <c r="O156" s="13">
        <v>4171</v>
      </c>
      <c r="P156" s="13">
        <v>521</v>
      </c>
      <c r="Q156" s="91"/>
      <c r="R156" s="51">
        <f t="shared" si="33"/>
        <v>30.719406392694065</v>
      </c>
      <c r="S156" s="14">
        <f>Q149*H156/I149</f>
        <v>659.25802820631668</v>
      </c>
      <c r="T156" s="45">
        <f t="shared" ref="T156:T201" si="34">S156/365/24</f>
        <v>7.5257765776976793E-2</v>
      </c>
      <c r="U156" s="3">
        <v>72.2</v>
      </c>
      <c r="V156" s="64">
        <v>51.6</v>
      </c>
      <c r="W156" s="5">
        <f t="shared" si="24"/>
        <v>0.17687876580811762</v>
      </c>
      <c r="X156" s="5">
        <f t="shared" si="25"/>
        <v>0.12641197113156327</v>
      </c>
      <c r="Y156" s="66">
        <f t="shared" si="26"/>
        <v>20.292061179898035</v>
      </c>
      <c r="Z156" s="66">
        <f t="shared" si="27"/>
        <v>10.218300999801365</v>
      </c>
      <c r="AA156" s="66">
        <f t="shared" si="28"/>
        <v>1.276368933324505</v>
      </c>
      <c r="AB156" s="4">
        <f t="shared" si="29"/>
        <v>2.3729931184859401E-2</v>
      </c>
      <c r="AC156" s="4">
        <f t="shared" si="30"/>
        <v>2.5739027324396833E-2</v>
      </c>
      <c r="AD156" s="4">
        <f t="shared" si="31"/>
        <v>2.5788807267720558E-2</v>
      </c>
    </row>
    <row r="157" spans="1:30">
      <c r="A157" s="12">
        <v>29.89</v>
      </c>
      <c r="B157" s="12">
        <v>-104.52</v>
      </c>
      <c r="C157" s="10" t="s">
        <v>22</v>
      </c>
      <c r="D157" s="10" t="s">
        <v>19</v>
      </c>
      <c r="E157" s="12">
        <v>184</v>
      </c>
      <c r="F157" s="12">
        <v>1</v>
      </c>
      <c r="G157" s="28" t="s">
        <v>82</v>
      </c>
      <c r="H157" s="31">
        <v>9.5299999999999994</v>
      </c>
      <c r="I157" s="112"/>
      <c r="J157" s="42">
        <v>151.03</v>
      </c>
      <c r="K157" s="9">
        <v>0.31531538227140637</v>
      </c>
      <c r="L157" s="9">
        <v>0.34201157925247677</v>
      </c>
      <c r="M157" s="9">
        <v>0.34267303847611685</v>
      </c>
      <c r="N157" s="13">
        <v>8283</v>
      </c>
      <c r="O157" s="13">
        <v>4171</v>
      </c>
      <c r="P157" s="13">
        <v>521</v>
      </c>
      <c r="Q157" s="91"/>
      <c r="R157" s="51">
        <f t="shared" si="33"/>
        <v>30.719406392694065</v>
      </c>
      <c r="S157" s="14">
        <f>Q149*H157/I149</f>
        <v>16980.348672449181</v>
      </c>
      <c r="T157" s="45">
        <f t="shared" si="34"/>
        <v>1.9383959671745641</v>
      </c>
      <c r="U157" s="3">
        <v>72.2</v>
      </c>
      <c r="V157" s="64">
        <v>51.6</v>
      </c>
      <c r="W157" s="5">
        <f t="shared" si="24"/>
        <v>4.5558233463550284</v>
      </c>
      <c r="X157" s="5">
        <f t="shared" si="25"/>
        <v>3.2559623915778317</v>
      </c>
      <c r="Y157" s="66">
        <f t="shared" si="26"/>
        <v>522.65768390386017</v>
      </c>
      <c r="Z157" s="66">
        <f t="shared" si="27"/>
        <v>263.19029331920808</v>
      </c>
      <c r="AA157" s="66">
        <f t="shared" si="28"/>
        <v>32.87512414752036</v>
      </c>
      <c r="AB157" s="4">
        <f t="shared" si="29"/>
        <v>0.61120606538300015</v>
      </c>
      <c r="AC157" s="4">
        <f t="shared" si="30"/>
        <v>0.66295386595000483</v>
      </c>
      <c r="AD157" s="4">
        <f t="shared" si="31"/>
        <v>0.6642360358415591</v>
      </c>
    </row>
    <row r="158" spans="1:30">
      <c r="A158" s="12">
        <v>29.39</v>
      </c>
      <c r="B158" s="12">
        <v>-103.99</v>
      </c>
      <c r="C158" s="10" t="s">
        <v>22</v>
      </c>
      <c r="D158" s="10" t="s">
        <v>19</v>
      </c>
      <c r="E158" s="12">
        <v>185</v>
      </c>
      <c r="F158" s="12">
        <v>1</v>
      </c>
      <c r="G158" s="28" t="s">
        <v>82</v>
      </c>
      <c r="H158" s="31">
        <v>0.19</v>
      </c>
      <c r="I158" s="112"/>
      <c r="J158" s="42">
        <v>151.03</v>
      </c>
      <c r="K158" s="9">
        <v>0.31531538227140637</v>
      </c>
      <c r="L158" s="9">
        <v>0.34201157925247677</v>
      </c>
      <c r="M158" s="9">
        <v>0.34267303847611685</v>
      </c>
      <c r="N158" s="13">
        <v>8283</v>
      </c>
      <c r="O158" s="13">
        <v>4171</v>
      </c>
      <c r="P158" s="13">
        <v>521</v>
      </c>
      <c r="Q158" s="91"/>
      <c r="R158" s="51">
        <f t="shared" si="33"/>
        <v>30.719406392694065</v>
      </c>
      <c r="S158" s="14">
        <f>Q149*H158/I149</f>
        <v>338.53790637621665</v>
      </c>
      <c r="T158" s="45">
        <f t="shared" si="34"/>
        <v>3.8645879723312404E-2</v>
      </c>
      <c r="U158" s="3">
        <v>72.2</v>
      </c>
      <c r="V158" s="64">
        <v>51.6</v>
      </c>
      <c r="W158" s="5">
        <f t="shared" si="24"/>
        <v>9.0829636496060392E-2</v>
      </c>
      <c r="X158" s="5">
        <f t="shared" si="25"/>
        <v>6.4914255445937888E-2</v>
      </c>
      <c r="Y158" s="66">
        <f t="shared" si="26"/>
        <v>10.420247632920612</v>
      </c>
      <c r="Z158" s="66">
        <f t="shared" si="27"/>
        <v>5.2472356485466465</v>
      </c>
      <c r="AA158" s="66">
        <f t="shared" si="28"/>
        <v>0.65543269549096217</v>
      </c>
      <c r="AB158" s="4">
        <f t="shared" si="29"/>
        <v>1.2185640338171043E-2</v>
      </c>
      <c r="AC158" s="4">
        <f t="shared" si="30"/>
        <v>1.3217338355771345E-2</v>
      </c>
      <c r="AD158" s="4">
        <f t="shared" si="31"/>
        <v>1.3242901029370015E-2</v>
      </c>
    </row>
    <row r="159" spans="1:30">
      <c r="A159" s="12">
        <v>30.26</v>
      </c>
      <c r="B159" s="12">
        <v>-102.3</v>
      </c>
      <c r="C159" s="10" t="s">
        <v>22</v>
      </c>
      <c r="D159" s="10" t="s">
        <v>19</v>
      </c>
      <c r="E159" s="12">
        <v>186</v>
      </c>
      <c r="F159" s="12">
        <v>1</v>
      </c>
      <c r="G159" s="28" t="s">
        <v>82</v>
      </c>
      <c r="H159" s="31">
        <v>1.72</v>
      </c>
      <c r="I159" s="112"/>
      <c r="J159" s="42">
        <v>151.03</v>
      </c>
      <c r="K159" s="9">
        <v>0.31531538227140637</v>
      </c>
      <c r="L159" s="9">
        <v>0.34201157925247677</v>
      </c>
      <c r="M159" s="9">
        <v>0.34267303847611685</v>
      </c>
      <c r="N159" s="13">
        <v>8283</v>
      </c>
      <c r="O159" s="13">
        <v>4171</v>
      </c>
      <c r="P159" s="13">
        <v>521</v>
      </c>
      <c r="Q159" s="91"/>
      <c r="R159" s="51">
        <f t="shared" si="33"/>
        <v>30.719406392694065</v>
      </c>
      <c r="S159" s="14">
        <f>Q149*H159/I149</f>
        <v>3064.6589419320667</v>
      </c>
      <c r="T159" s="45">
        <f t="shared" si="34"/>
        <v>0.34984691117945971</v>
      </c>
      <c r="U159" s="3">
        <v>72.2</v>
      </c>
      <c r="V159" s="64">
        <v>51.6</v>
      </c>
      <c r="W159" s="5">
        <f t="shared" si="24"/>
        <v>0.82224723564854685</v>
      </c>
      <c r="X159" s="5">
        <f t="shared" si="25"/>
        <v>0.58764483877375362</v>
      </c>
      <c r="Y159" s="66">
        <f t="shared" si="26"/>
        <v>94.330662782228714</v>
      </c>
      <c r="Z159" s="66">
        <f t="shared" si="27"/>
        <v>47.501291134211755</v>
      </c>
      <c r="AA159" s="66">
        <f t="shared" si="28"/>
        <v>5.9333907170760787</v>
      </c>
      <c r="AB159" s="4">
        <f t="shared" si="29"/>
        <v>0.11031211253502209</v>
      </c>
      <c r="AC159" s="4">
        <f t="shared" si="30"/>
        <v>0.11965169458908799</v>
      </c>
      <c r="AD159" s="4">
        <f t="shared" si="31"/>
        <v>0.11988310405534963</v>
      </c>
    </row>
    <row r="160" spans="1:30">
      <c r="A160" s="12">
        <v>29.4</v>
      </c>
      <c r="B160" s="12">
        <v>-103.62</v>
      </c>
      <c r="C160" s="10" t="s">
        <v>22</v>
      </c>
      <c r="D160" s="10" t="s">
        <v>19</v>
      </c>
      <c r="E160" s="12">
        <v>187</v>
      </c>
      <c r="F160" s="12">
        <v>1</v>
      </c>
      <c r="G160" s="28" t="s">
        <v>82</v>
      </c>
      <c r="H160" s="31">
        <v>1.48</v>
      </c>
      <c r="I160" s="112"/>
      <c r="J160" s="42">
        <v>151.03</v>
      </c>
      <c r="K160" s="9">
        <v>0.31531538227140637</v>
      </c>
      <c r="L160" s="9">
        <v>0.34201157925247677</v>
      </c>
      <c r="M160" s="9">
        <v>0.34267303847611685</v>
      </c>
      <c r="N160" s="13">
        <v>8283</v>
      </c>
      <c r="O160" s="13">
        <v>4171</v>
      </c>
      <c r="P160" s="13">
        <v>521</v>
      </c>
      <c r="Q160" s="91"/>
      <c r="R160" s="51">
        <f t="shared" si="33"/>
        <v>30.719406392694065</v>
      </c>
      <c r="S160" s="14">
        <f>Q149*H160/I149</f>
        <v>2637.0321128252667</v>
      </c>
      <c r="T160" s="45">
        <f t="shared" si="34"/>
        <v>0.30103106310790717</v>
      </c>
      <c r="U160" s="3">
        <v>72.2</v>
      </c>
      <c r="V160" s="64">
        <v>51.6</v>
      </c>
      <c r="W160" s="5">
        <f t="shared" si="24"/>
        <v>0.70751506323247049</v>
      </c>
      <c r="X160" s="5">
        <f t="shared" si="25"/>
        <v>0.50564788452625309</v>
      </c>
      <c r="Y160" s="66">
        <f t="shared" si="26"/>
        <v>81.168244719592138</v>
      </c>
      <c r="Z160" s="66">
        <f t="shared" si="27"/>
        <v>40.873203999205458</v>
      </c>
      <c r="AA160" s="66">
        <f t="shared" si="28"/>
        <v>5.1054757332980198</v>
      </c>
      <c r="AB160" s="4">
        <f t="shared" si="29"/>
        <v>9.4919724739437605E-2</v>
      </c>
      <c r="AC160" s="4">
        <f t="shared" si="30"/>
        <v>0.10295610929758733</v>
      </c>
      <c r="AD160" s="4">
        <f t="shared" si="31"/>
        <v>0.10315522907088223</v>
      </c>
    </row>
    <row r="161" spans="1:30">
      <c r="A161" s="12">
        <v>31.09</v>
      </c>
      <c r="B161" s="12">
        <v>-104.62</v>
      </c>
      <c r="C161" s="10" t="s">
        <v>18</v>
      </c>
      <c r="D161" s="10" t="s">
        <v>19</v>
      </c>
      <c r="E161" s="12">
        <v>189</v>
      </c>
      <c r="F161" s="12">
        <v>7</v>
      </c>
      <c r="G161" s="28" t="s">
        <v>82</v>
      </c>
      <c r="H161" s="31">
        <v>4.33</v>
      </c>
      <c r="I161" s="112"/>
      <c r="J161" s="42">
        <v>151.03</v>
      </c>
      <c r="K161" s="9">
        <v>0.31531538227140637</v>
      </c>
      <c r="L161" s="9">
        <v>0.34201157925247677</v>
      </c>
      <c r="M161" s="9">
        <v>0.34267303847611685</v>
      </c>
      <c r="N161" s="13">
        <v>8283</v>
      </c>
      <c r="O161" s="13">
        <v>4171</v>
      </c>
      <c r="P161" s="13">
        <v>521</v>
      </c>
      <c r="Q161" s="91"/>
      <c r="R161" s="51">
        <f t="shared" si="33"/>
        <v>30.719406392694065</v>
      </c>
      <c r="S161" s="14">
        <f>Q149*H161/I149</f>
        <v>7715.1007084685152</v>
      </c>
      <c r="T161" s="45">
        <f t="shared" si="34"/>
        <v>0.88071925895759307</v>
      </c>
      <c r="U161" s="3">
        <v>72.2</v>
      </c>
      <c r="V161" s="64">
        <v>51.6</v>
      </c>
      <c r="W161" s="5">
        <f t="shared" si="24"/>
        <v>2.0699596106733762</v>
      </c>
      <c r="X161" s="5">
        <f t="shared" si="25"/>
        <v>1.4793617162153212</v>
      </c>
      <c r="Y161" s="66">
        <f t="shared" si="26"/>
        <v>237.47195921340128</v>
      </c>
      <c r="Z161" s="66">
        <f t="shared" si="27"/>
        <v>119.58173872740512</v>
      </c>
      <c r="AA161" s="66">
        <f t="shared" si="28"/>
        <v>14.936966165662449</v>
      </c>
      <c r="AB161" s="4">
        <f t="shared" si="29"/>
        <v>0.27770432981200321</v>
      </c>
      <c r="AC161" s="4">
        <f t="shared" si="30"/>
        <v>0.30121618463415745</v>
      </c>
      <c r="AD161" s="4">
        <f t="shared" si="31"/>
        <v>0.3017987445114324</v>
      </c>
    </row>
    <row r="162" spans="1:30">
      <c r="A162" s="12">
        <v>29.6</v>
      </c>
      <c r="B162" s="12">
        <v>-104.3</v>
      </c>
      <c r="C162" s="10" t="s">
        <v>22</v>
      </c>
      <c r="D162" s="10" t="s">
        <v>19</v>
      </c>
      <c r="E162" s="12">
        <v>198</v>
      </c>
      <c r="F162" s="12">
        <v>1</v>
      </c>
      <c r="G162" s="28" t="s">
        <v>82</v>
      </c>
      <c r="H162" s="31">
        <v>0</v>
      </c>
      <c r="I162" s="98"/>
      <c r="J162" s="42">
        <v>151.03</v>
      </c>
      <c r="K162" s="9">
        <v>0.31531538227140637</v>
      </c>
      <c r="L162" s="9">
        <v>0.34201157925247677</v>
      </c>
      <c r="M162" s="9">
        <v>0.34267303847611685</v>
      </c>
      <c r="N162" s="13">
        <v>8283</v>
      </c>
      <c r="O162" s="13">
        <v>4171</v>
      </c>
      <c r="P162" s="13">
        <v>521</v>
      </c>
      <c r="Q162" s="92"/>
      <c r="R162" s="51">
        <f t="shared" si="33"/>
        <v>30.719406392694065</v>
      </c>
      <c r="S162" s="14">
        <f>Q149*H162/I149</f>
        <v>0</v>
      </c>
      <c r="T162" s="45">
        <f t="shared" si="34"/>
        <v>0</v>
      </c>
      <c r="U162" s="3">
        <v>72.2</v>
      </c>
      <c r="V162" s="64">
        <v>51.6</v>
      </c>
      <c r="W162" s="5">
        <f t="shared" si="24"/>
        <v>0</v>
      </c>
      <c r="X162" s="5">
        <f t="shared" si="25"/>
        <v>0</v>
      </c>
      <c r="Y162" s="66">
        <f t="shared" si="26"/>
        <v>0</v>
      </c>
      <c r="Z162" s="66">
        <f t="shared" si="27"/>
        <v>0</v>
      </c>
      <c r="AA162" s="66">
        <f t="shared" si="28"/>
        <v>0</v>
      </c>
      <c r="AB162" s="4">
        <f t="shared" si="29"/>
        <v>0</v>
      </c>
      <c r="AC162" s="4">
        <f t="shared" si="30"/>
        <v>0</v>
      </c>
      <c r="AD162" s="4">
        <f t="shared" si="31"/>
        <v>0</v>
      </c>
    </row>
    <row r="163" spans="1:30">
      <c r="A163" s="12">
        <v>31.3</v>
      </c>
      <c r="B163" s="12">
        <v>-94.71</v>
      </c>
      <c r="C163" s="10" t="s">
        <v>22</v>
      </c>
      <c r="D163" s="10" t="s">
        <v>25</v>
      </c>
      <c r="E163" s="12">
        <v>22</v>
      </c>
      <c r="F163" s="12">
        <v>4</v>
      </c>
      <c r="G163" s="28" t="s">
        <v>83</v>
      </c>
      <c r="H163" s="31">
        <v>140.97</v>
      </c>
      <c r="I163" s="33">
        <v>140.97</v>
      </c>
      <c r="J163" s="33">
        <v>140.97</v>
      </c>
      <c r="K163" s="9">
        <v>0.72205323164343616</v>
      </c>
      <c r="L163" s="9">
        <v>9.4159078942149227E-2</v>
      </c>
      <c r="M163" s="9">
        <v>0.18378768941441459</v>
      </c>
      <c r="N163" s="13">
        <v>67573</v>
      </c>
      <c r="O163" s="13">
        <v>5495</v>
      </c>
      <c r="P163" s="13">
        <v>187</v>
      </c>
      <c r="Q163" s="2">
        <v>1285739</v>
      </c>
      <c r="R163" s="2">
        <f>1285739/8760</f>
        <v>146.77385844748858</v>
      </c>
      <c r="S163" s="2">
        <v>1285739</v>
      </c>
      <c r="T163" s="45">
        <f t="shared" si="34"/>
        <v>146.77385844748858</v>
      </c>
      <c r="U163" s="6">
        <v>333.74786038120533</v>
      </c>
      <c r="V163" s="63">
        <v>231.37731356981715</v>
      </c>
      <c r="W163" s="5">
        <f t="shared" si="24"/>
        <v>333.74786038120533</v>
      </c>
      <c r="X163" s="5">
        <f t="shared" si="25"/>
        <v>231.37731356981718</v>
      </c>
      <c r="Y163" s="66">
        <f t="shared" si="26"/>
        <v>67573</v>
      </c>
      <c r="Z163" s="66">
        <f t="shared" si="27"/>
        <v>5495</v>
      </c>
      <c r="AA163" s="66">
        <f t="shared" si="28"/>
        <v>187</v>
      </c>
      <c r="AB163" s="4">
        <f t="shared" si="29"/>
        <v>105.97853881278537</v>
      </c>
      <c r="AC163" s="4">
        <f t="shared" si="30"/>
        <v>13.820091324200913</v>
      </c>
      <c r="AD163" s="4">
        <f t="shared" si="31"/>
        <v>26.975228310502281</v>
      </c>
    </row>
    <row r="164" spans="1:30">
      <c r="A164" s="12">
        <v>29</v>
      </c>
      <c r="B164" s="12">
        <v>-96.73</v>
      </c>
      <c r="C164" s="10" t="s">
        <v>22</v>
      </c>
      <c r="D164" s="10" t="s">
        <v>35</v>
      </c>
      <c r="E164" s="12">
        <v>90</v>
      </c>
      <c r="F164" s="12">
        <v>3</v>
      </c>
      <c r="G164" s="28" t="s">
        <v>84</v>
      </c>
      <c r="H164" s="31">
        <v>26.66</v>
      </c>
      <c r="I164" s="99">
        <f>SUM(H164:H165)</f>
        <v>42.14</v>
      </c>
      <c r="J164" s="41">
        <v>42.14</v>
      </c>
      <c r="K164" s="9">
        <v>0.58510631678825309</v>
      </c>
      <c r="L164" s="9">
        <v>0.13611815396101978</v>
      </c>
      <c r="M164" s="9">
        <v>0.27877552925072718</v>
      </c>
      <c r="N164" s="13">
        <v>25463</v>
      </c>
      <c r="O164" s="13">
        <v>1029</v>
      </c>
      <c r="P164" s="13">
        <v>4</v>
      </c>
      <c r="Q164" s="90">
        <v>642890</v>
      </c>
      <c r="R164" s="51">
        <f>642890/8760</f>
        <v>73.3892694063927</v>
      </c>
      <c r="S164" s="14">
        <f>Q164*H164/I164</f>
        <v>406726.32653061219</v>
      </c>
      <c r="T164" s="45">
        <f t="shared" si="34"/>
        <v>46.429945950983125</v>
      </c>
      <c r="U164" s="3">
        <v>148.6</v>
      </c>
      <c r="V164" s="64">
        <v>149.69999999999999</v>
      </c>
      <c r="W164" s="5">
        <f t="shared" si="24"/>
        <v>94.01224489795915</v>
      </c>
      <c r="X164" s="5">
        <f t="shared" si="25"/>
        <v>94.708163265306098</v>
      </c>
      <c r="Y164" s="66">
        <f t="shared" si="26"/>
        <v>16109.244897959179</v>
      </c>
      <c r="Z164" s="66">
        <f t="shared" si="27"/>
        <v>650.99999999999977</v>
      </c>
      <c r="AA164" s="66">
        <f t="shared" si="28"/>
        <v>2.5306122448979584</v>
      </c>
      <c r="AB164" s="4">
        <f t="shared" si="29"/>
        <v>27.166454664057401</v>
      </c>
      <c r="AC164" s="4">
        <f t="shared" si="30"/>
        <v>6.3199585313577478</v>
      </c>
      <c r="AD164" s="4">
        <f t="shared" si="31"/>
        <v>12.943532755567979</v>
      </c>
    </row>
    <row r="165" spans="1:30">
      <c r="A165" s="12">
        <v>29.38</v>
      </c>
      <c r="B165" s="12">
        <v>-96.84</v>
      </c>
      <c r="C165" s="10" t="s">
        <v>22</v>
      </c>
      <c r="D165" s="10" t="s">
        <v>35</v>
      </c>
      <c r="E165" s="12">
        <v>92</v>
      </c>
      <c r="F165" s="12">
        <v>3</v>
      </c>
      <c r="G165" s="28" t="s">
        <v>84</v>
      </c>
      <c r="H165" s="31">
        <v>15.48</v>
      </c>
      <c r="I165" s="101"/>
      <c r="J165" s="41">
        <v>42.14</v>
      </c>
      <c r="K165" s="9">
        <v>0.58510631678825309</v>
      </c>
      <c r="L165" s="9">
        <v>0.13611815396101978</v>
      </c>
      <c r="M165" s="9">
        <v>0.27877552925072718</v>
      </c>
      <c r="N165" s="13">
        <v>25463</v>
      </c>
      <c r="O165" s="13">
        <v>1029</v>
      </c>
      <c r="P165" s="13">
        <v>4</v>
      </c>
      <c r="Q165" s="92"/>
      <c r="R165" s="51">
        <f>642890/8760</f>
        <v>73.3892694063927</v>
      </c>
      <c r="S165" s="14">
        <f>Q164*H165/I164</f>
        <v>236163.67346938778</v>
      </c>
      <c r="T165" s="45">
        <f t="shared" si="34"/>
        <v>26.959323455409564</v>
      </c>
      <c r="U165" s="3">
        <v>148.6</v>
      </c>
      <c r="V165" s="64">
        <v>149.69999999999999</v>
      </c>
      <c r="W165" s="5">
        <f t="shared" si="24"/>
        <v>54.587755102040816</v>
      </c>
      <c r="X165" s="5">
        <f t="shared" si="25"/>
        <v>54.991836734693877</v>
      </c>
      <c r="Y165" s="66">
        <f t="shared" si="26"/>
        <v>9353.7551020408155</v>
      </c>
      <c r="Z165" s="66">
        <f t="shared" si="27"/>
        <v>378</v>
      </c>
      <c r="AA165" s="66">
        <f t="shared" si="28"/>
        <v>1.4693877551020409</v>
      </c>
      <c r="AB165" s="4">
        <f t="shared" si="29"/>
        <v>15.774070450097851</v>
      </c>
      <c r="AC165" s="4">
        <f t="shared" si="30"/>
        <v>3.6696533407883707</v>
      </c>
      <c r="AD165" s="4">
        <f t="shared" si="31"/>
        <v>7.5155996645233447</v>
      </c>
    </row>
    <row r="166" spans="1:30">
      <c r="A166" s="12">
        <v>28.32</v>
      </c>
      <c r="B166" s="12">
        <v>-97.65</v>
      </c>
      <c r="C166" s="10" t="s">
        <v>22</v>
      </c>
      <c r="D166" s="10" t="s">
        <v>25</v>
      </c>
      <c r="E166" s="12">
        <v>113</v>
      </c>
      <c r="F166" s="12">
        <v>4</v>
      </c>
      <c r="G166" s="28" t="s">
        <v>85</v>
      </c>
      <c r="H166" s="31">
        <v>76.319999999999993</v>
      </c>
      <c r="I166" s="33">
        <f>H166</f>
        <v>76.319999999999993</v>
      </c>
      <c r="J166" s="33">
        <v>76.319999999999993</v>
      </c>
      <c r="K166" s="9">
        <v>0.42553870016162815</v>
      </c>
      <c r="L166" s="9">
        <v>0.13087170492349842</v>
      </c>
      <c r="M166" s="9">
        <v>0.44358959491487343</v>
      </c>
      <c r="N166" s="13">
        <v>8820</v>
      </c>
      <c r="O166" s="13">
        <v>2502</v>
      </c>
      <c r="P166" s="13">
        <v>40</v>
      </c>
      <c r="Q166" s="2">
        <v>275942</v>
      </c>
      <c r="R166" s="2">
        <f>275942/8760</f>
        <v>31.500228310502283</v>
      </c>
      <c r="S166" s="2">
        <v>275942</v>
      </c>
      <c r="T166" s="45">
        <f t="shared" si="34"/>
        <v>31.500228310502283</v>
      </c>
      <c r="U166" s="3">
        <v>62</v>
      </c>
      <c r="V166" s="64">
        <v>60</v>
      </c>
      <c r="W166" s="5">
        <f t="shared" si="24"/>
        <v>62</v>
      </c>
      <c r="X166" s="5">
        <f t="shared" si="25"/>
        <v>60</v>
      </c>
      <c r="Y166" s="66">
        <f t="shared" si="26"/>
        <v>8820</v>
      </c>
      <c r="Z166" s="66">
        <f t="shared" si="27"/>
        <v>2502</v>
      </c>
      <c r="AA166" s="66">
        <f t="shared" si="28"/>
        <v>40</v>
      </c>
      <c r="AB166" s="4">
        <f t="shared" si="29"/>
        <v>13.404566210045662</v>
      </c>
      <c r="AC166" s="4">
        <f t="shared" si="30"/>
        <v>4.122488584474886</v>
      </c>
      <c r="AD166" s="4">
        <f t="shared" si="31"/>
        <v>13.973173515981737</v>
      </c>
    </row>
    <row r="167" spans="1:30">
      <c r="A167" s="12">
        <v>32.86</v>
      </c>
      <c r="B167" s="12">
        <v>-101.67</v>
      </c>
      <c r="C167" s="10" t="s">
        <v>18</v>
      </c>
      <c r="D167" s="10" t="s">
        <v>19</v>
      </c>
      <c r="E167" s="12">
        <v>152</v>
      </c>
      <c r="F167" s="12">
        <v>7</v>
      </c>
      <c r="G167" s="28" t="s">
        <v>86</v>
      </c>
      <c r="H167" s="31">
        <v>28.97</v>
      </c>
      <c r="I167" s="99">
        <f>SUM(H167:H173)</f>
        <v>103.52</v>
      </c>
      <c r="J167" s="41">
        <v>103.52</v>
      </c>
      <c r="K167" s="9">
        <v>0.32297938127552928</v>
      </c>
      <c r="L167" s="9">
        <v>0.25849338475809208</v>
      </c>
      <c r="M167" s="9">
        <v>0.41852723396637864</v>
      </c>
      <c r="N167" s="13">
        <v>38171</v>
      </c>
      <c r="O167" s="13">
        <v>9046</v>
      </c>
      <c r="P167" s="13">
        <v>7704</v>
      </c>
      <c r="Q167" s="90">
        <v>1536225</v>
      </c>
      <c r="R167" s="51">
        <f t="shared" ref="R167:R173" si="35">1536225/8760</f>
        <v>175.36815068493149</v>
      </c>
      <c r="S167" s="14">
        <f>Q167*H167/I167</f>
        <v>429911.49777820712</v>
      </c>
      <c r="T167" s="45">
        <f t="shared" si="34"/>
        <v>49.076654997512229</v>
      </c>
      <c r="U167" s="3">
        <v>356.9</v>
      </c>
      <c r="V167" s="64">
        <v>228.6</v>
      </c>
      <c r="W167" s="5">
        <f t="shared" si="24"/>
        <v>99.878216769706341</v>
      </c>
      <c r="X167" s="5">
        <f t="shared" si="25"/>
        <v>63.973551004636789</v>
      </c>
      <c r="Y167" s="66">
        <f t="shared" si="26"/>
        <v>10682.127801391036</v>
      </c>
      <c r="Z167" s="66">
        <f t="shared" si="27"/>
        <v>2531.5168083462136</v>
      </c>
      <c r="AA167" s="66">
        <f t="shared" si="28"/>
        <v>2155.9590417310669</v>
      </c>
      <c r="AB167" s="4">
        <f t="shared" si="29"/>
        <v>15.850747666169111</v>
      </c>
      <c r="AC167" s="4">
        <f t="shared" si="30"/>
        <v>12.68599066291207</v>
      </c>
      <c r="AD167" s="4">
        <f t="shared" si="31"/>
        <v>20.539916668431047</v>
      </c>
    </row>
    <row r="168" spans="1:30">
      <c r="A168" s="12">
        <v>33.29</v>
      </c>
      <c r="B168" s="12">
        <v>-101.34</v>
      </c>
      <c r="C168" s="10" t="s">
        <v>18</v>
      </c>
      <c r="D168" s="10" t="s">
        <v>19</v>
      </c>
      <c r="E168" s="12">
        <v>154</v>
      </c>
      <c r="F168" s="12">
        <v>7</v>
      </c>
      <c r="G168" s="28" t="s">
        <v>86</v>
      </c>
      <c r="H168" s="31">
        <v>11.83</v>
      </c>
      <c r="I168" s="100"/>
      <c r="J168" s="41">
        <v>103.52</v>
      </c>
      <c r="K168" s="9">
        <v>0.32297938127552928</v>
      </c>
      <c r="L168" s="9">
        <v>0.25849338475809208</v>
      </c>
      <c r="M168" s="9">
        <v>0.41852723396637864</v>
      </c>
      <c r="N168" s="13">
        <v>38171</v>
      </c>
      <c r="O168" s="13">
        <v>9046</v>
      </c>
      <c r="P168" s="13">
        <v>7704</v>
      </c>
      <c r="Q168" s="91"/>
      <c r="R168" s="51">
        <f t="shared" si="35"/>
        <v>175.36815068493149</v>
      </c>
      <c r="S168" s="14">
        <f>Q167*H168/I167</f>
        <v>175555.85152627513</v>
      </c>
      <c r="T168" s="45">
        <f t="shared" si="34"/>
        <v>20.040622320351044</v>
      </c>
      <c r="U168" s="3">
        <v>356.9</v>
      </c>
      <c r="V168" s="64">
        <v>228.6</v>
      </c>
      <c r="W168" s="5">
        <f t="shared" si="24"/>
        <v>40.785616306027826</v>
      </c>
      <c r="X168" s="5">
        <f t="shared" si="25"/>
        <v>26.123821483771259</v>
      </c>
      <c r="Y168" s="66">
        <f t="shared" si="26"/>
        <v>4362.0839451313768</v>
      </c>
      <c r="Z168" s="66">
        <f t="shared" si="27"/>
        <v>1033.7536707882537</v>
      </c>
      <c r="AA168" s="66">
        <f t="shared" si="28"/>
        <v>880.39335394126749</v>
      </c>
      <c r="AB168" s="4">
        <f t="shared" si="29"/>
        <v>6.4727077974035421</v>
      </c>
      <c r="AC168" s="4">
        <f t="shared" si="30"/>
        <v>5.1803682962461108</v>
      </c>
      <c r="AD168" s="4">
        <f t="shared" si="31"/>
        <v>8.3875462267013923</v>
      </c>
    </row>
    <row r="169" spans="1:30">
      <c r="A169" s="12">
        <v>32.93</v>
      </c>
      <c r="B169" s="12">
        <v>-102.13</v>
      </c>
      <c r="C169" s="10" t="s">
        <v>18</v>
      </c>
      <c r="D169" s="10" t="s">
        <v>19</v>
      </c>
      <c r="E169" s="12">
        <v>155</v>
      </c>
      <c r="F169" s="12">
        <v>7</v>
      </c>
      <c r="G169" s="28" t="s">
        <v>86</v>
      </c>
      <c r="H169" s="31">
        <v>0.51</v>
      </c>
      <c r="I169" s="100"/>
      <c r="J169" s="41">
        <v>103.52</v>
      </c>
      <c r="K169" s="9">
        <v>0.32297938127552928</v>
      </c>
      <c r="L169" s="9">
        <v>0.25849338475809208</v>
      </c>
      <c r="M169" s="9">
        <v>0.41852723396637864</v>
      </c>
      <c r="N169" s="13">
        <v>38171</v>
      </c>
      <c r="O169" s="13">
        <v>9046</v>
      </c>
      <c r="P169" s="13">
        <v>7704</v>
      </c>
      <c r="Q169" s="91"/>
      <c r="R169" s="51">
        <f t="shared" si="35"/>
        <v>175.36815068493149</v>
      </c>
      <c r="S169" s="14">
        <f>Q167*H169/I167</f>
        <v>7568.3418663060284</v>
      </c>
      <c r="T169" s="45">
        <f t="shared" si="34"/>
        <v>0.86396596647329094</v>
      </c>
      <c r="U169" s="3">
        <v>356.9</v>
      </c>
      <c r="V169" s="64">
        <v>228.6</v>
      </c>
      <c r="W169" s="5">
        <f t="shared" si="24"/>
        <v>1.7582979134466772</v>
      </c>
      <c r="X169" s="5">
        <f t="shared" si="25"/>
        <v>1.1262171561051006</v>
      </c>
      <c r="Y169" s="66">
        <f t="shared" si="26"/>
        <v>188.05264683153015</v>
      </c>
      <c r="Z169" s="66">
        <f t="shared" si="27"/>
        <v>44.565880989180847</v>
      </c>
      <c r="AA169" s="66">
        <f t="shared" si="28"/>
        <v>37.95440494590418</v>
      </c>
      <c r="AB169" s="4">
        <f t="shared" si="29"/>
        <v>0.27904319329465815</v>
      </c>
      <c r="AC169" s="4">
        <f t="shared" si="30"/>
        <v>0.22332948698947727</v>
      </c>
      <c r="AD169" s="4">
        <f t="shared" si="31"/>
        <v>0.36159328618915548</v>
      </c>
    </row>
    <row r="170" spans="1:30">
      <c r="A170" s="12">
        <v>34.44</v>
      </c>
      <c r="B170" s="12">
        <v>-100.29</v>
      </c>
      <c r="C170" s="10" t="s">
        <v>18</v>
      </c>
      <c r="D170" s="10" t="s">
        <v>19</v>
      </c>
      <c r="E170" s="12">
        <v>143</v>
      </c>
      <c r="F170" s="12">
        <v>7</v>
      </c>
      <c r="G170" s="28" t="s">
        <v>87</v>
      </c>
      <c r="H170" s="31">
        <v>13.51</v>
      </c>
      <c r="I170" s="100"/>
      <c r="J170" s="41">
        <v>103.52</v>
      </c>
      <c r="K170" s="9">
        <v>0.32297938127552928</v>
      </c>
      <c r="L170" s="9">
        <v>0.25849338475809208</v>
      </c>
      <c r="M170" s="9">
        <v>0.41852723396637864</v>
      </c>
      <c r="N170" s="13">
        <v>38171</v>
      </c>
      <c r="O170" s="13">
        <v>9046</v>
      </c>
      <c r="P170" s="13">
        <v>7704</v>
      </c>
      <c r="Q170" s="91"/>
      <c r="R170" s="51">
        <f t="shared" si="35"/>
        <v>175.36815068493149</v>
      </c>
      <c r="S170" s="14">
        <f>Q167*H170/I167</f>
        <v>200486.86002704792</v>
      </c>
      <c r="T170" s="45">
        <f t="shared" si="34"/>
        <v>22.886627856968943</v>
      </c>
      <c r="U170" s="3">
        <v>356.9</v>
      </c>
      <c r="V170" s="64">
        <v>228.6</v>
      </c>
      <c r="W170" s="5">
        <f t="shared" si="24"/>
        <v>46.577656491499233</v>
      </c>
      <c r="X170" s="5">
        <f t="shared" si="25"/>
        <v>29.833713292117469</v>
      </c>
      <c r="Y170" s="66">
        <f t="shared" si="26"/>
        <v>4981.5514876352408</v>
      </c>
      <c r="Z170" s="66">
        <f t="shared" si="27"/>
        <v>1180.5589258114376</v>
      </c>
      <c r="AA170" s="66">
        <f t="shared" si="28"/>
        <v>1005.4196290571872</v>
      </c>
      <c r="AB170" s="4">
        <f t="shared" si="29"/>
        <v>7.3919089047271216</v>
      </c>
      <c r="AC170" s="4">
        <f t="shared" si="30"/>
        <v>5.9160419004467411</v>
      </c>
      <c r="AD170" s="4">
        <f t="shared" si="31"/>
        <v>9.5786770517950792</v>
      </c>
    </row>
    <row r="171" spans="1:30">
      <c r="A171" s="12">
        <v>33.950000000000003</v>
      </c>
      <c r="B171" s="12">
        <v>-100.3</v>
      </c>
      <c r="C171" s="10" t="s">
        <v>18</v>
      </c>
      <c r="D171" s="10" t="s">
        <v>19</v>
      </c>
      <c r="E171" s="12">
        <v>148</v>
      </c>
      <c r="F171" s="12">
        <v>7</v>
      </c>
      <c r="G171" s="28" t="s">
        <v>87</v>
      </c>
      <c r="H171" s="31">
        <v>3.26</v>
      </c>
      <c r="I171" s="100"/>
      <c r="J171" s="41">
        <v>103.52</v>
      </c>
      <c r="K171" s="9">
        <v>0.32297938127552928</v>
      </c>
      <c r="L171" s="9">
        <v>0.25849338475809208</v>
      </c>
      <c r="M171" s="9">
        <v>0.41852723396637864</v>
      </c>
      <c r="N171" s="13">
        <v>38171</v>
      </c>
      <c r="O171" s="13">
        <v>9046</v>
      </c>
      <c r="P171" s="13">
        <v>7704</v>
      </c>
      <c r="Q171" s="91"/>
      <c r="R171" s="51">
        <f t="shared" si="35"/>
        <v>175.36815068493149</v>
      </c>
      <c r="S171" s="14">
        <f>Q167*H171/I167</f>
        <v>48378.028400309122</v>
      </c>
      <c r="T171" s="45">
        <f t="shared" si="34"/>
        <v>5.5226059817704476</v>
      </c>
      <c r="U171" s="3">
        <v>356.9</v>
      </c>
      <c r="V171" s="64">
        <v>228.6</v>
      </c>
      <c r="W171" s="5">
        <f t="shared" si="24"/>
        <v>11.239316074188563</v>
      </c>
      <c r="X171" s="5">
        <f t="shared" si="25"/>
        <v>7.1989567233384868</v>
      </c>
      <c r="Y171" s="66">
        <f t="shared" si="26"/>
        <v>1202.0620170015457</v>
      </c>
      <c r="Z171" s="66">
        <f t="shared" si="27"/>
        <v>284.87210200927359</v>
      </c>
      <c r="AA171" s="66">
        <f t="shared" si="28"/>
        <v>242.61051004636786</v>
      </c>
      <c r="AB171" s="4">
        <f t="shared" si="29"/>
        <v>1.783687863020756</v>
      </c>
      <c r="AC171" s="4">
        <f t="shared" si="30"/>
        <v>1.4275571129131293</v>
      </c>
      <c r="AD171" s="4">
        <f t="shared" si="31"/>
        <v>2.3113610058365621</v>
      </c>
    </row>
    <row r="172" spans="1:30">
      <c r="A172" s="12">
        <v>32.81</v>
      </c>
      <c r="B172" s="12">
        <v>-100.98</v>
      </c>
      <c r="C172" s="10" t="s">
        <v>18</v>
      </c>
      <c r="D172" s="10" t="s">
        <v>19</v>
      </c>
      <c r="E172" s="12">
        <v>151</v>
      </c>
      <c r="F172" s="12">
        <v>7</v>
      </c>
      <c r="G172" s="28" t="s">
        <v>87</v>
      </c>
      <c r="H172" s="31">
        <v>38.24</v>
      </c>
      <c r="I172" s="100"/>
      <c r="J172" s="41">
        <v>103.52</v>
      </c>
      <c r="K172" s="9">
        <v>0.32297938127552928</v>
      </c>
      <c r="L172" s="9">
        <v>0.25849338475809208</v>
      </c>
      <c r="M172" s="9">
        <v>0.41852723396637864</v>
      </c>
      <c r="N172" s="13">
        <v>38171</v>
      </c>
      <c r="O172" s="13">
        <v>9046</v>
      </c>
      <c r="P172" s="13">
        <v>7704</v>
      </c>
      <c r="Q172" s="91"/>
      <c r="R172" s="51">
        <f t="shared" si="35"/>
        <v>175.36815068493149</v>
      </c>
      <c r="S172" s="14">
        <f>Q167*H172/I167</f>
        <v>567477.24111282849</v>
      </c>
      <c r="T172" s="45">
        <f t="shared" si="34"/>
        <v>64.780506976350281</v>
      </c>
      <c r="U172" s="3">
        <v>356.9</v>
      </c>
      <c r="V172" s="64">
        <v>228.6</v>
      </c>
      <c r="W172" s="5">
        <f t="shared" si="24"/>
        <v>131.83786707882535</v>
      </c>
      <c r="X172" s="5">
        <f t="shared" si="25"/>
        <v>84.44420401854714</v>
      </c>
      <c r="Y172" s="66">
        <f t="shared" si="26"/>
        <v>14100.261205564144</v>
      </c>
      <c r="Z172" s="66">
        <f t="shared" si="27"/>
        <v>3341.5672333848534</v>
      </c>
      <c r="AA172" s="66">
        <f t="shared" si="28"/>
        <v>2845.8361669242663</v>
      </c>
      <c r="AB172" s="4">
        <f t="shared" si="29"/>
        <v>20.922768061936722</v>
      </c>
      <c r="AC172" s="4">
        <f t="shared" si="30"/>
        <v>16.745332514661982</v>
      </c>
      <c r="AD172" s="4">
        <f t="shared" si="31"/>
        <v>27.112406399751578</v>
      </c>
    </row>
    <row r="173" spans="1:30">
      <c r="A173" s="12">
        <v>33.700000000000003</v>
      </c>
      <c r="B173" s="12">
        <v>-101.45</v>
      </c>
      <c r="C173" s="10" t="s">
        <v>18</v>
      </c>
      <c r="D173" s="10" t="s">
        <v>19</v>
      </c>
      <c r="E173" s="12">
        <v>153</v>
      </c>
      <c r="F173" s="12">
        <v>7</v>
      </c>
      <c r="G173" s="28" t="s">
        <v>87</v>
      </c>
      <c r="H173" s="31">
        <v>7.2</v>
      </c>
      <c r="I173" s="101"/>
      <c r="J173" s="41">
        <v>103.52</v>
      </c>
      <c r="K173" s="9">
        <v>0.32297938127552928</v>
      </c>
      <c r="L173" s="9">
        <v>0.25849338475809208</v>
      </c>
      <c r="M173" s="9">
        <v>0.41852723396637864</v>
      </c>
      <c r="N173" s="13">
        <v>38171</v>
      </c>
      <c r="O173" s="13">
        <v>9046</v>
      </c>
      <c r="P173" s="13">
        <v>7704</v>
      </c>
      <c r="Q173" s="92"/>
      <c r="R173" s="51">
        <f t="shared" si="35"/>
        <v>175.36815068493149</v>
      </c>
      <c r="S173" s="14">
        <f>Q167*H173/I167</f>
        <v>106847.17928902627</v>
      </c>
      <c r="T173" s="45">
        <f t="shared" si="34"/>
        <v>12.197166585505281</v>
      </c>
      <c r="U173" s="3">
        <v>356.9</v>
      </c>
      <c r="V173" s="64">
        <v>228.6</v>
      </c>
      <c r="W173" s="5">
        <f t="shared" si="24"/>
        <v>24.823029366306024</v>
      </c>
      <c r="X173" s="5">
        <f t="shared" si="25"/>
        <v>15.899536321483771</v>
      </c>
      <c r="Y173" s="66">
        <f t="shared" si="26"/>
        <v>2654.8608964451309</v>
      </c>
      <c r="Z173" s="66">
        <f t="shared" si="27"/>
        <v>629.1653786707883</v>
      </c>
      <c r="AA173" s="66">
        <f t="shared" si="28"/>
        <v>535.82689335394127</v>
      </c>
      <c r="AB173" s="4">
        <f t="shared" si="29"/>
        <v>3.9394333171010558</v>
      </c>
      <c r="AC173" s="4">
        <f t="shared" si="30"/>
        <v>3.152886875145561</v>
      </c>
      <c r="AD173" s="4">
        <f t="shared" si="31"/>
        <v>5.1048463932586641</v>
      </c>
    </row>
    <row r="174" spans="1:30">
      <c r="A174" s="12">
        <v>34.11</v>
      </c>
      <c r="B174" s="12">
        <v>-99.19</v>
      </c>
      <c r="C174" s="10" t="s">
        <v>18</v>
      </c>
      <c r="D174" s="10" t="s">
        <v>19</v>
      </c>
      <c r="E174" s="12">
        <v>35</v>
      </c>
      <c r="F174" s="12">
        <v>7</v>
      </c>
      <c r="G174" s="28" t="s">
        <v>88</v>
      </c>
      <c r="H174" s="31">
        <v>33.25</v>
      </c>
      <c r="I174" s="99">
        <f>SUM(H174:H175)</f>
        <v>33.81</v>
      </c>
      <c r="J174" s="41">
        <v>33.81</v>
      </c>
      <c r="K174" s="9">
        <v>0.34866671260249432</v>
      </c>
      <c r="L174" s="9">
        <v>0.48177496038034867</v>
      </c>
      <c r="M174" s="9">
        <v>0.16955832701715703</v>
      </c>
      <c r="N174" s="13">
        <v>2410</v>
      </c>
      <c r="O174" s="13">
        <v>982</v>
      </c>
      <c r="P174" s="13">
        <v>19</v>
      </c>
      <c r="Q174" s="90">
        <v>72565</v>
      </c>
      <c r="R174" s="51">
        <f>72565/8760</f>
        <v>8.2836757990867582</v>
      </c>
      <c r="S174" s="14">
        <f>Q174*H174/I174</f>
        <v>71363.095238095237</v>
      </c>
      <c r="T174" s="45">
        <f t="shared" si="34"/>
        <v>8.1464720591432922</v>
      </c>
      <c r="U174" s="5">
        <f>23.1*261000/Q174</f>
        <v>83.0855095431682</v>
      </c>
      <c r="V174" s="62">
        <f>21.3*261000/Q174</f>
        <v>76.611313994349899</v>
      </c>
      <c r="W174" s="5">
        <f t="shared" si="24"/>
        <v>81.70935203520682</v>
      </c>
      <c r="X174" s="5">
        <f t="shared" si="25"/>
        <v>75.342389538956937</v>
      </c>
      <c r="Y174" s="66">
        <f t="shared" si="26"/>
        <v>2370.0828157349897</v>
      </c>
      <c r="Z174" s="66">
        <f t="shared" si="27"/>
        <v>965.73498964803321</v>
      </c>
      <c r="AA174" s="66">
        <f t="shared" si="28"/>
        <v>18.685300207039337</v>
      </c>
      <c r="AB174" s="4">
        <f t="shared" si="29"/>
        <v>2.8404036321695645</v>
      </c>
      <c r="AC174" s="4">
        <f t="shared" si="30"/>
        <v>3.9247662535333769</v>
      </c>
      <c r="AD174" s="4">
        <f t="shared" si="31"/>
        <v>1.381302173440351</v>
      </c>
    </row>
    <row r="175" spans="1:30">
      <c r="A175" s="12">
        <v>30.6</v>
      </c>
      <c r="B175" s="12">
        <v>-101.78</v>
      </c>
      <c r="C175" s="10" t="s">
        <v>18</v>
      </c>
      <c r="D175" s="10" t="s">
        <v>19</v>
      </c>
      <c r="E175" s="12">
        <v>179</v>
      </c>
      <c r="F175" s="12">
        <v>7</v>
      </c>
      <c r="G175" s="28" t="s">
        <v>88</v>
      </c>
      <c r="H175" s="31">
        <v>0.56000000000000005</v>
      </c>
      <c r="I175" s="101"/>
      <c r="J175" s="41">
        <v>33.81</v>
      </c>
      <c r="K175" s="9">
        <v>0.34866671260249432</v>
      </c>
      <c r="L175" s="9">
        <v>0.48177496038034867</v>
      </c>
      <c r="M175" s="9">
        <v>0.16955832701715703</v>
      </c>
      <c r="N175" s="13">
        <v>2410</v>
      </c>
      <c r="O175" s="13">
        <v>982</v>
      </c>
      <c r="P175" s="13">
        <v>19</v>
      </c>
      <c r="Q175" s="92"/>
      <c r="R175" s="51">
        <f>72565/8760</f>
        <v>8.2836757990867582</v>
      </c>
      <c r="S175" s="14">
        <f>Q174*H175/I174</f>
        <v>1201.9047619047619</v>
      </c>
      <c r="T175" s="45">
        <f t="shared" si="34"/>
        <v>0.13720373994346599</v>
      </c>
      <c r="U175" s="5">
        <v>83.0855095431682</v>
      </c>
      <c r="V175" s="62">
        <v>76.611313994349899</v>
      </c>
      <c r="W175" s="5">
        <f t="shared" si="24"/>
        <v>1.3761575079613784</v>
      </c>
      <c r="X175" s="5">
        <f t="shared" si="25"/>
        <v>1.2689244553929593</v>
      </c>
      <c r="Y175" s="66">
        <f t="shared" si="26"/>
        <v>39.917184265010356</v>
      </c>
      <c r="Z175" s="66">
        <f t="shared" si="27"/>
        <v>16.265010351966879</v>
      </c>
      <c r="AA175" s="66">
        <f t="shared" si="28"/>
        <v>0.31469979296066258</v>
      </c>
      <c r="AB175" s="4">
        <f t="shared" si="29"/>
        <v>4.7838376962855825E-2</v>
      </c>
      <c r="AC175" s="4">
        <f t="shared" si="30"/>
        <v>6.6101326375298988E-2</v>
      </c>
      <c r="AD175" s="4">
        <f t="shared" si="31"/>
        <v>2.3264036605311178E-2</v>
      </c>
    </row>
    <row r="176" spans="1:30">
      <c r="A176" s="12">
        <v>30.54</v>
      </c>
      <c r="B176" s="12">
        <v>-101.3</v>
      </c>
      <c r="C176" s="10" t="s">
        <v>18</v>
      </c>
      <c r="D176" s="10" t="s">
        <v>19</v>
      </c>
      <c r="E176" s="12">
        <v>71</v>
      </c>
      <c r="F176" s="12">
        <v>7</v>
      </c>
      <c r="G176" s="28" t="s">
        <v>89</v>
      </c>
      <c r="H176" s="31">
        <v>6.85</v>
      </c>
      <c r="I176" s="87">
        <f>SUM(H176:H178)</f>
        <v>40.67</v>
      </c>
      <c r="J176" s="41">
        <v>40.67</v>
      </c>
      <c r="K176" s="9">
        <v>0.13843317061927379</v>
      </c>
      <c r="L176" s="9">
        <v>0.16935570171467143</v>
      </c>
      <c r="M176" s="9">
        <v>0.69221112766605475</v>
      </c>
      <c r="N176" s="13">
        <v>5458</v>
      </c>
      <c r="O176" s="13">
        <v>3992</v>
      </c>
      <c r="P176" s="13">
        <v>408</v>
      </c>
      <c r="Q176" s="90">
        <v>242962</v>
      </c>
      <c r="R176" s="51">
        <f>242962/8760</f>
        <v>27.735388127853881</v>
      </c>
      <c r="S176" s="14">
        <f>Q176*H176/I176</f>
        <v>40921.802311285959</v>
      </c>
      <c r="T176" s="45">
        <f t="shared" si="34"/>
        <v>4.6714386200098126</v>
      </c>
      <c r="U176" s="3">
        <v>39</v>
      </c>
      <c r="V176" s="64">
        <v>38</v>
      </c>
      <c r="W176" s="5">
        <f t="shared" si="24"/>
        <v>6.5687238750922052</v>
      </c>
      <c r="X176" s="5">
        <f t="shared" si="25"/>
        <v>6.4002950577821487</v>
      </c>
      <c r="Y176" s="66">
        <f t="shared" si="26"/>
        <v>919.28448487828871</v>
      </c>
      <c r="Z176" s="66">
        <f t="shared" si="27"/>
        <v>672.36783870174577</v>
      </c>
      <c r="AA176" s="66">
        <f t="shared" si="28"/>
        <v>68.71895746250307</v>
      </c>
      <c r="AB176" s="4">
        <f t="shared" si="29"/>
        <v>0.64668205952128333</v>
      </c>
      <c r="AC176" s="4">
        <f t="shared" si="30"/>
        <v>0.79113476550877815</v>
      </c>
      <c r="AD176" s="4">
        <f t="shared" si="31"/>
        <v>3.2336217949797508</v>
      </c>
    </row>
    <row r="177" spans="1:30">
      <c r="A177" s="12">
        <v>30.44</v>
      </c>
      <c r="B177" s="12">
        <v>-100.56</v>
      </c>
      <c r="C177" s="10" t="s">
        <v>18</v>
      </c>
      <c r="D177" s="10" t="s">
        <v>19</v>
      </c>
      <c r="E177" s="12">
        <v>73</v>
      </c>
      <c r="F177" s="12">
        <v>7</v>
      </c>
      <c r="G177" s="28" t="s">
        <v>89</v>
      </c>
      <c r="H177" s="31">
        <v>9.9</v>
      </c>
      <c r="I177" s="88"/>
      <c r="J177" s="41">
        <v>40.67</v>
      </c>
      <c r="K177" s="9">
        <v>0.13843317061927379</v>
      </c>
      <c r="L177" s="9">
        <v>0.16935570171467143</v>
      </c>
      <c r="M177" s="9">
        <v>0.69221112766605475</v>
      </c>
      <c r="N177" s="13">
        <v>5458</v>
      </c>
      <c r="O177" s="13">
        <v>3992</v>
      </c>
      <c r="P177" s="13">
        <v>408</v>
      </c>
      <c r="Q177" s="91"/>
      <c r="R177" s="51">
        <f>242962/8760</f>
        <v>27.735388127853881</v>
      </c>
      <c r="S177" s="14">
        <f>Q176*H177/I176</f>
        <v>59142.458814851248</v>
      </c>
      <c r="T177" s="45">
        <f t="shared" si="34"/>
        <v>6.7514222391382708</v>
      </c>
      <c r="U177" s="3">
        <v>39</v>
      </c>
      <c r="V177" s="64">
        <v>38</v>
      </c>
      <c r="W177" s="5">
        <f t="shared" si="24"/>
        <v>9.4934841406442114</v>
      </c>
      <c r="X177" s="5">
        <f t="shared" si="25"/>
        <v>9.250061470371282</v>
      </c>
      <c r="Y177" s="66">
        <f t="shared" si="26"/>
        <v>1328.6009343496437</v>
      </c>
      <c r="Z177" s="66">
        <f t="shared" si="27"/>
        <v>971.74329972953058</v>
      </c>
      <c r="AA177" s="66">
        <f t="shared" si="28"/>
        <v>99.316449471354829</v>
      </c>
      <c r="AB177" s="4">
        <f t="shared" si="29"/>
        <v>0.93462078675338778</v>
      </c>
      <c r="AC177" s="4">
        <f t="shared" si="30"/>
        <v>1.1433918508813001</v>
      </c>
      <c r="AD177" s="4">
        <f t="shared" si="31"/>
        <v>4.6734096015035824</v>
      </c>
    </row>
    <row r="178" spans="1:30">
      <c r="A178" s="12">
        <v>31.69</v>
      </c>
      <c r="B178" s="12">
        <v>-100.05</v>
      </c>
      <c r="C178" s="10" t="s">
        <v>18</v>
      </c>
      <c r="D178" s="10" t="s">
        <v>72</v>
      </c>
      <c r="E178" s="12">
        <v>57</v>
      </c>
      <c r="F178" s="12">
        <v>7</v>
      </c>
      <c r="G178" s="28" t="s">
        <v>89</v>
      </c>
      <c r="H178" s="31">
        <v>23.92</v>
      </c>
      <c r="I178" s="88"/>
      <c r="J178" s="41">
        <v>40.67</v>
      </c>
      <c r="K178" s="9">
        <v>0.13843317061927379</v>
      </c>
      <c r="L178" s="9">
        <v>0.16935570171467143</v>
      </c>
      <c r="M178" s="9">
        <v>0.69221112766605475</v>
      </c>
      <c r="N178" s="13">
        <v>5458</v>
      </c>
      <c r="O178" s="13">
        <v>3992</v>
      </c>
      <c r="P178" s="13">
        <v>408</v>
      </c>
      <c r="Q178" s="91"/>
      <c r="R178" s="51">
        <f>242962/8760</f>
        <v>27.735388127853881</v>
      </c>
      <c r="S178" s="14">
        <f>Q176*H178/I176</f>
        <v>142897.73887386281</v>
      </c>
      <c r="T178" s="45">
        <f t="shared" si="34"/>
        <v>16.3125272687058</v>
      </c>
      <c r="U178" s="3">
        <v>39</v>
      </c>
      <c r="V178" s="64">
        <v>38</v>
      </c>
      <c r="W178" s="5">
        <f t="shared" si="24"/>
        <v>22.937791984263587</v>
      </c>
      <c r="X178" s="5">
        <f t="shared" si="25"/>
        <v>22.349643471846573</v>
      </c>
      <c r="Y178" s="66">
        <f t="shared" si="26"/>
        <v>3210.1145807720682</v>
      </c>
      <c r="Z178" s="66">
        <f t="shared" si="27"/>
        <v>2347.8888615687242</v>
      </c>
      <c r="AA178" s="66">
        <f t="shared" si="28"/>
        <v>239.96459306614213</v>
      </c>
      <c r="AB178" s="4">
        <f t="shared" si="29"/>
        <v>2.2581948706203065</v>
      </c>
      <c r="AC178" s="4">
        <f t="shared" si="30"/>
        <v>2.7626195023313835</v>
      </c>
      <c r="AD178" s="4">
        <f t="shared" si="31"/>
        <v>11.29171289575411</v>
      </c>
    </row>
    <row r="179" spans="1:30">
      <c r="A179" s="12">
        <v>31.87</v>
      </c>
      <c r="B179" s="12">
        <v>-99.49</v>
      </c>
      <c r="C179" s="10" t="s">
        <v>18</v>
      </c>
      <c r="D179" s="10" t="s">
        <v>19</v>
      </c>
      <c r="E179" s="12">
        <v>61</v>
      </c>
      <c r="F179" s="12">
        <v>8</v>
      </c>
      <c r="G179" s="28" t="s">
        <v>90</v>
      </c>
      <c r="H179" s="31">
        <v>14.99</v>
      </c>
      <c r="I179" s="97">
        <f>SUM(H179:H180)</f>
        <v>26.8</v>
      </c>
      <c r="J179" s="42">
        <v>26.8</v>
      </c>
      <c r="K179" s="9">
        <v>0.64300216471653537</v>
      </c>
      <c r="L179" s="9">
        <v>0.30765149478628728</v>
      </c>
      <c r="M179" s="9">
        <v>4.9346340497177378E-2</v>
      </c>
      <c r="N179" s="13">
        <v>14788</v>
      </c>
      <c r="O179" s="13">
        <v>2818</v>
      </c>
      <c r="P179" s="13">
        <v>7</v>
      </c>
      <c r="Q179" s="90">
        <v>282716</v>
      </c>
      <c r="R179" s="51">
        <f>282716/8760</f>
        <v>32.273515981735159</v>
      </c>
      <c r="S179" s="14">
        <f>Q179*H179/I179</f>
        <v>158131.07611940298</v>
      </c>
      <c r="T179" s="45">
        <f t="shared" si="34"/>
        <v>18.051492707694404</v>
      </c>
      <c r="U179" s="3">
        <v>87</v>
      </c>
      <c r="V179" s="64">
        <v>108</v>
      </c>
      <c r="W179" s="5">
        <f t="shared" si="24"/>
        <v>48.661567164179104</v>
      </c>
      <c r="X179" s="5">
        <f t="shared" si="25"/>
        <v>60.407462686567165</v>
      </c>
      <c r="Y179" s="66">
        <f t="shared" si="26"/>
        <v>8271.3477611940307</v>
      </c>
      <c r="Z179" s="66">
        <f t="shared" si="27"/>
        <v>1576.1873134328357</v>
      </c>
      <c r="AA179" s="66">
        <f t="shared" si="28"/>
        <v>3.9152985074626865</v>
      </c>
      <c r="AB179" s="4">
        <f t="shared" si="29"/>
        <v>11.607148887412254</v>
      </c>
      <c r="AC179" s="4">
        <f t="shared" si="30"/>
        <v>5.553568714645948</v>
      </c>
      <c r="AD179" s="4">
        <f t="shared" si="31"/>
        <v>0.89077510563620255</v>
      </c>
    </row>
    <row r="180" spans="1:30">
      <c r="A180" s="12">
        <v>32.020000000000003</v>
      </c>
      <c r="B180" s="12">
        <v>-99.89</v>
      </c>
      <c r="C180" s="10" t="s">
        <v>18</v>
      </c>
      <c r="D180" s="10" t="s">
        <v>19</v>
      </c>
      <c r="E180" s="12">
        <v>163</v>
      </c>
      <c r="F180" s="12">
        <v>8</v>
      </c>
      <c r="G180" s="28" t="s">
        <v>90</v>
      </c>
      <c r="H180" s="31">
        <v>11.81</v>
      </c>
      <c r="I180" s="98"/>
      <c r="J180" s="42">
        <v>26.8</v>
      </c>
      <c r="K180" s="9">
        <v>0.64300216471653537</v>
      </c>
      <c r="L180" s="9">
        <v>0.30765149478628728</v>
      </c>
      <c r="M180" s="9">
        <v>4.9346340497177378E-2</v>
      </c>
      <c r="N180" s="13">
        <v>14788</v>
      </c>
      <c r="O180" s="13">
        <v>2818</v>
      </c>
      <c r="P180" s="13">
        <v>7</v>
      </c>
      <c r="Q180" s="92"/>
      <c r="R180" s="51">
        <f>282716/8760</f>
        <v>32.273515981735159</v>
      </c>
      <c r="S180" s="14">
        <f>Q179*H180/I179</f>
        <v>124584.92388059701</v>
      </c>
      <c r="T180" s="45">
        <f t="shared" si="34"/>
        <v>14.222023274040753</v>
      </c>
      <c r="U180" s="3">
        <v>87</v>
      </c>
      <c r="V180" s="64">
        <v>108</v>
      </c>
      <c r="W180" s="5">
        <f t="shared" si="24"/>
        <v>38.338432835820889</v>
      </c>
      <c r="X180" s="5">
        <f t="shared" si="25"/>
        <v>47.592537313432835</v>
      </c>
      <c r="Y180" s="66">
        <f t="shared" si="26"/>
        <v>6516.6522388059693</v>
      </c>
      <c r="Z180" s="66">
        <f t="shared" si="27"/>
        <v>1241.8126865671638</v>
      </c>
      <c r="AA180" s="66">
        <f t="shared" si="28"/>
        <v>3.0847014925373131</v>
      </c>
      <c r="AB180" s="4">
        <f t="shared" si="29"/>
        <v>9.1447917518571522</v>
      </c>
      <c r="AC180" s="4">
        <f t="shared" si="30"/>
        <v>4.3754267191440048</v>
      </c>
      <c r="AD180" s="4">
        <f t="shared" si="31"/>
        <v>0.70180480303959636</v>
      </c>
    </row>
    <row r="181" spans="1:30">
      <c r="A181" s="12">
        <v>31.02</v>
      </c>
      <c r="B181" s="12">
        <v>-103.72</v>
      </c>
      <c r="C181" s="10" t="s">
        <v>18</v>
      </c>
      <c r="D181" s="70" t="s">
        <v>19</v>
      </c>
      <c r="E181" s="71">
        <v>167</v>
      </c>
      <c r="F181" s="71">
        <v>7</v>
      </c>
      <c r="G181" s="72" t="s">
        <v>91</v>
      </c>
      <c r="H181" s="73">
        <v>1.75</v>
      </c>
      <c r="I181" s="113">
        <f>SUM(H181:H184)</f>
        <v>30.25</v>
      </c>
      <c r="J181" s="74">
        <v>30.25</v>
      </c>
      <c r="K181" s="75">
        <v>0.68640798582347962</v>
      </c>
      <c r="L181" s="75">
        <v>0.11789314399166333</v>
      </c>
      <c r="M181" s="75">
        <v>0.1956988701848571</v>
      </c>
      <c r="N181" s="76">
        <v>305021.82397782395</v>
      </c>
      <c r="O181" s="76">
        <v>28076.417186417188</v>
      </c>
      <c r="P181" s="76">
        <v>1331.099099099099</v>
      </c>
      <c r="Q181" s="122">
        <v>6468223.5821205825</v>
      </c>
      <c r="R181" s="77">
        <f>6468223.58212058/8760</f>
        <v>738.38168745668713</v>
      </c>
      <c r="S181" s="14">
        <f>Q181*H181/I181</f>
        <v>374194.75268466177</v>
      </c>
      <c r="T181" s="45">
        <f t="shared" si="34"/>
        <v>42.716295968568694</v>
      </c>
      <c r="U181" s="3">
        <v>1679</v>
      </c>
      <c r="V181" s="64">
        <v>1164</v>
      </c>
      <c r="W181" s="5">
        <f t="shared" si="24"/>
        <v>97.132231404958716</v>
      </c>
      <c r="X181" s="5">
        <f t="shared" si="25"/>
        <v>67.338842975206632</v>
      </c>
      <c r="Y181" s="66">
        <f t="shared" si="26"/>
        <v>17645.890643345196</v>
      </c>
      <c r="Z181" s="66">
        <f t="shared" si="27"/>
        <v>1624.2555397100859</v>
      </c>
      <c r="AA181" s="66">
        <f t="shared" si="28"/>
        <v>77.005733005733035</v>
      </c>
      <c r="AB181" s="4">
        <f t="shared" si="29"/>
        <v>29.320806677624859</v>
      </c>
      <c r="AC181" s="4">
        <f t="shared" si="30"/>
        <v>5.0359584314129764</v>
      </c>
      <c r="AD181" s="4">
        <f t="shared" si="31"/>
        <v>8.3595308595308602</v>
      </c>
    </row>
    <row r="182" spans="1:30">
      <c r="A182" s="12">
        <v>31.42</v>
      </c>
      <c r="B182" s="12">
        <v>-103.62</v>
      </c>
      <c r="C182" s="10" t="s">
        <v>18</v>
      </c>
      <c r="D182" s="70" t="s">
        <v>35</v>
      </c>
      <c r="E182" s="71">
        <v>168</v>
      </c>
      <c r="F182" s="71">
        <v>9</v>
      </c>
      <c r="G182" s="72" t="s">
        <v>91</v>
      </c>
      <c r="H182" s="73">
        <v>24.54</v>
      </c>
      <c r="I182" s="114"/>
      <c r="J182" s="74">
        <v>30.25</v>
      </c>
      <c r="K182" s="75">
        <v>0.68640798582347962</v>
      </c>
      <c r="L182" s="75">
        <v>0.11789314399166333</v>
      </c>
      <c r="M182" s="75">
        <v>0.1956988701848571</v>
      </c>
      <c r="N182" s="76">
        <v>305021.82397782395</v>
      </c>
      <c r="O182" s="76">
        <v>28076.417186417188</v>
      </c>
      <c r="P182" s="76">
        <v>1331.099099099099</v>
      </c>
      <c r="Q182" s="123"/>
      <c r="R182" s="77">
        <f>6468223.58212058/8760</f>
        <v>738.38168745668713</v>
      </c>
      <c r="S182" s="14">
        <f>Q181*H182/I181</f>
        <v>5247279.5605037715</v>
      </c>
      <c r="T182" s="45">
        <f t="shared" si="34"/>
        <v>599.0045160392433</v>
      </c>
      <c r="U182" s="3">
        <v>1679</v>
      </c>
      <c r="V182" s="64">
        <v>1164</v>
      </c>
      <c r="W182" s="5">
        <f t="shared" si="24"/>
        <v>1362.0714049586782</v>
      </c>
      <c r="X182" s="5">
        <f t="shared" si="25"/>
        <v>944.28297520661192</v>
      </c>
      <c r="Y182" s="66">
        <f t="shared" si="26"/>
        <v>247445.80365010918</v>
      </c>
      <c r="Z182" s="66">
        <f t="shared" si="27"/>
        <v>22776.703396848861</v>
      </c>
      <c r="AA182" s="66">
        <f t="shared" si="28"/>
        <v>1079.8403931203934</v>
      </c>
      <c r="AB182" s="4">
        <f t="shared" si="29"/>
        <v>411.16148335366518</v>
      </c>
      <c r="AC182" s="4">
        <f t="shared" si="30"/>
        <v>70.618525661071118</v>
      </c>
      <c r="AD182" s="4">
        <f t="shared" si="31"/>
        <v>117.22450702450702</v>
      </c>
    </row>
    <row r="183" spans="1:30">
      <c r="A183" s="12">
        <v>30.69</v>
      </c>
      <c r="B183" s="12">
        <v>-103.96</v>
      </c>
      <c r="C183" s="10" t="s">
        <v>18</v>
      </c>
      <c r="D183" s="70" t="s">
        <v>19</v>
      </c>
      <c r="E183" s="71">
        <v>172</v>
      </c>
      <c r="F183" s="71">
        <v>7</v>
      </c>
      <c r="G183" s="72" t="s">
        <v>91</v>
      </c>
      <c r="H183" s="73">
        <v>3.96</v>
      </c>
      <c r="I183" s="114"/>
      <c r="J183" s="74">
        <v>30.25</v>
      </c>
      <c r="K183" s="75">
        <v>0.68640798582347962</v>
      </c>
      <c r="L183" s="75">
        <v>0.11789314399166333</v>
      </c>
      <c r="M183" s="75">
        <v>0.1956988701848571</v>
      </c>
      <c r="N183" s="76">
        <v>305021.82397782395</v>
      </c>
      <c r="O183" s="76">
        <v>28076.417186417188</v>
      </c>
      <c r="P183" s="76">
        <v>1331.099099099099</v>
      </c>
      <c r="Q183" s="123"/>
      <c r="R183" s="77">
        <f>6468223.58212058/8760</f>
        <v>738.38168745668713</v>
      </c>
      <c r="S183" s="14">
        <f>Q181*H183/I181</f>
        <v>846749.26893214893</v>
      </c>
      <c r="T183" s="45">
        <f t="shared" si="34"/>
        <v>96.660875448875444</v>
      </c>
      <c r="U183" s="3">
        <v>1679</v>
      </c>
      <c r="V183" s="64">
        <v>1164</v>
      </c>
      <c r="W183" s="5">
        <f t="shared" si="24"/>
        <v>219.79636363636371</v>
      </c>
      <c r="X183" s="5">
        <f t="shared" si="25"/>
        <v>152.3781818181819</v>
      </c>
      <c r="Y183" s="66">
        <f t="shared" si="26"/>
        <v>39930.129684369691</v>
      </c>
      <c r="Z183" s="66">
        <f t="shared" si="27"/>
        <v>3675.4582498582517</v>
      </c>
      <c r="AA183" s="66">
        <f t="shared" si="28"/>
        <v>174.25297297297303</v>
      </c>
      <c r="AB183" s="4">
        <f t="shared" si="29"/>
        <v>66.348796824796821</v>
      </c>
      <c r="AC183" s="4">
        <f t="shared" si="30"/>
        <v>11.395654507654507</v>
      </c>
      <c r="AD183" s="4">
        <f t="shared" si="31"/>
        <v>18.916424116424118</v>
      </c>
    </row>
    <row r="184" spans="1:30">
      <c r="A184" s="12">
        <v>30.96</v>
      </c>
      <c r="B184" s="12">
        <v>-103.31</v>
      </c>
      <c r="C184" s="10" t="s">
        <v>18</v>
      </c>
      <c r="D184" s="70" t="s">
        <v>19</v>
      </c>
      <c r="E184" s="71">
        <v>199</v>
      </c>
      <c r="F184" s="71">
        <v>7</v>
      </c>
      <c r="G184" s="72" t="s">
        <v>91</v>
      </c>
      <c r="H184" s="73">
        <v>0</v>
      </c>
      <c r="I184" s="115"/>
      <c r="J184" s="74">
        <v>30.25</v>
      </c>
      <c r="K184" s="75">
        <v>0.68640798582347962</v>
      </c>
      <c r="L184" s="75">
        <v>0.11789314399166333</v>
      </c>
      <c r="M184" s="75">
        <v>0.1956988701848571</v>
      </c>
      <c r="N184" s="76">
        <v>305021.82397782395</v>
      </c>
      <c r="O184" s="76">
        <v>28076.417186417188</v>
      </c>
      <c r="P184" s="76">
        <v>1331.099099099099</v>
      </c>
      <c r="Q184" s="124"/>
      <c r="R184" s="77">
        <f>6468223.58212058/8760</f>
        <v>738.38168745668713</v>
      </c>
      <c r="S184" s="14">
        <f>Q181*H184/I181</f>
        <v>0</v>
      </c>
      <c r="T184" s="45">
        <f t="shared" si="34"/>
        <v>0</v>
      </c>
      <c r="U184" s="3">
        <v>1679</v>
      </c>
      <c r="V184" s="64">
        <v>1164</v>
      </c>
      <c r="W184" s="5">
        <f t="shared" si="24"/>
        <v>0</v>
      </c>
      <c r="X184" s="5">
        <f t="shared" si="25"/>
        <v>0</v>
      </c>
      <c r="Y184" s="66">
        <f t="shared" si="26"/>
        <v>0</v>
      </c>
      <c r="Z184" s="66">
        <f t="shared" si="27"/>
        <v>0</v>
      </c>
      <c r="AA184" s="66">
        <f t="shared" si="28"/>
        <v>0</v>
      </c>
      <c r="AB184" s="4">
        <f t="shared" si="29"/>
        <v>0</v>
      </c>
      <c r="AC184" s="4">
        <f t="shared" si="30"/>
        <v>0</v>
      </c>
      <c r="AD184" s="4">
        <f t="shared" si="31"/>
        <v>0</v>
      </c>
    </row>
    <row r="185" spans="1:30">
      <c r="A185" s="12">
        <v>33.090000000000003</v>
      </c>
      <c r="B185" s="12">
        <v>-97.94</v>
      </c>
      <c r="C185" s="10" t="s">
        <v>18</v>
      </c>
      <c r="D185" s="10" t="s">
        <v>35</v>
      </c>
      <c r="E185" s="12">
        <v>28</v>
      </c>
      <c r="F185" s="12">
        <v>9</v>
      </c>
      <c r="G185" s="28" t="s">
        <v>92</v>
      </c>
      <c r="H185" s="31">
        <v>50.23</v>
      </c>
      <c r="I185" s="97">
        <f>SUM(H185:H188)</f>
        <v>75.710000000000008</v>
      </c>
      <c r="J185" s="42">
        <v>75.710000000000008</v>
      </c>
      <c r="K185" s="9">
        <v>0.61165295688052335</v>
      </c>
      <c r="L185" s="9">
        <v>0.19506971020679437</v>
      </c>
      <c r="M185" s="9">
        <v>0.19327733291268226</v>
      </c>
      <c r="N185" s="13">
        <v>89485</v>
      </c>
      <c r="O185" s="13">
        <v>12865</v>
      </c>
      <c r="P185" s="13">
        <v>1471</v>
      </c>
      <c r="Q185" s="90">
        <v>2675218</v>
      </c>
      <c r="R185" s="51">
        <f>2675218/8760</f>
        <v>305.39018264840183</v>
      </c>
      <c r="S185" s="14">
        <f>Q185*H185/I185</f>
        <v>1774880.4667811382</v>
      </c>
      <c r="T185" s="45">
        <f t="shared" si="34"/>
        <v>202.61192543163679</v>
      </c>
      <c r="U185" s="3">
        <v>702.2</v>
      </c>
      <c r="V185" s="64">
        <v>678.5</v>
      </c>
      <c r="W185" s="5">
        <f t="shared" si="24"/>
        <v>465.87644961035522</v>
      </c>
      <c r="X185" s="5">
        <f t="shared" si="25"/>
        <v>450.15262184651954</v>
      </c>
      <c r="Y185" s="66">
        <f t="shared" si="26"/>
        <v>59369.060229824325</v>
      </c>
      <c r="Z185" s="66">
        <f t="shared" si="27"/>
        <v>8535.3183199048999</v>
      </c>
      <c r="AA185" s="66">
        <f t="shared" si="28"/>
        <v>975.93884559503363</v>
      </c>
      <c r="AB185" s="4">
        <f t="shared" si="29"/>
        <v>123.92818328951675</v>
      </c>
      <c r="AC185" s="4">
        <f t="shared" si="30"/>
        <v>39.523449578390021</v>
      </c>
      <c r="AD185" s="4">
        <f t="shared" si="31"/>
        <v>39.160292563730017</v>
      </c>
    </row>
    <row r="186" spans="1:30">
      <c r="A186" s="12">
        <v>33.51</v>
      </c>
      <c r="B186" s="12">
        <v>-99.5</v>
      </c>
      <c r="C186" s="10" t="s">
        <v>18</v>
      </c>
      <c r="D186" s="10" t="s">
        <v>35</v>
      </c>
      <c r="E186" s="12">
        <v>36</v>
      </c>
      <c r="F186" s="12">
        <v>9</v>
      </c>
      <c r="G186" s="28" t="s">
        <v>92</v>
      </c>
      <c r="H186" s="31">
        <v>16.920000000000002</v>
      </c>
      <c r="I186" s="112"/>
      <c r="J186" s="42">
        <v>75.710000000000008</v>
      </c>
      <c r="K186" s="9">
        <v>0.61165295688052335</v>
      </c>
      <c r="L186" s="9">
        <v>0.19506971020679437</v>
      </c>
      <c r="M186" s="9">
        <v>0.19327733291268226</v>
      </c>
      <c r="N186" s="13">
        <v>89485</v>
      </c>
      <c r="O186" s="13">
        <v>12865</v>
      </c>
      <c r="P186" s="13">
        <v>1471</v>
      </c>
      <c r="Q186" s="91"/>
      <c r="R186" s="51">
        <f>2675218/8760</f>
        <v>305.39018264840183</v>
      </c>
      <c r="S186" s="14">
        <f>Q185*H186/I185</f>
        <v>597869.35094439308</v>
      </c>
      <c r="T186" s="45">
        <f t="shared" si="34"/>
        <v>68.249925906894191</v>
      </c>
      <c r="U186" s="3">
        <v>702.2</v>
      </c>
      <c r="V186" s="64">
        <v>678.5</v>
      </c>
      <c r="W186" s="5">
        <f t="shared" si="24"/>
        <v>156.93070928543125</v>
      </c>
      <c r="X186" s="5">
        <f t="shared" si="25"/>
        <v>151.63413023378683</v>
      </c>
      <c r="Y186" s="66">
        <f t="shared" si="26"/>
        <v>19998.496896050721</v>
      </c>
      <c r="Z186" s="66">
        <f t="shared" si="27"/>
        <v>2875.1261392154274</v>
      </c>
      <c r="AA186" s="66">
        <f t="shared" si="28"/>
        <v>328.74547615902787</v>
      </c>
      <c r="AB186" s="4">
        <f t="shared" si="29"/>
        <v>41.745268987828467</v>
      </c>
      <c r="AC186" s="4">
        <f t="shared" si="30"/>
        <v>13.313493268293037</v>
      </c>
      <c r="AD186" s="4">
        <f t="shared" si="31"/>
        <v>13.191163650772687</v>
      </c>
    </row>
    <row r="187" spans="1:30">
      <c r="A187" s="12">
        <v>33.9</v>
      </c>
      <c r="B187" s="12">
        <v>-99.77</v>
      </c>
      <c r="C187" s="10" t="s">
        <v>18</v>
      </c>
      <c r="D187" s="10" t="s">
        <v>35</v>
      </c>
      <c r="E187" s="12">
        <v>145</v>
      </c>
      <c r="F187" s="12">
        <v>9</v>
      </c>
      <c r="G187" s="28" t="s">
        <v>92</v>
      </c>
      <c r="H187" s="31">
        <v>2.61</v>
      </c>
      <c r="I187" s="112"/>
      <c r="J187" s="42">
        <v>75.710000000000008</v>
      </c>
      <c r="K187" s="9">
        <v>0.61165295688052335</v>
      </c>
      <c r="L187" s="9">
        <v>0.19506971020679437</v>
      </c>
      <c r="M187" s="9">
        <v>0.19327733291268226</v>
      </c>
      <c r="N187" s="13">
        <v>89485</v>
      </c>
      <c r="O187" s="13">
        <v>12865</v>
      </c>
      <c r="P187" s="13">
        <v>1471</v>
      </c>
      <c r="Q187" s="91"/>
      <c r="R187" s="51">
        <f>2675218/8760</f>
        <v>305.39018264840183</v>
      </c>
      <c r="S187" s="14">
        <f>Q185*H187/I185</f>
        <v>92224.527539294664</v>
      </c>
      <c r="T187" s="45">
        <f t="shared" si="34"/>
        <v>10.527914102659208</v>
      </c>
      <c r="U187" s="3">
        <v>702.2</v>
      </c>
      <c r="V187" s="64">
        <v>678.5</v>
      </c>
      <c r="W187" s="5">
        <f t="shared" si="24"/>
        <v>24.207396645093116</v>
      </c>
      <c r="X187" s="5">
        <f t="shared" si="25"/>
        <v>23.390371153084132</v>
      </c>
      <c r="Y187" s="66">
        <f t="shared" si="26"/>
        <v>3084.8745211993123</v>
      </c>
      <c r="Z187" s="66">
        <f t="shared" si="27"/>
        <v>443.50350019812441</v>
      </c>
      <c r="AA187" s="66">
        <f t="shared" si="28"/>
        <v>50.710738343679822</v>
      </c>
      <c r="AB187" s="4">
        <f t="shared" si="29"/>
        <v>6.4394297906756659</v>
      </c>
      <c r="AC187" s="4">
        <f t="shared" si="30"/>
        <v>2.0536771530877553</v>
      </c>
      <c r="AD187" s="4">
        <f t="shared" si="31"/>
        <v>2.0348071588957861</v>
      </c>
    </row>
    <row r="188" spans="1:30">
      <c r="A188" s="12">
        <v>34.299999999999997</v>
      </c>
      <c r="B188" s="12">
        <v>-99.82</v>
      </c>
      <c r="C188" s="10" t="s">
        <v>18</v>
      </c>
      <c r="D188" s="10" t="s">
        <v>72</v>
      </c>
      <c r="E188" s="12">
        <v>150</v>
      </c>
      <c r="F188" s="12">
        <v>8</v>
      </c>
      <c r="G188" s="28" t="s">
        <v>93</v>
      </c>
      <c r="H188" s="31">
        <v>5.95</v>
      </c>
      <c r="I188" s="98"/>
      <c r="J188" s="42">
        <v>75.710000000000008</v>
      </c>
      <c r="K188" s="9">
        <v>0.61165295688052335</v>
      </c>
      <c r="L188" s="9">
        <v>0.19506971020679437</v>
      </c>
      <c r="M188" s="9">
        <v>0.19327733291268226</v>
      </c>
      <c r="N188" s="13">
        <v>89485</v>
      </c>
      <c r="O188" s="13">
        <v>12865</v>
      </c>
      <c r="P188" s="13">
        <v>1471</v>
      </c>
      <c r="Q188" s="92"/>
      <c r="R188" s="51">
        <f>2675218/8760</f>
        <v>305.39018264840183</v>
      </c>
      <c r="S188" s="14">
        <f>Q185*H188/I185</f>
        <v>210243.65473517365</v>
      </c>
      <c r="T188" s="45">
        <f t="shared" si="34"/>
        <v>24.000417207211601</v>
      </c>
      <c r="U188" s="3">
        <v>702.2</v>
      </c>
      <c r="V188" s="64">
        <v>678.5</v>
      </c>
      <c r="W188" s="5">
        <f t="shared" si="24"/>
        <v>55.185444459120319</v>
      </c>
      <c r="X188" s="5">
        <f t="shared" si="25"/>
        <v>53.322876766609411</v>
      </c>
      <c r="Y188" s="66">
        <f t="shared" si="26"/>
        <v>7032.5683529256348</v>
      </c>
      <c r="Z188" s="66">
        <f t="shared" si="27"/>
        <v>1011.0520406815476</v>
      </c>
      <c r="AA188" s="66">
        <f t="shared" si="28"/>
        <v>115.60493990225858</v>
      </c>
      <c r="AB188" s="4">
        <f t="shared" si="29"/>
        <v>14.679926151157169</v>
      </c>
      <c r="AC188" s="4">
        <f t="shared" si="30"/>
        <v>4.6817544294529281</v>
      </c>
      <c r="AD188" s="4">
        <f t="shared" si="31"/>
        <v>4.6387366266015047</v>
      </c>
    </row>
    <row r="189" spans="1:30">
      <c r="A189" s="12">
        <v>32.6</v>
      </c>
      <c r="B189" s="12">
        <v>-95.84</v>
      </c>
      <c r="C189" s="10" t="s">
        <v>18</v>
      </c>
      <c r="D189" s="10" t="s">
        <v>19</v>
      </c>
      <c r="E189" s="12">
        <v>5</v>
      </c>
      <c r="F189" s="12">
        <v>7</v>
      </c>
      <c r="G189" s="28" t="s">
        <v>94</v>
      </c>
      <c r="H189" s="31">
        <v>77.77</v>
      </c>
      <c r="I189" s="99">
        <f>SUM(H189:H192)</f>
        <v>608.43000000000006</v>
      </c>
      <c r="J189" s="41">
        <v>608.43000000000006</v>
      </c>
      <c r="K189" s="9">
        <v>0.82093604852701285</v>
      </c>
      <c r="L189" s="9">
        <v>0.13038479459266475</v>
      </c>
      <c r="M189" s="9">
        <v>4.8679156880322337E-2</v>
      </c>
      <c r="N189" s="13">
        <v>61880</v>
      </c>
      <c r="O189" s="13">
        <v>4559</v>
      </c>
      <c r="P189" s="13">
        <v>8</v>
      </c>
      <c r="Q189" s="90">
        <v>1156799</v>
      </c>
      <c r="R189" s="51">
        <f>1156799/8760</f>
        <v>132.0546803652968</v>
      </c>
      <c r="S189" s="14">
        <f>Q189*H189/I189</f>
        <v>147862.95585359036</v>
      </c>
      <c r="T189" s="45">
        <f t="shared" si="34"/>
        <v>16.8793328599989</v>
      </c>
      <c r="U189" s="3">
        <v>303</v>
      </c>
      <c r="V189" s="64">
        <v>397.1</v>
      </c>
      <c r="W189" s="5">
        <f t="shared" si="24"/>
        <v>38.729697746659433</v>
      </c>
      <c r="X189" s="5">
        <f t="shared" si="25"/>
        <v>50.757633581513069</v>
      </c>
      <c r="Y189" s="66">
        <f t="shared" si="26"/>
        <v>7909.5501536742095</v>
      </c>
      <c r="Z189" s="66">
        <f t="shared" si="27"/>
        <v>582.73495718488562</v>
      </c>
      <c r="AA189" s="66">
        <f t="shared" si="28"/>
        <v>1.022566277139523</v>
      </c>
      <c r="AB189" s="4">
        <f t="shared" si="29"/>
        <v>13.856852819859659</v>
      </c>
      <c r="AC189" s="4">
        <f t="shared" si="30"/>
        <v>2.2008083478121732</v>
      </c>
      <c r="AD189" s="4">
        <f t="shared" si="31"/>
        <v>0.82167169232706638</v>
      </c>
    </row>
    <row r="190" spans="1:30">
      <c r="A190" s="12">
        <v>32.17</v>
      </c>
      <c r="B190" s="12">
        <v>-96.1</v>
      </c>
      <c r="C190" s="10" t="s">
        <v>18</v>
      </c>
      <c r="D190" s="70" t="s">
        <v>35</v>
      </c>
      <c r="E190" s="71">
        <v>6</v>
      </c>
      <c r="F190" s="71">
        <v>3</v>
      </c>
      <c r="G190" s="72" t="s">
        <v>94</v>
      </c>
      <c r="H190" s="73">
        <v>129.16999999999999</v>
      </c>
      <c r="I190" s="100"/>
      <c r="J190" s="41">
        <v>608.43000000000006</v>
      </c>
      <c r="K190" s="9">
        <v>0.82093604852701285</v>
      </c>
      <c r="L190" s="9">
        <v>0.13038479459266475</v>
      </c>
      <c r="M190" s="9">
        <v>4.8679156880322337E-2</v>
      </c>
      <c r="N190" s="13">
        <v>61880</v>
      </c>
      <c r="O190" s="13">
        <v>4559</v>
      </c>
      <c r="P190" s="13">
        <v>8</v>
      </c>
      <c r="Q190" s="91"/>
      <c r="R190" s="51">
        <f>1156799/8760</f>
        <v>132.0546803652968</v>
      </c>
      <c r="S190" s="14">
        <f>Q189*H190/I189</f>
        <v>245589.01899972055</v>
      </c>
      <c r="T190" s="45">
        <f t="shared" si="34"/>
        <v>28.035276141520612</v>
      </c>
      <c r="U190" s="3">
        <v>303</v>
      </c>
      <c r="V190" s="64">
        <v>397.1</v>
      </c>
      <c r="W190" s="5">
        <f t="shared" si="24"/>
        <v>64.327054878950733</v>
      </c>
      <c r="X190" s="5">
        <f t="shared" si="25"/>
        <v>84.304532978321234</v>
      </c>
      <c r="Y190" s="66">
        <f t="shared" si="26"/>
        <v>13137.155630064262</v>
      </c>
      <c r="Z190" s="66">
        <f t="shared" si="27"/>
        <v>967.87803034038416</v>
      </c>
      <c r="AA190" s="66">
        <f t="shared" si="28"/>
        <v>1.6984040892132206</v>
      </c>
      <c r="AB190" s="4">
        <f t="shared" si="29"/>
        <v>23.015168814983571</v>
      </c>
      <c r="AC190" s="4">
        <f t="shared" si="30"/>
        <v>3.6553737210607995</v>
      </c>
      <c r="AD190" s="4">
        <f t="shared" si="31"/>
        <v>1.3647336054762398</v>
      </c>
    </row>
    <row r="191" spans="1:30">
      <c r="A191" s="12">
        <v>32.31</v>
      </c>
      <c r="B191" s="12">
        <v>-95.35</v>
      </c>
      <c r="C191" s="10" t="s">
        <v>18</v>
      </c>
      <c r="D191" s="70" t="s">
        <v>25</v>
      </c>
      <c r="E191" s="71">
        <v>14</v>
      </c>
      <c r="F191" s="71">
        <v>10</v>
      </c>
      <c r="G191" s="72" t="s">
        <v>94</v>
      </c>
      <c r="H191" s="73">
        <v>371.72</v>
      </c>
      <c r="I191" s="100"/>
      <c r="J191" s="41">
        <v>608.43000000000006</v>
      </c>
      <c r="K191" s="9">
        <v>0.82093604852701285</v>
      </c>
      <c r="L191" s="9">
        <v>0.13038479459266475</v>
      </c>
      <c r="M191" s="9">
        <v>4.8679156880322337E-2</v>
      </c>
      <c r="N191" s="13">
        <v>61880</v>
      </c>
      <c r="O191" s="13">
        <v>4559</v>
      </c>
      <c r="P191" s="13">
        <v>8</v>
      </c>
      <c r="Q191" s="91"/>
      <c r="R191" s="51">
        <f>1156799/8760</f>
        <v>132.0546803652968</v>
      </c>
      <c r="S191" s="14">
        <f>Q189*H191/I189</f>
        <v>706745.76250349253</v>
      </c>
      <c r="T191" s="45">
        <f t="shared" si="34"/>
        <v>80.678740011814213</v>
      </c>
      <c r="U191" s="3">
        <v>303</v>
      </c>
      <c r="V191" s="64">
        <v>397.1</v>
      </c>
      <c r="W191" s="5">
        <f t="shared" si="24"/>
        <v>185.11769636605689</v>
      </c>
      <c r="X191" s="5">
        <f t="shared" si="25"/>
        <v>242.60804365333726</v>
      </c>
      <c r="Y191" s="66">
        <f t="shared" si="26"/>
        <v>37805.554624196695</v>
      </c>
      <c r="Z191" s="66">
        <f t="shared" si="27"/>
        <v>2785.3187383922555</v>
      </c>
      <c r="AA191" s="66">
        <f t="shared" si="28"/>
        <v>4.8875959436582672</v>
      </c>
      <c r="AB191" s="4">
        <f t="shared" si="29"/>
        <v>66.232086025436971</v>
      </c>
      <c r="AC191" s="4">
        <f t="shared" si="30"/>
        <v>10.519280944435399</v>
      </c>
      <c r="AD191" s="4">
        <f t="shared" si="31"/>
        <v>3.9273730419418427</v>
      </c>
    </row>
    <row r="192" spans="1:30">
      <c r="A192" s="12">
        <v>31.85</v>
      </c>
      <c r="B192" s="12">
        <v>-96.08</v>
      </c>
      <c r="C192" s="10" t="s">
        <v>18</v>
      </c>
      <c r="D192" s="10" t="s">
        <v>19</v>
      </c>
      <c r="E192" s="12">
        <v>18</v>
      </c>
      <c r="F192" s="12">
        <v>7</v>
      </c>
      <c r="G192" s="28" t="s">
        <v>94</v>
      </c>
      <c r="H192" s="31">
        <v>29.77</v>
      </c>
      <c r="I192" s="101"/>
      <c r="J192" s="41">
        <v>608.43000000000006</v>
      </c>
      <c r="K192" s="9">
        <v>0.82093604852701285</v>
      </c>
      <c r="L192" s="9">
        <v>0.13038479459266475</v>
      </c>
      <c r="M192" s="9">
        <v>4.8679156880322337E-2</v>
      </c>
      <c r="N192" s="13">
        <v>61880</v>
      </c>
      <c r="O192" s="13">
        <v>4559</v>
      </c>
      <c r="P192" s="13">
        <v>8</v>
      </c>
      <c r="Q192" s="92"/>
      <c r="R192" s="51">
        <f>1156799/8760</f>
        <v>132.0546803652968</v>
      </c>
      <c r="S192" s="14">
        <f>Q189*H192/I189</f>
        <v>56601.262643196409</v>
      </c>
      <c r="T192" s="45">
        <f t="shared" si="34"/>
        <v>6.4613313519630609</v>
      </c>
      <c r="U192" s="3">
        <v>303</v>
      </c>
      <c r="V192" s="64">
        <v>397.1</v>
      </c>
      <c r="W192" s="5">
        <f t="shared" si="24"/>
        <v>14.825551008332919</v>
      </c>
      <c r="X192" s="5">
        <f t="shared" si="25"/>
        <v>19.42978978682839</v>
      </c>
      <c r="Y192" s="66">
        <f t="shared" si="26"/>
        <v>3027.7395920648219</v>
      </c>
      <c r="Z192" s="66">
        <f t="shared" si="27"/>
        <v>223.06827408247455</v>
      </c>
      <c r="AA192" s="66">
        <f t="shared" si="28"/>
        <v>0.39143368998898798</v>
      </c>
      <c r="AB192" s="4">
        <f t="shared" si="29"/>
        <v>5.3043398283042569</v>
      </c>
      <c r="AC192" s="4">
        <f t="shared" si="30"/>
        <v>0.84245936112084852</v>
      </c>
      <c r="AD192" s="4">
        <f t="shared" si="31"/>
        <v>0.31453216253795507</v>
      </c>
    </row>
    <row r="193" spans="1:30">
      <c r="A193" s="12">
        <v>32.29</v>
      </c>
      <c r="B193" s="12">
        <v>-96.67</v>
      </c>
      <c r="C193" s="10" t="s">
        <v>18</v>
      </c>
      <c r="D193" s="10" t="s">
        <v>23</v>
      </c>
      <c r="E193" s="12">
        <v>12</v>
      </c>
      <c r="F193" s="12">
        <v>10</v>
      </c>
      <c r="G193" s="28" t="s">
        <v>95</v>
      </c>
      <c r="H193" s="31">
        <v>289.72000000000003</v>
      </c>
      <c r="I193" s="99">
        <f>SUM(H193:H196)</f>
        <v>499.43000000000006</v>
      </c>
      <c r="J193" s="41">
        <v>499.43000000000006</v>
      </c>
      <c r="K193" s="9">
        <v>0.52014226193196844</v>
      </c>
      <c r="L193" s="9">
        <v>0.13178950041462753</v>
      </c>
      <c r="M193" s="9">
        <v>0.348068237653404</v>
      </c>
      <c r="N193" s="13">
        <v>1439778</v>
      </c>
      <c r="O193" s="13">
        <v>172063</v>
      </c>
      <c r="P193" s="13">
        <v>24519</v>
      </c>
      <c r="Q193" s="90">
        <v>39206272</v>
      </c>
      <c r="R193" s="51">
        <f>39206272/8760</f>
        <v>4475.6018264840186</v>
      </c>
      <c r="S193" s="14">
        <f>Q193*H193/I193</f>
        <v>22743609.96303786</v>
      </c>
      <c r="T193" s="45">
        <f t="shared" si="34"/>
        <v>2596.3025071961024</v>
      </c>
      <c r="U193" s="3">
        <v>479.8</v>
      </c>
      <c r="V193" s="64">
        <v>462.4</v>
      </c>
      <c r="W193" s="5">
        <f t="shared" si="24"/>
        <v>278.33261117674141</v>
      </c>
      <c r="X193" s="5">
        <f t="shared" si="25"/>
        <v>268.23884828704718</v>
      </c>
      <c r="Y193" s="66">
        <f t="shared" si="26"/>
        <v>835217.11182748305</v>
      </c>
      <c r="Z193" s="66">
        <f t="shared" si="27"/>
        <v>99813.972648819617</v>
      </c>
      <c r="AA193" s="66">
        <f t="shared" si="28"/>
        <v>14223.504154736394</v>
      </c>
      <c r="AB193" s="4">
        <f t="shared" si="29"/>
        <v>1350.4466587526215</v>
      </c>
      <c r="AC193" s="4">
        <f t="shared" si="30"/>
        <v>342.16541034861922</v>
      </c>
      <c r="AD193" s="4">
        <f t="shared" si="31"/>
        <v>903.69043809486163</v>
      </c>
    </row>
    <row r="194" spans="1:30">
      <c r="A194" s="12">
        <v>32.29</v>
      </c>
      <c r="B194" s="12">
        <v>-98.41</v>
      </c>
      <c r="C194" s="10" t="s">
        <v>18</v>
      </c>
      <c r="D194" s="10" t="s">
        <v>35</v>
      </c>
      <c r="E194" s="12">
        <v>38</v>
      </c>
      <c r="F194" s="12">
        <v>9</v>
      </c>
      <c r="G194" s="28" t="s">
        <v>95</v>
      </c>
      <c r="H194" s="31">
        <v>125.73</v>
      </c>
      <c r="I194" s="100"/>
      <c r="J194" s="41">
        <v>499.43000000000006</v>
      </c>
      <c r="K194" s="9">
        <v>0.52014226193196844</v>
      </c>
      <c r="L194" s="9">
        <v>0.13178950041462753</v>
      </c>
      <c r="M194" s="9">
        <v>0.348068237653404</v>
      </c>
      <c r="N194" s="13">
        <v>1439778</v>
      </c>
      <c r="O194" s="13">
        <v>172063</v>
      </c>
      <c r="P194" s="13">
        <v>24519</v>
      </c>
      <c r="Q194" s="91"/>
      <c r="R194" s="51">
        <f>39206272/8760</f>
        <v>4475.6018264840186</v>
      </c>
      <c r="S194" s="14">
        <f>Q193*H194/I193</f>
        <v>9870061.0266904272</v>
      </c>
      <c r="T194" s="45">
        <f t="shared" si="34"/>
        <v>1126.7192952842954</v>
      </c>
      <c r="U194" s="3">
        <v>479.8</v>
      </c>
      <c r="V194" s="64">
        <v>462.4</v>
      </c>
      <c r="W194" s="5">
        <f t="shared" si="24"/>
        <v>120.78820655547324</v>
      </c>
      <c r="X194" s="5">
        <f t="shared" si="25"/>
        <v>116.40780890214845</v>
      </c>
      <c r="Y194" s="66">
        <f t="shared" si="26"/>
        <v>362459.78002923331</v>
      </c>
      <c r="Z194" s="66">
        <f t="shared" si="27"/>
        <v>43316.342610576059</v>
      </c>
      <c r="AA194" s="66">
        <f t="shared" si="28"/>
        <v>6172.5844863143984</v>
      </c>
      <c r="AB194" s="4">
        <f t="shared" si="29"/>
        <v>586.05432281156686</v>
      </c>
      <c r="AC194" s="4">
        <f t="shared" si="30"/>
        <v>148.48977303303849</v>
      </c>
      <c r="AD194" s="4">
        <f t="shared" si="31"/>
        <v>392.17519943969</v>
      </c>
    </row>
    <row r="195" spans="1:30">
      <c r="A195" s="12">
        <v>33.14</v>
      </c>
      <c r="B195" s="12">
        <v>-98.49</v>
      </c>
      <c r="C195" s="10" t="s">
        <v>18</v>
      </c>
      <c r="D195" s="10" t="s">
        <v>19</v>
      </c>
      <c r="E195" s="12">
        <v>40</v>
      </c>
      <c r="F195" s="12">
        <v>7</v>
      </c>
      <c r="G195" s="28" t="s">
        <v>95</v>
      </c>
      <c r="H195" s="31">
        <v>56.34</v>
      </c>
      <c r="I195" s="100"/>
      <c r="J195" s="41">
        <v>499.43000000000006</v>
      </c>
      <c r="K195" s="9">
        <v>0.52014226193196844</v>
      </c>
      <c r="L195" s="9">
        <v>0.13178950041462753</v>
      </c>
      <c r="M195" s="9">
        <v>0.348068237653404</v>
      </c>
      <c r="N195" s="13">
        <v>1439778</v>
      </c>
      <c r="O195" s="13">
        <v>172063</v>
      </c>
      <c r="P195" s="13">
        <v>24519</v>
      </c>
      <c r="Q195" s="91"/>
      <c r="R195" s="51">
        <f>39206272/8760</f>
        <v>4475.6018264840186</v>
      </c>
      <c r="S195" s="14">
        <f>Q193*H195/I193</f>
        <v>4422804.726348036</v>
      </c>
      <c r="T195" s="45">
        <f t="shared" si="34"/>
        <v>504.88638428630549</v>
      </c>
      <c r="U195" s="3">
        <v>479.8</v>
      </c>
      <c r="V195" s="64">
        <v>462.4</v>
      </c>
      <c r="W195" s="5">
        <f t="shared" si="24"/>
        <v>54.125567146547056</v>
      </c>
      <c r="X195" s="5">
        <f t="shared" si="25"/>
        <v>52.162697475121625</v>
      </c>
      <c r="Y195" s="66">
        <f t="shared" si="26"/>
        <v>162419.34309112382</v>
      </c>
      <c r="Z195" s="66">
        <f t="shared" si="27"/>
        <v>19410.18645255591</v>
      </c>
      <c r="AA195" s="66">
        <f t="shared" si="28"/>
        <v>2765.9541076827577</v>
      </c>
      <c r="AB195" s="4">
        <f t="shared" si="29"/>
        <v>262.61274594133198</v>
      </c>
      <c r="AC195" s="4">
        <f t="shared" si="30"/>
        <v>66.53872435123985</v>
      </c>
      <c r="AD195" s="4">
        <f t="shared" si="31"/>
        <v>175.73491399373364</v>
      </c>
    </row>
    <row r="196" spans="1:30">
      <c r="A196" s="12">
        <v>32</v>
      </c>
      <c r="B196" s="12">
        <v>-97.79</v>
      </c>
      <c r="C196" s="10" t="s">
        <v>18</v>
      </c>
      <c r="D196" s="10" t="s">
        <v>23</v>
      </c>
      <c r="E196" s="12">
        <v>45</v>
      </c>
      <c r="F196" s="12">
        <v>12</v>
      </c>
      <c r="G196" s="28" t="s">
        <v>95</v>
      </c>
      <c r="H196" s="31">
        <v>27.64</v>
      </c>
      <c r="I196" s="101"/>
      <c r="J196" s="41">
        <v>499.43000000000006</v>
      </c>
      <c r="K196" s="9">
        <v>0.52014226193196844</v>
      </c>
      <c r="L196" s="9">
        <v>0.13178950041462753</v>
      </c>
      <c r="M196" s="9">
        <v>0.348068237653404</v>
      </c>
      <c r="N196" s="13">
        <v>1439778</v>
      </c>
      <c r="O196" s="13">
        <v>172063</v>
      </c>
      <c r="P196" s="13">
        <v>24519</v>
      </c>
      <c r="Q196" s="92"/>
      <c r="R196" s="51">
        <f>39206272/8760</f>
        <v>4475.6018264840186</v>
      </c>
      <c r="S196" s="14">
        <f>Q193*H196/I193</f>
        <v>2169796.2839236725</v>
      </c>
      <c r="T196" s="45">
        <f t="shared" si="34"/>
        <v>247.69363971731423</v>
      </c>
      <c r="U196" s="3">
        <v>479.8</v>
      </c>
      <c r="V196" s="64">
        <v>462.4</v>
      </c>
      <c r="W196" s="5">
        <f t="shared" si="24"/>
        <v>26.553615121238206</v>
      </c>
      <c r="X196" s="5">
        <f t="shared" si="25"/>
        <v>25.59064533568267</v>
      </c>
      <c r="Y196" s="66">
        <f t="shared" si="26"/>
        <v>79681.765052159433</v>
      </c>
      <c r="Z196" s="66">
        <f t="shared" si="27"/>
        <v>9522.4982880483731</v>
      </c>
      <c r="AA196" s="66">
        <f t="shared" si="28"/>
        <v>1356.9572512664436</v>
      </c>
      <c r="AB196" s="4">
        <f t="shared" ref="AB196:AB201" si="36">K196*T196</f>
        <v>128.83593002872587</v>
      </c>
      <c r="AC196" s="4">
        <f t="shared" ref="AC196:AC201" si="37">L196*T196</f>
        <v>32.643421034225582</v>
      </c>
      <c r="AD196" s="4">
        <f t="shared" ref="AD196:AD201" si="38">M196*T196</f>
        <v>86.214288654362761</v>
      </c>
    </row>
    <row r="197" spans="1:30">
      <c r="A197" s="12">
        <v>28.77</v>
      </c>
      <c r="B197" s="12">
        <v>-97.11</v>
      </c>
      <c r="C197" s="10" t="s">
        <v>22</v>
      </c>
      <c r="D197" s="70" t="s">
        <v>25</v>
      </c>
      <c r="E197" s="71">
        <v>88</v>
      </c>
      <c r="F197" s="71">
        <v>4</v>
      </c>
      <c r="G197" s="72" t="s">
        <v>96</v>
      </c>
      <c r="H197" s="73">
        <v>207.64</v>
      </c>
      <c r="I197" s="99">
        <f>SUM(H197:H198)</f>
        <v>265.65999999999997</v>
      </c>
      <c r="J197" s="41">
        <v>265.65999999999997</v>
      </c>
      <c r="K197" s="9">
        <v>0.67134148657373993</v>
      </c>
      <c r="L197" s="9">
        <v>0.10466833149758821</v>
      </c>
      <c r="M197" s="9">
        <v>0.22399018192867182</v>
      </c>
      <c r="N197" s="13">
        <v>19568</v>
      </c>
      <c r="O197" s="13">
        <v>2698</v>
      </c>
      <c r="P197" s="13">
        <v>336</v>
      </c>
      <c r="Q197" s="90">
        <v>421264</v>
      </c>
      <c r="R197" s="51">
        <f>421264/8760</f>
        <v>48.089497716894975</v>
      </c>
      <c r="S197" s="14">
        <f>Q197*H197/I197</f>
        <v>329260.17074456072</v>
      </c>
      <c r="T197" s="45">
        <f t="shared" si="34"/>
        <v>37.586777482255791</v>
      </c>
      <c r="U197" s="3">
        <v>107.2</v>
      </c>
      <c r="V197" s="64">
        <v>96.4</v>
      </c>
      <c r="W197" s="5">
        <f t="shared" ref="W197:W201" si="39">U197*T197/R197</f>
        <v>83.787578107355273</v>
      </c>
      <c r="X197" s="5">
        <f t="shared" ref="X197:X201" si="40">V197*T197/R197</f>
        <v>75.346292253256053</v>
      </c>
      <c r="Y197" s="66">
        <f t="shared" ref="Y197:Y200" si="41">N197*T197/R197</f>
        <v>15294.359406760523</v>
      </c>
      <c r="Z197" s="66">
        <f t="shared" ref="Z197:Z200" si="42">O197*T197/R197</f>
        <v>2108.7582624407141</v>
      </c>
      <c r="AA197" s="66">
        <f t="shared" ref="AA197:AA200" si="43">P197*T197/R197</f>
        <v>262.61778212753148</v>
      </c>
      <c r="AB197" s="4">
        <f t="shared" si="36"/>
        <v>25.233563070453975</v>
      </c>
      <c r="AC197" s="4">
        <f t="shared" si="37"/>
        <v>3.934145285438833</v>
      </c>
      <c r="AD197" s="4">
        <f t="shared" si="38"/>
        <v>8.4190691263629791</v>
      </c>
    </row>
    <row r="198" spans="1:30">
      <c r="A198" s="12">
        <v>28.65</v>
      </c>
      <c r="B198" s="12">
        <v>-96.57</v>
      </c>
      <c r="C198" s="10" t="s">
        <v>22</v>
      </c>
      <c r="D198" s="10" t="s">
        <v>35</v>
      </c>
      <c r="E198" s="12">
        <v>91</v>
      </c>
      <c r="F198" s="12">
        <v>3</v>
      </c>
      <c r="G198" s="28" t="s">
        <v>96</v>
      </c>
      <c r="H198" s="31">
        <v>58.02</v>
      </c>
      <c r="I198" s="101"/>
      <c r="J198" s="41">
        <v>265.65999999999997</v>
      </c>
      <c r="K198" s="9">
        <v>0.67134148657373993</v>
      </c>
      <c r="L198" s="9">
        <v>0.10466833149758821</v>
      </c>
      <c r="M198" s="9">
        <v>0.22399018192867182</v>
      </c>
      <c r="N198" s="13">
        <v>19568</v>
      </c>
      <c r="O198" s="13">
        <v>2698</v>
      </c>
      <c r="P198" s="13">
        <v>336</v>
      </c>
      <c r="Q198" s="92"/>
      <c r="R198" s="51">
        <f>421264/8760</f>
        <v>48.089497716894975</v>
      </c>
      <c r="S198" s="14">
        <f>Q197*H198/I197</f>
        <v>92003.829255439297</v>
      </c>
      <c r="T198" s="45">
        <f t="shared" si="34"/>
        <v>10.50272023463919</v>
      </c>
      <c r="U198" s="3">
        <v>107.2</v>
      </c>
      <c r="V198" s="64">
        <v>96.4</v>
      </c>
      <c r="W198" s="5">
        <f t="shared" si="39"/>
        <v>23.412421892644744</v>
      </c>
      <c r="X198" s="5">
        <f t="shared" si="40"/>
        <v>21.053707746743964</v>
      </c>
      <c r="Y198" s="66">
        <f t="shared" si="41"/>
        <v>4273.64059323948</v>
      </c>
      <c r="Z198" s="66">
        <f t="shared" si="42"/>
        <v>589.24173755928643</v>
      </c>
      <c r="AA198" s="66">
        <f t="shared" si="43"/>
        <v>73.382217872468587</v>
      </c>
      <c r="AB198" s="4">
        <f t="shared" si="36"/>
        <v>7.0509118153907728</v>
      </c>
      <c r="AC198" s="4">
        <f t="shared" si="37"/>
        <v>1.0993022031456421</v>
      </c>
      <c r="AD198" s="4">
        <f t="shared" si="38"/>
        <v>2.3525062161027748</v>
      </c>
    </row>
    <row r="199" spans="1:30">
      <c r="A199" s="12">
        <v>28.8</v>
      </c>
      <c r="B199" s="12">
        <v>-96.05</v>
      </c>
      <c r="C199" s="10" t="s">
        <v>22</v>
      </c>
      <c r="D199" s="10" t="s">
        <v>72</v>
      </c>
      <c r="E199" s="12">
        <v>83</v>
      </c>
      <c r="F199" s="12">
        <v>2</v>
      </c>
      <c r="G199" s="28" t="s">
        <v>97</v>
      </c>
      <c r="H199" s="31">
        <v>82.13</v>
      </c>
      <c r="I199" s="69">
        <v>82.13</v>
      </c>
      <c r="J199" s="41">
        <v>82.13</v>
      </c>
      <c r="K199" s="9">
        <v>0.31276984539314573</v>
      </c>
      <c r="L199" s="9">
        <v>0.22094179401279135</v>
      </c>
      <c r="M199" s="9">
        <v>0.46628836059406298</v>
      </c>
      <c r="N199" s="13">
        <v>5290</v>
      </c>
      <c r="O199" s="13">
        <v>909</v>
      </c>
      <c r="P199" s="13">
        <v>17</v>
      </c>
      <c r="Q199" s="54">
        <v>223276</v>
      </c>
      <c r="R199" s="54">
        <f>223276/8760</f>
        <v>25.488127853881277</v>
      </c>
      <c r="S199" s="14">
        <f>Q199*H199/I199</f>
        <v>223276</v>
      </c>
      <c r="T199" s="45">
        <f t="shared" si="34"/>
        <v>25.488127853881281</v>
      </c>
      <c r="U199" s="3">
        <v>49.3</v>
      </c>
      <c r="V199" s="64">
        <v>45.3</v>
      </c>
      <c r="W199" s="5">
        <f t="shared" si="39"/>
        <v>49.300000000000011</v>
      </c>
      <c r="X199" s="5">
        <f t="shared" si="40"/>
        <v>45.300000000000011</v>
      </c>
      <c r="Y199" s="66">
        <f t="shared" si="41"/>
        <v>5290.0000000000009</v>
      </c>
      <c r="Z199" s="66">
        <f t="shared" si="42"/>
        <v>909.00000000000011</v>
      </c>
      <c r="AA199" s="66">
        <f t="shared" si="43"/>
        <v>17.000000000000004</v>
      </c>
      <c r="AB199" s="4">
        <f t="shared" si="36"/>
        <v>7.9719178082191791</v>
      </c>
      <c r="AC199" s="4">
        <f t="shared" si="37"/>
        <v>5.6313926940639272</v>
      </c>
      <c r="AD199" s="4">
        <f t="shared" si="38"/>
        <v>11.884817351598175</v>
      </c>
    </row>
    <row r="200" spans="1:30">
      <c r="A200" s="12">
        <v>33.450000000000003</v>
      </c>
      <c r="B200" s="12">
        <v>-97.87</v>
      </c>
      <c r="C200" s="10" t="s">
        <v>18</v>
      </c>
      <c r="D200" s="10" t="s">
        <v>37</v>
      </c>
      <c r="E200" s="12">
        <v>30</v>
      </c>
      <c r="F200" s="12">
        <v>10</v>
      </c>
      <c r="G200" s="28" t="s">
        <v>98</v>
      </c>
      <c r="H200" s="31">
        <v>39.520000000000003</v>
      </c>
      <c r="I200" s="33">
        <v>39.520000000000003</v>
      </c>
      <c r="J200" s="33">
        <v>39.520000000000003</v>
      </c>
      <c r="K200" s="9">
        <v>0.35712345142360358</v>
      </c>
      <c r="L200" s="9">
        <v>0.64287654857639642</v>
      </c>
      <c r="M200" s="9">
        <v>0</v>
      </c>
      <c r="N200" s="13">
        <v>15845</v>
      </c>
      <c r="O200" s="13">
        <v>5723</v>
      </c>
      <c r="P200" s="21">
        <v>0</v>
      </c>
      <c r="Q200" s="2">
        <v>736160</v>
      </c>
      <c r="R200" s="2">
        <f>736160/8760</f>
        <v>84.036529680365291</v>
      </c>
      <c r="S200" s="2">
        <v>736160</v>
      </c>
      <c r="T200" s="45">
        <f t="shared" si="34"/>
        <v>84.036529680365291</v>
      </c>
      <c r="U200" s="3">
        <v>152</v>
      </c>
      <c r="V200" s="64">
        <v>187</v>
      </c>
      <c r="W200" s="5">
        <f t="shared" si="39"/>
        <v>152</v>
      </c>
      <c r="X200" s="5">
        <f t="shared" si="40"/>
        <v>187</v>
      </c>
      <c r="Y200" s="66">
        <f t="shared" si="41"/>
        <v>15845</v>
      </c>
      <c r="Z200" s="66">
        <f t="shared" si="42"/>
        <v>5723</v>
      </c>
      <c r="AA200" s="66">
        <f t="shared" si="43"/>
        <v>0</v>
      </c>
      <c r="AB200" s="4">
        <f t="shared" si="36"/>
        <v>30.011415525114153</v>
      </c>
      <c r="AC200" s="4">
        <f t="shared" si="37"/>
        <v>54.025114155251138</v>
      </c>
      <c r="AD200" s="4">
        <f t="shared" si="38"/>
        <v>0</v>
      </c>
    </row>
    <row r="201" spans="1:30">
      <c r="A201" s="12">
        <v>32.229999999999997</v>
      </c>
      <c r="B201" s="12">
        <v>-105.29</v>
      </c>
      <c r="C201" s="10" t="s">
        <v>18</v>
      </c>
      <c r="D201" s="10" t="s">
        <v>19</v>
      </c>
      <c r="E201" s="12">
        <v>197</v>
      </c>
      <c r="F201" s="12">
        <v>7</v>
      </c>
      <c r="G201" s="28"/>
      <c r="H201" s="31">
        <v>1.37</v>
      </c>
      <c r="I201" s="34"/>
      <c r="J201" s="34"/>
      <c r="K201" s="11" t="s">
        <v>21</v>
      </c>
      <c r="L201" s="11" t="s">
        <v>21</v>
      </c>
      <c r="M201" s="11" t="s">
        <v>21</v>
      </c>
      <c r="N201" s="24" t="s">
        <v>21</v>
      </c>
      <c r="O201" s="24" t="s">
        <v>21</v>
      </c>
      <c r="P201" s="24" t="s">
        <v>21</v>
      </c>
      <c r="Q201" s="11" t="s">
        <v>21</v>
      </c>
      <c r="R201" s="11" t="s">
        <v>21</v>
      </c>
      <c r="S201" s="47"/>
      <c r="T201" s="45">
        <f t="shared" si="34"/>
        <v>0</v>
      </c>
      <c r="U201" s="11" t="s">
        <v>21</v>
      </c>
      <c r="V201" s="65" t="s">
        <v>21</v>
      </c>
      <c r="W201" s="10" t="e">
        <f t="shared" si="39"/>
        <v>#VALUE!</v>
      </c>
      <c r="X201" s="10" t="e">
        <f t="shared" si="40"/>
        <v>#VALUE!</v>
      </c>
      <c r="AB201" s="4" t="e">
        <f t="shared" si="36"/>
        <v>#VALUE!</v>
      </c>
      <c r="AC201" s="4" t="e">
        <f t="shared" si="37"/>
        <v>#VALUE!</v>
      </c>
      <c r="AD201" s="4" t="e">
        <f t="shared" si="38"/>
        <v>#VALUE!</v>
      </c>
    </row>
    <row r="202" spans="1:30">
      <c r="I202" s="35">
        <f>SUM(I3:I200)</f>
        <v>49501.199999999975</v>
      </c>
      <c r="Q202" s="4">
        <f>SUM(Q3:Q201)/365/24</f>
        <v>35021.624574767942</v>
      </c>
      <c r="R202" s="4">
        <f>SUM(R3:R201)/365/24</f>
        <v>118.60944529230964</v>
      </c>
      <c r="S202" s="48">
        <f>SUM(S3:S201)</f>
        <v>307059184.35458046</v>
      </c>
      <c r="T202" s="48">
        <f>SUM(T3:T201)</f>
        <v>35052.418305317398</v>
      </c>
      <c r="Y202" s="48">
        <f>SUM(Y3:Y201)</f>
        <v>7075623.3140685</v>
      </c>
      <c r="Z202" s="48"/>
      <c r="AA202" s="48"/>
    </row>
  </sheetData>
  <sortState xmlns:xlrd2="http://schemas.microsoft.com/office/spreadsheetml/2017/richdata2" ref="A2:V201">
    <sortCondition ref="G2:G201"/>
  </sortState>
  <mergeCells count="85">
    <mergeCell ref="Q176:Q178"/>
    <mergeCell ref="Q140:Q146"/>
    <mergeCell ref="Q149:Q162"/>
    <mergeCell ref="Q164:Q165"/>
    <mergeCell ref="Q167:Q173"/>
    <mergeCell ref="Q174:Q175"/>
    <mergeCell ref="Q193:Q196"/>
    <mergeCell ref="Q197:Q198"/>
    <mergeCell ref="Q179:Q180"/>
    <mergeCell ref="Q181:Q184"/>
    <mergeCell ref="Q185:Q188"/>
    <mergeCell ref="Q189:Q192"/>
    <mergeCell ref="I197:I198"/>
    <mergeCell ref="Q3:Q5"/>
    <mergeCell ref="Q6:Q8"/>
    <mergeCell ref="Q9:Q11"/>
    <mergeCell ref="Q13:Q21"/>
    <mergeCell ref="Q22:Q23"/>
    <mergeCell ref="Q41:Q44"/>
    <mergeCell ref="Q58:Q59"/>
    <mergeCell ref="Q60:Q63"/>
    <mergeCell ref="Q64:Q68"/>
    <mergeCell ref="Q69:Q70"/>
    <mergeCell ref="Q71:Q72"/>
    <mergeCell ref="Q110:Q112"/>
    <mergeCell ref="Q113:Q114"/>
    <mergeCell ref="Q119:Q121"/>
    <mergeCell ref="Q122:Q139"/>
    <mergeCell ref="I119:I121"/>
    <mergeCell ref="I122:I139"/>
    <mergeCell ref="Q82:Q83"/>
    <mergeCell ref="Q80:Q81"/>
    <mergeCell ref="Q78:Q79"/>
    <mergeCell ref="Q86:Q87"/>
    <mergeCell ref="Q88:Q89"/>
    <mergeCell ref="Q92:Q94"/>
    <mergeCell ref="Q95:Q97"/>
    <mergeCell ref="Q98:Q99"/>
    <mergeCell ref="I92:I94"/>
    <mergeCell ref="I95:I97"/>
    <mergeCell ref="I98:I99"/>
    <mergeCell ref="I110:I112"/>
    <mergeCell ref="I113:I114"/>
    <mergeCell ref="I88:I89"/>
    <mergeCell ref="I189:I192"/>
    <mergeCell ref="I193:I196"/>
    <mergeCell ref="I140:I146"/>
    <mergeCell ref="I149:I162"/>
    <mergeCell ref="I167:I173"/>
    <mergeCell ref="I164:I165"/>
    <mergeCell ref="I174:I175"/>
    <mergeCell ref="I179:I180"/>
    <mergeCell ref="I181:I184"/>
    <mergeCell ref="I185:I188"/>
    <mergeCell ref="I176:I178"/>
    <mergeCell ref="I86:I87"/>
    <mergeCell ref="N1:P1"/>
    <mergeCell ref="K1:M1"/>
    <mergeCell ref="I82:I83"/>
    <mergeCell ref="I3:I5"/>
    <mergeCell ref="I13:I21"/>
    <mergeCell ref="I9:I11"/>
    <mergeCell ref="I6:I8"/>
    <mergeCell ref="I22:I23"/>
    <mergeCell ref="I41:I44"/>
    <mergeCell ref="I69:I70"/>
    <mergeCell ref="I64:I68"/>
    <mergeCell ref="Y1:AA1"/>
    <mergeCell ref="I78:I79"/>
    <mergeCell ref="I74:I76"/>
    <mergeCell ref="I71:I72"/>
    <mergeCell ref="I80:I81"/>
    <mergeCell ref="I60:I63"/>
    <mergeCell ref="I58:I59"/>
    <mergeCell ref="I35:I40"/>
    <mergeCell ref="Q35:Q40"/>
    <mergeCell ref="I25:I34"/>
    <mergeCell ref="Q25:Q34"/>
    <mergeCell ref="Q74:Q76"/>
    <mergeCell ref="I100:I109"/>
    <mergeCell ref="Q100:Q109"/>
    <mergeCell ref="I115:I116"/>
    <mergeCell ref="Q115:Q116"/>
    <mergeCell ref="I117:I118"/>
    <mergeCell ref="Q117:Q11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46D5-C55F-4348-8D98-07ADDA889D5E}">
  <dimension ref="A1:W202"/>
  <sheetViews>
    <sheetView tabSelected="1" topLeftCell="A174" zoomScaleNormal="100" workbookViewId="0">
      <selection activeCell="X3" sqref="X3"/>
    </sheetView>
  </sheetViews>
  <sheetFormatPr baseColWidth="10" defaultColWidth="8.83203125" defaultRowHeight="15"/>
  <cols>
    <col min="1" max="2" width="11.5" customWidth="1"/>
    <col min="3" max="3" width="9.6640625" hidden="1" customWidth="1"/>
    <col min="4" max="4" width="10.33203125" hidden="1" customWidth="1"/>
    <col min="5" max="5" width="9.33203125" customWidth="1"/>
    <col min="6" max="6" width="16.5" customWidth="1"/>
    <col min="7" max="7" width="21.33203125" customWidth="1"/>
    <col min="8" max="8" width="14" customWidth="1"/>
    <col min="9" max="9" width="16.5" customWidth="1"/>
    <col min="10" max="10" width="38.5" customWidth="1"/>
    <col min="11" max="11" width="21.33203125" customWidth="1"/>
    <col min="12" max="12" width="27.83203125" hidden="1" customWidth="1"/>
    <col min="13" max="13" width="21.33203125" hidden="1" customWidth="1"/>
    <col min="14" max="15" width="21.33203125" style="82" customWidth="1"/>
    <col min="16" max="17" width="21.33203125" style="82" hidden="1" customWidth="1"/>
    <col min="18" max="20" width="17" style="82" customWidth="1"/>
    <col min="21" max="23" width="17" customWidth="1"/>
  </cols>
  <sheetData>
    <row r="1" spans="1:23">
      <c r="A1" s="83" t="s">
        <v>99</v>
      </c>
      <c r="B1" s="83" t="s">
        <v>100</v>
      </c>
      <c r="C1" s="83" t="s">
        <v>101</v>
      </c>
      <c r="D1" s="83" t="s">
        <v>2</v>
      </c>
      <c r="E1" s="83" t="s">
        <v>102</v>
      </c>
      <c r="F1" s="83" t="s">
        <v>103</v>
      </c>
      <c r="G1" s="83" t="s">
        <v>104</v>
      </c>
      <c r="H1" s="83" t="s">
        <v>105</v>
      </c>
      <c r="I1" s="83" t="s">
        <v>4</v>
      </c>
      <c r="J1" s="83" t="s">
        <v>106</v>
      </c>
      <c r="K1" s="83" t="s">
        <v>5</v>
      </c>
      <c r="L1" s="83" t="s">
        <v>107</v>
      </c>
      <c r="M1" s="83" t="s">
        <v>108</v>
      </c>
      <c r="N1" s="85" t="s">
        <v>109</v>
      </c>
      <c r="O1" s="85" t="s">
        <v>13</v>
      </c>
      <c r="P1" s="85" t="s">
        <v>110</v>
      </c>
      <c r="Q1" s="85" t="s">
        <v>111</v>
      </c>
      <c r="R1" s="125" t="s">
        <v>9</v>
      </c>
      <c r="S1" s="125"/>
      <c r="T1" s="125"/>
      <c r="U1" s="125" t="s">
        <v>112</v>
      </c>
      <c r="V1" s="125"/>
      <c r="W1" s="125"/>
    </row>
    <row r="2" spans="1:2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5"/>
      <c r="O2" s="85"/>
      <c r="P2" s="85"/>
      <c r="Q2" s="85"/>
      <c r="R2" s="86" t="s">
        <v>113</v>
      </c>
      <c r="S2" s="86" t="s">
        <v>114</v>
      </c>
      <c r="T2" s="86" t="s">
        <v>115</v>
      </c>
      <c r="U2" s="86" t="s">
        <v>113</v>
      </c>
      <c r="V2" s="86" t="s">
        <v>114</v>
      </c>
      <c r="W2" s="86" t="s">
        <v>115</v>
      </c>
    </row>
    <row r="3" spans="1:23">
      <c r="A3">
        <v>30.43</v>
      </c>
      <c r="B3">
        <v>-103.33</v>
      </c>
      <c r="C3" t="s">
        <v>18</v>
      </c>
      <c r="D3" t="s">
        <v>19</v>
      </c>
      <c r="E3">
        <v>181</v>
      </c>
      <c r="F3">
        <v>8</v>
      </c>
      <c r="G3" t="s">
        <v>116</v>
      </c>
      <c r="H3">
        <v>4</v>
      </c>
      <c r="I3" t="s">
        <v>117</v>
      </c>
      <c r="J3" t="s">
        <v>118</v>
      </c>
      <c r="K3" t="s">
        <v>20</v>
      </c>
      <c r="L3" t="s">
        <v>119</v>
      </c>
      <c r="M3">
        <v>0.05</v>
      </c>
      <c r="N3" s="82">
        <v>0</v>
      </c>
      <c r="O3" s="82">
        <v>0</v>
      </c>
      <c r="P3" s="82">
        <v>1052.1747416137812</v>
      </c>
      <c r="Q3" s="82">
        <v>813.53717135086129</v>
      </c>
      <c r="R3" s="84">
        <v>0</v>
      </c>
      <c r="S3" s="84">
        <v>0</v>
      </c>
      <c r="T3" s="84">
        <v>0</v>
      </c>
      <c r="U3" s="82">
        <v>0</v>
      </c>
      <c r="V3" s="82">
        <v>0</v>
      </c>
      <c r="W3" s="82">
        <v>0</v>
      </c>
    </row>
    <row r="4" spans="1:23">
      <c r="A4">
        <v>27.78</v>
      </c>
      <c r="B4">
        <v>-97.35</v>
      </c>
      <c r="C4" t="s">
        <v>22</v>
      </c>
      <c r="D4" t="s">
        <v>23</v>
      </c>
      <c r="E4">
        <v>116</v>
      </c>
      <c r="F4">
        <v>7</v>
      </c>
      <c r="G4" t="s">
        <v>77</v>
      </c>
      <c r="H4">
        <v>5</v>
      </c>
      <c r="I4" t="s">
        <v>120</v>
      </c>
      <c r="J4" t="s">
        <v>121</v>
      </c>
      <c r="K4" t="s">
        <v>24</v>
      </c>
      <c r="L4" t="s">
        <v>122</v>
      </c>
      <c r="M4">
        <v>664.69</v>
      </c>
      <c r="N4" s="82">
        <v>6108335.9820852252</v>
      </c>
      <c r="O4" s="82">
        <v>697.2986280919207</v>
      </c>
      <c r="P4" s="82">
        <v>1052.1747416137812</v>
      </c>
      <c r="Q4" s="82">
        <v>813.53717135086129</v>
      </c>
      <c r="R4" s="84">
        <v>51627.671514052592</v>
      </c>
      <c r="S4" s="84">
        <v>5689.9392384406165</v>
      </c>
      <c r="T4" s="84">
        <v>813.5371713508614</v>
      </c>
      <c r="U4" s="82">
        <v>316.50269471801704</v>
      </c>
      <c r="V4" s="82">
        <v>75.645060900739821</v>
      </c>
      <c r="W4" s="82">
        <v>305.15087247316382</v>
      </c>
    </row>
    <row r="5" spans="1:23">
      <c r="A5">
        <v>28.17</v>
      </c>
      <c r="B5">
        <v>-97.08</v>
      </c>
      <c r="C5" t="s">
        <v>22</v>
      </c>
      <c r="D5" t="s">
        <v>25</v>
      </c>
      <c r="E5">
        <v>117</v>
      </c>
      <c r="F5">
        <v>7</v>
      </c>
      <c r="G5" t="s">
        <v>123</v>
      </c>
      <c r="H5">
        <v>5</v>
      </c>
      <c r="I5" t="s">
        <v>124</v>
      </c>
      <c r="J5" t="s">
        <v>121</v>
      </c>
      <c r="K5" t="s">
        <v>24</v>
      </c>
      <c r="L5" t="s">
        <v>122</v>
      </c>
      <c r="M5">
        <v>45.1</v>
      </c>
      <c r="N5" s="82">
        <v>414457.79655485065</v>
      </c>
      <c r="O5" s="82">
        <v>47.312533853293452</v>
      </c>
      <c r="P5" s="82">
        <v>71.391296464188613</v>
      </c>
      <c r="Q5" s="82">
        <v>55.199456029011792</v>
      </c>
      <c r="R5" s="84">
        <v>3502.9983680870359</v>
      </c>
      <c r="S5" s="84">
        <v>386.06908431550323</v>
      </c>
      <c r="T5" s="84">
        <v>55.199456029011792</v>
      </c>
      <c r="U5" s="82">
        <v>21.475080912579653</v>
      </c>
      <c r="V5" s="82">
        <v>5.1326065483509096</v>
      </c>
      <c r="W5" s="82">
        <v>20.704846392362889</v>
      </c>
    </row>
    <row r="6" spans="1:23">
      <c r="A6">
        <v>27.59</v>
      </c>
      <c r="B6">
        <v>-97.81</v>
      </c>
      <c r="C6" t="s">
        <v>22</v>
      </c>
      <c r="D6" t="s">
        <v>25</v>
      </c>
      <c r="E6">
        <v>194</v>
      </c>
      <c r="F6">
        <v>7</v>
      </c>
      <c r="G6" t="s">
        <v>125</v>
      </c>
      <c r="H6">
        <v>5</v>
      </c>
      <c r="I6" t="s">
        <v>124</v>
      </c>
      <c r="J6" t="s">
        <v>126</v>
      </c>
      <c r="K6" t="s">
        <v>24</v>
      </c>
      <c r="L6" t="s">
        <v>122</v>
      </c>
      <c r="M6">
        <v>111.06</v>
      </c>
      <c r="N6" s="82">
        <v>1020613.811205803</v>
      </c>
      <c r="O6" s="82">
        <v>116.50842593673549</v>
      </c>
      <c r="P6" s="82">
        <v>175.80304623753409</v>
      </c>
      <c r="Q6" s="82">
        <v>135.93019038984585</v>
      </c>
      <c r="R6" s="84">
        <v>8626.230571169539</v>
      </c>
      <c r="S6" s="84">
        <v>950.70582048957397</v>
      </c>
      <c r="T6" s="84">
        <v>135.93019038984588</v>
      </c>
      <c r="U6" s="82">
        <v>52.882981954569757</v>
      </c>
      <c r="V6" s="82">
        <v>12.639185881593171</v>
      </c>
      <c r="W6" s="82">
        <v>50.986258100572563</v>
      </c>
    </row>
    <row r="7" spans="1:23">
      <c r="A7">
        <v>30.75</v>
      </c>
      <c r="B7">
        <v>-102.79</v>
      </c>
      <c r="C7" t="s">
        <v>18</v>
      </c>
      <c r="D7" t="s">
        <v>19</v>
      </c>
      <c r="E7">
        <v>173</v>
      </c>
      <c r="F7">
        <v>8</v>
      </c>
      <c r="G7" t="s">
        <v>127</v>
      </c>
      <c r="H7">
        <v>4</v>
      </c>
      <c r="I7" t="s">
        <v>117</v>
      </c>
      <c r="J7" t="s">
        <v>118</v>
      </c>
      <c r="K7" t="s">
        <v>26</v>
      </c>
      <c r="L7" t="s">
        <v>128</v>
      </c>
      <c r="M7">
        <v>24.69</v>
      </c>
      <c r="N7" s="82">
        <v>444684.50825288071</v>
      </c>
      <c r="O7" s="82">
        <v>50.763071718365381</v>
      </c>
      <c r="P7" s="82">
        <v>117.26019931485521</v>
      </c>
      <c r="Q7" s="82">
        <v>143.48034880099661</v>
      </c>
      <c r="R7" s="84">
        <v>22531.643413266902</v>
      </c>
      <c r="S7" s="84">
        <v>3639.2952351292438</v>
      </c>
      <c r="T7" s="84">
        <v>43.397363465160083</v>
      </c>
      <c r="U7" s="82">
        <v>37.179532258546182</v>
      </c>
      <c r="V7" s="82">
        <v>11.866198491486884</v>
      </c>
      <c r="W7" s="82">
        <v>1.7173409683323166</v>
      </c>
    </row>
    <row r="8" spans="1:23">
      <c r="A8">
        <v>30.87</v>
      </c>
      <c r="B8">
        <v>-102.32</v>
      </c>
      <c r="C8" t="s">
        <v>18</v>
      </c>
      <c r="D8" t="s">
        <v>19</v>
      </c>
      <c r="E8">
        <v>175</v>
      </c>
      <c r="F8">
        <v>8</v>
      </c>
      <c r="G8" t="s">
        <v>129</v>
      </c>
      <c r="H8">
        <v>4</v>
      </c>
      <c r="I8" t="s">
        <v>117</v>
      </c>
      <c r="J8" t="s">
        <v>118</v>
      </c>
      <c r="K8" t="s">
        <v>26</v>
      </c>
      <c r="L8" t="s">
        <v>128</v>
      </c>
      <c r="M8">
        <v>2.5299999999999998</v>
      </c>
      <c r="N8" s="82">
        <v>45567.1043288695</v>
      </c>
      <c r="O8" s="82">
        <v>5.2017242384554221</v>
      </c>
      <c r="P8" s="82">
        <v>12.015727187791963</v>
      </c>
      <c r="Q8" s="82">
        <v>14.702522578635937</v>
      </c>
      <c r="R8" s="84">
        <v>2308.8318280909371</v>
      </c>
      <c r="S8" s="84">
        <v>372.92089691684822</v>
      </c>
      <c r="T8" s="84">
        <v>4.4469554300062768</v>
      </c>
      <c r="U8" s="82">
        <v>3.8098103124391174</v>
      </c>
      <c r="V8" s="82">
        <v>1.215936904959976</v>
      </c>
      <c r="W8" s="82">
        <v>0.17597702105632884</v>
      </c>
    </row>
    <row r="9" spans="1:23">
      <c r="A9">
        <v>30.29</v>
      </c>
      <c r="B9">
        <v>-104.01</v>
      </c>
      <c r="C9" t="s">
        <v>18</v>
      </c>
      <c r="D9" t="s">
        <v>19</v>
      </c>
      <c r="E9">
        <v>183</v>
      </c>
      <c r="F9">
        <v>8</v>
      </c>
      <c r="G9" t="s">
        <v>130</v>
      </c>
      <c r="H9">
        <v>4</v>
      </c>
      <c r="I9" t="s">
        <v>117</v>
      </c>
      <c r="J9" t="s">
        <v>118</v>
      </c>
      <c r="K9" t="s">
        <v>26</v>
      </c>
      <c r="L9" t="s">
        <v>128</v>
      </c>
      <c r="M9">
        <v>4.6399999999999997</v>
      </c>
      <c r="N9" s="82">
        <v>83569.7091248832</v>
      </c>
      <c r="O9" s="82">
        <v>9.5399211329775344</v>
      </c>
      <c r="P9" s="82">
        <v>22.036748676424789</v>
      </c>
      <c r="Q9" s="82">
        <v>26.964310183743383</v>
      </c>
      <c r="R9" s="84">
        <v>4234.3793210837748</v>
      </c>
      <c r="S9" s="84">
        <v>683.9339769542197</v>
      </c>
      <c r="T9" s="84">
        <v>8.1556811048336453</v>
      </c>
      <c r="U9" s="82">
        <v>6.9871619959357734</v>
      </c>
      <c r="V9" s="82">
        <v>2.2300186715471497</v>
      </c>
      <c r="W9" s="82">
        <v>0.32274046549461105</v>
      </c>
    </row>
    <row r="10" spans="1:23">
      <c r="A10">
        <v>28.92</v>
      </c>
      <c r="B10">
        <v>-99.1</v>
      </c>
      <c r="C10" t="s">
        <v>22</v>
      </c>
      <c r="D10" t="s">
        <v>19</v>
      </c>
      <c r="E10">
        <v>100</v>
      </c>
      <c r="F10">
        <v>5</v>
      </c>
      <c r="G10" t="s">
        <v>131</v>
      </c>
      <c r="H10">
        <v>5</v>
      </c>
      <c r="I10" t="s">
        <v>117</v>
      </c>
      <c r="J10" t="s">
        <v>132</v>
      </c>
      <c r="K10" t="s">
        <v>27</v>
      </c>
      <c r="L10" t="s">
        <v>128</v>
      </c>
      <c r="M10">
        <v>30.66</v>
      </c>
      <c r="N10" s="82">
        <v>111015.61382419233</v>
      </c>
      <c r="O10" s="82">
        <v>12.673015276734285</v>
      </c>
      <c r="P10" s="82">
        <v>29.274042073628848</v>
      </c>
      <c r="Q10" s="82">
        <v>35.819909842223893</v>
      </c>
      <c r="R10" s="84">
        <v>5625.0311795642383</v>
      </c>
      <c r="S10" s="84">
        <v>908.5510894064613</v>
      </c>
      <c r="T10" s="84">
        <v>10.749812171299775</v>
      </c>
      <c r="U10" s="82">
        <v>9.2818807913849248</v>
      </c>
      <c r="V10" s="82">
        <v>2.9623998246932128</v>
      </c>
      <c r="W10" s="82">
        <v>0.42873466065614824</v>
      </c>
    </row>
    <row r="11" spans="1:23">
      <c r="A11">
        <v>29.85</v>
      </c>
      <c r="B11">
        <v>-99.54</v>
      </c>
      <c r="C11" t="s">
        <v>22</v>
      </c>
      <c r="D11" t="s">
        <v>25</v>
      </c>
      <c r="E11">
        <v>108</v>
      </c>
      <c r="F11">
        <v>5</v>
      </c>
      <c r="G11" t="s">
        <v>27</v>
      </c>
      <c r="H11">
        <v>5</v>
      </c>
      <c r="I11" t="s">
        <v>124</v>
      </c>
      <c r="J11" t="s">
        <v>132</v>
      </c>
      <c r="K11" t="s">
        <v>27</v>
      </c>
      <c r="L11" t="s">
        <v>128</v>
      </c>
      <c r="M11">
        <v>19.22</v>
      </c>
      <c r="N11" s="82">
        <v>69592.958176809407</v>
      </c>
      <c r="O11" s="82">
        <v>7.9444016183572375</v>
      </c>
      <c r="P11" s="82">
        <v>18.351177059854741</v>
      </c>
      <c r="Q11" s="82">
        <v>22.454620586025538</v>
      </c>
      <c r="R11" s="84">
        <v>3526.1937139994984</v>
      </c>
      <c r="S11" s="84">
        <v>569.54833458552457</v>
      </c>
      <c r="T11" s="84">
        <v>6.7387928875532168</v>
      </c>
      <c r="U11" s="82">
        <v>5.8185828052973969</v>
      </c>
      <c r="V11" s="82">
        <v>1.8570555978670431</v>
      </c>
      <c r="W11" s="82">
        <v>0.26876321519279739</v>
      </c>
    </row>
    <row r="12" spans="1:23">
      <c r="A12">
        <v>29.19</v>
      </c>
      <c r="B12">
        <v>-98.75</v>
      </c>
      <c r="C12" t="s">
        <v>22</v>
      </c>
      <c r="D12" t="s">
        <v>19</v>
      </c>
      <c r="E12">
        <v>97</v>
      </c>
      <c r="F12">
        <v>5</v>
      </c>
      <c r="G12" t="s">
        <v>71</v>
      </c>
      <c r="H12">
        <v>5</v>
      </c>
      <c r="I12" t="s">
        <v>117</v>
      </c>
      <c r="J12" t="s">
        <v>132</v>
      </c>
      <c r="K12" t="s">
        <v>27</v>
      </c>
      <c r="L12" t="s">
        <v>128</v>
      </c>
      <c r="M12">
        <v>109.84</v>
      </c>
      <c r="N12" s="82">
        <v>397715.42799899826</v>
      </c>
      <c r="O12" s="82">
        <v>45.401304566095689</v>
      </c>
      <c r="P12" s="82">
        <v>104.8747808665164</v>
      </c>
      <c r="Q12" s="82">
        <v>128.32546957175057</v>
      </c>
      <c r="R12" s="84">
        <v>20151.775106436264</v>
      </c>
      <c r="S12" s="84">
        <v>3254.900576008014</v>
      </c>
      <c r="T12" s="84">
        <v>38.51139494114701</v>
      </c>
      <c r="U12" s="82">
        <v>33.252504439847357</v>
      </c>
      <c r="V12" s="82">
        <v>10.612850513512802</v>
      </c>
      <c r="W12" s="82">
        <v>1.535949612735529</v>
      </c>
    </row>
    <row r="13" spans="1:23">
      <c r="A13">
        <v>30.86</v>
      </c>
      <c r="B13">
        <v>-96.88</v>
      </c>
      <c r="C13" t="s">
        <v>22</v>
      </c>
      <c r="D13" t="s">
        <v>19</v>
      </c>
      <c r="E13">
        <v>49</v>
      </c>
      <c r="F13">
        <v>5</v>
      </c>
      <c r="G13" t="s">
        <v>133</v>
      </c>
      <c r="H13">
        <v>5</v>
      </c>
      <c r="I13" t="s">
        <v>117</v>
      </c>
      <c r="J13" t="s">
        <v>134</v>
      </c>
      <c r="K13" t="s">
        <v>28</v>
      </c>
      <c r="L13" t="s">
        <v>128</v>
      </c>
      <c r="M13">
        <v>21.74</v>
      </c>
      <c r="N13" s="82">
        <v>192580</v>
      </c>
      <c r="O13" s="82">
        <v>21.984018264840184</v>
      </c>
      <c r="P13" s="82">
        <v>49.5</v>
      </c>
      <c r="Q13" s="82">
        <v>52.2</v>
      </c>
      <c r="R13" s="84">
        <v>10561</v>
      </c>
      <c r="S13" s="84">
        <v>943</v>
      </c>
      <c r="T13" s="84">
        <v>2</v>
      </c>
      <c r="U13" s="82">
        <v>17.755936073059363</v>
      </c>
      <c r="V13" s="82">
        <v>3.6465753424657534</v>
      </c>
      <c r="W13" s="82">
        <v>0.58150684931506857</v>
      </c>
    </row>
    <row r="14" spans="1:23">
      <c r="A14">
        <v>32.69</v>
      </c>
      <c r="B14">
        <v>-99.46</v>
      </c>
      <c r="C14" t="s">
        <v>18</v>
      </c>
      <c r="D14" t="s">
        <v>19</v>
      </c>
      <c r="E14">
        <v>41</v>
      </c>
      <c r="F14">
        <v>1</v>
      </c>
      <c r="G14" t="s">
        <v>135</v>
      </c>
      <c r="H14">
        <v>4</v>
      </c>
      <c r="I14" t="s">
        <v>117</v>
      </c>
      <c r="J14" t="s">
        <v>136</v>
      </c>
      <c r="K14" t="s">
        <v>29</v>
      </c>
      <c r="L14" t="s">
        <v>122</v>
      </c>
      <c r="M14">
        <v>6.17</v>
      </c>
      <c r="N14" s="82">
        <v>3074.3842407486172</v>
      </c>
      <c r="O14" s="82">
        <v>0.35095710510828965</v>
      </c>
      <c r="P14" s="82">
        <v>0.82669076988515522</v>
      </c>
      <c r="Q14" s="82">
        <v>0.74795831561037851</v>
      </c>
      <c r="R14" s="84">
        <v>112.61365376435559</v>
      </c>
      <c r="S14" s="84">
        <v>46.281561037856228</v>
      </c>
      <c r="T14" s="84">
        <v>9.1985750744364108</v>
      </c>
      <c r="U14" s="82">
        <v>0.11294721812732947</v>
      </c>
      <c r="V14" s="82">
        <v>0.21046551161557597</v>
      </c>
      <c r="W14" s="82">
        <v>2.7544375365384205E-2</v>
      </c>
    </row>
    <row r="15" spans="1:23">
      <c r="A15">
        <v>32.799999999999997</v>
      </c>
      <c r="B15">
        <v>-99.92</v>
      </c>
      <c r="C15" t="s">
        <v>18</v>
      </c>
      <c r="D15" t="s">
        <v>19</v>
      </c>
      <c r="E15">
        <v>156</v>
      </c>
      <c r="F15">
        <v>4</v>
      </c>
      <c r="G15" t="s">
        <v>137</v>
      </c>
      <c r="H15">
        <v>4</v>
      </c>
      <c r="I15" t="s">
        <v>117</v>
      </c>
      <c r="J15" t="s">
        <v>136</v>
      </c>
      <c r="K15" t="s">
        <v>29</v>
      </c>
      <c r="L15" t="s">
        <v>122</v>
      </c>
      <c r="M15">
        <v>30.17</v>
      </c>
      <c r="N15" s="82">
        <v>15033.091173968523</v>
      </c>
      <c r="O15" s="82">
        <v>1.7161062983982331</v>
      </c>
      <c r="P15" s="82">
        <v>4.0423436835389195</v>
      </c>
      <c r="Q15" s="82">
        <v>3.6573585708209273</v>
      </c>
      <c r="R15" s="84">
        <v>550.65703955763502</v>
      </c>
      <c r="S15" s="84">
        <v>226.30708209272652</v>
      </c>
      <c r="T15" s="84">
        <v>44.979094002552102</v>
      </c>
      <c r="U15" s="82">
        <v>0.55228809901159315</v>
      </c>
      <c r="V15" s="82">
        <v>1.0291320073649801</v>
      </c>
      <c r="W15" s="82">
        <v>0.13468619202165988</v>
      </c>
    </row>
    <row r="16" spans="1:23">
      <c r="A16">
        <v>33.18</v>
      </c>
      <c r="B16">
        <v>-100.25</v>
      </c>
      <c r="C16" t="s">
        <v>18</v>
      </c>
      <c r="D16" t="s">
        <v>19</v>
      </c>
      <c r="E16">
        <v>157</v>
      </c>
      <c r="F16">
        <v>4</v>
      </c>
      <c r="G16" t="s">
        <v>138</v>
      </c>
      <c r="H16">
        <v>4</v>
      </c>
      <c r="I16" t="s">
        <v>117</v>
      </c>
      <c r="J16" t="s">
        <v>136</v>
      </c>
      <c r="K16" t="s">
        <v>29</v>
      </c>
      <c r="L16" t="s">
        <v>122</v>
      </c>
      <c r="M16">
        <v>2.5099999999999998</v>
      </c>
      <c r="N16" s="82">
        <v>1250.6814334325816</v>
      </c>
      <c r="O16" s="82">
        <v>0.14277185313157323</v>
      </c>
      <c r="P16" s="82">
        <v>0.33630370055295611</v>
      </c>
      <c r="Q16" s="82">
        <v>0.3042747766907698</v>
      </c>
      <c r="R16" s="84">
        <v>45.812037430880473</v>
      </c>
      <c r="S16" s="84">
        <v>18.82766907698851</v>
      </c>
      <c r="T16" s="84">
        <v>3.7420459378987658</v>
      </c>
      <c r="U16" s="82">
        <v>4.594773379247924E-2</v>
      </c>
      <c r="V16" s="82">
        <v>8.5618871013791828E-2</v>
      </c>
      <c r="W16" s="82">
        <v>1.1205248325302161E-2</v>
      </c>
    </row>
    <row r="17" spans="1:23">
      <c r="A17">
        <v>33.04</v>
      </c>
      <c r="B17">
        <v>-99.56</v>
      </c>
      <c r="C17" t="s">
        <v>18</v>
      </c>
      <c r="D17" t="s">
        <v>19</v>
      </c>
      <c r="E17">
        <v>158</v>
      </c>
      <c r="F17">
        <v>1</v>
      </c>
      <c r="G17" t="s">
        <v>139</v>
      </c>
      <c r="H17">
        <v>4</v>
      </c>
      <c r="I17" t="s">
        <v>117</v>
      </c>
      <c r="J17" t="s">
        <v>136</v>
      </c>
      <c r="K17" t="s">
        <v>29</v>
      </c>
      <c r="L17" t="s">
        <v>122</v>
      </c>
      <c r="M17">
        <v>8.9600000000000009</v>
      </c>
      <c r="N17" s="82">
        <v>4464.5839217354323</v>
      </c>
      <c r="O17" s="82">
        <v>0.50965569882824568</v>
      </c>
      <c r="P17" s="82">
        <v>1.2005104210974056</v>
      </c>
      <c r="Q17" s="82">
        <v>1.086176095278605</v>
      </c>
      <c r="R17" s="84">
        <v>163.53619736282437</v>
      </c>
      <c r="S17" s="84">
        <v>67.209527860484911</v>
      </c>
      <c r="T17" s="84">
        <v>13.358060399829863</v>
      </c>
      <c r="U17" s="82">
        <v>0.16402059553012516</v>
      </c>
      <c r="V17" s="82">
        <v>0.30563549174644428</v>
      </c>
      <c r="W17" s="82">
        <v>3.9999611551676258E-2</v>
      </c>
    </row>
    <row r="18" spans="1:23">
      <c r="A18">
        <v>32.28</v>
      </c>
      <c r="B18">
        <v>-100.11</v>
      </c>
      <c r="C18" t="s">
        <v>18</v>
      </c>
      <c r="D18" t="s">
        <v>19</v>
      </c>
      <c r="E18">
        <v>159</v>
      </c>
      <c r="F18">
        <v>4</v>
      </c>
      <c r="G18" t="s">
        <v>140</v>
      </c>
      <c r="H18">
        <v>4</v>
      </c>
      <c r="I18" t="s">
        <v>117</v>
      </c>
      <c r="J18" t="s">
        <v>136</v>
      </c>
      <c r="K18" t="s">
        <v>29</v>
      </c>
      <c r="L18" t="s">
        <v>122</v>
      </c>
      <c r="M18">
        <v>16.16</v>
      </c>
      <c r="N18" s="82">
        <v>8052.1960017014026</v>
      </c>
      <c r="O18" s="82">
        <v>0.91920045681522866</v>
      </c>
      <c r="P18" s="82">
        <v>2.1652062951935349</v>
      </c>
      <c r="Q18" s="82">
        <v>1.9589961718417694</v>
      </c>
      <c r="R18" s="84">
        <v>294.94921310080815</v>
      </c>
      <c r="S18" s="84">
        <v>121.21718417694598</v>
      </c>
      <c r="T18" s="84">
        <v>24.09221607826457</v>
      </c>
      <c r="U18" s="82">
        <v>0.29582285979540424</v>
      </c>
      <c r="V18" s="82">
        <v>0.55123544047126538</v>
      </c>
      <c r="W18" s="82">
        <v>7.2142156548558961E-2</v>
      </c>
    </row>
    <row r="19" spans="1:23">
      <c r="A19">
        <v>32.44</v>
      </c>
      <c r="B19">
        <v>-99.72</v>
      </c>
      <c r="C19" t="s">
        <v>18</v>
      </c>
      <c r="D19" t="s">
        <v>19</v>
      </c>
      <c r="E19">
        <v>160</v>
      </c>
      <c r="F19">
        <v>4</v>
      </c>
      <c r="G19" t="s">
        <v>141</v>
      </c>
      <c r="H19">
        <v>4</v>
      </c>
      <c r="I19" t="s">
        <v>117</v>
      </c>
      <c r="J19" t="s">
        <v>136</v>
      </c>
      <c r="K19" t="s">
        <v>29</v>
      </c>
      <c r="L19" t="s">
        <v>122</v>
      </c>
      <c r="M19">
        <v>334.72</v>
      </c>
      <c r="N19" s="82">
        <v>166784.09936197364</v>
      </c>
      <c r="O19" s="82">
        <v>19.039280749083748</v>
      </c>
      <c r="P19" s="82">
        <v>44.847639302424511</v>
      </c>
      <c r="Q19" s="82">
        <v>40.57643555933646</v>
      </c>
      <c r="R19" s="84">
        <v>6109.2450871969377</v>
      </c>
      <c r="S19" s="84">
        <v>2510.7559336452578</v>
      </c>
      <c r="T19" s="84">
        <v>499.01897065078697</v>
      </c>
      <c r="U19" s="82">
        <v>6.1273408187325318</v>
      </c>
      <c r="V19" s="82">
        <v>11.417668727385024</v>
      </c>
      <c r="W19" s="82">
        <v>1.4942712029661915</v>
      </c>
    </row>
    <row r="20" spans="1:23">
      <c r="A20">
        <v>33.22</v>
      </c>
      <c r="B20">
        <v>-100.86</v>
      </c>
      <c r="C20" t="s">
        <v>18</v>
      </c>
      <c r="D20" t="s">
        <v>19</v>
      </c>
      <c r="E20">
        <v>162</v>
      </c>
      <c r="F20">
        <v>4</v>
      </c>
      <c r="G20" t="s">
        <v>142</v>
      </c>
      <c r="H20">
        <v>4</v>
      </c>
      <c r="I20" t="s">
        <v>117</v>
      </c>
      <c r="J20" t="s">
        <v>143</v>
      </c>
      <c r="K20" t="s">
        <v>29</v>
      </c>
      <c r="L20" t="s">
        <v>122</v>
      </c>
      <c r="M20">
        <v>1.38</v>
      </c>
      <c r="N20" s="82">
        <v>687.62564866014452</v>
      </c>
      <c r="O20" s="82">
        <v>7.8496078614171752E-2</v>
      </c>
      <c r="P20" s="82">
        <v>0.18490004253509146</v>
      </c>
      <c r="Q20" s="82">
        <v>0.16729051467460654</v>
      </c>
      <c r="R20" s="84">
        <v>25.18749468311357</v>
      </c>
      <c r="S20" s="84">
        <v>10.351467460655041</v>
      </c>
      <c r="T20" s="84">
        <v>2.0573798383666526</v>
      </c>
      <c r="U20" s="82">
        <v>2.5262100650845165E-2</v>
      </c>
      <c r="V20" s="82">
        <v>4.7073323505590736E-2</v>
      </c>
      <c r="W20" s="82">
        <v>6.1606544577358507E-3</v>
      </c>
    </row>
    <row r="21" spans="1:23">
      <c r="A21">
        <v>32.94</v>
      </c>
      <c r="B21">
        <v>-100.51</v>
      </c>
      <c r="C21" t="s">
        <v>18</v>
      </c>
      <c r="D21" t="s">
        <v>19</v>
      </c>
      <c r="E21">
        <v>164</v>
      </c>
      <c r="F21">
        <v>4</v>
      </c>
      <c r="G21" t="s">
        <v>144</v>
      </c>
      <c r="H21">
        <v>4</v>
      </c>
      <c r="I21" t="s">
        <v>117</v>
      </c>
      <c r="J21" t="s">
        <v>136</v>
      </c>
      <c r="K21" t="s">
        <v>29</v>
      </c>
      <c r="L21" t="s">
        <v>122</v>
      </c>
      <c r="M21">
        <v>7.56</v>
      </c>
      <c r="N21" s="82">
        <v>3766.9926839642699</v>
      </c>
      <c r="O21" s="82">
        <v>0.43002199588633222</v>
      </c>
      <c r="P21" s="82">
        <v>1.0129306678009358</v>
      </c>
      <c r="Q21" s="82">
        <v>0.9164610803913229</v>
      </c>
      <c r="R21" s="84">
        <v>137.98366652488303</v>
      </c>
      <c r="S21" s="84">
        <v>56.708039132284135</v>
      </c>
      <c r="T21" s="84">
        <v>11.270863462356443</v>
      </c>
      <c r="U21" s="82">
        <v>0.13839237747854308</v>
      </c>
      <c r="V21" s="82">
        <v>0.2578799461610623</v>
      </c>
      <c r="W21" s="82">
        <v>3.3749672246726835E-2</v>
      </c>
    </row>
    <row r="22" spans="1:23">
      <c r="A22">
        <v>32.4</v>
      </c>
      <c r="B22">
        <v>-100.67</v>
      </c>
      <c r="C22" t="s">
        <v>18</v>
      </c>
      <c r="D22" t="s">
        <v>19</v>
      </c>
      <c r="E22">
        <v>161</v>
      </c>
      <c r="F22">
        <v>4</v>
      </c>
      <c r="G22" t="s">
        <v>145</v>
      </c>
      <c r="H22">
        <v>4</v>
      </c>
      <c r="I22" t="s">
        <v>117</v>
      </c>
      <c r="J22" t="s">
        <v>136</v>
      </c>
      <c r="K22" t="s">
        <v>29</v>
      </c>
      <c r="L22" t="s">
        <v>122</v>
      </c>
      <c r="M22">
        <v>62.57</v>
      </c>
      <c r="N22" s="82">
        <v>31177.345533815394</v>
      </c>
      <c r="O22" s="82">
        <v>3.5590577093396569</v>
      </c>
      <c r="P22" s="82">
        <v>8.3834751169715016</v>
      </c>
      <c r="Q22" s="82">
        <v>7.5850489153551681</v>
      </c>
      <c r="R22" s="84">
        <v>1142.0156103785623</v>
      </c>
      <c r="S22" s="84">
        <v>469.34153551680134</v>
      </c>
      <c r="T22" s="84">
        <v>93.282794555508303</v>
      </c>
      <c r="U22" s="82">
        <v>1.1453982882053493</v>
      </c>
      <c r="V22" s="82">
        <v>2.1343317766266754</v>
      </c>
      <c r="W22" s="82">
        <v>0.27932764450763203</v>
      </c>
    </row>
    <row r="23" spans="1:23">
      <c r="A23">
        <v>29.93</v>
      </c>
      <c r="B23">
        <v>-96.78</v>
      </c>
      <c r="C23" t="s">
        <v>22</v>
      </c>
      <c r="D23" t="s">
        <v>25</v>
      </c>
      <c r="E23">
        <v>142</v>
      </c>
      <c r="F23">
        <v>5</v>
      </c>
      <c r="G23" t="s">
        <v>55</v>
      </c>
      <c r="H23">
        <v>5</v>
      </c>
      <c r="I23" t="s">
        <v>124</v>
      </c>
      <c r="J23" t="s">
        <v>146</v>
      </c>
      <c r="K23" t="s">
        <v>30</v>
      </c>
      <c r="L23" t="s">
        <v>122</v>
      </c>
      <c r="M23">
        <v>70.94</v>
      </c>
      <c r="N23" s="82">
        <v>1167864.6075608318</v>
      </c>
      <c r="O23" s="82">
        <v>133.31787757543742</v>
      </c>
      <c r="P23" s="82">
        <v>37.629199292750698</v>
      </c>
      <c r="Q23" s="82">
        <v>34.045466026774434</v>
      </c>
      <c r="R23" s="84">
        <v>46377.092194998731</v>
      </c>
      <c r="S23" s="84">
        <v>6379.0452134377365</v>
      </c>
      <c r="T23" s="84">
        <v>1285.9629536078135</v>
      </c>
      <c r="U23" s="82">
        <v>75.718433751892974</v>
      </c>
      <c r="V23" s="82">
        <v>36.479827305220972</v>
      </c>
      <c r="W23" s="82">
        <v>21.119616518323468</v>
      </c>
    </row>
    <row r="24" spans="1:23">
      <c r="A24">
        <v>29.53</v>
      </c>
      <c r="B24">
        <v>-97.33</v>
      </c>
      <c r="C24" t="s">
        <v>22</v>
      </c>
      <c r="D24" t="s">
        <v>25</v>
      </c>
      <c r="E24">
        <v>94</v>
      </c>
      <c r="F24">
        <v>5</v>
      </c>
      <c r="G24" t="s">
        <v>147</v>
      </c>
      <c r="H24">
        <v>5</v>
      </c>
      <c r="I24" t="s">
        <v>124</v>
      </c>
      <c r="J24" t="s">
        <v>132</v>
      </c>
      <c r="K24" t="s">
        <v>30</v>
      </c>
      <c r="L24" t="s">
        <v>122</v>
      </c>
      <c r="M24">
        <v>47.83</v>
      </c>
      <c r="N24" s="82">
        <v>787411.39243916818</v>
      </c>
      <c r="O24" s="82">
        <v>89.887145255612793</v>
      </c>
      <c r="P24" s="82">
        <v>25.370800707249302</v>
      </c>
      <c r="Q24" s="82">
        <v>22.954533973225558</v>
      </c>
      <c r="R24" s="84">
        <v>31268.907805001261</v>
      </c>
      <c r="S24" s="84">
        <v>4300.9547865622626</v>
      </c>
      <c r="T24" s="84">
        <v>867.03704639218643</v>
      </c>
      <c r="U24" s="82">
        <v>51.051771727559078</v>
      </c>
      <c r="V24" s="82">
        <v>24.595857626285863</v>
      </c>
      <c r="W24" s="82">
        <v>14.239515901767852</v>
      </c>
    </row>
    <row r="25" spans="1:23">
      <c r="A25">
        <v>26.03</v>
      </c>
      <c r="B25">
        <v>-97.47</v>
      </c>
      <c r="C25" t="s">
        <v>22</v>
      </c>
      <c r="D25" t="s">
        <v>25</v>
      </c>
      <c r="E25">
        <v>196</v>
      </c>
      <c r="F25">
        <v>7</v>
      </c>
      <c r="G25" t="s">
        <v>148</v>
      </c>
      <c r="H25">
        <v>5</v>
      </c>
      <c r="I25" t="s">
        <v>124</v>
      </c>
      <c r="J25" t="s">
        <v>149</v>
      </c>
      <c r="K25" t="s">
        <v>31</v>
      </c>
      <c r="L25" t="s">
        <v>122</v>
      </c>
      <c r="M25">
        <v>551.5</v>
      </c>
      <c r="N25" s="82">
        <v>1267037</v>
      </c>
      <c r="O25" s="82">
        <v>144.63892694063927</v>
      </c>
      <c r="P25" s="82">
        <v>291</v>
      </c>
      <c r="Q25" s="82">
        <v>225</v>
      </c>
      <c r="R25" s="84">
        <v>42836</v>
      </c>
      <c r="S25" s="84">
        <v>4721</v>
      </c>
      <c r="T25" s="84">
        <v>675</v>
      </c>
      <c r="U25" s="82">
        <v>65.651369863013699</v>
      </c>
      <c r="V25" s="82">
        <v>15.690867579908677</v>
      </c>
      <c r="W25" s="82">
        <v>63.296689497716891</v>
      </c>
    </row>
    <row r="26" spans="1:23">
      <c r="A26">
        <v>29.81</v>
      </c>
      <c r="B26">
        <v>-95.51</v>
      </c>
      <c r="C26" t="s">
        <v>22</v>
      </c>
      <c r="D26" t="s">
        <v>23</v>
      </c>
      <c r="E26">
        <v>75</v>
      </c>
      <c r="F26">
        <v>2</v>
      </c>
      <c r="G26" t="s">
        <v>150</v>
      </c>
      <c r="H26">
        <v>5</v>
      </c>
      <c r="I26" t="s">
        <v>120</v>
      </c>
      <c r="J26" t="s">
        <v>151</v>
      </c>
      <c r="K26" t="s">
        <v>32</v>
      </c>
      <c r="L26" t="s">
        <v>122</v>
      </c>
      <c r="M26">
        <v>8105.63</v>
      </c>
      <c r="N26" s="82">
        <v>51112793.764098071</v>
      </c>
      <c r="O26" s="82">
        <v>5834.7938086869945</v>
      </c>
      <c r="P26" s="82">
        <v>11748.80245653758</v>
      </c>
      <c r="Q26" s="82">
        <v>9216.3088462649721</v>
      </c>
      <c r="R26" s="84">
        <v>1253713.0234523539</v>
      </c>
      <c r="S26" s="84">
        <v>80518.735323850618</v>
      </c>
      <c r="T26" s="84">
        <v>80519.323984249393</v>
      </c>
      <c r="U26" s="82">
        <v>2000.5818774561465</v>
      </c>
      <c r="V26" s="82">
        <v>1917.1059656154241</v>
      </c>
      <c r="W26" s="82">
        <v>1917.1059656154241</v>
      </c>
    </row>
    <row r="27" spans="1:23">
      <c r="A27">
        <v>29.75</v>
      </c>
      <c r="B27">
        <v>-95.08</v>
      </c>
      <c r="C27" t="s">
        <v>22</v>
      </c>
      <c r="D27" t="s">
        <v>23</v>
      </c>
      <c r="E27">
        <v>76</v>
      </c>
      <c r="F27">
        <v>2</v>
      </c>
      <c r="G27" t="s">
        <v>152</v>
      </c>
      <c r="H27">
        <v>5</v>
      </c>
      <c r="I27" t="s">
        <v>120</v>
      </c>
      <c r="J27" t="s">
        <v>151</v>
      </c>
      <c r="K27" t="s">
        <v>32</v>
      </c>
      <c r="L27" t="s">
        <v>122</v>
      </c>
      <c r="M27">
        <v>1553.1</v>
      </c>
      <c r="N27" s="82">
        <v>9793597.7826548591</v>
      </c>
      <c r="O27" s="82">
        <v>1117.9906144583172</v>
      </c>
      <c r="P27" s="82">
        <v>2251.1593910958813</v>
      </c>
      <c r="Q27" s="82">
        <v>1765.9144655176867</v>
      </c>
      <c r="R27" s="84">
        <v>240220.89544228523</v>
      </c>
      <c r="S27" s="84">
        <v>15427.998543169671</v>
      </c>
      <c r="T27" s="84">
        <v>15428.111334953324</v>
      </c>
      <c r="U27" s="82">
        <v>383.32661543607844</v>
      </c>
      <c r="V27" s="82">
        <v>367.33199951111942</v>
      </c>
      <c r="W27" s="82">
        <v>367.33199951111942</v>
      </c>
    </row>
    <row r="28" spans="1:23">
      <c r="A28">
        <v>30.08</v>
      </c>
      <c r="B28">
        <v>-95.31</v>
      </c>
      <c r="C28" t="s">
        <v>22</v>
      </c>
      <c r="D28" t="s">
        <v>23</v>
      </c>
      <c r="E28">
        <v>77</v>
      </c>
      <c r="F28">
        <v>2</v>
      </c>
      <c r="G28" t="s">
        <v>153</v>
      </c>
      <c r="H28">
        <v>5</v>
      </c>
      <c r="I28" t="s">
        <v>120</v>
      </c>
      <c r="J28" t="s">
        <v>151</v>
      </c>
      <c r="K28" t="s">
        <v>32</v>
      </c>
      <c r="L28" t="s">
        <v>122</v>
      </c>
      <c r="M28">
        <v>1402.71</v>
      </c>
      <c r="N28" s="82">
        <v>8845262.7298356816</v>
      </c>
      <c r="O28" s="82">
        <v>1009.7331883374067</v>
      </c>
      <c r="P28" s="82">
        <v>2033.1748048960817</v>
      </c>
      <c r="Q28" s="82">
        <v>1594.9171849374247</v>
      </c>
      <c r="R28" s="84">
        <v>216959.791543267</v>
      </c>
      <c r="S28" s="84">
        <v>13934.072394880906</v>
      </c>
      <c r="T28" s="84">
        <v>13934.174264794527</v>
      </c>
      <c r="U28" s="82">
        <v>346.20827811367053</v>
      </c>
      <c r="V28" s="82">
        <v>331.76245511186812</v>
      </c>
      <c r="W28" s="82">
        <v>331.76245511186812</v>
      </c>
    </row>
    <row r="29" spans="1:23">
      <c r="A29">
        <v>29.4</v>
      </c>
      <c r="B29">
        <v>-94.99</v>
      </c>
      <c r="C29" t="s">
        <v>22</v>
      </c>
      <c r="D29" t="s">
        <v>25</v>
      </c>
      <c r="E29">
        <v>78</v>
      </c>
      <c r="F29">
        <v>2</v>
      </c>
      <c r="G29" t="s">
        <v>154</v>
      </c>
      <c r="H29">
        <v>5</v>
      </c>
      <c r="I29" t="s">
        <v>124</v>
      </c>
      <c r="J29" t="s">
        <v>151</v>
      </c>
      <c r="K29" t="s">
        <v>32</v>
      </c>
      <c r="L29" t="s">
        <v>122</v>
      </c>
      <c r="M29">
        <v>1004.98</v>
      </c>
      <c r="N29" s="82">
        <v>6337241.5811039088</v>
      </c>
      <c r="O29" s="82">
        <v>723.42940423560606</v>
      </c>
      <c r="P29" s="82">
        <v>1456.6802941623459</v>
      </c>
      <c r="Q29" s="82">
        <v>1142.6879914725162</v>
      </c>
      <c r="R29" s="84">
        <v>155442.14506573166</v>
      </c>
      <c r="S29" s="84">
        <v>9983.149813865597</v>
      </c>
      <c r="T29" s="84">
        <v>9983.2227991767395</v>
      </c>
      <c r="U29" s="82">
        <v>248.04299915069871</v>
      </c>
      <c r="V29" s="82">
        <v>237.69320254245369</v>
      </c>
      <c r="W29" s="82">
        <v>237.69320254245369</v>
      </c>
    </row>
    <row r="30" spans="1:23">
      <c r="A30">
        <v>29.29</v>
      </c>
      <c r="B30">
        <v>-96.06</v>
      </c>
      <c r="C30" t="s">
        <v>22</v>
      </c>
      <c r="D30" t="s">
        <v>25</v>
      </c>
      <c r="E30">
        <v>80</v>
      </c>
      <c r="F30">
        <v>2</v>
      </c>
      <c r="G30" t="s">
        <v>97</v>
      </c>
      <c r="H30">
        <v>5</v>
      </c>
      <c r="I30" t="s">
        <v>124</v>
      </c>
      <c r="J30" t="s">
        <v>151</v>
      </c>
      <c r="K30" t="s">
        <v>32</v>
      </c>
      <c r="L30" t="s">
        <v>122</v>
      </c>
      <c r="M30">
        <v>141.9</v>
      </c>
      <c r="N30" s="82">
        <v>894798.48390877899</v>
      </c>
      <c r="O30" s="82">
        <v>102.1459456516871</v>
      </c>
      <c r="P30" s="82">
        <v>205.67865404449529</v>
      </c>
      <c r="Q30" s="82">
        <v>161.34393320260108</v>
      </c>
      <c r="R30" s="84">
        <v>21947.939645393268</v>
      </c>
      <c r="S30" s="84">
        <v>1409.5892043498659</v>
      </c>
      <c r="T30" s="84">
        <v>1409.5995096451466</v>
      </c>
      <c r="U30" s="82">
        <v>35.022887599239937</v>
      </c>
      <c r="V30" s="82">
        <v>33.561529026223589</v>
      </c>
      <c r="W30" s="82">
        <v>33.561529026223589</v>
      </c>
    </row>
    <row r="31" spans="1:23">
      <c r="A31">
        <v>29.49</v>
      </c>
      <c r="B31">
        <v>-95.63</v>
      </c>
      <c r="C31" t="s">
        <v>22</v>
      </c>
      <c r="D31" t="s">
        <v>23</v>
      </c>
      <c r="E31">
        <v>81</v>
      </c>
      <c r="F31">
        <v>2</v>
      </c>
      <c r="G31" t="s">
        <v>155</v>
      </c>
      <c r="H31">
        <v>5</v>
      </c>
      <c r="I31" t="s">
        <v>156</v>
      </c>
      <c r="J31" t="s">
        <v>151</v>
      </c>
      <c r="K31" t="s">
        <v>32</v>
      </c>
      <c r="L31" t="s">
        <v>122</v>
      </c>
      <c r="M31">
        <v>759.08</v>
      </c>
      <c r="N31" s="82">
        <v>4786635.892639013</v>
      </c>
      <c r="O31" s="82">
        <v>546.4196224473759</v>
      </c>
      <c r="P31" s="82">
        <v>1100.2575948702995</v>
      </c>
      <c r="Q31" s="82">
        <v>863.09339545757882</v>
      </c>
      <c r="R31" s="84">
        <v>117408.32999312982</v>
      </c>
      <c r="S31" s="84">
        <v>7540.4578804643843</v>
      </c>
      <c r="T31" s="84">
        <v>7540.5130076211253</v>
      </c>
      <c r="U31" s="82">
        <v>187.35146947731533</v>
      </c>
      <c r="V31" s="82">
        <v>179.53407648503028</v>
      </c>
      <c r="W31" s="82">
        <v>179.53407648503028</v>
      </c>
    </row>
    <row r="32" spans="1:23">
      <c r="A32">
        <v>29</v>
      </c>
      <c r="B32">
        <v>-95.39</v>
      </c>
      <c r="C32" t="s">
        <v>22</v>
      </c>
      <c r="D32" t="s">
        <v>25</v>
      </c>
      <c r="E32">
        <v>191</v>
      </c>
      <c r="F32">
        <v>2</v>
      </c>
      <c r="G32" t="s">
        <v>157</v>
      </c>
      <c r="H32">
        <v>5</v>
      </c>
      <c r="I32" t="s">
        <v>124</v>
      </c>
      <c r="J32" t="s">
        <v>151</v>
      </c>
      <c r="K32" t="s">
        <v>32</v>
      </c>
      <c r="L32" t="s">
        <v>122</v>
      </c>
      <c r="M32">
        <v>250.45</v>
      </c>
      <c r="N32" s="82">
        <v>1579297.253664226</v>
      </c>
      <c r="O32" s="82">
        <v>180.2850746192039</v>
      </c>
      <c r="P32" s="82">
        <v>363.01775127162682</v>
      </c>
      <c r="Q32" s="82">
        <v>284.76806251297705</v>
      </c>
      <c r="R32" s="84">
        <v>38737.572122542231</v>
      </c>
      <c r="S32" s="84">
        <v>2487.8901777972087</v>
      </c>
      <c r="T32" s="84">
        <v>2487.9083663891961</v>
      </c>
      <c r="U32" s="82">
        <v>61.814532764127136</v>
      </c>
      <c r="V32" s="82">
        <v>59.235270927538387</v>
      </c>
      <c r="W32" s="82">
        <v>59.235270927538387</v>
      </c>
    </row>
    <row r="33" spans="1:23">
      <c r="A33">
        <v>29.08</v>
      </c>
      <c r="B33">
        <v>-95.74</v>
      </c>
      <c r="C33" t="s">
        <v>22</v>
      </c>
      <c r="D33" t="s">
        <v>25</v>
      </c>
      <c r="E33">
        <v>192</v>
      </c>
      <c r="F33">
        <v>2</v>
      </c>
      <c r="G33" t="s">
        <v>158</v>
      </c>
      <c r="H33">
        <v>5</v>
      </c>
      <c r="I33" t="s">
        <v>124</v>
      </c>
      <c r="J33" t="s">
        <v>151</v>
      </c>
      <c r="K33" t="s">
        <v>32</v>
      </c>
      <c r="L33" t="s">
        <v>122</v>
      </c>
      <c r="M33">
        <v>46.46</v>
      </c>
      <c r="N33" s="82">
        <v>292969.25695843459</v>
      </c>
      <c r="O33" s="82">
        <v>33.443979104844132</v>
      </c>
      <c r="P33" s="82">
        <v>67.342003290396406</v>
      </c>
      <c r="Q33" s="82">
        <v>52.826209560203289</v>
      </c>
      <c r="R33" s="84">
        <v>7186.0555033472247</v>
      </c>
      <c r="S33" s="84">
        <v>461.51877684351496</v>
      </c>
      <c r="T33" s="84">
        <v>461.52215093807968</v>
      </c>
      <c r="U33" s="82">
        <v>11.466972218891383</v>
      </c>
      <c r="V33" s="82">
        <v>10.988503442976375</v>
      </c>
      <c r="W33" s="82">
        <v>10.988503442976375</v>
      </c>
    </row>
    <row r="34" spans="1:23">
      <c r="A34">
        <v>29.77</v>
      </c>
      <c r="B34">
        <v>-94.51</v>
      </c>
      <c r="C34" t="s">
        <v>22</v>
      </c>
      <c r="D34" t="s">
        <v>23</v>
      </c>
      <c r="E34">
        <v>193</v>
      </c>
      <c r="F34">
        <v>2</v>
      </c>
      <c r="G34" t="s">
        <v>159</v>
      </c>
      <c r="H34">
        <v>5</v>
      </c>
      <c r="I34" t="s">
        <v>120</v>
      </c>
      <c r="J34" t="s">
        <v>160</v>
      </c>
      <c r="K34" t="s">
        <v>32</v>
      </c>
      <c r="L34" t="s">
        <v>122</v>
      </c>
      <c r="M34">
        <v>34.61</v>
      </c>
      <c r="N34" s="82">
        <v>218245.07067006934</v>
      </c>
      <c r="O34" s="82">
        <v>24.913820852747644</v>
      </c>
      <c r="P34" s="82">
        <v>50.165878904016793</v>
      </c>
      <c r="Q34" s="82">
        <v>39.35245615322075</v>
      </c>
      <c r="R34" s="84">
        <v>5353.193735920092</v>
      </c>
      <c r="S34" s="84">
        <v>343.80466781218371</v>
      </c>
      <c r="T34" s="84">
        <v>343.80718131655055</v>
      </c>
      <c r="U34" s="82">
        <v>8.5422279056356185</v>
      </c>
      <c r="V34" s="82">
        <v>8.1857964735560138</v>
      </c>
      <c r="W34" s="82">
        <v>8.1857964735560138</v>
      </c>
    </row>
    <row r="35" spans="1:23">
      <c r="A35">
        <v>30.38</v>
      </c>
      <c r="B35">
        <v>-95.55</v>
      </c>
      <c r="C35" t="s">
        <v>22</v>
      </c>
      <c r="D35" t="s">
        <v>25</v>
      </c>
      <c r="E35">
        <v>79</v>
      </c>
      <c r="F35">
        <v>2</v>
      </c>
      <c r="G35" t="s">
        <v>161</v>
      </c>
      <c r="H35">
        <v>5</v>
      </c>
      <c r="I35" t="s">
        <v>124</v>
      </c>
      <c r="J35" t="s">
        <v>151</v>
      </c>
      <c r="K35" t="s">
        <v>32</v>
      </c>
      <c r="L35" t="s">
        <v>122</v>
      </c>
      <c r="M35">
        <v>470.7</v>
      </c>
      <c r="N35" s="82">
        <v>2968158.1844669646</v>
      </c>
      <c r="O35" s="82">
        <v>338.83084297568092</v>
      </c>
      <c r="P35" s="82">
        <v>682.26175094252255</v>
      </c>
      <c r="Q35" s="82">
        <v>535.19795178621803</v>
      </c>
      <c r="R35" s="84">
        <v>72804.053496029679</v>
      </c>
      <c r="S35" s="84">
        <v>4675.783216966046</v>
      </c>
      <c r="T35" s="84">
        <v>4675.8174009159302</v>
      </c>
      <c r="U35" s="82">
        <v>116.17528677210881</v>
      </c>
      <c r="V35" s="82">
        <v>111.32777810178607</v>
      </c>
      <c r="W35" s="82">
        <v>111.32777810178607</v>
      </c>
    </row>
    <row r="36" spans="1:23">
      <c r="A36">
        <v>30.72</v>
      </c>
      <c r="B36">
        <v>-99.28</v>
      </c>
      <c r="C36" t="s">
        <v>22</v>
      </c>
      <c r="D36" t="s">
        <v>19</v>
      </c>
      <c r="E36">
        <v>56</v>
      </c>
      <c r="F36">
        <v>4</v>
      </c>
      <c r="G36" t="s">
        <v>162</v>
      </c>
      <c r="H36">
        <v>5</v>
      </c>
      <c r="I36" t="s">
        <v>117</v>
      </c>
      <c r="J36" t="s">
        <v>132</v>
      </c>
      <c r="K36" t="s">
        <v>33</v>
      </c>
      <c r="L36" t="s">
        <v>128</v>
      </c>
      <c r="M36">
        <v>11.11</v>
      </c>
      <c r="N36" s="82">
        <v>35874.920415224915</v>
      </c>
      <c r="O36" s="82">
        <v>4.0953105496832096</v>
      </c>
      <c r="P36" s="82">
        <v>9.4893279912584223</v>
      </c>
      <c r="Q36" s="82">
        <v>11.681248102956353</v>
      </c>
      <c r="R36" s="84">
        <v>2193.6736477872882</v>
      </c>
      <c r="S36" s="84">
        <v>218.11291203788019</v>
      </c>
      <c r="T36" s="84">
        <v>229.57834031445398</v>
      </c>
      <c r="U36" s="82">
        <v>3.0420032420562557</v>
      </c>
      <c r="V36" s="82">
        <v>0.7209854259924986</v>
      </c>
      <c r="W36" s="82">
        <v>0.33232188163445542</v>
      </c>
    </row>
    <row r="37" spans="1:23">
      <c r="A37">
        <v>30.57</v>
      </c>
      <c r="B37">
        <v>-98.37</v>
      </c>
      <c r="C37" t="s">
        <v>22</v>
      </c>
      <c r="D37" t="s">
        <v>25</v>
      </c>
      <c r="E37">
        <v>58</v>
      </c>
      <c r="F37">
        <v>5</v>
      </c>
      <c r="G37" t="s">
        <v>163</v>
      </c>
      <c r="H37">
        <v>5</v>
      </c>
      <c r="I37" t="s">
        <v>124</v>
      </c>
      <c r="J37" t="s">
        <v>146</v>
      </c>
      <c r="K37" t="s">
        <v>33</v>
      </c>
      <c r="L37" t="s">
        <v>128</v>
      </c>
      <c r="M37">
        <v>121.65</v>
      </c>
      <c r="N37" s="82">
        <v>392815.8477508651</v>
      </c>
      <c r="O37" s="82">
        <v>44.841991752381858</v>
      </c>
      <c r="P37" s="82">
        <v>103.90429794208706</v>
      </c>
      <c r="Q37" s="82">
        <v>127.90493534875252</v>
      </c>
      <c r="R37" s="84">
        <v>24019.837916590786</v>
      </c>
      <c r="S37" s="84">
        <v>2388.2480422509561</v>
      </c>
      <c r="T37" s="84">
        <v>2513.7898379165913</v>
      </c>
      <c r="U37" s="82">
        <v>33.308703365989516</v>
      </c>
      <c r="V37" s="82">
        <v>7.8944983863175029</v>
      </c>
      <c r="W37" s="82">
        <v>3.6387900000748425</v>
      </c>
    </row>
    <row r="38" spans="1:23">
      <c r="A38">
        <v>31.13</v>
      </c>
      <c r="B38">
        <v>-98.76</v>
      </c>
      <c r="C38" t="s">
        <v>18</v>
      </c>
      <c r="D38" t="s">
        <v>19</v>
      </c>
      <c r="E38">
        <v>60</v>
      </c>
      <c r="F38">
        <v>1</v>
      </c>
      <c r="G38" t="s">
        <v>164</v>
      </c>
      <c r="H38">
        <v>4</v>
      </c>
      <c r="I38" t="s">
        <v>117</v>
      </c>
      <c r="J38" t="s">
        <v>165</v>
      </c>
      <c r="K38" t="s">
        <v>33</v>
      </c>
      <c r="L38" t="s">
        <v>128</v>
      </c>
      <c r="M38">
        <v>12.48</v>
      </c>
      <c r="N38" s="82">
        <v>40298.740484429072</v>
      </c>
      <c r="O38" s="82">
        <v>4.6003128406882503</v>
      </c>
      <c r="P38" s="82">
        <v>10.659479147696231</v>
      </c>
      <c r="Q38" s="82">
        <v>13.121690038244402</v>
      </c>
      <c r="R38" s="84">
        <v>2464.1806592606085</v>
      </c>
      <c r="S38" s="84">
        <v>245.0089236933164</v>
      </c>
      <c r="T38" s="84">
        <v>257.88818065926063</v>
      </c>
      <c r="U38" s="82">
        <v>3.4171197534529321</v>
      </c>
      <c r="V38" s="82">
        <v>0.80989181965674018</v>
      </c>
      <c r="W38" s="82">
        <v>0.37330126757857818</v>
      </c>
    </row>
    <row r="39" spans="1:23">
      <c r="A39">
        <v>30.47</v>
      </c>
      <c r="B39">
        <v>-99.83</v>
      </c>
      <c r="C39" t="s">
        <v>22</v>
      </c>
      <c r="D39" t="s">
        <v>19</v>
      </c>
      <c r="E39">
        <v>66</v>
      </c>
      <c r="F39">
        <v>4</v>
      </c>
      <c r="G39" t="s">
        <v>166</v>
      </c>
      <c r="H39">
        <v>5</v>
      </c>
      <c r="I39" t="s">
        <v>117</v>
      </c>
      <c r="J39" t="s">
        <v>167</v>
      </c>
      <c r="K39" t="s">
        <v>33</v>
      </c>
      <c r="L39" t="s">
        <v>128</v>
      </c>
      <c r="M39">
        <v>9.5</v>
      </c>
      <c r="N39" s="82">
        <v>30676.124567474049</v>
      </c>
      <c r="O39" s="82">
        <v>3.5018407040495489</v>
      </c>
      <c r="P39" s="82">
        <v>8.1141868512110733</v>
      </c>
      <c r="Q39" s="82">
        <v>9.9884659746251447</v>
      </c>
      <c r="R39" s="84">
        <v>1875.7785467128028</v>
      </c>
      <c r="S39" s="84">
        <v>186.50519031141872</v>
      </c>
      <c r="T39" s="84">
        <v>196.30911188004615</v>
      </c>
      <c r="U39" s="82">
        <v>2.6011728892470232</v>
      </c>
      <c r="V39" s="82">
        <v>0.61650418964255049</v>
      </c>
      <c r="W39" s="82">
        <v>0.28416362515997534</v>
      </c>
    </row>
    <row r="40" spans="1:23">
      <c r="A40">
        <v>31.31</v>
      </c>
      <c r="B40">
        <v>-99.08</v>
      </c>
      <c r="C40" t="s">
        <v>18</v>
      </c>
      <c r="D40" t="s">
        <v>19</v>
      </c>
      <c r="E40">
        <v>67</v>
      </c>
      <c r="F40">
        <v>1</v>
      </c>
      <c r="G40" t="s">
        <v>168</v>
      </c>
      <c r="H40">
        <v>4</v>
      </c>
      <c r="I40" t="s">
        <v>117</v>
      </c>
      <c r="J40" t="s">
        <v>165</v>
      </c>
      <c r="K40" t="s">
        <v>33</v>
      </c>
      <c r="L40" t="s">
        <v>128</v>
      </c>
      <c r="M40">
        <v>3.55</v>
      </c>
      <c r="N40" s="82">
        <v>11463.18339100346</v>
      </c>
      <c r="O40" s="82">
        <v>1.3085825788816734</v>
      </c>
      <c r="P40" s="82">
        <v>3.0321435075578216</v>
      </c>
      <c r="Q40" s="82">
        <v>3.7325320220967639</v>
      </c>
      <c r="R40" s="84">
        <v>700.94882535057354</v>
      </c>
      <c r="S40" s="84">
        <v>69.694044800582773</v>
      </c>
      <c r="T40" s="84">
        <v>73.357615492017246</v>
      </c>
      <c r="U40" s="82">
        <v>0.97201723756072966</v>
      </c>
      <c r="V40" s="82">
        <v>0.23037788139274254</v>
      </c>
      <c r="W40" s="82">
        <v>0.10618745992820131</v>
      </c>
    </row>
    <row r="41" spans="1:23">
      <c r="A41">
        <v>30.35</v>
      </c>
      <c r="B41">
        <v>-99.29</v>
      </c>
      <c r="C41" t="s">
        <v>22</v>
      </c>
      <c r="D41" t="s">
        <v>19</v>
      </c>
      <c r="E41">
        <v>128</v>
      </c>
      <c r="F41">
        <v>4</v>
      </c>
      <c r="G41" t="s">
        <v>169</v>
      </c>
      <c r="H41">
        <v>5</v>
      </c>
      <c r="I41" t="s">
        <v>117</v>
      </c>
      <c r="J41" t="s">
        <v>132</v>
      </c>
      <c r="K41" t="s">
        <v>33</v>
      </c>
      <c r="L41" t="s">
        <v>128</v>
      </c>
      <c r="M41">
        <v>6.44</v>
      </c>
      <c r="N41" s="82">
        <v>20795.183391003462</v>
      </c>
      <c r="O41" s="82">
        <v>2.3738793825346418</v>
      </c>
      <c r="P41" s="82">
        <v>5.5005645601894013</v>
      </c>
      <c r="Q41" s="82">
        <v>6.7711285133248351</v>
      </c>
      <c r="R41" s="84">
        <v>1271.5804042979421</v>
      </c>
      <c r="S41" s="84">
        <v>126.43088690584595</v>
      </c>
      <c r="T41" s="84">
        <v>133.07691373763132</v>
      </c>
      <c r="U41" s="82">
        <v>1.7633214112369295</v>
      </c>
      <c r="V41" s="82">
        <v>0.41792494539979219</v>
      </c>
      <c r="W41" s="82">
        <v>0.19263302589792014</v>
      </c>
    </row>
    <row r="42" spans="1:23">
      <c r="A42">
        <v>32.19</v>
      </c>
      <c r="B42">
        <v>-94.59</v>
      </c>
      <c r="C42" t="s">
        <v>18</v>
      </c>
      <c r="D42" t="s">
        <v>19</v>
      </c>
      <c r="E42">
        <v>13</v>
      </c>
      <c r="F42">
        <v>1</v>
      </c>
      <c r="G42" t="s">
        <v>170</v>
      </c>
      <c r="H42">
        <v>5</v>
      </c>
      <c r="I42" t="s">
        <v>117</v>
      </c>
      <c r="J42" t="s">
        <v>171</v>
      </c>
      <c r="K42" t="s">
        <v>34</v>
      </c>
      <c r="L42" t="s">
        <v>119</v>
      </c>
      <c r="M42">
        <v>70.489999999999995</v>
      </c>
      <c r="N42" s="82">
        <v>91677.542452640468</v>
      </c>
      <c r="O42" s="82">
        <v>10.465472882721516</v>
      </c>
      <c r="P42" s="82">
        <v>24.098660660419096</v>
      </c>
      <c r="Q42" s="82">
        <v>25.232715279732936</v>
      </c>
      <c r="R42" s="84">
        <v>5259.1782970679324</v>
      </c>
      <c r="S42" s="84">
        <v>462.69428468004668</v>
      </c>
      <c r="T42" s="84">
        <v>0.56702730965691994</v>
      </c>
      <c r="U42" s="82">
        <v>8.1899845215709028</v>
      </c>
      <c r="V42" s="82">
        <v>1.6413692927654508</v>
      </c>
      <c r="W42" s="82">
        <v>0.63411906838516174</v>
      </c>
    </row>
    <row r="43" spans="1:23">
      <c r="A43">
        <v>31.94</v>
      </c>
      <c r="B43">
        <v>-95.01</v>
      </c>
      <c r="C43" t="s">
        <v>18</v>
      </c>
      <c r="D43" t="s">
        <v>19</v>
      </c>
      <c r="E43">
        <v>15</v>
      </c>
      <c r="F43">
        <v>1</v>
      </c>
      <c r="G43" t="s">
        <v>172</v>
      </c>
      <c r="H43">
        <v>4</v>
      </c>
      <c r="I43" t="s">
        <v>117</v>
      </c>
      <c r="J43" t="s">
        <v>173</v>
      </c>
      <c r="K43" t="s">
        <v>34</v>
      </c>
      <c r="L43" t="s">
        <v>119</v>
      </c>
      <c r="M43">
        <v>76.88</v>
      </c>
      <c r="N43" s="82">
        <v>76.88</v>
      </c>
      <c r="O43" s="82">
        <v>8.7762557077625571E-3</v>
      </c>
      <c r="P43" s="82">
        <v>2.0208929929923739E-2</v>
      </c>
      <c r="Q43" s="82">
        <v>2.1159938397214268E-2</v>
      </c>
      <c r="R43" s="84">
        <v>4.4103017670598268</v>
      </c>
      <c r="S43" s="84">
        <v>0.38801145465453579</v>
      </c>
      <c r="T43" s="84">
        <v>4.755042336452644E-4</v>
      </c>
      <c r="U43" s="82">
        <v>6.8680507043874855E-3</v>
      </c>
      <c r="V43" s="82">
        <v>1.3764381968789719E-3</v>
      </c>
      <c r="W43" s="82">
        <v>5.3176680649609964E-4</v>
      </c>
    </row>
    <row r="44" spans="1:23">
      <c r="A44">
        <v>31.62</v>
      </c>
      <c r="B44">
        <v>-95.03</v>
      </c>
      <c r="C44" t="s">
        <v>18</v>
      </c>
      <c r="D44" t="s">
        <v>19</v>
      </c>
      <c r="E44">
        <v>23</v>
      </c>
      <c r="F44">
        <v>1</v>
      </c>
      <c r="G44" t="s">
        <v>174</v>
      </c>
      <c r="H44">
        <v>4</v>
      </c>
      <c r="I44" t="s">
        <v>117</v>
      </c>
      <c r="J44" t="s">
        <v>173</v>
      </c>
      <c r="K44" t="s">
        <v>34</v>
      </c>
      <c r="L44" t="s">
        <v>119</v>
      </c>
      <c r="M44">
        <v>8.5</v>
      </c>
      <c r="N44" s="82">
        <v>11054.888790572337</v>
      </c>
      <c r="O44" s="82">
        <v>1.2619736062297189</v>
      </c>
      <c r="P44" s="82">
        <v>2.9059244660740862</v>
      </c>
      <c r="Q44" s="82">
        <v>3.0426738527128667</v>
      </c>
      <c r="R44" s="84">
        <v>634.17528053734463</v>
      </c>
      <c r="S44" s="84">
        <v>55.79374974862246</v>
      </c>
      <c r="T44" s="84">
        <v>6.8374693319390265E-2</v>
      </c>
      <c r="U44" s="82">
        <v>0.9875850252993712</v>
      </c>
      <c r="V44" s="82">
        <v>0.1979236627678583</v>
      </c>
      <c r="W44" s="82">
        <v>7.6464918162489362E-2</v>
      </c>
    </row>
    <row r="45" spans="1:23">
      <c r="A45">
        <v>31.65</v>
      </c>
      <c r="B45">
        <v>-94.63</v>
      </c>
      <c r="C45" t="s">
        <v>18</v>
      </c>
      <c r="D45" t="s">
        <v>25</v>
      </c>
      <c r="E45">
        <v>24</v>
      </c>
      <c r="F45">
        <v>1</v>
      </c>
      <c r="G45" t="s">
        <v>175</v>
      </c>
      <c r="H45">
        <v>4</v>
      </c>
      <c r="I45" t="s">
        <v>124</v>
      </c>
      <c r="J45" t="s">
        <v>173</v>
      </c>
      <c r="K45" t="s">
        <v>34</v>
      </c>
      <c r="L45" t="s">
        <v>119</v>
      </c>
      <c r="M45">
        <v>92.76</v>
      </c>
      <c r="N45" s="82">
        <v>120641.35108394</v>
      </c>
      <c r="O45" s="82">
        <v>13.771843731043377</v>
      </c>
      <c r="P45" s="82">
        <v>31.712182761533199</v>
      </c>
      <c r="Q45" s="82">
        <v>33.204520773840642</v>
      </c>
      <c r="R45" s="84">
        <v>6920.7175320757751</v>
      </c>
      <c r="S45" s="84">
        <v>608.8739090214375</v>
      </c>
      <c r="T45" s="84">
        <v>0.74616900615372239</v>
      </c>
      <c r="U45" s="82">
        <v>10.777457287855254</v>
      </c>
      <c r="V45" s="82">
        <v>2.1599292892172395</v>
      </c>
      <c r="W45" s="82">
        <v>0.83445715397088371</v>
      </c>
    </row>
    <row r="46" spans="1:23">
      <c r="A46">
        <v>29.9</v>
      </c>
      <c r="B46">
        <v>-98.5</v>
      </c>
      <c r="C46" t="s">
        <v>22</v>
      </c>
      <c r="D46" t="s">
        <v>35</v>
      </c>
      <c r="E46">
        <v>99</v>
      </c>
      <c r="F46">
        <v>5</v>
      </c>
      <c r="G46" t="s">
        <v>176</v>
      </c>
      <c r="H46">
        <v>5</v>
      </c>
      <c r="I46" t="s">
        <v>124</v>
      </c>
      <c r="J46" t="s">
        <v>132</v>
      </c>
      <c r="K46" t="s">
        <v>36</v>
      </c>
      <c r="L46" t="s">
        <v>122</v>
      </c>
      <c r="M46">
        <v>137.04</v>
      </c>
      <c r="N46" s="82">
        <v>133487</v>
      </c>
      <c r="O46" s="82">
        <v>15.238242009132421</v>
      </c>
      <c r="P46" s="82">
        <v>34.5</v>
      </c>
      <c r="Q46" s="82">
        <v>30.6</v>
      </c>
      <c r="R46" s="84">
        <v>4059</v>
      </c>
      <c r="S46" s="84">
        <v>1246</v>
      </c>
      <c r="T46" s="84">
        <v>0</v>
      </c>
      <c r="U46" s="82">
        <v>6.5243150684931512</v>
      </c>
      <c r="V46" s="82">
        <v>8.7139269406392685</v>
      </c>
      <c r="W46" s="82">
        <v>0</v>
      </c>
    </row>
    <row r="47" spans="1:23">
      <c r="A47">
        <v>30.24</v>
      </c>
      <c r="B47">
        <v>-96.45</v>
      </c>
      <c r="C47" t="s">
        <v>22</v>
      </c>
      <c r="D47" t="s">
        <v>37</v>
      </c>
      <c r="E47">
        <v>87</v>
      </c>
      <c r="F47">
        <v>5</v>
      </c>
      <c r="G47" t="s">
        <v>177</v>
      </c>
      <c r="H47">
        <v>5</v>
      </c>
      <c r="I47" t="s">
        <v>124</v>
      </c>
      <c r="J47" t="s">
        <v>134</v>
      </c>
      <c r="K47" t="s">
        <v>38</v>
      </c>
      <c r="L47" t="s">
        <v>122</v>
      </c>
      <c r="M47">
        <v>75.06</v>
      </c>
      <c r="N47" s="82">
        <v>261441</v>
      </c>
      <c r="O47" s="82">
        <v>29.844863013698628</v>
      </c>
      <c r="P47" s="82">
        <v>63.399999999999991</v>
      </c>
      <c r="Q47" s="82">
        <v>43.8</v>
      </c>
      <c r="R47" s="84">
        <v>5715.9999999999991</v>
      </c>
      <c r="S47" s="84">
        <v>1320.9999999999998</v>
      </c>
      <c r="T47" s="84">
        <v>22</v>
      </c>
      <c r="U47" s="82">
        <v>8.5041095890410947</v>
      </c>
      <c r="V47" s="82">
        <v>9.0753424657534243</v>
      </c>
      <c r="W47" s="82">
        <v>12.265410958904109</v>
      </c>
    </row>
    <row r="48" spans="1:23">
      <c r="A48">
        <v>30.66</v>
      </c>
      <c r="B48">
        <v>-96.4</v>
      </c>
      <c r="C48" t="s">
        <v>22</v>
      </c>
      <c r="D48" t="s">
        <v>25</v>
      </c>
      <c r="E48">
        <v>85</v>
      </c>
      <c r="F48">
        <v>5</v>
      </c>
      <c r="G48" t="s">
        <v>178</v>
      </c>
      <c r="H48">
        <v>5</v>
      </c>
      <c r="I48" t="s">
        <v>124</v>
      </c>
      <c r="J48" t="s">
        <v>134</v>
      </c>
      <c r="K48" t="s">
        <v>39</v>
      </c>
      <c r="L48" t="s">
        <v>122</v>
      </c>
      <c r="M48">
        <v>341.25</v>
      </c>
      <c r="N48" s="82">
        <v>2197418</v>
      </c>
      <c r="O48" s="82">
        <v>250.84680365296802</v>
      </c>
      <c r="P48" s="82">
        <v>207</v>
      </c>
      <c r="Q48" s="82">
        <v>173.99999999999997</v>
      </c>
      <c r="R48" s="84">
        <v>83557.999999999985</v>
      </c>
      <c r="S48" s="84">
        <v>10745.999999999998</v>
      </c>
      <c r="T48" s="84">
        <v>13.999999999999998</v>
      </c>
      <c r="U48" s="82">
        <v>125.42340182648401</v>
      </c>
      <c r="V48" s="82">
        <v>107.86412557077625</v>
      </c>
      <c r="W48" s="82">
        <v>17.559276255707765</v>
      </c>
    </row>
    <row r="49" spans="1:23">
      <c r="A49">
        <v>29.15</v>
      </c>
      <c r="B49">
        <v>-97.19</v>
      </c>
      <c r="C49" t="s">
        <v>22</v>
      </c>
      <c r="D49" t="s">
        <v>35</v>
      </c>
      <c r="E49">
        <v>89</v>
      </c>
      <c r="F49">
        <v>5</v>
      </c>
      <c r="G49" t="s">
        <v>179</v>
      </c>
      <c r="H49">
        <v>5</v>
      </c>
      <c r="I49" t="s">
        <v>124</v>
      </c>
      <c r="J49" t="s">
        <v>180</v>
      </c>
      <c r="K49" t="s">
        <v>40</v>
      </c>
      <c r="L49" t="s">
        <v>122</v>
      </c>
      <c r="M49">
        <v>43.42</v>
      </c>
      <c r="N49" s="82">
        <v>103428</v>
      </c>
      <c r="O49" s="82">
        <v>11.806849315068492</v>
      </c>
      <c r="P49" s="82">
        <v>23.1</v>
      </c>
      <c r="Q49" s="82">
        <v>21.299999999999997</v>
      </c>
      <c r="R49" s="84">
        <v>3000.9999999999995</v>
      </c>
      <c r="S49" s="84">
        <v>613.99999999999989</v>
      </c>
      <c r="T49" s="84">
        <v>2.9999999999999996</v>
      </c>
      <c r="U49" s="82">
        <v>4.928538812785388</v>
      </c>
      <c r="V49" s="82">
        <v>4.455479452054794</v>
      </c>
      <c r="W49" s="82">
        <v>2.4228310502283099</v>
      </c>
    </row>
    <row r="50" spans="1:23">
      <c r="A50">
        <v>32.68</v>
      </c>
      <c r="B50">
        <v>-98.27</v>
      </c>
      <c r="C50" t="s">
        <v>18</v>
      </c>
      <c r="D50" t="s">
        <v>25</v>
      </c>
      <c r="E50">
        <v>27</v>
      </c>
      <c r="F50">
        <v>1</v>
      </c>
      <c r="G50" t="s">
        <v>181</v>
      </c>
      <c r="H50">
        <v>4</v>
      </c>
      <c r="I50" t="s">
        <v>124</v>
      </c>
      <c r="J50" t="s">
        <v>182</v>
      </c>
      <c r="K50" t="s">
        <v>41</v>
      </c>
      <c r="L50" t="s">
        <v>122</v>
      </c>
      <c r="M50">
        <v>108.46</v>
      </c>
      <c r="N50" s="82">
        <v>1446410</v>
      </c>
      <c r="O50" s="82">
        <v>165.11529680365297</v>
      </c>
      <c r="P50" s="82">
        <v>349</v>
      </c>
      <c r="Q50" s="82">
        <v>204</v>
      </c>
      <c r="R50" s="84">
        <v>45375</v>
      </c>
      <c r="S50" s="84">
        <v>5792</v>
      </c>
      <c r="T50" s="84">
        <v>138</v>
      </c>
      <c r="U50" s="82">
        <v>63.8777397260274</v>
      </c>
      <c r="V50" s="82">
        <v>35.434018264840184</v>
      </c>
      <c r="W50" s="82">
        <v>65.803538812785391</v>
      </c>
    </row>
    <row r="51" spans="1:23">
      <c r="A51">
        <v>29.27</v>
      </c>
      <c r="B51">
        <v>-97.8</v>
      </c>
      <c r="C51" t="s">
        <v>22</v>
      </c>
      <c r="D51" t="s">
        <v>35</v>
      </c>
      <c r="E51">
        <v>95</v>
      </c>
      <c r="F51">
        <v>5</v>
      </c>
      <c r="G51" t="s">
        <v>183</v>
      </c>
      <c r="H51">
        <v>5</v>
      </c>
      <c r="I51" t="s">
        <v>124</v>
      </c>
      <c r="J51" t="s">
        <v>132</v>
      </c>
      <c r="K51" t="s">
        <v>42</v>
      </c>
      <c r="L51" t="s">
        <v>119</v>
      </c>
      <c r="M51">
        <v>20.23</v>
      </c>
      <c r="N51" s="82">
        <v>325762</v>
      </c>
      <c r="O51" s="82">
        <v>37.18744292237443</v>
      </c>
      <c r="P51" s="82">
        <v>83.2</v>
      </c>
      <c r="Q51" s="82">
        <v>85.7</v>
      </c>
      <c r="R51" s="84">
        <v>12841</v>
      </c>
      <c r="S51" s="84">
        <v>2527</v>
      </c>
      <c r="T51" s="84">
        <v>0</v>
      </c>
      <c r="U51" s="82">
        <v>23.634589041095889</v>
      </c>
      <c r="V51" s="82">
        <v>13.552853881278539</v>
      </c>
      <c r="W51" s="82">
        <v>0</v>
      </c>
    </row>
    <row r="52" spans="1:23">
      <c r="A52">
        <v>30.28</v>
      </c>
      <c r="B52">
        <v>-98.88</v>
      </c>
      <c r="C52" t="s">
        <v>22</v>
      </c>
      <c r="D52" t="s">
        <v>35</v>
      </c>
      <c r="E52">
        <v>129</v>
      </c>
      <c r="F52">
        <v>5</v>
      </c>
      <c r="G52" t="s">
        <v>184</v>
      </c>
      <c r="H52">
        <v>5</v>
      </c>
      <c r="I52" t="s">
        <v>124</v>
      </c>
      <c r="J52" t="s">
        <v>132</v>
      </c>
      <c r="K52" t="s">
        <v>43</v>
      </c>
      <c r="L52" t="s">
        <v>122</v>
      </c>
      <c r="M52">
        <v>51.39</v>
      </c>
      <c r="N52" s="82">
        <v>133757</v>
      </c>
      <c r="O52" s="82">
        <v>15.269063926940639</v>
      </c>
      <c r="P52" s="82">
        <v>36.5</v>
      </c>
      <c r="Q52" s="82">
        <v>28.199999999999996</v>
      </c>
      <c r="R52" s="84">
        <v>4504</v>
      </c>
      <c r="S52" s="84">
        <v>1120</v>
      </c>
      <c r="T52" s="84">
        <v>0</v>
      </c>
      <c r="U52" s="82">
        <v>5.9818493150684935</v>
      </c>
      <c r="V52" s="82">
        <v>9.2872146118721464</v>
      </c>
      <c r="W52" s="82">
        <v>0</v>
      </c>
    </row>
    <row r="53" spans="1:23">
      <c r="A53">
        <v>32.82</v>
      </c>
      <c r="B53">
        <v>-96.54</v>
      </c>
      <c r="C53" t="s">
        <v>18</v>
      </c>
      <c r="D53" t="s">
        <v>23</v>
      </c>
      <c r="E53">
        <v>2</v>
      </c>
      <c r="F53">
        <v>1</v>
      </c>
      <c r="G53" t="s">
        <v>185</v>
      </c>
      <c r="H53">
        <v>4</v>
      </c>
      <c r="I53" t="s">
        <v>124</v>
      </c>
      <c r="J53" t="s">
        <v>186</v>
      </c>
      <c r="K53" t="s">
        <v>44</v>
      </c>
      <c r="L53" t="s">
        <v>122</v>
      </c>
      <c r="M53">
        <v>2377.94</v>
      </c>
      <c r="N53" s="82">
        <v>1924485</v>
      </c>
      <c r="O53" s="82">
        <v>219.69006849315068</v>
      </c>
      <c r="P53" s="82">
        <v>481</v>
      </c>
      <c r="Q53" s="82">
        <v>307.00000000000006</v>
      </c>
      <c r="R53" s="84">
        <v>63084</v>
      </c>
      <c r="S53" s="84">
        <v>6441</v>
      </c>
      <c r="T53" s="84">
        <v>8</v>
      </c>
      <c r="U53" s="82">
        <v>99.798059360730591</v>
      </c>
      <c r="V53" s="82">
        <v>89.766438356164386</v>
      </c>
      <c r="W53" s="82">
        <v>30.125570776255703</v>
      </c>
    </row>
    <row r="54" spans="1:23">
      <c r="A54">
        <v>30.7</v>
      </c>
      <c r="B54">
        <v>-97.75</v>
      </c>
      <c r="C54" t="s">
        <v>22</v>
      </c>
      <c r="D54" t="s">
        <v>25</v>
      </c>
      <c r="E54">
        <v>51</v>
      </c>
      <c r="F54">
        <v>5</v>
      </c>
      <c r="G54" t="s">
        <v>187</v>
      </c>
      <c r="H54">
        <v>5</v>
      </c>
      <c r="I54" t="s">
        <v>124</v>
      </c>
      <c r="J54" t="s">
        <v>146</v>
      </c>
      <c r="K54" t="s">
        <v>45</v>
      </c>
      <c r="L54" t="s">
        <v>122</v>
      </c>
      <c r="M54">
        <v>179.93</v>
      </c>
      <c r="N54" s="82">
        <v>605020</v>
      </c>
      <c r="O54" s="82">
        <v>69.066210045662103</v>
      </c>
      <c r="P54" s="82">
        <v>150</v>
      </c>
      <c r="Q54" s="82">
        <v>100</v>
      </c>
      <c r="R54" s="84">
        <v>22212</v>
      </c>
      <c r="S54" s="84">
        <v>2608</v>
      </c>
      <c r="T54" s="84">
        <v>23</v>
      </c>
      <c r="U54" s="82">
        <v>28.75799086757991</v>
      </c>
      <c r="V54" s="82">
        <v>27.25353881278539</v>
      </c>
      <c r="W54" s="82">
        <v>13.054680365296804</v>
      </c>
    </row>
    <row r="55" spans="1:23">
      <c r="A55">
        <v>33.119999999999997</v>
      </c>
      <c r="B55">
        <v>-96.07</v>
      </c>
      <c r="C55" t="s">
        <v>18</v>
      </c>
      <c r="D55" t="s">
        <v>35</v>
      </c>
      <c r="E55">
        <v>7</v>
      </c>
      <c r="F55">
        <v>1</v>
      </c>
      <c r="G55" t="s">
        <v>188</v>
      </c>
      <c r="H55">
        <v>4</v>
      </c>
      <c r="I55" t="s">
        <v>124</v>
      </c>
      <c r="J55" t="s">
        <v>186</v>
      </c>
      <c r="K55" t="s">
        <v>46</v>
      </c>
      <c r="L55" t="s">
        <v>122</v>
      </c>
      <c r="M55">
        <v>208.82</v>
      </c>
      <c r="N55" s="82">
        <v>516416</v>
      </c>
      <c r="O55" s="82">
        <v>58.951598173515983</v>
      </c>
      <c r="P55" s="82">
        <v>115</v>
      </c>
      <c r="Q55" s="82">
        <v>85</v>
      </c>
      <c r="R55" s="84">
        <v>11881</v>
      </c>
      <c r="S55" s="84">
        <v>2148</v>
      </c>
      <c r="T55" s="84">
        <v>0</v>
      </c>
      <c r="U55" s="82">
        <v>16.919063926940638</v>
      </c>
      <c r="V55" s="82">
        <v>42.032534246575345</v>
      </c>
      <c r="W55" s="82">
        <v>0</v>
      </c>
    </row>
    <row r="56" spans="1:23">
      <c r="A56">
        <v>29.83</v>
      </c>
      <c r="B56">
        <v>-97.63</v>
      </c>
      <c r="C56" t="s">
        <v>22</v>
      </c>
      <c r="D56" t="s">
        <v>25</v>
      </c>
      <c r="E56">
        <v>127</v>
      </c>
      <c r="F56">
        <v>5</v>
      </c>
      <c r="G56" t="s">
        <v>189</v>
      </c>
      <c r="H56">
        <v>5</v>
      </c>
      <c r="I56" t="s">
        <v>124</v>
      </c>
      <c r="J56" t="s">
        <v>146</v>
      </c>
      <c r="K56" t="s">
        <v>47</v>
      </c>
      <c r="L56" t="s">
        <v>122</v>
      </c>
      <c r="M56">
        <v>78.95</v>
      </c>
      <c r="N56" s="82">
        <v>712217</v>
      </c>
      <c r="O56" s="82">
        <v>81.303310502283111</v>
      </c>
      <c r="P56" s="82">
        <v>152</v>
      </c>
      <c r="Q56" s="82">
        <v>129</v>
      </c>
      <c r="R56" s="84">
        <v>4500</v>
      </c>
      <c r="S56" s="84">
        <v>814.99999999999989</v>
      </c>
      <c r="T56" s="84">
        <v>14</v>
      </c>
      <c r="U56" s="82">
        <v>28.456158675799088</v>
      </c>
      <c r="V56" s="82">
        <v>44.716820776255716</v>
      </c>
      <c r="W56" s="82">
        <v>8.1303310502283122</v>
      </c>
    </row>
    <row r="57" spans="1:23">
      <c r="A57">
        <v>29.67</v>
      </c>
      <c r="B57">
        <v>-98.04</v>
      </c>
      <c r="C57" t="s">
        <v>22</v>
      </c>
      <c r="D57" t="s">
        <v>37</v>
      </c>
      <c r="E57">
        <v>114</v>
      </c>
      <c r="F57">
        <v>5</v>
      </c>
      <c r="G57" t="s">
        <v>59</v>
      </c>
      <c r="H57">
        <v>5</v>
      </c>
      <c r="I57" t="s">
        <v>124</v>
      </c>
      <c r="J57" t="s">
        <v>132</v>
      </c>
      <c r="K57" t="s">
        <v>48</v>
      </c>
      <c r="L57" t="s">
        <v>122</v>
      </c>
      <c r="M57">
        <v>411.14</v>
      </c>
      <c r="N57" s="82">
        <v>1777020</v>
      </c>
      <c r="O57" s="82">
        <v>202.85616438356166</v>
      </c>
      <c r="P57" s="82">
        <v>353.80000000000007</v>
      </c>
      <c r="Q57" s="82">
        <v>266.90000000000003</v>
      </c>
      <c r="R57" s="84">
        <v>31043.000000000004</v>
      </c>
      <c r="S57" s="84">
        <v>5705.0000000000009</v>
      </c>
      <c r="T57" s="84">
        <v>13.000000000000002</v>
      </c>
      <c r="U57" s="82">
        <v>61.787401169310186</v>
      </c>
      <c r="V57" s="82">
        <v>55.19783629217892</v>
      </c>
      <c r="W57" s="82">
        <v>85.870926922072556</v>
      </c>
    </row>
    <row r="58" spans="1:23">
      <c r="A58">
        <v>29.37</v>
      </c>
      <c r="B58">
        <v>-98.42</v>
      </c>
      <c r="C58" t="s">
        <v>22</v>
      </c>
      <c r="D58" t="s">
        <v>23</v>
      </c>
      <c r="E58">
        <v>103</v>
      </c>
      <c r="F58">
        <v>5</v>
      </c>
      <c r="G58" t="s">
        <v>190</v>
      </c>
      <c r="H58">
        <v>5</v>
      </c>
      <c r="I58" t="s">
        <v>120</v>
      </c>
      <c r="J58" t="s">
        <v>132</v>
      </c>
      <c r="K58" t="s">
        <v>49</v>
      </c>
      <c r="L58" t="s">
        <v>122</v>
      </c>
      <c r="M58">
        <v>3710.33</v>
      </c>
      <c r="N58" s="82">
        <v>21817599</v>
      </c>
      <c r="O58" s="82">
        <v>2490.5934931506849</v>
      </c>
      <c r="P58" s="82">
        <v>5015</v>
      </c>
      <c r="Q58" s="82">
        <v>3934</v>
      </c>
      <c r="R58" s="84">
        <v>709943</v>
      </c>
      <c r="S58" s="84">
        <v>84770</v>
      </c>
      <c r="T58" s="84">
        <v>54.999999999999993</v>
      </c>
      <c r="U58" s="82">
        <v>1083.830707762557</v>
      </c>
      <c r="V58" s="82">
        <v>1318.4578767123287</v>
      </c>
      <c r="W58" s="82">
        <v>88.304908675799084</v>
      </c>
    </row>
    <row r="59" spans="1:23">
      <c r="A59">
        <v>31.81</v>
      </c>
      <c r="B59">
        <v>-98.79</v>
      </c>
      <c r="C59" t="s">
        <v>18</v>
      </c>
      <c r="D59" t="s">
        <v>19</v>
      </c>
      <c r="E59">
        <v>42</v>
      </c>
      <c r="F59">
        <v>1</v>
      </c>
      <c r="G59" t="s">
        <v>191</v>
      </c>
      <c r="H59">
        <v>4</v>
      </c>
      <c r="I59" t="s">
        <v>117</v>
      </c>
      <c r="J59" t="s">
        <v>165</v>
      </c>
      <c r="K59" t="s">
        <v>50</v>
      </c>
      <c r="L59" t="s">
        <v>128</v>
      </c>
      <c r="M59">
        <v>123.4</v>
      </c>
      <c r="N59" s="82">
        <v>104208.38441890167</v>
      </c>
      <c r="O59" s="82">
        <v>11.895934294395168</v>
      </c>
      <c r="P59" s="82">
        <v>26.5948275862069</v>
      </c>
      <c r="Q59" s="82">
        <v>31.519795657726696</v>
      </c>
      <c r="R59" s="84">
        <v>6892.0003192848026</v>
      </c>
      <c r="S59" s="84">
        <v>1694.1890166028102</v>
      </c>
      <c r="T59" s="84">
        <v>3.9399744572158371</v>
      </c>
      <c r="U59" s="82">
        <v>5.8637479443307274</v>
      </c>
      <c r="V59" s="82">
        <v>2.9996203936971142</v>
      </c>
      <c r="W59" s="82">
        <v>3.0325659563673266</v>
      </c>
    </row>
    <row r="60" spans="1:23">
      <c r="A60">
        <v>31.46</v>
      </c>
      <c r="B60">
        <v>-99.54</v>
      </c>
      <c r="C60" t="s">
        <v>18</v>
      </c>
      <c r="D60" t="s">
        <v>19</v>
      </c>
      <c r="E60">
        <v>62</v>
      </c>
      <c r="F60">
        <v>1</v>
      </c>
      <c r="G60" t="s">
        <v>192</v>
      </c>
      <c r="H60">
        <v>4</v>
      </c>
      <c r="I60" t="s">
        <v>117</v>
      </c>
      <c r="J60" t="s">
        <v>167</v>
      </c>
      <c r="K60" t="s">
        <v>50</v>
      </c>
      <c r="L60" t="s">
        <v>128</v>
      </c>
      <c r="M60">
        <v>1.88</v>
      </c>
      <c r="N60" s="82">
        <v>1587.6155810983396</v>
      </c>
      <c r="O60" s="82">
        <v>0.18123465537652281</v>
      </c>
      <c r="P60" s="82">
        <v>0.40517241379310354</v>
      </c>
      <c r="Q60" s="82">
        <v>0.48020434227330783</v>
      </c>
      <c r="R60" s="84">
        <v>104.99968071519797</v>
      </c>
      <c r="S60" s="84">
        <v>25.810983397190295</v>
      </c>
      <c r="T60" s="84">
        <v>6.0025542784163478E-2</v>
      </c>
      <c r="U60" s="82">
        <v>8.9334247450095355E-2</v>
      </c>
      <c r="V60" s="82">
        <v>4.5699241006082449E-2</v>
      </c>
      <c r="W60" s="82">
        <v>4.620116692034501E-2</v>
      </c>
    </row>
    <row r="61" spans="1:23">
      <c r="A61">
        <v>31.68</v>
      </c>
      <c r="B61">
        <v>-98.21</v>
      </c>
      <c r="C61" t="s">
        <v>18</v>
      </c>
      <c r="D61" t="s">
        <v>25</v>
      </c>
      <c r="E61">
        <v>43</v>
      </c>
      <c r="F61">
        <v>1</v>
      </c>
      <c r="G61" t="s">
        <v>193</v>
      </c>
      <c r="H61">
        <v>4</v>
      </c>
      <c r="I61" t="s">
        <v>124</v>
      </c>
      <c r="J61" t="s">
        <v>165</v>
      </c>
      <c r="K61" t="s">
        <v>51</v>
      </c>
      <c r="L61" t="s">
        <v>122</v>
      </c>
      <c r="M61">
        <v>18.71</v>
      </c>
      <c r="N61" s="82">
        <v>57567.63794466402</v>
      </c>
      <c r="O61" s="82">
        <v>6.571648167199089</v>
      </c>
      <c r="P61" s="82">
        <v>6.7157757811317174</v>
      </c>
      <c r="Q61" s="82">
        <v>6.3027091005905556</v>
      </c>
      <c r="R61" s="84">
        <v>1536.9808959156783</v>
      </c>
      <c r="S61" s="84">
        <v>2574.5354413702235</v>
      </c>
      <c r="T61" s="84">
        <v>1.2325428194993411</v>
      </c>
      <c r="U61" s="82">
        <v>2.547508422521823</v>
      </c>
      <c r="V61" s="82">
        <v>2.6061245570655927</v>
      </c>
      <c r="W61" s="82">
        <v>1.4180151876116733</v>
      </c>
    </row>
    <row r="62" spans="1:23">
      <c r="A62">
        <v>31.11</v>
      </c>
      <c r="B62">
        <v>-99.4</v>
      </c>
      <c r="C62" t="s">
        <v>18</v>
      </c>
      <c r="D62" t="s">
        <v>19</v>
      </c>
      <c r="E62">
        <v>59</v>
      </c>
      <c r="F62">
        <v>1</v>
      </c>
      <c r="G62" t="s">
        <v>194</v>
      </c>
      <c r="H62">
        <v>4</v>
      </c>
      <c r="I62" t="s">
        <v>117</v>
      </c>
      <c r="J62" t="s">
        <v>167</v>
      </c>
      <c r="K62" t="s">
        <v>51</v>
      </c>
      <c r="L62" t="s">
        <v>122</v>
      </c>
      <c r="M62">
        <v>17.39</v>
      </c>
      <c r="N62" s="82">
        <v>53506.211857707509</v>
      </c>
      <c r="O62" s="82">
        <v>6.1080150522497156</v>
      </c>
      <c r="P62" s="82">
        <v>6.24197438983862</v>
      </c>
      <c r="Q62" s="82">
        <v>5.8580497733441899</v>
      </c>
      <c r="R62" s="84">
        <v>1428.546113306983</v>
      </c>
      <c r="S62" s="84">
        <v>2392.9006587615286</v>
      </c>
      <c r="T62" s="84">
        <v>1.1455862977602107</v>
      </c>
      <c r="U62" s="82">
        <v>2.3677804098158477</v>
      </c>
      <c r="V62" s="82">
        <v>2.4222611463052202</v>
      </c>
      <c r="W62" s="82">
        <v>1.317973496128648</v>
      </c>
    </row>
    <row r="63" spans="1:23">
      <c r="A63">
        <v>31.38</v>
      </c>
      <c r="B63">
        <v>-98.47</v>
      </c>
      <c r="C63" t="s">
        <v>18</v>
      </c>
      <c r="D63" t="s">
        <v>19</v>
      </c>
      <c r="E63">
        <v>65</v>
      </c>
      <c r="F63">
        <v>1</v>
      </c>
      <c r="G63" t="s">
        <v>195</v>
      </c>
      <c r="H63">
        <v>4</v>
      </c>
      <c r="I63" t="s">
        <v>117</v>
      </c>
      <c r="J63" t="s">
        <v>165</v>
      </c>
      <c r="K63" t="s">
        <v>51</v>
      </c>
      <c r="L63" t="s">
        <v>122</v>
      </c>
      <c r="M63">
        <v>12.49</v>
      </c>
      <c r="N63" s="82">
        <v>38429.705928853757</v>
      </c>
      <c r="O63" s="82">
        <v>4.3869527316043095</v>
      </c>
      <c r="P63" s="82">
        <v>4.4831661948869677</v>
      </c>
      <c r="Q63" s="82">
        <v>4.2074204525054011</v>
      </c>
      <c r="R63" s="84">
        <v>1026.0230566534913</v>
      </c>
      <c r="S63" s="84">
        <v>1718.6503293807641</v>
      </c>
      <c r="T63" s="84">
        <v>0.82279314888010535</v>
      </c>
      <c r="U63" s="82">
        <v>1.700608241437604</v>
      </c>
      <c r="V63" s="82">
        <v>1.739737879088683</v>
      </c>
      <c r="W63" s="82">
        <v>0.94660661107802246</v>
      </c>
    </row>
    <row r="64" spans="1:23">
      <c r="A64">
        <v>32.340000000000003</v>
      </c>
      <c r="B64">
        <v>-99.16</v>
      </c>
      <c r="C64" t="s">
        <v>18</v>
      </c>
      <c r="D64" t="s">
        <v>19</v>
      </c>
      <c r="E64">
        <v>44</v>
      </c>
      <c r="F64">
        <v>1</v>
      </c>
      <c r="G64" t="s">
        <v>196</v>
      </c>
      <c r="H64">
        <v>4</v>
      </c>
      <c r="I64" t="s">
        <v>117</v>
      </c>
      <c r="J64" t="s">
        <v>136</v>
      </c>
      <c r="K64" t="s">
        <v>51</v>
      </c>
      <c r="L64" t="s">
        <v>122</v>
      </c>
      <c r="M64">
        <v>27.31</v>
      </c>
      <c r="N64" s="82">
        <v>84028.444268774692</v>
      </c>
      <c r="O64" s="82">
        <v>9.5922881585359239</v>
      </c>
      <c r="P64" s="82">
        <v>9.8026636334958415</v>
      </c>
      <c r="Q64" s="82">
        <v>9.1997319902259793</v>
      </c>
      <c r="R64" s="84">
        <v>2243.449934123847</v>
      </c>
      <c r="S64" s="84">
        <v>3757.913570487483</v>
      </c>
      <c r="T64" s="84">
        <v>1.7990777338603423</v>
      </c>
      <c r="U64" s="82">
        <v>3.718463656818332</v>
      </c>
      <c r="V64" s="82">
        <v>3.804022536261964</v>
      </c>
      <c r="W64" s="82">
        <v>2.0698019654556279</v>
      </c>
    </row>
    <row r="65" spans="1:23">
      <c r="A65">
        <v>30.88</v>
      </c>
      <c r="B65">
        <v>-99.86</v>
      </c>
      <c r="C65" t="s">
        <v>18</v>
      </c>
      <c r="D65" t="s">
        <v>19</v>
      </c>
      <c r="E65">
        <v>64</v>
      </c>
      <c r="F65">
        <v>4</v>
      </c>
      <c r="G65" t="s">
        <v>197</v>
      </c>
      <c r="H65">
        <v>4</v>
      </c>
      <c r="I65" t="s">
        <v>117</v>
      </c>
      <c r="J65" t="s">
        <v>167</v>
      </c>
      <c r="K65" t="s">
        <v>52</v>
      </c>
      <c r="L65" t="s">
        <v>122</v>
      </c>
      <c r="M65">
        <v>4.84</v>
      </c>
      <c r="N65" s="82">
        <v>45437.642105263156</v>
      </c>
      <c r="O65" s="82">
        <v>5.1869454458062965</v>
      </c>
      <c r="P65" s="82">
        <v>4.206026385865048</v>
      </c>
      <c r="Q65" s="82">
        <v>3.9473266594151215</v>
      </c>
      <c r="R65" s="84">
        <v>1568.0982456140352</v>
      </c>
      <c r="S65" s="84">
        <v>422.4</v>
      </c>
      <c r="T65" s="84">
        <v>207.80350877192984</v>
      </c>
      <c r="U65" s="82">
        <v>1.8071969879035488</v>
      </c>
      <c r="V65" s="82">
        <v>1.7223904510133783</v>
      </c>
      <c r="W65" s="82">
        <v>1.6573580068893696</v>
      </c>
    </row>
    <row r="66" spans="1:23">
      <c r="A66">
        <v>31.22</v>
      </c>
      <c r="B66">
        <v>-99.9</v>
      </c>
      <c r="C66" t="s">
        <v>18</v>
      </c>
      <c r="D66" t="s">
        <v>19</v>
      </c>
      <c r="E66">
        <v>63</v>
      </c>
      <c r="F66">
        <v>4</v>
      </c>
      <c r="G66" t="s">
        <v>198</v>
      </c>
      <c r="H66">
        <v>4</v>
      </c>
      <c r="I66" t="s">
        <v>117</v>
      </c>
      <c r="J66" t="s">
        <v>167</v>
      </c>
      <c r="K66" t="s">
        <v>52</v>
      </c>
      <c r="L66" t="s">
        <v>122</v>
      </c>
      <c r="M66">
        <v>7.55</v>
      </c>
      <c r="N66" s="82">
        <v>70878.966507177029</v>
      </c>
      <c r="O66" s="82">
        <v>8.0912062222804817</v>
      </c>
      <c r="P66" s="82">
        <v>6.5610535564630394</v>
      </c>
      <c r="Q66" s="82">
        <v>6.1575033633438361</v>
      </c>
      <c r="R66" s="84">
        <v>2446.1036682615627</v>
      </c>
      <c r="S66" s="84">
        <v>658.90909090909076</v>
      </c>
      <c r="T66" s="84">
        <v>324.15629984051031</v>
      </c>
      <c r="U66" s="82">
        <v>2.8190779460065682</v>
      </c>
      <c r="V66" s="82">
        <v>2.6867867572626039</v>
      </c>
      <c r="W66" s="82">
        <v>2.5853415190113096</v>
      </c>
    </row>
    <row r="67" spans="1:23">
      <c r="A67">
        <v>31.08</v>
      </c>
      <c r="B67">
        <v>-100.68</v>
      </c>
      <c r="C67" t="s">
        <v>18</v>
      </c>
      <c r="D67" t="s">
        <v>19</v>
      </c>
      <c r="E67">
        <v>69</v>
      </c>
      <c r="F67">
        <v>4</v>
      </c>
      <c r="G67" t="s">
        <v>199</v>
      </c>
      <c r="H67">
        <v>4</v>
      </c>
      <c r="I67" t="s">
        <v>117</v>
      </c>
      <c r="J67" t="s">
        <v>167</v>
      </c>
      <c r="K67" t="s">
        <v>52</v>
      </c>
      <c r="L67" t="s">
        <v>122</v>
      </c>
      <c r="M67">
        <v>11.56</v>
      </c>
      <c r="N67" s="82">
        <v>108524.61626794258</v>
      </c>
      <c r="O67" s="82">
        <v>12.388654825107601</v>
      </c>
      <c r="P67" s="82">
        <v>10.045798557975198</v>
      </c>
      <c r="Q67" s="82">
        <v>9.4279124344708283</v>
      </c>
      <c r="R67" s="84">
        <v>3745.2925039872412</v>
      </c>
      <c r="S67" s="84">
        <v>1008.8727272727274</v>
      </c>
      <c r="T67" s="84">
        <v>496.32408293460929</v>
      </c>
      <c r="U67" s="82">
        <v>4.3163630537531041</v>
      </c>
      <c r="V67" s="82">
        <v>4.1138085978749279</v>
      </c>
      <c r="W67" s="82">
        <v>3.9584831734795687</v>
      </c>
    </row>
    <row r="68" spans="1:23">
      <c r="A68">
        <v>31.95</v>
      </c>
      <c r="B68">
        <v>-101.02</v>
      </c>
      <c r="C68" t="s">
        <v>18</v>
      </c>
      <c r="D68" t="s">
        <v>19</v>
      </c>
      <c r="E68">
        <v>72</v>
      </c>
      <c r="F68">
        <v>4</v>
      </c>
      <c r="G68" t="s">
        <v>200</v>
      </c>
      <c r="H68">
        <v>4</v>
      </c>
      <c r="I68" t="s">
        <v>117</v>
      </c>
      <c r="J68" t="s">
        <v>167</v>
      </c>
      <c r="K68" t="s">
        <v>52</v>
      </c>
      <c r="L68" t="s">
        <v>122</v>
      </c>
      <c r="M68">
        <v>6.67</v>
      </c>
      <c r="N68" s="82">
        <v>62617.577033492817</v>
      </c>
      <c r="O68" s="82">
        <v>7.1481252321338831</v>
      </c>
      <c r="P68" s="82">
        <v>5.7963214863057573</v>
      </c>
      <c r="Q68" s="82">
        <v>5.4398076070865411</v>
      </c>
      <c r="R68" s="84">
        <v>2160.9948963317383</v>
      </c>
      <c r="S68" s="84">
        <v>582.10909090909092</v>
      </c>
      <c r="T68" s="84">
        <v>286.37384370015951</v>
      </c>
      <c r="U68" s="82">
        <v>2.4904966754786506</v>
      </c>
      <c r="V68" s="82">
        <v>2.3736248570783536</v>
      </c>
      <c r="W68" s="82">
        <v>2.2840036995768789</v>
      </c>
    </row>
    <row r="69" spans="1:23">
      <c r="A69">
        <v>31.6</v>
      </c>
      <c r="B69">
        <v>-100.8</v>
      </c>
      <c r="C69" t="s">
        <v>18</v>
      </c>
      <c r="D69" t="s">
        <v>19</v>
      </c>
      <c r="E69">
        <v>74</v>
      </c>
      <c r="F69">
        <v>4</v>
      </c>
      <c r="G69" t="s">
        <v>201</v>
      </c>
      <c r="H69">
        <v>4</v>
      </c>
      <c r="I69" t="s">
        <v>117</v>
      </c>
      <c r="J69" t="s">
        <v>167</v>
      </c>
      <c r="K69" t="s">
        <v>52</v>
      </c>
      <c r="L69" t="s">
        <v>122</v>
      </c>
      <c r="M69">
        <v>0.73</v>
      </c>
      <c r="N69" s="82">
        <v>6853.198086124401</v>
      </c>
      <c r="O69" s="82">
        <v>0.78232854864433798</v>
      </c>
      <c r="P69" s="82">
        <v>0.63438001274410838</v>
      </c>
      <c r="Q69" s="82">
        <v>0.59536125234980131</v>
      </c>
      <c r="R69" s="84">
        <v>236.51068580542261</v>
      </c>
      <c r="S69" s="84">
        <v>63.709090909090897</v>
      </c>
      <c r="T69" s="84">
        <v>31.342264752791067</v>
      </c>
      <c r="U69" s="82">
        <v>0.27257309941520463</v>
      </c>
      <c r="V69" s="82">
        <v>0.25978203083466239</v>
      </c>
      <c r="W69" s="82">
        <v>0.24997341839447099</v>
      </c>
    </row>
    <row r="70" spans="1:23">
      <c r="A70">
        <v>33.71</v>
      </c>
      <c r="B70">
        <v>-97.36</v>
      </c>
      <c r="C70" t="s">
        <v>18</v>
      </c>
      <c r="D70" t="s">
        <v>25</v>
      </c>
      <c r="E70">
        <v>31</v>
      </c>
      <c r="F70">
        <v>3</v>
      </c>
      <c r="G70" t="s">
        <v>202</v>
      </c>
      <c r="H70">
        <v>4</v>
      </c>
      <c r="I70" t="s">
        <v>124</v>
      </c>
      <c r="J70" t="s">
        <v>203</v>
      </c>
      <c r="K70" t="s">
        <v>53</v>
      </c>
      <c r="L70" t="s">
        <v>122</v>
      </c>
      <c r="M70">
        <v>62.47</v>
      </c>
      <c r="N70" s="82">
        <v>408031.98385360604</v>
      </c>
      <c r="O70" s="82">
        <v>46.578993590594301</v>
      </c>
      <c r="P70" s="82">
        <v>50.265150699677072</v>
      </c>
      <c r="Q70" s="82">
        <v>46.062378902045211</v>
      </c>
      <c r="R70" s="84">
        <v>11440.785387513457</v>
      </c>
      <c r="S70" s="84">
        <v>1953.4483315392897</v>
      </c>
      <c r="T70" s="84">
        <v>0</v>
      </c>
      <c r="U70" s="82">
        <v>17.489575760871169</v>
      </c>
      <c r="V70" s="82">
        <v>29.089417829723132</v>
      </c>
      <c r="W70" s="82">
        <v>0</v>
      </c>
    </row>
    <row r="71" spans="1:23">
      <c r="A71">
        <v>33.799999999999997</v>
      </c>
      <c r="B71">
        <v>-97.74</v>
      </c>
      <c r="C71" t="s">
        <v>18</v>
      </c>
      <c r="D71" t="s">
        <v>25</v>
      </c>
      <c r="E71">
        <v>32</v>
      </c>
      <c r="F71">
        <v>3</v>
      </c>
      <c r="G71" t="s">
        <v>204</v>
      </c>
      <c r="H71">
        <v>4</v>
      </c>
      <c r="I71" t="s">
        <v>124</v>
      </c>
      <c r="J71" t="s">
        <v>203</v>
      </c>
      <c r="K71" t="s">
        <v>53</v>
      </c>
      <c r="L71" t="s">
        <v>122</v>
      </c>
      <c r="M71">
        <v>11.85</v>
      </c>
      <c r="N71" s="82">
        <v>0.15944564047362755</v>
      </c>
      <c r="O71" s="82">
        <v>1.8201557131692642E-5</v>
      </c>
      <c r="P71" s="82">
        <v>1.9641987549899733E-5</v>
      </c>
      <c r="Q71" s="82">
        <v>1.7999680898570323E-5</v>
      </c>
      <c r="R71" s="84">
        <v>4.4706871662489175E-3</v>
      </c>
      <c r="S71" s="84">
        <v>7.6334413153790936E-4</v>
      </c>
      <c r="T71" s="84">
        <v>0</v>
      </c>
      <c r="U71" s="82">
        <v>6.8343578914260889E-6</v>
      </c>
      <c r="V71" s="82">
        <v>1.1367199240266553E-5</v>
      </c>
      <c r="W71" s="82">
        <v>0</v>
      </c>
    </row>
    <row r="72" spans="1:23">
      <c r="A72">
        <v>33.61</v>
      </c>
      <c r="B72">
        <v>-96.16</v>
      </c>
      <c r="C72" t="s">
        <v>18</v>
      </c>
      <c r="D72" t="s">
        <v>19</v>
      </c>
      <c r="E72">
        <v>11</v>
      </c>
      <c r="F72">
        <v>3</v>
      </c>
      <c r="G72" t="s">
        <v>205</v>
      </c>
      <c r="H72">
        <v>4</v>
      </c>
      <c r="I72" t="s">
        <v>117</v>
      </c>
      <c r="J72" t="s">
        <v>206</v>
      </c>
      <c r="K72" t="s">
        <v>54</v>
      </c>
      <c r="L72" t="s">
        <v>119</v>
      </c>
      <c r="M72">
        <v>37.76</v>
      </c>
      <c r="N72" s="82">
        <v>38059.296870429949</v>
      </c>
      <c r="O72" s="82">
        <v>4.3446685925148349</v>
      </c>
      <c r="P72" s="82">
        <v>11.044164960514772</v>
      </c>
      <c r="Q72" s="82">
        <v>10.491956712489033</v>
      </c>
      <c r="R72" s="84">
        <v>3758.0532319391637</v>
      </c>
      <c r="S72" s="84">
        <v>641.66598420590822</v>
      </c>
      <c r="T72" s="84">
        <v>0</v>
      </c>
      <c r="U72" s="82">
        <v>3.8156581339038764</v>
      </c>
      <c r="V72" s="82">
        <v>0.52658351596837982</v>
      </c>
      <c r="W72" s="82">
        <v>2.4269426425788739E-3</v>
      </c>
    </row>
    <row r="73" spans="1:23">
      <c r="A73">
        <v>33.65</v>
      </c>
      <c r="B73">
        <v>-95.58</v>
      </c>
      <c r="C73" t="s">
        <v>18</v>
      </c>
      <c r="D73" t="s">
        <v>25</v>
      </c>
      <c r="E73">
        <v>8</v>
      </c>
      <c r="F73">
        <v>3</v>
      </c>
      <c r="G73" t="s">
        <v>207</v>
      </c>
      <c r="H73">
        <v>4</v>
      </c>
      <c r="I73" t="s">
        <v>124</v>
      </c>
      <c r="J73" t="s">
        <v>206</v>
      </c>
      <c r="K73" t="s">
        <v>54</v>
      </c>
      <c r="L73" t="s">
        <v>119</v>
      </c>
      <c r="M73">
        <v>99</v>
      </c>
      <c r="N73" s="82">
        <v>99784.703129570058</v>
      </c>
      <c r="O73" s="82">
        <v>11.390947845841332</v>
      </c>
      <c r="P73" s="82">
        <v>28.955835039485233</v>
      </c>
      <c r="Q73" s="82">
        <v>27.508043287510972</v>
      </c>
      <c r="R73" s="84">
        <v>9852.9467680608395</v>
      </c>
      <c r="S73" s="84">
        <v>1682.3340157940922</v>
      </c>
      <c r="T73" s="84">
        <v>0</v>
      </c>
      <c r="U73" s="82">
        <v>10.003976569292472</v>
      </c>
      <c r="V73" s="82">
        <v>1.3806082648535383</v>
      </c>
      <c r="W73" s="82">
        <v>6.3630116953206708E-3</v>
      </c>
    </row>
    <row r="74" spans="1:23">
      <c r="A74">
        <v>28.76</v>
      </c>
      <c r="B74">
        <v>-97.99</v>
      </c>
      <c r="C74" t="s">
        <v>22</v>
      </c>
      <c r="D74" t="s">
        <v>19</v>
      </c>
      <c r="E74">
        <v>102</v>
      </c>
      <c r="F74">
        <v>5</v>
      </c>
      <c r="G74" t="s">
        <v>66</v>
      </c>
      <c r="H74">
        <v>5</v>
      </c>
      <c r="I74" t="s">
        <v>117</v>
      </c>
      <c r="J74" t="s">
        <v>132</v>
      </c>
      <c r="K74" t="s">
        <v>55</v>
      </c>
      <c r="L74" t="s">
        <v>119</v>
      </c>
      <c r="M74">
        <v>33.19</v>
      </c>
      <c r="N74" s="82">
        <v>272979</v>
      </c>
      <c r="O74" s="82">
        <v>31.161986301369865</v>
      </c>
      <c r="P74" s="82">
        <v>37.900000000000006</v>
      </c>
      <c r="Q74" s="82">
        <v>37.900000000000006</v>
      </c>
      <c r="R74" s="84">
        <v>9371</v>
      </c>
      <c r="S74" s="84">
        <v>289.00000000000006</v>
      </c>
      <c r="T74" s="84">
        <v>9.0000000000000018</v>
      </c>
      <c r="U74" s="82">
        <v>15.878995433789953</v>
      </c>
      <c r="V74" s="82">
        <v>6.9835616438356176</v>
      </c>
      <c r="W74" s="82">
        <v>8.2994292237442924</v>
      </c>
    </row>
    <row r="75" spans="1:23">
      <c r="A75">
        <v>33.46</v>
      </c>
      <c r="B75">
        <v>-98.55</v>
      </c>
      <c r="C75" t="s">
        <v>18</v>
      </c>
      <c r="D75" t="s">
        <v>19</v>
      </c>
      <c r="E75">
        <v>34</v>
      </c>
      <c r="F75">
        <v>3</v>
      </c>
      <c r="G75" t="s">
        <v>208</v>
      </c>
      <c r="H75">
        <v>4</v>
      </c>
      <c r="I75" t="s">
        <v>117</v>
      </c>
      <c r="J75" t="s">
        <v>203</v>
      </c>
      <c r="K75" t="s">
        <v>56</v>
      </c>
      <c r="L75" t="s">
        <v>122</v>
      </c>
      <c r="M75">
        <v>21.46</v>
      </c>
      <c r="N75" s="82">
        <v>46439.69918852613</v>
      </c>
      <c r="O75" s="82">
        <v>5.3013355238043527</v>
      </c>
      <c r="P75" s="82">
        <v>9.7195697301377599</v>
      </c>
      <c r="Q75" s="82">
        <v>8.9096055859596124</v>
      </c>
      <c r="R75" s="84">
        <v>1758.8371390828454</v>
      </c>
      <c r="S75" s="84">
        <v>743.14210228344962</v>
      </c>
      <c r="T75" s="84">
        <v>0</v>
      </c>
      <c r="U75" s="82">
        <v>2.1769173299692106</v>
      </c>
      <c r="V75" s="82">
        <v>3.1244181938351421</v>
      </c>
      <c r="W75" s="82">
        <v>0</v>
      </c>
    </row>
    <row r="76" spans="1:23">
      <c r="A76">
        <v>32.799999999999997</v>
      </c>
      <c r="B76">
        <v>-98.89</v>
      </c>
      <c r="C76" t="s">
        <v>18</v>
      </c>
      <c r="D76" t="s">
        <v>19</v>
      </c>
      <c r="E76">
        <v>39</v>
      </c>
      <c r="F76">
        <v>1</v>
      </c>
      <c r="G76" t="s">
        <v>209</v>
      </c>
      <c r="H76">
        <v>4</v>
      </c>
      <c r="I76" t="s">
        <v>117</v>
      </c>
      <c r="J76" t="s">
        <v>136</v>
      </c>
      <c r="K76" t="s">
        <v>56</v>
      </c>
      <c r="L76" t="s">
        <v>122</v>
      </c>
      <c r="M76">
        <v>22.55</v>
      </c>
      <c r="N76" s="82">
        <v>48798.472353274199</v>
      </c>
      <c r="O76" s="82">
        <v>5.5706018668121233</v>
      </c>
      <c r="P76" s="82">
        <v>10.21324778260049</v>
      </c>
      <c r="Q76" s="82">
        <v>9.3621438007171154</v>
      </c>
      <c r="R76" s="84">
        <v>1848.172296659747</v>
      </c>
      <c r="S76" s="84">
        <v>780.88790337799583</v>
      </c>
      <c r="T76" s="84">
        <v>0</v>
      </c>
      <c r="U76" s="82">
        <v>2.2874876882947675</v>
      </c>
      <c r="V76" s="82">
        <v>3.2831141785173559</v>
      </c>
      <c r="W76" s="82">
        <v>0</v>
      </c>
    </row>
    <row r="77" spans="1:23">
      <c r="A77">
        <v>33.76</v>
      </c>
      <c r="B77">
        <v>-98.2</v>
      </c>
      <c r="C77" t="s">
        <v>18</v>
      </c>
      <c r="D77" t="s">
        <v>19</v>
      </c>
      <c r="E77">
        <v>37</v>
      </c>
      <c r="F77">
        <v>3</v>
      </c>
      <c r="G77" t="s">
        <v>210</v>
      </c>
      <c r="H77">
        <v>4</v>
      </c>
      <c r="I77" t="s">
        <v>117</v>
      </c>
      <c r="J77" t="s">
        <v>203</v>
      </c>
      <c r="K77" t="s">
        <v>56</v>
      </c>
      <c r="L77" t="s">
        <v>122</v>
      </c>
      <c r="M77">
        <v>8.98</v>
      </c>
      <c r="N77" s="82">
        <v>19432.82845819966</v>
      </c>
      <c r="O77" s="82">
        <v>2.2183594130364908</v>
      </c>
      <c r="P77" s="82">
        <v>4.0671824872617472</v>
      </c>
      <c r="Q77" s="82">
        <v>3.7282506133232678</v>
      </c>
      <c r="R77" s="84">
        <v>735.99056425740707</v>
      </c>
      <c r="S77" s="84">
        <v>310.96999433855439</v>
      </c>
      <c r="T77" s="84">
        <v>0</v>
      </c>
      <c r="U77" s="82">
        <v>0.91093744748944616</v>
      </c>
      <c r="V77" s="82">
        <v>1.3074219655470447</v>
      </c>
      <c r="W77" s="82">
        <v>0</v>
      </c>
    </row>
    <row r="78" spans="1:23">
      <c r="A78">
        <v>33.58</v>
      </c>
      <c r="B78">
        <v>-96.62</v>
      </c>
      <c r="C78" t="s">
        <v>18</v>
      </c>
      <c r="D78" t="s">
        <v>25</v>
      </c>
      <c r="E78">
        <v>1</v>
      </c>
      <c r="F78">
        <v>3</v>
      </c>
      <c r="G78" t="s">
        <v>211</v>
      </c>
      <c r="H78">
        <v>4</v>
      </c>
      <c r="I78" t="s">
        <v>124</v>
      </c>
      <c r="J78" t="s">
        <v>186</v>
      </c>
      <c r="K78" t="s">
        <v>57</v>
      </c>
      <c r="L78" t="s">
        <v>128</v>
      </c>
      <c r="M78">
        <v>328.92</v>
      </c>
      <c r="N78" s="82">
        <v>864229</v>
      </c>
      <c r="O78" s="82">
        <v>98.656278538812785</v>
      </c>
      <c r="P78" s="82">
        <v>46.29999999999999</v>
      </c>
      <c r="Q78" s="82">
        <v>62.099999999999994</v>
      </c>
      <c r="R78" s="84">
        <v>44211</v>
      </c>
      <c r="S78" s="84">
        <v>2790</v>
      </c>
      <c r="T78" s="84">
        <v>0</v>
      </c>
      <c r="U78" s="82">
        <v>81.194178082191783</v>
      </c>
      <c r="V78" s="82">
        <v>17.462100456621002</v>
      </c>
      <c r="W78" s="82">
        <v>0</v>
      </c>
    </row>
    <row r="79" spans="1:23">
      <c r="A79">
        <v>34.700000000000003</v>
      </c>
      <c r="B79">
        <v>-100.07</v>
      </c>
      <c r="C79" t="s">
        <v>18</v>
      </c>
      <c r="D79" t="s">
        <v>19</v>
      </c>
      <c r="E79">
        <v>146</v>
      </c>
      <c r="F79">
        <v>3</v>
      </c>
      <c r="G79" t="s">
        <v>212</v>
      </c>
      <c r="H79">
        <v>4</v>
      </c>
      <c r="I79" t="s">
        <v>117</v>
      </c>
      <c r="J79" t="s">
        <v>213</v>
      </c>
      <c r="K79" t="s">
        <v>58</v>
      </c>
      <c r="L79" t="s">
        <v>119</v>
      </c>
      <c r="M79">
        <v>0.28999999999999998</v>
      </c>
      <c r="N79" s="82">
        <v>1836.2866730584849</v>
      </c>
      <c r="O79" s="82">
        <v>0.20962176633087726</v>
      </c>
      <c r="P79" s="82">
        <v>1.320709491850431E-2</v>
      </c>
      <c r="Q79" s="82">
        <v>1.2859539789069988E-2</v>
      </c>
      <c r="R79" s="84">
        <v>25.114333652924248</v>
      </c>
      <c r="S79" s="84">
        <v>6.339405560882069</v>
      </c>
      <c r="T79" s="84">
        <v>5.3732023010546488</v>
      </c>
      <c r="U79" s="82">
        <v>1.8727508241505663E-2</v>
      </c>
      <c r="V79" s="82">
        <v>1.5313056821515035E-2</v>
      </c>
      <c r="W79" s="82">
        <v>0.17558120126785656</v>
      </c>
    </row>
    <row r="80" spans="1:23">
      <c r="A80">
        <v>28.72</v>
      </c>
      <c r="B80">
        <v>-98.48</v>
      </c>
      <c r="C80" t="s">
        <v>22</v>
      </c>
      <c r="D80" t="s">
        <v>25</v>
      </c>
      <c r="E80">
        <v>105</v>
      </c>
      <c r="F80">
        <v>5</v>
      </c>
      <c r="G80" t="s">
        <v>214</v>
      </c>
      <c r="H80">
        <v>5</v>
      </c>
      <c r="I80" t="s">
        <v>124</v>
      </c>
      <c r="J80" t="s">
        <v>132</v>
      </c>
      <c r="K80" t="s">
        <v>58</v>
      </c>
      <c r="L80" t="s">
        <v>119</v>
      </c>
      <c r="M80">
        <v>41.43</v>
      </c>
      <c r="N80" s="82">
        <v>262335.71332694148</v>
      </c>
      <c r="O80" s="82">
        <v>29.946999238235332</v>
      </c>
      <c r="P80" s="82">
        <v>1.8867929050814953</v>
      </c>
      <c r="Q80" s="82">
        <v>1.8371404602109298</v>
      </c>
      <c r="R80" s="84">
        <v>3587.8856663470751</v>
      </c>
      <c r="S80" s="84">
        <v>905.66059443911786</v>
      </c>
      <c r="T80" s="84">
        <v>767.62679769894532</v>
      </c>
      <c r="U80" s="82">
        <v>2.675450573950275</v>
      </c>
      <c r="V80" s="82">
        <v>2.1876549797081655</v>
      </c>
      <c r="W80" s="82">
        <v>25.083893684576893</v>
      </c>
    </row>
    <row r="81" spans="1:23">
      <c r="A81">
        <v>28.94</v>
      </c>
      <c r="B81">
        <v>-97.55</v>
      </c>
      <c r="C81" t="s">
        <v>22</v>
      </c>
      <c r="D81" t="s">
        <v>25</v>
      </c>
      <c r="E81">
        <v>93</v>
      </c>
      <c r="F81">
        <v>5</v>
      </c>
      <c r="G81" t="s">
        <v>215</v>
      </c>
      <c r="H81">
        <v>5</v>
      </c>
      <c r="I81" t="s">
        <v>124</v>
      </c>
      <c r="J81" t="s">
        <v>180</v>
      </c>
      <c r="K81" t="s">
        <v>59</v>
      </c>
      <c r="L81" t="s">
        <v>122</v>
      </c>
      <c r="M81">
        <v>12.94</v>
      </c>
      <c r="N81" s="82">
        <v>183764.79703991266</v>
      </c>
      <c r="O81" s="82">
        <v>20.977716557067655</v>
      </c>
      <c r="P81" s="82">
        <v>38.382021108819607</v>
      </c>
      <c r="Q81" s="82">
        <v>34.457479073152982</v>
      </c>
      <c r="R81" s="84">
        <v>5751.6518257915814</v>
      </c>
      <c r="S81" s="84">
        <v>495.19871406041494</v>
      </c>
      <c r="T81" s="84">
        <v>8.5555016377532471</v>
      </c>
      <c r="U81" s="82">
        <v>9.0750823308222781</v>
      </c>
      <c r="V81" s="82">
        <v>2.2462985474876431</v>
      </c>
      <c r="W81" s="82">
        <v>9.6563356787577348</v>
      </c>
    </row>
    <row r="82" spans="1:23">
      <c r="A82">
        <v>29.97</v>
      </c>
      <c r="B82">
        <v>-96.1</v>
      </c>
      <c r="C82" t="s">
        <v>22</v>
      </c>
      <c r="D82" t="s">
        <v>19</v>
      </c>
      <c r="E82">
        <v>82</v>
      </c>
      <c r="F82">
        <v>5</v>
      </c>
      <c r="G82" t="s">
        <v>216</v>
      </c>
      <c r="H82">
        <v>5</v>
      </c>
      <c r="I82" t="s">
        <v>117</v>
      </c>
      <c r="J82" t="s">
        <v>151</v>
      </c>
      <c r="K82" t="s">
        <v>59</v>
      </c>
      <c r="L82" t="s">
        <v>122</v>
      </c>
      <c r="M82">
        <v>151.91999999999999</v>
      </c>
      <c r="N82" s="82">
        <v>2157461.2029600875</v>
      </c>
      <c r="O82" s="82">
        <v>246.28552545206477</v>
      </c>
      <c r="P82" s="82">
        <v>450.61797889118048</v>
      </c>
      <c r="Q82" s="82">
        <v>404.54252092684709</v>
      </c>
      <c r="R82" s="84">
        <v>67526.348174208426</v>
      </c>
      <c r="S82" s="84">
        <v>5813.8012859395858</v>
      </c>
      <c r="T82" s="84">
        <v>100.44449836224678</v>
      </c>
      <c r="U82" s="82">
        <v>106.54455237237407</v>
      </c>
      <c r="V82" s="82">
        <v>26.372308758448433</v>
      </c>
      <c r="W82" s="82">
        <v>113.36866432124226</v>
      </c>
    </row>
    <row r="83" spans="1:23">
      <c r="A83">
        <v>31.1</v>
      </c>
      <c r="B83">
        <v>-98.26</v>
      </c>
      <c r="C83" t="s">
        <v>22</v>
      </c>
      <c r="D83" t="s">
        <v>25</v>
      </c>
      <c r="E83">
        <v>190</v>
      </c>
      <c r="F83">
        <v>5</v>
      </c>
      <c r="G83" t="s">
        <v>217</v>
      </c>
      <c r="H83">
        <v>4</v>
      </c>
      <c r="I83" t="s">
        <v>124</v>
      </c>
      <c r="J83" t="s">
        <v>165</v>
      </c>
      <c r="K83" t="s">
        <v>60</v>
      </c>
      <c r="L83" t="s">
        <v>128</v>
      </c>
      <c r="M83">
        <v>27.37</v>
      </c>
      <c r="N83" s="82">
        <v>48808.389286904363</v>
      </c>
      <c r="O83" s="82">
        <v>5.5717339368612286</v>
      </c>
      <c r="P83" s="82">
        <v>13.27002665778074</v>
      </c>
      <c r="Q83" s="82">
        <v>17.237354215261579</v>
      </c>
      <c r="R83" s="84">
        <v>3857.8840386537822</v>
      </c>
      <c r="S83" s="84">
        <v>172.8295568143952</v>
      </c>
      <c r="T83" s="84">
        <v>0</v>
      </c>
      <c r="U83" s="82">
        <v>5.0132200891179348</v>
      </c>
      <c r="V83" s="82">
        <v>0.55851384774329405</v>
      </c>
      <c r="W83" s="82">
        <v>0</v>
      </c>
    </row>
    <row r="84" spans="1:23">
      <c r="A84">
        <v>31.45</v>
      </c>
      <c r="B84">
        <v>-97.63</v>
      </c>
      <c r="C84" t="s">
        <v>18</v>
      </c>
      <c r="D84" t="s">
        <v>25</v>
      </c>
      <c r="E84">
        <v>52</v>
      </c>
      <c r="F84">
        <v>1</v>
      </c>
      <c r="G84" t="s">
        <v>218</v>
      </c>
      <c r="H84">
        <v>4</v>
      </c>
      <c r="I84" t="s">
        <v>124</v>
      </c>
      <c r="J84" t="s">
        <v>219</v>
      </c>
      <c r="K84" t="s">
        <v>60</v>
      </c>
      <c r="L84" t="s">
        <v>128</v>
      </c>
      <c r="M84">
        <v>92.67</v>
      </c>
      <c r="N84" s="82">
        <v>165256.61071309564</v>
      </c>
      <c r="O84" s="82">
        <v>18.864909898755212</v>
      </c>
      <c r="P84" s="82">
        <v>44.929973342219277</v>
      </c>
      <c r="Q84" s="82">
        <v>58.362645784738426</v>
      </c>
      <c r="R84" s="84">
        <v>13062.115961346221</v>
      </c>
      <c r="S84" s="84">
        <v>585.17044318560488</v>
      </c>
      <c r="T84" s="84">
        <v>0</v>
      </c>
      <c r="U84" s="82">
        <v>16.973880367503071</v>
      </c>
      <c r="V84" s="82">
        <v>1.8910295312521399</v>
      </c>
      <c r="W84" s="82">
        <v>0</v>
      </c>
    </row>
    <row r="85" spans="1:23">
      <c r="A85">
        <v>31.5</v>
      </c>
      <c r="B85">
        <v>-97.02</v>
      </c>
      <c r="C85" t="s">
        <v>18</v>
      </c>
      <c r="D85" t="s">
        <v>25</v>
      </c>
      <c r="E85">
        <v>53</v>
      </c>
      <c r="F85">
        <v>1</v>
      </c>
      <c r="G85" t="s">
        <v>220</v>
      </c>
      <c r="H85">
        <v>4</v>
      </c>
      <c r="I85" t="s">
        <v>124</v>
      </c>
      <c r="J85" t="s">
        <v>221</v>
      </c>
      <c r="K85" t="s">
        <v>61</v>
      </c>
      <c r="L85" t="s">
        <v>128</v>
      </c>
      <c r="M85">
        <v>553.41999999999996</v>
      </c>
      <c r="N85" s="82">
        <v>390640</v>
      </c>
      <c r="O85" s="82">
        <v>44.593607305936075</v>
      </c>
      <c r="P85" s="82">
        <v>91</v>
      </c>
      <c r="Q85" s="82">
        <v>122</v>
      </c>
      <c r="R85" s="84">
        <v>15911.000000000002</v>
      </c>
      <c r="S85" s="84">
        <v>4958</v>
      </c>
      <c r="T85" s="84">
        <v>47</v>
      </c>
      <c r="U85" s="82">
        <v>32.68607305936073</v>
      </c>
      <c r="V85" s="82">
        <v>7.1899543378995441</v>
      </c>
      <c r="W85" s="82">
        <v>4.7175799086757992</v>
      </c>
    </row>
    <row r="86" spans="1:23">
      <c r="A86">
        <v>31.86</v>
      </c>
      <c r="B86">
        <v>-97.36</v>
      </c>
      <c r="C86" t="s">
        <v>18</v>
      </c>
      <c r="D86" t="s">
        <v>19</v>
      </c>
      <c r="E86">
        <v>54</v>
      </c>
      <c r="F86">
        <v>1</v>
      </c>
      <c r="G86" t="s">
        <v>222</v>
      </c>
      <c r="H86">
        <v>4</v>
      </c>
      <c r="I86" t="s">
        <v>117</v>
      </c>
      <c r="J86" t="s">
        <v>221</v>
      </c>
      <c r="K86" t="s">
        <v>62</v>
      </c>
      <c r="L86" t="s">
        <v>128</v>
      </c>
      <c r="M86">
        <v>93.21</v>
      </c>
      <c r="N86" s="82">
        <v>501499</v>
      </c>
      <c r="O86" s="82">
        <v>57.24874429223744</v>
      </c>
      <c r="P86" s="82">
        <v>132</v>
      </c>
      <c r="Q86" s="82">
        <v>164</v>
      </c>
      <c r="R86" s="84">
        <v>20189</v>
      </c>
      <c r="S86" s="84">
        <v>6098</v>
      </c>
      <c r="T86" s="84">
        <v>1</v>
      </c>
      <c r="U86" s="82">
        <v>41.562328767123283</v>
      </c>
      <c r="V86" s="82">
        <v>14.667123287671231</v>
      </c>
      <c r="W86" s="82">
        <v>1.0192922374429223</v>
      </c>
    </row>
    <row r="87" spans="1:23">
      <c r="A87">
        <v>31.3</v>
      </c>
      <c r="B87">
        <v>-95.45</v>
      </c>
      <c r="C87" t="s">
        <v>22</v>
      </c>
      <c r="D87" t="s">
        <v>25</v>
      </c>
      <c r="E87">
        <v>20</v>
      </c>
      <c r="F87">
        <v>1</v>
      </c>
      <c r="G87" t="s">
        <v>223</v>
      </c>
      <c r="H87">
        <v>5</v>
      </c>
      <c r="I87" t="s">
        <v>124</v>
      </c>
      <c r="J87" t="s">
        <v>173</v>
      </c>
      <c r="K87" t="s">
        <v>63</v>
      </c>
      <c r="L87" t="s">
        <v>128</v>
      </c>
      <c r="M87">
        <v>39</v>
      </c>
      <c r="N87" s="82">
        <v>190440.9894837476</v>
      </c>
      <c r="O87" s="82">
        <v>21.739838982162969</v>
      </c>
      <c r="P87" s="82">
        <v>75.503910340621431</v>
      </c>
      <c r="Q87" s="82">
        <v>93.807888605014512</v>
      </c>
      <c r="R87" s="84">
        <v>9236.8666347992348</v>
      </c>
      <c r="S87" s="84">
        <v>686.97418738049703</v>
      </c>
      <c r="T87" s="84">
        <v>6.0587954110898661</v>
      </c>
      <c r="U87" s="82">
        <v>10.184926595772545</v>
      </c>
      <c r="V87" s="82">
        <v>4.1431030474868384</v>
      </c>
      <c r="W87" s="82">
        <v>7.411809338903586</v>
      </c>
    </row>
    <row r="88" spans="1:23">
      <c r="A88">
        <v>30.6</v>
      </c>
      <c r="B88">
        <v>-95.97</v>
      </c>
      <c r="C88" t="s">
        <v>22</v>
      </c>
      <c r="D88" t="s">
        <v>19</v>
      </c>
      <c r="E88">
        <v>86</v>
      </c>
      <c r="F88">
        <v>5</v>
      </c>
      <c r="G88" t="s">
        <v>224</v>
      </c>
      <c r="H88">
        <v>5</v>
      </c>
      <c r="I88" t="s">
        <v>117</v>
      </c>
      <c r="J88" t="s">
        <v>134</v>
      </c>
      <c r="K88" t="s">
        <v>63</v>
      </c>
      <c r="L88" t="s">
        <v>128</v>
      </c>
      <c r="M88">
        <v>44.68</v>
      </c>
      <c r="N88" s="82">
        <v>218177.01051625234</v>
      </c>
      <c r="O88" s="82">
        <v>24.90605142879593</v>
      </c>
      <c r="P88" s="82">
        <v>86.500377282537571</v>
      </c>
      <c r="Q88" s="82">
        <v>107.47016571466789</v>
      </c>
      <c r="R88" s="84">
        <v>10582.133365200762</v>
      </c>
      <c r="S88" s="84">
        <v>787.02581261950274</v>
      </c>
      <c r="T88" s="84">
        <v>6.9412045889101321</v>
      </c>
      <c r="U88" s="82">
        <v>11.668269751259416</v>
      </c>
      <c r="V88" s="82">
        <v>4.746508824659279</v>
      </c>
      <c r="W88" s="82">
        <v>8.4912728528772359</v>
      </c>
    </row>
    <row r="89" spans="1:23">
      <c r="A89">
        <v>28.07</v>
      </c>
      <c r="B89">
        <v>-97.91</v>
      </c>
      <c r="C89" t="s">
        <v>22</v>
      </c>
      <c r="D89" t="s">
        <v>19</v>
      </c>
      <c r="E89">
        <v>121</v>
      </c>
      <c r="F89">
        <v>7</v>
      </c>
      <c r="G89" t="s">
        <v>225</v>
      </c>
      <c r="H89">
        <v>5</v>
      </c>
      <c r="I89" t="s">
        <v>117</v>
      </c>
      <c r="J89" t="s">
        <v>121</v>
      </c>
      <c r="K89" t="s">
        <v>64</v>
      </c>
      <c r="L89" t="s">
        <v>122</v>
      </c>
      <c r="M89">
        <v>33.58</v>
      </c>
      <c r="N89" s="82">
        <v>465017.51534349634</v>
      </c>
      <c r="O89" s="82">
        <v>53.084191249257572</v>
      </c>
      <c r="P89" s="82">
        <v>50.526232429221935</v>
      </c>
      <c r="Q89" s="82">
        <v>39.889130865175211</v>
      </c>
      <c r="R89" s="84">
        <v>9266.9099188279561</v>
      </c>
      <c r="S89" s="84">
        <v>1071.0231637299544</v>
      </c>
      <c r="T89" s="84">
        <v>17.950108889328845</v>
      </c>
      <c r="U89" s="82">
        <v>11.418339602718934</v>
      </c>
      <c r="V89" s="82">
        <v>3.753949712928133</v>
      </c>
      <c r="W89" s="82">
        <v>37.911901933610508</v>
      </c>
    </row>
    <row r="90" spans="1:23">
      <c r="A90">
        <v>28.37</v>
      </c>
      <c r="B90">
        <v>-98.19</v>
      </c>
      <c r="C90" t="s">
        <v>22</v>
      </c>
      <c r="D90" t="s">
        <v>25</v>
      </c>
      <c r="E90">
        <v>101</v>
      </c>
      <c r="F90">
        <v>7</v>
      </c>
      <c r="G90" t="s">
        <v>226</v>
      </c>
      <c r="H90">
        <v>5</v>
      </c>
      <c r="I90" t="s">
        <v>124</v>
      </c>
      <c r="J90" t="s">
        <v>121</v>
      </c>
      <c r="K90" t="s">
        <v>65</v>
      </c>
      <c r="L90" t="s">
        <v>122</v>
      </c>
      <c r="M90">
        <v>16.93</v>
      </c>
      <c r="N90" s="82">
        <v>234447.48465650366</v>
      </c>
      <c r="O90" s="82">
        <v>26.763411490468453</v>
      </c>
      <c r="P90" s="82">
        <v>25.473767570778062</v>
      </c>
      <c r="Q90" s="82">
        <v>20.110869134824785</v>
      </c>
      <c r="R90" s="84">
        <v>4672.0900811720448</v>
      </c>
      <c r="S90" s="84">
        <v>539.97683627004551</v>
      </c>
      <c r="T90" s="84">
        <v>9.0498911106711528</v>
      </c>
      <c r="U90" s="82">
        <v>5.7567745525322076</v>
      </c>
      <c r="V90" s="82">
        <v>1.8926256295376203</v>
      </c>
      <c r="W90" s="82">
        <v>19.114011308398624</v>
      </c>
    </row>
    <row r="91" spans="1:23">
      <c r="A91">
        <v>27.75</v>
      </c>
      <c r="B91">
        <v>-98.23</v>
      </c>
      <c r="C91" t="s">
        <v>22</v>
      </c>
      <c r="D91" t="s">
        <v>19</v>
      </c>
      <c r="E91">
        <v>115</v>
      </c>
      <c r="F91">
        <v>7</v>
      </c>
      <c r="G91" t="s">
        <v>227</v>
      </c>
      <c r="H91">
        <v>5</v>
      </c>
      <c r="I91" t="s">
        <v>117</v>
      </c>
      <c r="J91" t="s">
        <v>228</v>
      </c>
      <c r="K91" t="s">
        <v>66</v>
      </c>
      <c r="L91" t="s">
        <v>119</v>
      </c>
      <c r="M91">
        <v>75.95</v>
      </c>
      <c r="N91" s="82">
        <v>966252</v>
      </c>
      <c r="O91" s="82">
        <v>110.30273972602741</v>
      </c>
      <c r="P91" s="82">
        <v>182.6</v>
      </c>
      <c r="Q91" s="82">
        <v>174.40000000000003</v>
      </c>
      <c r="R91" s="84">
        <v>15688.000000000004</v>
      </c>
      <c r="S91" s="84">
        <v>3937.0000000000005</v>
      </c>
      <c r="T91" s="84">
        <v>21.000000000000004</v>
      </c>
      <c r="U91" s="82">
        <v>24.353424657534251</v>
      </c>
      <c r="V91" s="82">
        <v>51.668378995433798</v>
      </c>
      <c r="W91" s="82">
        <v>34.280936073059365</v>
      </c>
    </row>
    <row r="92" spans="1:23">
      <c r="A92">
        <v>30.03</v>
      </c>
      <c r="B92">
        <v>-99.14</v>
      </c>
      <c r="C92" t="s">
        <v>22</v>
      </c>
      <c r="D92" t="s">
        <v>25</v>
      </c>
      <c r="E92">
        <v>104</v>
      </c>
      <c r="F92">
        <v>5</v>
      </c>
      <c r="G92" t="s">
        <v>229</v>
      </c>
      <c r="H92">
        <v>5</v>
      </c>
      <c r="I92" t="s">
        <v>124</v>
      </c>
      <c r="J92" t="s">
        <v>132</v>
      </c>
      <c r="K92" t="s">
        <v>67</v>
      </c>
      <c r="L92" t="s">
        <v>122</v>
      </c>
      <c r="M92">
        <v>120.96</v>
      </c>
      <c r="N92" s="82">
        <v>479918</v>
      </c>
      <c r="O92" s="82">
        <v>54.785159817351598</v>
      </c>
      <c r="P92" s="82">
        <v>119.5</v>
      </c>
      <c r="Q92" s="82">
        <v>110.5</v>
      </c>
      <c r="R92" s="84">
        <v>18765</v>
      </c>
      <c r="S92" s="84">
        <v>3832</v>
      </c>
      <c r="T92" s="84">
        <v>0</v>
      </c>
      <c r="U92" s="82">
        <v>29.217237442922375</v>
      </c>
      <c r="V92" s="82">
        <v>25.567922374429223</v>
      </c>
      <c r="W92" s="82">
        <v>0</v>
      </c>
    </row>
    <row r="93" spans="1:23">
      <c r="A93">
        <v>33.19</v>
      </c>
      <c r="B93">
        <v>-95.59</v>
      </c>
      <c r="C93" t="s">
        <v>18</v>
      </c>
      <c r="D93" t="s">
        <v>25</v>
      </c>
      <c r="E93">
        <v>9</v>
      </c>
      <c r="F93">
        <v>1</v>
      </c>
      <c r="G93" t="s">
        <v>230</v>
      </c>
      <c r="H93">
        <v>4</v>
      </c>
      <c r="I93" t="s">
        <v>124</v>
      </c>
      <c r="J93" t="s">
        <v>206</v>
      </c>
      <c r="K93" t="s">
        <v>68</v>
      </c>
      <c r="L93" t="s">
        <v>128</v>
      </c>
      <c r="M93">
        <v>52.59</v>
      </c>
      <c r="N93" s="82">
        <v>74092.624098793633</v>
      </c>
      <c r="O93" s="82">
        <v>8.4580621117344332</v>
      </c>
      <c r="P93" s="82">
        <v>19.520879434649153</v>
      </c>
      <c r="Q93" s="82">
        <v>21.397887072596188</v>
      </c>
      <c r="R93" s="84">
        <v>4324.2501963023769</v>
      </c>
      <c r="S93" s="84">
        <v>284.17895638518092</v>
      </c>
      <c r="T93" s="84">
        <v>0</v>
      </c>
      <c r="U93" s="82">
        <v>6.0605919677858751</v>
      </c>
      <c r="V93" s="82">
        <v>2.3974701439485573</v>
      </c>
      <c r="W93" s="82">
        <v>0</v>
      </c>
    </row>
    <row r="94" spans="1:23">
      <c r="A94">
        <v>33.54</v>
      </c>
      <c r="B94">
        <v>-95.06</v>
      </c>
      <c r="C94" t="s">
        <v>18</v>
      </c>
      <c r="D94" t="s">
        <v>25</v>
      </c>
      <c r="E94">
        <v>10</v>
      </c>
      <c r="F94">
        <v>3</v>
      </c>
      <c r="G94" t="s">
        <v>231</v>
      </c>
      <c r="H94">
        <v>4</v>
      </c>
      <c r="I94" t="s">
        <v>124</v>
      </c>
      <c r="J94" t="s">
        <v>206</v>
      </c>
      <c r="K94" t="s">
        <v>68</v>
      </c>
      <c r="L94" t="s">
        <v>128</v>
      </c>
      <c r="M94">
        <v>25.54</v>
      </c>
      <c r="N94" s="82">
        <v>35982.613034477836</v>
      </c>
      <c r="O94" s="82">
        <v>4.1076042276801177</v>
      </c>
      <c r="P94" s="82">
        <v>9.4801913055892619</v>
      </c>
      <c r="Q94" s="82">
        <v>10.391748161895922</v>
      </c>
      <c r="R94" s="84">
        <v>2100.0446855592832</v>
      </c>
      <c r="S94" s="84">
        <v>138.0097080448283</v>
      </c>
      <c r="T94" s="84">
        <v>0</v>
      </c>
      <c r="U94" s="82">
        <v>2.9432880558518963</v>
      </c>
      <c r="V94" s="82">
        <v>1.1643161718282211</v>
      </c>
      <c r="W94" s="82">
        <v>0</v>
      </c>
    </row>
    <row r="95" spans="1:23">
      <c r="A95">
        <v>33.08</v>
      </c>
      <c r="B95">
        <v>-94.97</v>
      </c>
      <c r="C95" t="s">
        <v>18</v>
      </c>
      <c r="D95" t="s">
        <v>25</v>
      </c>
      <c r="E95">
        <v>12</v>
      </c>
      <c r="F95">
        <v>1</v>
      </c>
      <c r="G95" t="s">
        <v>232</v>
      </c>
      <c r="H95">
        <v>4</v>
      </c>
      <c r="I95" t="s">
        <v>124</v>
      </c>
      <c r="J95" t="s">
        <v>206</v>
      </c>
      <c r="K95" t="s">
        <v>68</v>
      </c>
      <c r="L95" t="s">
        <v>128</v>
      </c>
      <c r="M95">
        <v>61.96</v>
      </c>
      <c r="N95" s="82">
        <v>87293.762866728532</v>
      </c>
      <c r="O95" s="82">
        <v>9.9650414231425266</v>
      </c>
      <c r="P95" s="82">
        <v>22.998929259761582</v>
      </c>
      <c r="Q95" s="82">
        <v>25.210364765507887</v>
      </c>
      <c r="R95" s="84">
        <v>5094.7051181383395</v>
      </c>
      <c r="S95" s="84">
        <v>334.81133556999072</v>
      </c>
      <c r="T95" s="84">
        <v>0</v>
      </c>
      <c r="U95" s="82">
        <v>7.14041221380515</v>
      </c>
      <c r="V95" s="82">
        <v>2.8246292093373762</v>
      </c>
      <c r="W95" s="82">
        <v>0</v>
      </c>
    </row>
    <row r="96" spans="1:23">
      <c r="A96">
        <v>33.79</v>
      </c>
      <c r="B96">
        <v>-101.05</v>
      </c>
      <c r="C96" t="s">
        <v>18</v>
      </c>
      <c r="D96" t="s">
        <v>19</v>
      </c>
      <c r="E96">
        <v>144</v>
      </c>
      <c r="F96">
        <v>3</v>
      </c>
      <c r="G96" t="s">
        <v>233</v>
      </c>
      <c r="H96">
        <v>4</v>
      </c>
      <c r="I96" t="s">
        <v>117</v>
      </c>
      <c r="J96" t="s">
        <v>143</v>
      </c>
      <c r="K96" t="s">
        <v>69</v>
      </c>
      <c r="L96" t="s">
        <v>122</v>
      </c>
      <c r="M96">
        <v>10.66</v>
      </c>
      <c r="N96" s="82">
        <v>82524.661016949147</v>
      </c>
      <c r="O96" s="82">
        <v>9.4206234037613186</v>
      </c>
      <c r="P96" s="82">
        <v>6.7950626381724399</v>
      </c>
      <c r="Q96" s="82">
        <v>0.72663964627855571</v>
      </c>
      <c r="R96" s="84">
        <v>1466.6337509211494</v>
      </c>
      <c r="S96" s="84">
        <v>148.86293294030949</v>
      </c>
      <c r="T96" s="84">
        <v>1987.0648489314665</v>
      </c>
      <c r="U96" s="82">
        <v>1.0957435317632569</v>
      </c>
      <c r="V96" s="82">
        <v>0.7618820726622989</v>
      </c>
      <c r="W96" s="82">
        <v>7.5629977993357631</v>
      </c>
    </row>
    <row r="97" spans="1:23">
      <c r="A97">
        <v>34.51</v>
      </c>
      <c r="B97">
        <v>-100.8</v>
      </c>
      <c r="C97" t="s">
        <v>18</v>
      </c>
      <c r="D97" t="s">
        <v>19</v>
      </c>
      <c r="E97">
        <v>149</v>
      </c>
      <c r="F97">
        <v>3</v>
      </c>
      <c r="G97" t="s">
        <v>234</v>
      </c>
      <c r="H97">
        <v>4</v>
      </c>
      <c r="I97" t="s">
        <v>117</v>
      </c>
      <c r="J97" t="s">
        <v>213</v>
      </c>
      <c r="K97" t="s">
        <v>69</v>
      </c>
      <c r="L97" t="s">
        <v>122</v>
      </c>
      <c r="M97">
        <v>1.37</v>
      </c>
      <c r="N97" s="82">
        <v>10605.889830508475</v>
      </c>
      <c r="O97" s="82">
        <v>1.2107180171813328</v>
      </c>
      <c r="P97" s="82">
        <v>0.87328666175386893</v>
      </c>
      <c r="Q97" s="82">
        <v>9.3386145910095808E-2</v>
      </c>
      <c r="R97" s="84">
        <v>188.48857774502579</v>
      </c>
      <c r="S97" s="84">
        <v>19.131540162122331</v>
      </c>
      <c r="T97" s="84">
        <v>255.37324981577009</v>
      </c>
      <c r="U97" s="82">
        <v>0.14082257396957432</v>
      </c>
      <c r="V97" s="82">
        <v>9.791542584871947E-2</v>
      </c>
      <c r="W97" s="82">
        <v>0.97198001736303896</v>
      </c>
    </row>
    <row r="98" spans="1:23">
      <c r="A98">
        <v>34.229999999999997</v>
      </c>
      <c r="B98">
        <v>-101.3</v>
      </c>
      <c r="C98" t="s">
        <v>18</v>
      </c>
      <c r="D98" t="s">
        <v>19</v>
      </c>
      <c r="E98">
        <v>147</v>
      </c>
      <c r="F98">
        <v>3</v>
      </c>
      <c r="G98" t="s">
        <v>235</v>
      </c>
      <c r="H98">
        <v>4</v>
      </c>
      <c r="I98" t="s">
        <v>117</v>
      </c>
      <c r="J98" t="s">
        <v>143</v>
      </c>
      <c r="K98" t="s">
        <v>69</v>
      </c>
      <c r="L98" t="s">
        <v>122</v>
      </c>
      <c r="M98">
        <v>15.11</v>
      </c>
      <c r="N98" s="82">
        <v>116974.44915254237</v>
      </c>
      <c r="O98" s="82">
        <v>13.353247620153239</v>
      </c>
      <c r="P98" s="82">
        <v>9.631650700073692</v>
      </c>
      <c r="Q98" s="82">
        <v>1.0299742078113485</v>
      </c>
      <c r="R98" s="84">
        <v>2078.8776713338243</v>
      </c>
      <c r="S98" s="84">
        <v>211.00552689756816</v>
      </c>
      <c r="T98" s="84">
        <v>2816.5619012527632</v>
      </c>
      <c r="U98" s="82">
        <v>1.553159921664429</v>
      </c>
      <c r="V98" s="82">
        <v>1.0799285288862417</v>
      </c>
      <c r="W98" s="82">
        <v>10.720159169602567</v>
      </c>
    </row>
    <row r="99" spans="1:23">
      <c r="A99">
        <v>26.32</v>
      </c>
      <c r="B99">
        <v>-98.21</v>
      </c>
      <c r="C99" t="s">
        <v>22</v>
      </c>
      <c r="D99" t="s">
        <v>25</v>
      </c>
      <c r="E99">
        <v>122</v>
      </c>
      <c r="F99">
        <v>7</v>
      </c>
      <c r="G99" t="s">
        <v>236</v>
      </c>
      <c r="H99">
        <v>5</v>
      </c>
      <c r="I99" t="s">
        <v>124</v>
      </c>
      <c r="J99" t="s">
        <v>237</v>
      </c>
      <c r="K99" t="s">
        <v>70</v>
      </c>
      <c r="L99" t="s">
        <v>122</v>
      </c>
      <c r="M99">
        <v>1449.14</v>
      </c>
      <c r="N99" s="82">
        <v>1983829.1321831844</v>
      </c>
      <c r="O99" s="82">
        <v>226.46451280629958</v>
      </c>
      <c r="P99" s="82">
        <v>465.25839734710149</v>
      </c>
      <c r="Q99" s="82">
        <v>417.98522436301056</v>
      </c>
      <c r="R99" s="84">
        <v>85718.254711833099</v>
      </c>
      <c r="S99" s="84">
        <v>16598.619065608866</v>
      </c>
      <c r="T99" s="84">
        <v>601.34256810645172</v>
      </c>
      <c r="U99" s="82">
        <v>154.66582197626829</v>
      </c>
      <c r="V99" s="82">
        <v>22.59915271244147</v>
      </c>
      <c r="W99" s="82">
        <v>49.199538117589825</v>
      </c>
    </row>
    <row r="100" spans="1:23">
      <c r="A100">
        <v>26.36</v>
      </c>
      <c r="B100">
        <v>-97.67</v>
      </c>
      <c r="C100" t="s">
        <v>22</v>
      </c>
      <c r="D100" t="s">
        <v>25</v>
      </c>
      <c r="E100">
        <v>124</v>
      </c>
      <c r="F100">
        <v>7</v>
      </c>
      <c r="G100" t="s">
        <v>238</v>
      </c>
      <c r="H100">
        <v>5</v>
      </c>
      <c r="I100" t="s">
        <v>124</v>
      </c>
      <c r="J100" t="s">
        <v>149</v>
      </c>
      <c r="K100" t="s">
        <v>70</v>
      </c>
      <c r="L100" t="s">
        <v>122</v>
      </c>
      <c r="M100">
        <v>218.47</v>
      </c>
      <c r="N100" s="82">
        <v>299078.86781681568</v>
      </c>
      <c r="O100" s="82">
        <v>34.14142326675978</v>
      </c>
      <c r="P100" s="82">
        <v>70.141602652898456</v>
      </c>
      <c r="Q100" s="82">
        <v>63.014775636989469</v>
      </c>
      <c r="R100" s="84">
        <v>12922.745288166898</v>
      </c>
      <c r="S100" s="84">
        <v>2502.3809343911348</v>
      </c>
      <c r="T100" s="84">
        <v>90.657431893548249</v>
      </c>
      <c r="U100" s="82">
        <v>23.317168891311628</v>
      </c>
      <c r="V100" s="82">
        <v>3.407011671120173</v>
      </c>
      <c r="W100" s="82">
        <v>7.4172427043279798</v>
      </c>
    </row>
    <row r="101" spans="1:23">
      <c r="A101">
        <v>28.35</v>
      </c>
      <c r="B101">
        <v>-98.62</v>
      </c>
      <c r="C101" t="s">
        <v>22</v>
      </c>
      <c r="D101" t="s">
        <v>25</v>
      </c>
      <c r="E101">
        <v>107</v>
      </c>
      <c r="F101">
        <v>7</v>
      </c>
      <c r="G101" t="s">
        <v>239</v>
      </c>
      <c r="H101">
        <v>5</v>
      </c>
      <c r="I101" t="s">
        <v>124</v>
      </c>
      <c r="J101" t="s">
        <v>132</v>
      </c>
      <c r="K101" t="s">
        <v>71</v>
      </c>
      <c r="L101" t="s">
        <v>122</v>
      </c>
      <c r="M101">
        <v>1.1599999999999999</v>
      </c>
      <c r="N101" s="82">
        <v>3597.5394471901886</v>
      </c>
      <c r="O101" s="82">
        <v>0.410678019085638</v>
      </c>
      <c r="P101" s="82">
        <v>0.69045091219720545</v>
      </c>
      <c r="Q101" s="82">
        <v>0.64798340350234918</v>
      </c>
      <c r="R101" s="84">
        <v>92.784428580145232</v>
      </c>
      <c r="S101" s="84">
        <v>16.930380133016047</v>
      </c>
      <c r="T101" s="84">
        <v>3.7442186832631648</v>
      </c>
      <c r="U101" s="82">
        <v>0.1320827590395719</v>
      </c>
      <c r="V101" s="82">
        <v>9.4469199326533471E-2</v>
      </c>
      <c r="W101" s="82">
        <v>0.18412606071953264</v>
      </c>
    </row>
    <row r="102" spans="1:23">
      <c r="A102">
        <v>26.42</v>
      </c>
      <c r="B102">
        <v>-98.81</v>
      </c>
      <c r="C102" t="s">
        <v>22</v>
      </c>
      <c r="D102" t="s">
        <v>25</v>
      </c>
      <c r="E102">
        <v>123</v>
      </c>
      <c r="F102">
        <v>7</v>
      </c>
      <c r="G102" t="s">
        <v>240</v>
      </c>
      <c r="H102">
        <v>5</v>
      </c>
      <c r="I102" t="s">
        <v>124</v>
      </c>
      <c r="J102" t="s">
        <v>237</v>
      </c>
      <c r="K102" t="s">
        <v>71</v>
      </c>
      <c r="L102" t="s">
        <v>122</v>
      </c>
      <c r="M102">
        <v>111.46</v>
      </c>
      <c r="N102" s="82">
        <v>345673.9196412228</v>
      </c>
      <c r="O102" s="82">
        <v>39.460493109728631</v>
      </c>
      <c r="P102" s="82">
        <v>66.342809201293562</v>
      </c>
      <c r="Q102" s="82">
        <v>62.262267374458489</v>
      </c>
      <c r="R102" s="84">
        <v>8915.3038013301611</v>
      </c>
      <c r="S102" s="84">
        <v>1626.7760082982488</v>
      </c>
      <c r="T102" s="84">
        <v>359.76777106595893</v>
      </c>
      <c r="U102" s="82">
        <v>12.691331312543692</v>
      </c>
      <c r="V102" s="82">
        <v>9.0771870318408805</v>
      </c>
      <c r="W102" s="82">
        <v>17.691974765344057</v>
      </c>
    </row>
    <row r="103" spans="1:23">
      <c r="A103">
        <v>28.52</v>
      </c>
      <c r="B103">
        <v>-99.51</v>
      </c>
      <c r="C103" t="s">
        <v>22</v>
      </c>
      <c r="D103" t="s">
        <v>19</v>
      </c>
      <c r="E103">
        <v>135</v>
      </c>
      <c r="F103">
        <v>7</v>
      </c>
      <c r="G103" t="s">
        <v>241</v>
      </c>
      <c r="H103">
        <v>5</v>
      </c>
      <c r="I103" t="s">
        <v>117</v>
      </c>
      <c r="J103" t="s">
        <v>242</v>
      </c>
      <c r="K103" t="s">
        <v>71</v>
      </c>
      <c r="L103" t="s">
        <v>122</v>
      </c>
      <c r="M103">
        <v>1.45</v>
      </c>
      <c r="N103" s="82">
        <v>4496.9243089877355</v>
      </c>
      <c r="O103" s="82">
        <v>0.51334752385704741</v>
      </c>
      <c r="P103" s="82">
        <v>0.86306364024650672</v>
      </c>
      <c r="Q103" s="82">
        <v>0.80997925437793628</v>
      </c>
      <c r="R103" s="84">
        <v>115.98053572518151</v>
      </c>
      <c r="S103" s="84">
        <v>21.162975166270055</v>
      </c>
      <c r="T103" s="84">
        <v>4.6802733540789552</v>
      </c>
      <c r="U103" s="82">
        <v>0.16510344879946484</v>
      </c>
      <c r="V103" s="82">
        <v>0.11808649915816682</v>
      </c>
      <c r="W103" s="82">
        <v>0.23015757589941574</v>
      </c>
    </row>
    <row r="104" spans="1:23">
      <c r="A104">
        <v>28.37</v>
      </c>
      <c r="B104">
        <v>-99.14</v>
      </c>
      <c r="C104" t="s">
        <v>22</v>
      </c>
      <c r="D104" t="s">
        <v>72</v>
      </c>
      <c r="E104">
        <v>96</v>
      </c>
      <c r="F104">
        <v>7</v>
      </c>
      <c r="G104" t="s">
        <v>243</v>
      </c>
      <c r="H104">
        <v>5</v>
      </c>
      <c r="I104" t="s">
        <v>117</v>
      </c>
      <c r="J104" t="s">
        <v>244</v>
      </c>
      <c r="K104" t="s">
        <v>71</v>
      </c>
      <c r="L104" t="s">
        <v>122</v>
      </c>
      <c r="M104">
        <v>9.25</v>
      </c>
      <c r="N104" s="82">
        <v>28687.275764232108</v>
      </c>
      <c r="O104" s="82">
        <v>3.274803169432889</v>
      </c>
      <c r="P104" s="82">
        <v>5.5057508084690951</v>
      </c>
      <c r="Q104" s="82">
        <v>5.1671090365489043</v>
      </c>
      <c r="R104" s="84">
        <v>739.87583135029593</v>
      </c>
      <c r="S104" s="84">
        <v>135.0051864055159</v>
      </c>
      <c r="T104" s="84">
        <v>29.856916224296786</v>
      </c>
      <c r="U104" s="82">
        <v>1.0532461388931378</v>
      </c>
      <c r="V104" s="82">
        <v>0.75331042566416773</v>
      </c>
      <c r="W104" s="82">
        <v>1.4682466048755833</v>
      </c>
    </row>
    <row r="105" spans="1:23">
      <c r="A105">
        <v>28.04</v>
      </c>
      <c r="B105">
        <v>-99.4</v>
      </c>
      <c r="C105" t="s">
        <v>22</v>
      </c>
      <c r="D105" t="s">
        <v>72</v>
      </c>
      <c r="E105">
        <v>106</v>
      </c>
      <c r="F105">
        <v>7</v>
      </c>
      <c r="G105" t="s">
        <v>245</v>
      </c>
      <c r="H105">
        <v>5</v>
      </c>
      <c r="I105" t="s">
        <v>117</v>
      </c>
      <c r="J105" t="s">
        <v>242</v>
      </c>
      <c r="K105" t="s">
        <v>71</v>
      </c>
      <c r="L105" t="s">
        <v>122</v>
      </c>
      <c r="M105">
        <v>3.42</v>
      </c>
      <c r="N105" s="82">
        <v>10606.538714991762</v>
      </c>
      <c r="O105" s="82">
        <v>1.2107920907524843</v>
      </c>
      <c r="P105" s="82">
        <v>2.0356397583745194</v>
      </c>
      <c r="Q105" s="82">
        <v>1.9104338275672708</v>
      </c>
      <c r="R105" s="84">
        <v>273.55409115870401</v>
      </c>
      <c r="S105" s="84">
        <v>49.915431081823172</v>
      </c>
      <c r="T105" s="84">
        <v>11.038989566172432</v>
      </c>
      <c r="U105" s="82">
        <v>0.38941641027184121</v>
      </c>
      <c r="V105" s="82">
        <v>0.27852126008340039</v>
      </c>
      <c r="W105" s="82">
        <v>0.54285442039724274</v>
      </c>
    </row>
    <row r="106" spans="1:23">
      <c r="A106">
        <v>27.75</v>
      </c>
      <c r="B106">
        <v>-99.13</v>
      </c>
      <c r="C106" t="s">
        <v>22</v>
      </c>
      <c r="D106" t="s">
        <v>72</v>
      </c>
      <c r="E106">
        <v>110</v>
      </c>
      <c r="F106">
        <v>7</v>
      </c>
      <c r="G106" t="s">
        <v>246</v>
      </c>
      <c r="H106">
        <v>5</v>
      </c>
      <c r="I106" t="s">
        <v>117</v>
      </c>
      <c r="J106" t="s">
        <v>242</v>
      </c>
      <c r="K106" t="s">
        <v>71</v>
      </c>
      <c r="L106" t="s">
        <v>122</v>
      </c>
      <c r="M106">
        <v>1.19</v>
      </c>
      <c r="N106" s="82">
        <v>3690.5792604795897</v>
      </c>
      <c r="O106" s="82">
        <v>0.42129900233785272</v>
      </c>
      <c r="P106" s="82">
        <v>0.70830740130575387</v>
      </c>
      <c r="Q106" s="82">
        <v>0.66474159497223739</v>
      </c>
      <c r="R106" s="84">
        <v>95.184025871011031</v>
      </c>
      <c r="S106" s="84">
        <v>17.368234791628531</v>
      </c>
      <c r="T106" s="84">
        <v>3.8410519250716941</v>
      </c>
      <c r="U106" s="82">
        <v>0.13549869246300908</v>
      </c>
      <c r="V106" s="82">
        <v>9.6912368274633467E-2</v>
      </c>
      <c r="W106" s="82">
        <v>0.18888794160021019</v>
      </c>
    </row>
    <row r="107" spans="1:23">
      <c r="A107">
        <v>27.83</v>
      </c>
      <c r="B107">
        <v>-99.69</v>
      </c>
      <c r="C107" t="s">
        <v>22</v>
      </c>
      <c r="D107" t="s">
        <v>19</v>
      </c>
      <c r="E107">
        <v>111</v>
      </c>
      <c r="F107">
        <v>7</v>
      </c>
      <c r="G107" t="s">
        <v>247</v>
      </c>
      <c r="H107">
        <v>5</v>
      </c>
      <c r="I107" t="s">
        <v>117</v>
      </c>
      <c r="J107" t="s">
        <v>242</v>
      </c>
      <c r="K107" t="s">
        <v>71</v>
      </c>
      <c r="L107" t="s">
        <v>122</v>
      </c>
      <c r="M107">
        <v>100.84</v>
      </c>
      <c r="N107" s="82">
        <v>77316.084843492587</v>
      </c>
      <c r="O107" s="82">
        <v>8.8260370825904779</v>
      </c>
      <c r="P107" s="82">
        <v>14.838742449203734</v>
      </c>
      <c r="Q107" s="82">
        <v>13.92605711147721</v>
      </c>
      <c r="R107" s="84">
        <v>1994.0653487095003</v>
      </c>
      <c r="S107" s="84">
        <v>363.85722130697417</v>
      </c>
      <c r="T107" s="84">
        <v>80.468423942888521</v>
      </c>
      <c r="U107" s="82">
        <v>2.8386406748763164</v>
      </c>
      <c r="V107" s="82">
        <v>2.0302733958711028</v>
      </c>
      <c r="W107" s="82">
        <v>3.9571230118430587</v>
      </c>
    </row>
    <row r="108" spans="1:23">
      <c r="A108">
        <v>26.94</v>
      </c>
      <c r="B108">
        <v>-99.17</v>
      </c>
      <c r="C108" t="s">
        <v>22</v>
      </c>
      <c r="D108" t="s">
        <v>72</v>
      </c>
      <c r="E108">
        <v>112</v>
      </c>
      <c r="F108">
        <v>7</v>
      </c>
      <c r="G108" t="s">
        <v>248</v>
      </c>
      <c r="H108">
        <v>5</v>
      </c>
      <c r="I108" t="s">
        <v>117</v>
      </c>
      <c r="J108" t="s">
        <v>242</v>
      </c>
      <c r="K108" t="s">
        <v>71</v>
      </c>
      <c r="L108" t="s">
        <v>122</v>
      </c>
      <c r="M108">
        <v>24.93</v>
      </c>
      <c r="N108" s="82">
        <v>38146.323448654592</v>
      </c>
      <c r="O108" s="82">
        <v>4.3546031334080579</v>
      </c>
      <c r="P108" s="82">
        <v>7.3211605345048509</v>
      </c>
      <c r="Q108" s="82">
        <v>6.8708585026542188</v>
      </c>
      <c r="R108" s="84">
        <v>983.83488925498807</v>
      </c>
      <c r="S108" s="84">
        <v>179.52041003111844</v>
      </c>
      <c r="T108" s="84">
        <v>39.701629141497349</v>
      </c>
      <c r="U108" s="82">
        <v>1.4005327036092536</v>
      </c>
      <c r="V108" s="82">
        <v>1.0016992687210016</v>
      </c>
      <c r="W108" s="82">
        <v>1.952371161077803</v>
      </c>
    </row>
    <row r="109" spans="1:23">
      <c r="A109">
        <v>27.4</v>
      </c>
      <c r="B109">
        <v>-98.95</v>
      </c>
      <c r="C109" t="s">
        <v>22</v>
      </c>
      <c r="D109" t="s">
        <v>19</v>
      </c>
      <c r="E109">
        <v>118</v>
      </c>
      <c r="F109">
        <v>7</v>
      </c>
      <c r="G109" t="s">
        <v>249</v>
      </c>
      <c r="H109">
        <v>5</v>
      </c>
      <c r="I109" t="s">
        <v>117</v>
      </c>
      <c r="J109" t="s">
        <v>242</v>
      </c>
      <c r="K109" t="s">
        <v>71</v>
      </c>
      <c r="L109" t="s">
        <v>122</v>
      </c>
      <c r="M109">
        <v>12.3</v>
      </c>
      <c r="N109" s="82">
        <v>100451.98508145708</v>
      </c>
      <c r="O109" s="82">
        <v>11.46712158464122</v>
      </c>
      <c r="P109" s="82">
        <v>19.279056074196109</v>
      </c>
      <c r="Q109" s="82">
        <v>18.093260723656112</v>
      </c>
      <c r="R109" s="84">
        <v>2590.7652083714688</v>
      </c>
      <c r="S109" s="84">
        <v>472.7370797486119</v>
      </c>
      <c r="T109" s="84">
        <v>104.54762340594301</v>
      </c>
      <c r="U109" s="82">
        <v>3.6880694528377012</v>
      </c>
      <c r="V109" s="82">
        <v>2.6378080742986372</v>
      </c>
      <c r="W109" s="82">
        <v>5.1412440575048812</v>
      </c>
    </row>
    <row r="110" spans="1:23">
      <c r="A110">
        <v>29.27</v>
      </c>
      <c r="B110">
        <v>-99.76</v>
      </c>
      <c r="C110" t="s">
        <v>22</v>
      </c>
      <c r="D110" t="s">
        <v>25</v>
      </c>
      <c r="E110">
        <v>130</v>
      </c>
      <c r="F110">
        <v>6</v>
      </c>
      <c r="G110" t="s">
        <v>250</v>
      </c>
      <c r="H110">
        <v>5</v>
      </c>
      <c r="I110" t="s">
        <v>124</v>
      </c>
      <c r="J110" t="s">
        <v>251</v>
      </c>
      <c r="K110" t="s">
        <v>71</v>
      </c>
      <c r="L110" t="s">
        <v>122</v>
      </c>
      <c r="M110">
        <v>61.78</v>
      </c>
      <c r="N110" s="82">
        <v>382982.88477027277</v>
      </c>
      <c r="O110" s="82">
        <v>43.719507393866756</v>
      </c>
      <c r="P110" s="82">
        <v>73.50326133382147</v>
      </c>
      <c r="Q110" s="82">
        <v>68.982302153883708</v>
      </c>
      <c r="R110" s="84">
        <v>9877.542314967357</v>
      </c>
      <c r="S110" s="84">
        <v>1802.355726401855</v>
      </c>
      <c r="T110" s="84">
        <v>398.5979010311795</v>
      </c>
      <c r="U110" s="82">
        <v>14.061120615342011</v>
      </c>
      <c r="V110" s="82">
        <v>10.056897780028981</v>
      </c>
      <c r="W110" s="82">
        <v>19.601488998495764</v>
      </c>
    </row>
    <row r="111" spans="1:23">
      <c r="A111">
        <v>31.02</v>
      </c>
      <c r="B111">
        <v>-95.92</v>
      </c>
      <c r="C111" t="s">
        <v>22</v>
      </c>
      <c r="D111" t="s">
        <v>25</v>
      </c>
      <c r="E111">
        <v>19</v>
      </c>
      <c r="F111">
        <v>1</v>
      </c>
      <c r="G111" t="s">
        <v>252</v>
      </c>
      <c r="H111">
        <v>5</v>
      </c>
      <c r="I111" t="s">
        <v>124</v>
      </c>
      <c r="J111" t="s">
        <v>134</v>
      </c>
      <c r="K111" t="s">
        <v>73</v>
      </c>
      <c r="L111" t="s">
        <v>119</v>
      </c>
      <c r="M111">
        <v>32.39</v>
      </c>
      <c r="N111" s="82">
        <v>117502.41686182671</v>
      </c>
      <c r="O111" s="82">
        <v>13.413517906601223</v>
      </c>
      <c r="P111" s="82">
        <v>26.512177985948483</v>
      </c>
      <c r="Q111" s="82">
        <v>27.048711943793915</v>
      </c>
      <c r="R111" s="84">
        <v>4233.4379391100711</v>
      </c>
      <c r="S111" s="84">
        <v>278.81264637002346</v>
      </c>
      <c r="T111" s="84">
        <v>2.2201405152224827</v>
      </c>
      <c r="U111" s="82">
        <v>8.0539863441446666</v>
      </c>
      <c r="V111" s="82">
        <v>2.4317001379487349</v>
      </c>
      <c r="W111" s="82">
        <v>2.927831424507823</v>
      </c>
    </row>
    <row r="112" spans="1:23">
      <c r="A112">
        <v>30.15</v>
      </c>
      <c r="B112">
        <v>-97.27</v>
      </c>
      <c r="C112" t="s">
        <v>22</v>
      </c>
      <c r="D112" t="s">
        <v>25</v>
      </c>
      <c r="E112">
        <v>125</v>
      </c>
      <c r="F112">
        <v>5</v>
      </c>
      <c r="G112" t="s">
        <v>253</v>
      </c>
      <c r="H112">
        <v>5</v>
      </c>
      <c r="I112" t="s">
        <v>124</v>
      </c>
      <c r="J112" t="s">
        <v>146</v>
      </c>
      <c r="K112" t="s">
        <v>73</v>
      </c>
      <c r="L112" t="s">
        <v>119</v>
      </c>
      <c r="M112">
        <v>123.49</v>
      </c>
      <c r="N112" s="82">
        <v>447989.30096532818</v>
      </c>
      <c r="O112" s="82">
        <v>51.140331160425596</v>
      </c>
      <c r="P112" s="82">
        <v>101.08023647683785</v>
      </c>
      <c r="Q112" s="82">
        <v>103.12582395613184</v>
      </c>
      <c r="R112" s="84">
        <v>16140.390586622496</v>
      </c>
      <c r="S112" s="84">
        <v>1063.0001142400183</v>
      </c>
      <c r="T112" s="84">
        <v>8.4644999143199868</v>
      </c>
      <c r="U112" s="82">
        <v>30.706599988836828</v>
      </c>
      <c r="V112" s="82">
        <v>9.2710913873198297</v>
      </c>
      <c r="W112" s="82">
        <v>11.162639784268942</v>
      </c>
    </row>
    <row r="113" spans="1:23">
      <c r="A113">
        <v>29.57</v>
      </c>
      <c r="B113">
        <v>-96.54</v>
      </c>
      <c r="C113" t="s">
        <v>22</v>
      </c>
      <c r="D113" t="s">
        <v>72</v>
      </c>
      <c r="E113">
        <v>84</v>
      </c>
      <c r="F113">
        <v>5</v>
      </c>
      <c r="G113" t="s">
        <v>254</v>
      </c>
      <c r="H113">
        <v>5</v>
      </c>
      <c r="I113" t="s">
        <v>117</v>
      </c>
      <c r="J113" t="s">
        <v>180</v>
      </c>
      <c r="K113" t="s">
        <v>73</v>
      </c>
      <c r="L113" t="s">
        <v>119</v>
      </c>
      <c r="M113">
        <v>19.190000000000001</v>
      </c>
      <c r="N113" s="82">
        <v>69616.282172845153</v>
      </c>
      <c r="O113" s="82">
        <v>7.947064174982323</v>
      </c>
      <c r="P113" s="82">
        <v>15.707585537213685</v>
      </c>
      <c r="Q113" s="82">
        <v>16.025464100074252</v>
      </c>
      <c r="R113" s="84">
        <v>2508.1714742674358</v>
      </c>
      <c r="S113" s="84">
        <v>165.18723938995831</v>
      </c>
      <c r="T113" s="84">
        <v>1.3153595704575314</v>
      </c>
      <c r="U113" s="82">
        <v>4.7717196030915758</v>
      </c>
      <c r="V113" s="82">
        <v>1.4407016254163698</v>
      </c>
      <c r="W113" s="82">
        <v>1.7346429464743782</v>
      </c>
    </row>
    <row r="114" spans="1:23">
      <c r="A114">
        <v>31.79</v>
      </c>
      <c r="B114">
        <v>-95.61</v>
      </c>
      <c r="C114" t="s">
        <v>18</v>
      </c>
      <c r="D114" t="s">
        <v>25</v>
      </c>
      <c r="E114">
        <v>16</v>
      </c>
      <c r="F114">
        <v>1</v>
      </c>
      <c r="G114" t="s">
        <v>255</v>
      </c>
      <c r="H114">
        <v>4</v>
      </c>
      <c r="I114" t="s">
        <v>124</v>
      </c>
      <c r="J114" t="s">
        <v>171</v>
      </c>
      <c r="K114" t="s">
        <v>74</v>
      </c>
      <c r="L114" t="s">
        <v>128</v>
      </c>
      <c r="M114">
        <v>69.38</v>
      </c>
      <c r="N114" s="82">
        <v>245578.07940143533</v>
      </c>
      <c r="O114" s="82">
        <v>28.034027328930975</v>
      </c>
      <c r="P114" s="82">
        <v>59.326309360207674</v>
      </c>
      <c r="Q114" s="82">
        <v>67.271797220949765</v>
      </c>
      <c r="R114" s="84">
        <v>7738.9051763628031</v>
      </c>
      <c r="S114" s="84">
        <v>676.95556573522674</v>
      </c>
      <c r="T114" s="84">
        <v>5.8266910978775392</v>
      </c>
      <c r="U114" s="82">
        <v>13.392137929664051</v>
      </c>
      <c r="V114" s="82">
        <v>1.8941583503633657</v>
      </c>
      <c r="W114" s="82">
        <v>12.74773104890356</v>
      </c>
    </row>
    <row r="115" spans="1:23">
      <c r="A115">
        <v>31.66</v>
      </c>
      <c r="B115">
        <v>-96.51</v>
      </c>
      <c r="C115" t="s">
        <v>18</v>
      </c>
      <c r="D115" t="s">
        <v>25</v>
      </c>
      <c r="E115">
        <v>21</v>
      </c>
      <c r="F115">
        <v>1</v>
      </c>
      <c r="G115" t="s">
        <v>256</v>
      </c>
      <c r="H115">
        <v>4</v>
      </c>
      <c r="I115" t="s">
        <v>124</v>
      </c>
      <c r="J115" t="s">
        <v>221</v>
      </c>
      <c r="K115" t="s">
        <v>74</v>
      </c>
      <c r="L115" t="s">
        <v>128</v>
      </c>
      <c r="M115">
        <v>61.6</v>
      </c>
      <c r="N115" s="82">
        <v>218039.9205985647</v>
      </c>
      <c r="O115" s="82">
        <v>24.890401894813323</v>
      </c>
      <c r="P115" s="82">
        <v>52.673690639792348</v>
      </c>
      <c r="Q115" s="82">
        <v>59.72820277905025</v>
      </c>
      <c r="R115" s="84">
        <v>6871.0948236371987</v>
      </c>
      <c r="S115" s="84">
        <v>601.04443426477337</v>
      </c>
      <c r="T115" s="84">
        <v>5.1733089021224634</v>
      </c>
      <c r="U115" s="82">
        <v>11.890396316911295</v>
      </c>
      <c r="V115" s="82">
        <v>1.6817548916457674</v>
      </c>
      <c r="W115" s="82">
        <v>11.318250686256262</v>
      </c>
    </row>
    <row r="116" spans="1:23">
      <c r="A116">
        <v>31.17</v>
      </c>
      <c r="B116">
        <v>-96.52</v>
      </c>
      <c r="C116" t="s">
        <v>22</v>
      </c>
      <c r="D116" t="s">
        <v>25</v>
      </c>
      <c r="E116">
        <v>55</v>
      </c>
      <c r="F116">
        <v>1</v>
      </c>
      <c r="G116" t="s">
        <v>257</v>
      </c>
      <c r="H116">
        <v>5</v>
      </c>
      <c r="I116" t="s">
        <v>117</v>
      </c>
      <c r="J116" t="s">
        <v>134</v>
      </c>
      <c r="K116" t="s">
        <v>75</v>
      </c>
      <c r="L116" t="s">
        <v>119</v>
      </c>
      <c r="M116">
        <v>19.77</v>
      </c>
      <c r="N116" s="82">
        <v>161162.38725684796</v>
      </c>
      <c r="O116" s="82">
        <v>18.397532791877619</v>
      </c>
      <c r="P116" s="82">
        <v>56.900555776101633</v>
      </c>
      <c r="Q116" s="82">
        <v>59.529753870583555</v>
      </c>
      <c r="R116" s="84">
        <v>6921.4620881302108</v>
      </c>
      <c r="S116" s="84">
        <v>665.14787614132592</v>
      </c>
      <c r="T116" s="84">
        <v>8.2407701468836834</v>
      </c>
      <c r="U116" s="82">
        <v>8.7721018206833534</v>
      </c>
      <c r="V116" s="82">
        <v>3.8814851648022972</v>
      </c>
      <c r="W116" s="82">
        <v>5.7439458063919684</v>
      </c>
    </row>
    <row r="117" spans="1:23">
      <c r="A117">
        <v>31.42</v>
      </c>
      <c r="B117">
        <v>-96.25</v>
      </c>
      <c r="C117" t="s">
        <v>22</v>
      </c>
      <c r="D117" t="s">
        <v>19</v>
      </c>
      <c r="E117">
        <v>17</v>
      </c>
      <c r="F117">
        <v>1</v>
      </c>
      <c r="G117" t="s">
        <v>258</v>
      </c>
      <c r="H117">
        <v>5</v>
      </c>
      <c r="I117" t="s">
        <v>124</v>
      </c>
      <c r="J117" t="s">
        <v>134</v>
      </c>
      <c r="K117" t="s">
        <v>75</v>
      </c>
      <c r="L117" t="s">
        <v>119</v>
      </c>
      <c r="M117">
        <v>30.61</v>
      </c>
      <c r="N117" s="82">
        <v>249528.61274315207</v>
      </c>
      <c r="O117" s="82">
        <v>28.485001454697723</v>
      </c>
      <c r="P117" s="82">
        <v>88.099444223898374</v>
      </c>
      <c r="Q117" s="82">
        <v>92.170246129416441</v>
      </c>
      <c r="R117" s="84">
        <v>10716.537911869791</v>
      </c>
      <c r="S117" s="84">
        <v>1029.8521238586741</v>
      </c>
      <c r="T117" s="84">
        <v>12.759229853116318</v>
      </c>
      <c r="U117" s="82">
        <v>13.581893613106601</v>
      </c>
      <c r="V117" s="82">
        <v>6.0097248808598041</v>
      </c>
      <c r="W117" s="82">
        <v>8.8933829607313193</v>
      </c>
    </row>
    <row r="118" spans="1:23">
      <c r="A118">
        <v>31.09</v>
      </c>
      <c r="B118">
        <v>-97.77</v>
      </c>
      <c r="C118" t="s">
        <v>22</v>
      </c>
      <c r="D118" t="s">
        <v>25</v>
      </c>
      <c r="E118">
        <v>50</v>
      </c>
      <c r="F118">
        <v>5</v>
      </c>
      <c r="G118" t="s">
        <v>259</v>
      </c>
      <c r="H118">
        <v>5</v>
      </c>
      <c r="I118" t="s">
        <v>124</v>
      </c>
      <c r="J118" t="s">
        <v>165</v>
      </c>
      <c r="K118" t="s">
        <v>76</v>
      </c>
      <c r="L118" t="s">
        <v>119</v>
      </c>
      <c r="M118">
        <v>606.22</v>
      </c>
      <c r="N118" s="82">
        <v>8505691.8987500668</v>
      </c>
      <c r="O118" s="82">
        <v>970.9693948344825</v>
      </c>
      <c r="P118" s="82">
        <v>0</v>
      </c>
      <c r="Q118" s="82">
        <v>0</v>
      </c>
      <c r="R118" s="84">
        <v>11374.403872134462</v>
      </c>
      <c r="S118" s="84">
        <v>1093.0726025211425</v>
      </c>
      <c r="T118" s="84">
        <v>13.542492420615924</v>
      </c>
      <c r="U118" s="82">
        <v>135.93571527682755</v>
      </c>
      <c r="V118" s="82">
        <v>621.42041269406877</v>
      </c>
      <c r="W118" s="82">
        <v>213.61326686358615</v>
      </c>
    </row>
    <row r="119" spans="1:23">
      <c r="A119">
        <v>31.06</v>
      </c>
      <c r="B119">
        <v>-97.33</v>
      </c>
      <c r="C119" t="s">
        <v>22</v>
      </c>
      <c r="D119" t="s">
        <v>25</v>
      </c>
      <c r="E119">
        <v>47</v>
      </c>
      <c r="F119">
        <v>5</v>
      </c>
      <c r="G119" t="s">
        <v>260</v>
      </c>
      <c r="H119">
        <v>5</v>
      </c>
      <c r="I119" t="s">
        <v>124</v>
      </c>
      <c r="J119" t="s">
        <v>261</v>
      </c>
      <c r="K119" t="s">
        <v>76</v>
      </c>
      <c r="L119" t="s">
        <v>119</v>
      </c>
      <c r="M119">
        <v>333.83</v>
      </c>
      <c r="N119" s="82">
        <v>4683869.1012499342</v>
      </c>
      <c r="O119" s="82">
        <v>534.68825356734408</v>
      </c>
      <c r="P119" s="82">
        <v>0</v>
      </c>
      <c r="Q119" s="82">
        <v>0</v>
      </c>
      <c r="R119" s="84">
        <v>6263.5961278655404</v>
      </c>
      <c r="S119" s="84">
        <v>601.92739747885764</v>
      </c>
      <c r="T119" s="84">
        <v>7.4575075793840764</v>
      </c>
      <c r="U119" s="82">
        <v>74.856355499428176</v>
      </c>
      <c r="V119" s="82">
        <v>342.2004822831002</v>
      </c>
      <c r="W119" s="82">
        <v>117.6314157848157</v>
      </c>
    </row>
    <row r="120" spans="1:23">
      <c r="A120">
        <v>27.26</v>
      </c>
      <c r="B120">
        <v>-98.2</v>
      </c>
      <c r="C120" t="s">
        <v>22</v>
      </c>
      <c r="D120" t="s">
        <v>35</v>
      </c>
      <c r="E120">
        <v>119</v>
      </c>
      <c r="F120">
        <v>7</v>
      </c>
      <c r="G120" t="s">
        <v>262</v>
      </c>
      <c r="H120">
        <v>5</v>
      </c>
      <c r="I120" t="s">
        <v>263</v>
      </c>
      <c r="J120" t="s">
        <v>126</v>
      </c>
      <c r="K120" t="s">
        <v>77</v>
      </c>
      <c r="L120" t="s">
        <v>122</v>
      </c>
      <c r="M120">
        <v>20.16</v>
      </c>
      <c r="N120" s="82">
        <v>924660.7358953394</v>
      </c>
      <c r="O120" s="82">
        <v>105.55487852686524</v>
      </c>
      <c r="P120" s="82">
        <v>131.87244480784958</v>
      </c>
      <c r="Q120" s="82">
        <v>107.55846279640231</v>
      </c>
      <c r="R120" s="84">
        <v>29826.250204415377</v>
      </c>
      <c r="S120" s="84">
        <v>4772.1340964840565</v>
      </c>
      <c r="T120" s="84">
        <v>24.726083401471797</v>
      </c>
      <c r="U120" s="82">
        <v>50.833082807827161</v>
      </c>
      <c r="V120" s="82">
        <v>11.989139663302682</v>
      </c>
      <c r="W120" s="82">
        <v>42.732656055735397</v>
      </c>
    </row>
    <row r="121" spans="1:23">
      <c r="A121">
        <v>26.88</v>
      </c>
      <c r="B121">
        <v>-98.22</v>
      </c>
      <c r="C121" t="s">
        <v>22</v>
      </c>
      <c r="D121" t="s">
        <v>35</v>
      </c>
      <c r="E121">
        <v>120</v>
      </c>
      <c r="F121">
        <v>7</v>
      </c>
      <c r="G121" t="s">
        <v>264</v>
      </c>
      <c r="H121">
        <v>5</v>
      </c>
      <c r="I121" t="s">
        <v>263</v>
      </c>
      <c r="J121" t="s">
        <v>126</v>
      </c>
      <c r="K121" t="s">
        <v>77</v>
      </c>
      <c r="L121" t="s">
        <v>122</v>
      </c>
      <c r="M121">
        <v>0.8</v>
      </c>
      <c r="N121" s="82">
        <v>36692.88634505315</v>
      </c>
      <c r="O121" s="82">
        <v>4.1886856558279852</v>
      </c>
      <c r="P121" s="82">
        <v>5.2330335241210149</v>
      </c>
      <c r="Q121" s="82">
        <v>4.2681929681112027</v>
      </c>
      <c r="R121" s="84">
        <v>1183.5813573180706</v>
      </c>
      <c r="S121" s="84">
        <v>189.37040065412921</v>
      </c>
      <c r="T121" s="84">
        <v>0.98119378577269034</v>
      </c>
      <c r="U121" s="82">
        <v>2.0171858257074269</v>
      </c>
      <c r="V121" s="82">
        <v>0.47575951044851911</v>
      </c>
      <c r="W121" s="82">
        <v>1.6957403196720395</v>
      </c>
    </row>
    <row r="122" spans="1:23">
      <c r="A122">
        <v>27.09</v>
      </c>
      <c r="B122">
        <v>-97.61</v>
      </c>
      <c r="C122" t="s">
        <v>22</v>
      </c>
      <c r="D122" t="s">
        <v>35</v>
      </c>
      <c r="E122">
        <v>195</v>
      </c>
      <c r="F122">
        <v>7</v>
      </c>
      <c r="G122" t="s">
        <v>265</v>
      </c>
      <c r="H122">
        <v>5</v>
      </c>
      <c r="I122" t="s">
        <v>263</v>
      </c>
      <c r="J122" t="s">
        <v>126</v>
      </c>
      <c r="K122" t="s">
        <v>77</v>
      </c>
      <c r="L122" t="s">
        <v>122</v>
      </c>
      <c r="M122">
        <v>3.5</v>
      </c>
      <c r="N122" s="82">
        <v>160531.37775960751</v>
      </c>
      <c r="O122" s="82">
        <v>18.325499744247434</v>
      </c>
      <c r="P122" s="82">
        <v>22.894521668029437</v>
      </c>
      <c r="Q122" s="82">
        <v>18.67334423548651</v>
      </c>
      <c r="R122" s="84">
        <v>5178.168438266558</v>
      </c>
      <c r="S122" s="84">
        <v>828.49550286181523</v>
      </c>
      <c r="T122" s="84">
        <v>4.2927228127555193</v>
      </c>
      <c r="U122" s="82">
        <v>8.8251879874699917</v>
      </c>
      <c r="V122" s="82">
        <v>2.0814478582122709</v>
      </c>
      <c r="W122" s="82">
        <v>7.4188638985651725</v>
      </c>
    </row>
    <row r="123" spans="1:23">
      <c r="A123">
        <v>33.020000000000003</v>
      </c>
      <c r="B123">
        <v>-96.85</v>
      </c>
      <c r="C123" t="s">
        <v>18</v>
      </c>
      <c r="D123" t="s">
        <v>23</v>
      </c>
      <c r="E123">
        <v>0</v>
      </c>
      <c r="F123">
        <v>1</v>
      </c>
      <c r="G123" t="s">
        <v>266</v>
      </c>
      <c r="H123">
        <v>4</v>
      </c>
      <c r="I123" t="s">
        <v>120</v>
      </c>
      <c r="J123" t="s">
        <v>186</v>
      </c>
      <c r="K123" t="s">
        <v>78</v>
      </c>
      <c r="L123" t="s">
        <v>122</v>
      </c>
      <c r="M123">
        <v>5267.95</v>
      </c>
      <c r="N123" s="82">
        <v>27281668.571792632</v>
      </c>
      <c r="O123" s="82">
        <v>3114.345727373588</v>
      </c>
      <c r="P123" s="82">
        <v>1589.9241517803098</v>
      </c>
      <c r="Q123" s="82">
        <v>1127.6559254950255</v>
      </c>
      <c r="R123" s="84">
        <v>111479.27871919029</v>
      </c>
      <c r="S123" s="84">
        <v>7159.6692140650703</v>
      </c>
      <c r="T123" s="84">
        <v>7159.7215573329759</v>
      </c>
      <c r="U123" s="82">
        <v>1778.7509499955665</v>
      </c>
      <c r="V123" s="82">
        <v>685.15606002218942</v>
      </c>
      <c r="W123" s="82">
        <v>650.43871735583218</v>
      </c>
    </row>
    <row r="124" spans="1:23">
      <c r="A124">
        <v>32.67</v>
      </c>
      <c r="B124">
        <v>-97.11</v>
      </c>
      <c r="C124" t="s">
        <v>18</v>
      </c>
      <c r="D124" t="s">
        <v>23</v>
      </c>
      <c r="E124">
        <v>3</v>
      </c>
      <c r="F124">
        <v>1</v>
      </c>
      <c r="G124" t="s">
        <v>267</v>
      </c>
      <c r="H124">
        <v>4</v>
      </c>
      <c r="I124" t="s">
        <v>120</v>
      </c>
      <c r="J124" t="s">
        <v>186</v>
      </c>
      <c r="K124" t="s">
        <v>78</v>
      </c>
      <c r="L124" t="s">
        <v>122</v>
      </c>
      <c r="M124">
        <v>6355.57</v>
      </c>
      <c r="N124" s="82">
        <v>32914236.909011684</v>
      </c>
      <c r="O124" s="82">
        <v>3757.3329804807859</v>
      </c>
      <c r="P124" s="82">
        <v>1918.1796033239464</v>
      </c>
      <c r="Q124" s="82">
        <v>1360.4715630175724</v>
      </c>
      <c r="R124" s="84">
        <v>134495.27035171638</v>
      </c>
      <c r="S124" s="84">
        <v>8637.8532193425417</v>
      </c>
      <c r="T124" s="84">
        <v>8637.9163693920309</v>
      </c>
      <c r="U124" s="82">
        <v>2145.9915479955812</v>
      </c>
      <c r="V124" s="82">
        <v>826.61325570577287</v>
      </c>
      <c r="W124" s="82">
        <v>784.72817677943158</v>
      </c>
    </row>
    <row r="125" spans="1:23">
      <c r="A125">
        <v>32.85</v>
      </c>
      <c r="B125">
        <v>-97.57</v>
      </c>
      <c r="C125" t="s">
        <v>18</v>
      </c>
      <c r="D125" t="s">
        <v>23</v>
      </c>
      <c r="E125">
        <v>25</v>
      </c>
      <c r="F125">
        <v>1</v>
      </c>
      <c r="G125" t="s">
        <v>268</v>
      </c>
      <c r="H125">
        <v>4</v>
      </c>
      <c r="I125" t="s">
        <v>124</v>
      </c>
      <c r="J125" t="s">
        <v>269</v>
      </c>
      <c r="K125" t="s">
        <v>78</v>
      </c>
      <c r="L125" t="s">
        <v>122</v>
      </c>
      <c r="M125">
        <v>611.88</v>
      </c>
      <c r="N125" s="82">
        <v>3168805.2023478732</v>
      </c>
      <c r="O125" s="82">
        <v>361.73575369267957</v>
      </c>
      <c r="P125" s="82">
        <v>184.67198625486881</v>
      </c>
      <c r="Q125" s="82">
        <v>130.97886420560113</v>
      </c>
      <c r="R125" s="84">
        <v>12948.479211590498</v>
      </c>
      <c r="S125" s="84">
        <v>831.60591856455267</v>
      </c>
      <c r="T125" s="84">
        <v>831.6119983107094</v>
      </c>
      <c r="U125" s="82">
        <v>206.60449155426446</v>
      </c>
      <c r="V125" s="82">
        <v>79.581865812389509</v>
      </c>
      <c r="W125" s="82">
        <v>75.549396326025615</v>
      </c>
    </row>
    <row r="126" spans="1:23">
      <c r="A126">
        <v>32.33</v>
      </c>
      <c r="B126">
        <v>-97.73</v>
      </c>
      <c r="C126" t="s">
        <v>18</v>
      </c>
      <c r="D126" t="s">
        <v>23</v>
      </c>
      <c r="E126">
        <v>26</v>
      </c>
      <c r="F126">
        <v>1</v>
      </c>
      <c r="G126" t="s">
        <v>270</v>
      </c>
      <c r="H126">
        <v>4</v>
      </c>
      <c r="I126" t="s">
        <v>120</v>
      </c>
      <c r="J126" t="s">
        <v>269</v>
      </c>
      <c r="K126" t="s">
        <v>78</v>
      </c>
      <c r="L126" t="s">
        <v>122</v>
      </c>
      <c r="M126">
        <v>324.8</v>
      </c>
      <c r="N126" s="82">
        <v>1682074.8017954323</v>
      </c>
      <c r="O126" s="82">
        <v>192.01767143783476</v>
      </c>
      <c r="P126" s="82">
        <v>98.028144628981821</v>
      </c>
      <c r="Q126" s="82">
        <v>69.52659850620914</v>
      </c>
      <c r="R126" s="84">
        <v>6873.3510621765608</v>
      </c>
      <c r="S126" s="84">
        <v>441.43557944330058</v>
      </c>
      <c r="T126" s="84">
        <v>441.43880671262093</v>
      </c>
      <c r="U126" s="82">
        <v>109.67042370534271</v>
      </c>
      <c r="V126" s="82">
        <v>42.243887716323648</v>
      </c>
      <c r="W126" s="82">
        <v>40.103360016168402</v>
      </c>
    </row>
    <row r="127" spans="1:23">
      <c r="A127">
        <v>33.24</v>
      </c>
      <c r="B127">
        <v>-97.35</v>
      </c>
      <c r="C127" t="s">
        <v>18</v>
      </c>
      <c r="D127" t="s">
        <v>23</v>
      </c>
      <c r="E127">
        <v>29</v>
      </c>
      <c r="F127">
        <v>1</v>
      </c>
      <c r="G127" t="s">
        <v>271</v>
      </c>
      <c r="H127">
        <v>4</v>
      </c>
      <c r="I127" t="s">
        <v>120</v>
      </c>
      <c r="J127" t="s">
        <v>186</v>
      </c>
      <c r="K127" t="s">
        <v>78</v>
      </c>
      <c r="L127" t="s">
        <v>122</v>
      </c>
      <c r="M127">
        <v>161.35</v>
      </c>
      <c r="N127" s="82">
        <v>835599.65908156708</v>
      </c>
      <c r="O127" s="82">
        <v>95.388088936251947</v>
      </c>
      <c r="P127" s="82">
        <v>48.697170984871342</v>
      </c>
      <c r="Q127" s="82">
        <v>34.538536542416388</v>
      </c>
      <c r="R127" s="84">
        <v>3414.4556461890024</v>
      </c>
      <c r="S127" s="84">
        <v>219.29073504672579</v>
      </c>
      <c r="T127" s="84">
        <v>219.29233824840321</v>
      </c>
      <c r="U127" s="82">
        <v>54.48067384500321</v>
      </c>
      <c r="V127" s="82">
        <v>20.985379565975428</v>
      </c>
      <c r="W127" s="82">
        <v>19.922035525273309</v>
      </c>
    </row>
    <row r="128" spans="1:23">
      <c r="A128">
        <v>33.9</v>
      </c>
      <c r="B128">
        <v>-98.55</v>
      </c>
      <c r="C128" t="s">
        <v>18</v>
      </c>
      <c r="D128" t="s">
        <v>23</v>
      </c>
      <c r="E128">
        <v>33</v>
      </c>
      <c r="F128">
        <v>3</v>
      </c>
      <c r="G128" t="s">
        <v>272</v>
      </c>
      <c r="H128">
        <v>4</v>
      </c>
      <c r="I128" t="s">
        <v>120</v>
      </c>
      <c r="J128" t="s">
        <v>203</v>
      </c>
      <c r="K128" t="s">
        <v>78</v>
      </c>
      <c r="L128" t="s">
        <v>122</v>
      </c>
      <c r="M128">
        <v>255.97</v>
      </c>
      <c r="N128" s="82">
        <v>1325617.8787425393</v>
      </c>
      <c r="O128" s="82">
        <v>151.3262418655867</v>
      </c>
      <c r="P128" s="82">
        <v>77.2545079454448</v>
      </c>
      <c r="Q128" s="82">
        <v>54.792867671288022</v>
      </c>
      <c r="R128" s="84">
        <v>5416.7847025410529</v>
      </c>
      <c r="S128" s="84">
        <v>347.88874775277594</v>
      </c>
      <c r="T128" s="84">
        <v>347.89129111523874</v>
      </c>
      <c r="U128" s="82">
        <v>86.429613164583031</v>
      </c>
      <c r="V128" s="82">
        <v>33.291773210429071</v>
      </c>
      <c r="W128" s="82">
        <v>31.604855490574586</v>
      </c>
    </row>
    <row r="129" spans="1:23">
      <c r="A129">
        <v>31.29</v>
      </c>
      <c r="B129">
        <v>-101.6</v>
      </c>
      <c r="C129" t="s">
        <v>18</v>
      </c>
      <c r="D129" t="s">
        <v>35</v>
      </c>
      <c r="E129">
        <v>70</v>
      </c>
      <c r="F129">
        <v>8</v>
      </c>
      <c r="G129" t="s">
        <v>273</v>
      </c>
      <c r="H129">
        <v>4</v>
      </c>
      <c r="I129" t="s">
        <v>124</v>
      </c>
      <c r="J129" t="s">
        <v>274</v>
      </c>
      <c r="K129" t="s">
        <v>78</v>
      </c>
      <c r="L129" t="s">
        <v>122</v>
      </c>
      <c r="M129">
        <v>6.29</v>
      </c>
      <c r="N129" s="82">
        <v>32574.662879597501</v>
      </c>
      <c r="O129" s="82">
        <v>3.7185688218718607</v>
      </c>
      <c r="P129" s="82">
        <v>1.8983898698161803</v>
      </c>
      <c r="Q129" s="82">
        <v>1.3464356668844069</v>
      </c>
      <c r="R129" s="84">
        <v>133.10769144424432</v>
      </c>
      <c r="S129" s="84">
        <v>8.5487370526427338</v>
      </c>
      <c r="T129" s="84">
        <v>8.548799551177293</v>
      </c>
      <c r="U129" s="82">
        <v>2.1238514935548198</v>
      </c>
      <c r="V129" s="82">
        <v>0.81808514081180939</v>
      </c>
      <c r="W129" s="82">
        <v>0.77663218750523155</v>
      </c>
    </row>
    <row r="130" spans="1:23">
      <c r="A130">
        <v>31.86</v>
      </c>
      <c r="B130">
        <v>-102.31</v>
      </c>
      <c r="C130" t="s">
        <v>18</v>
      </c>
      <c r="D130" t="s">
        <v>23</v>
      </c>
      <c r="E130">
        <v>165</v>
      </c>
      <c r="F130">
        <v>8</v>
      </c>
      <c r="G130" t="s">
        <v>275</v>
      </c>
      <c r="H130">
        <v>4</v>
      </c>
      <c r="I130" t="s">
        <v>120</v>
      </c>
      <c r="J130" t="s">
        <v>274</v>
      </c>
      <c r="K130" t="s">
        <v>78</v>
      </c>
      <c r="L130" t="s">
        <v>122</v>
      </c>
      <c r="M130">
        <v>507.79</v>
      </c>
      <c r="N130" s="82">
        <v>2629743.7303069662</v>
      </c>
      <c r="O130" s="82">
        <v>300.19905597111489</v>
      </c>
      <c r="P130" s="82">
        <v>153.25650111191709</v>
      </c>
      <c r="Q130" s="82">
        <v>108.69738748604661</v>
      </c>
      <c r="R130" s="84">
        <v>10745.747955242106</v>
      </c>
      <c r="S130" s="84">
        <v>690.13723179037436</v>
      </c>
      <c r="T130" s="84">
        <v>690.14227728017795</v>
      </c>
      <c r="U130" s="82">
        <v>171.45795706076348</v>
      </c>
      <c r="V130" s="82">
        <v>66.04379231364527</v>
      </c>
      <c r="W130" s="82">
        <v>62.697306596706142</v>
      </c>
    </row>
    <row r="131" spans="1:23">
      <c r="A131">
        <v>32.06</v>
      </c>
      <c r="B131">
        <v>-102.66</v>
      </c>
      <c r="C131" t="s">
        <v>18</v>
      </c>
      <c r="D131" t="s">
        <v>19</v>
      </c>
      <c r="E131">
        <v>166</v>
      </c>
      <c r="F131">
        <v>8</v>
      </c>
      <c r="G131" t="s">
        <v>276</v>
      </c>
      <c r="H131">
        <v>4</v>
      </c>
      <c r="I131" t="s">
        <v>117</v>
      </c>
      <c r="J131" t="s">
        <v>274</v>
      </c>
      <c r="K131" t="s">
        <v>78</v>
      </c>
      <c r="L131" t="s">
        <v>122</v>
      </c>
      <c r="M131">
        <v>27.95</v>
      </c>
      <c r="N131" s="82">
        <v>144747.50834415742</v>
      </c>
      <c r="O131" s="82">
        <v>16.523688167141259</v>
      </c>
      <c r="P131" s="82">
        <v>8.4356115836823928</v>
      </c>
      <c r="Q131" s="82">
        <v>5.9829692987947816</v>
      </c>
      <c r="R131" s="84">
        <v>591.47217422362951</v>
      </c>
      <c r="S131" s="84">
        <v>37.986836346798796</v>
      </c>
      <c r="T131" s="84">
        <v>37.987114062862538</v>
      </c>
      <c r="U131" s="82">
        <v>9.4374641088803219</v>
      </c>
      <c r="V131" s="82">
        <v>3.6352113967710769</v>
      </c>
      <c r="W131" s="82">
        <v>3.4510126614898606</v>
      </c>
    </row>
    <row r="132" spans="1:23">
      <c r="A132">
        <v>32.200000000000003</v>
      </c>
      <c r="B132">
        <v>-101.43</v>
      </c>
      <c r="C132" t="s">
        <v>18</v>
      </c>
      <c r="D132" t="s">
        <v>25</v>
      </c>
      <c r="E132">
        <v>169</v>
      </c>
      <c r="F132">
        <v>4</v>
      </c>
      <c r="G132" t="s">
        <v>277</v>
      </c>
      <c r="H132">
        <v>4</v>
      </c>
      <c r="I132" t="s">
        <v>124</v>
      </c>
      <c r="J132" t="s">
        <v>274</v>
      </c>
      <c r="K132" t="s">
        <v>78</v>
      </c>
      <c r="L132" t="s">
        <v>122</v>
      </c>
      <c r="M132">
        <v>62.76</v>
      </c>
      <c r="N132" s="82">
        <v>325021.59655382182</v>
      </c>
      <c r="O132" s="82">
        <v>37.102921981029887</v>
      </c>
      <c r="P132" s="82">
        <v>18.941645187545866</v>
      </c>
      <c r="Q132" s="82">
        <v>13.434388307418979</v>
      </c>
      <c r="R132" s="84">
        <v>1328.1142631225396</v>
      </c>
      <c r="S132" s="84">
        <v>85.297096569770744</v>
      </c>
      <c r="T132" s="84">
        <v>85.297720164051967</v>
      </c>
      <c r="U132" s="82">
        <v>21.191243201192449</v>
      </c>
      <c r="V132" s="82">
        <v>8.1626428358265759</v>
      </c>
      <c r="W132" s="82">
        <v>7.7490359440108643</v>
      </c>
    </row>
    <row r="133" spans="1:23">
      <c r="A133">
        <v>31.59</v>
      </c>
      <c r="B133">
        <v>-102.96</v>
      </c>
      <c r="C133" t="s">
        <v>18</v>
      </c>
      <c r="D133" t="s">
        <v>25</v>
      </c>
      <c r="E133">
        <v>170</v>
      </c>
      <c r="F133">
        <v>8</v>
      </c>
      <c r="G133" t="s">
        <v>278</v>
      </c>
      <c r="H133">
        <v>4</v>
      </c>
      <c r="I133" t="s">
        <v>124</v>
      </c>
      <c r="J133" t="s">
        <v>279</v>
      </c>
      <c r="K133" t="s">
        <v>78</v>
      </c>
      <c r="L133" t="s">
        <v>122</v>
      </c>
      <c r="M133">
        <v>32.6</v>
      </c>
      <c r="N133" s="82">
        <v>168828.93638710314</v>
      </c>
      <c r="O133" s="82">
        <v>19.272709633230953</v>
      </c>
      <c r="P133" s="82">
        <v>9.8390317577118456</v>
      </c>
      <c r="Q133" s="82">
        <v>6.9783470175567048</v>
      </c>
      <c r="R133" s="84">
        <v>689.87452163471653</v>
      </c>
      <c r="S133" s="84">
        <v>44.306649907178574</v>
      </c>
      <c r="T133" s="84">
        <v>44.306973826451483</v>
      </c>
      <c r="U133" s="82">
        <v>11.007560999982058</v>
      </c>
      <c r="V133" s="82">
        <v>4.2399961193108098</v>
      </c>
      <c r="W133" s="82">
        <v>4.0251525139380853</v>
      </c>
    </row>
    <row r="134" spans="1:23">
      <c r="A134">
        <v>31.2</v>
      </c>
      <c r="B134">
        <v>-102.24</v>
      </c>
      <c r="C134" t="s">
        <v>18</v>
      </c>
      <c r="D134" t="s">
        <v>19</v>
      </c>
      <c r="E134">
        <v>171</v>
      </c>
      <c r="F134">
        <v>8</v>
      </c>
      <c r="G134" t="s">
        <v>280</v>
      </c>
      <c r="H134">
        <v>4</v>
      </c>
      <c r="I134" t="s">
        <v>117</v>
      </c>
      <c r="J134" t="s">
        <v>274</v>
      </c>
      <c r="K134" t="s">
        <v>78</v>
      </c>
      <c r="L134" t="s">
        <v>122</v>
      </c>
      <c r="M134">
        <v>14.19</v>
      </c>
      <c r="N134" s="82">
        <v>73487.196543956845</v>
      </c>
      <c r="O134" s="82">
        <v>8.3889493771640229</v>
      </c>
      <c r="P134" s="82">
        <v>4.2826951117156762</v>
      </c>
      <c r="Q134" s="82">
        <v>3.0375074901573504</v>
      </c>
      <c r="R134" s="84">
        <v>300.28587306738109</v>
      </c>
      <c r="S134" s="84">
        <v>19.285624606836311</v>
      </c>
      <c r="T134" s="84">
        <v>19.285765601145595</v>
      </c>
      <c r="U134" s="82">
        <v>4.7913279322007778</v>
      </c>
      <c r="V134" s="82">
        <v>1.8455688629760851</v>
      </c>
      <c r="W134" s="82">
        <v>1.75205258198716</v>
      </c>
    </row>
    <row r="135" spans="1:23">
      <c r="A135">
        <v>31.74</v>
      </c>
      <c r="B135">
        <v>-101.49</v>
      </c>
      <c r="C135" t="s">
        <v>18</v>
      </c>
      <c r="D135" t="s">
        <v>35</v>
      </c>
      <c r="E135">
        <v>174</v>
      </c>
      <c r="F135">
        <v>4</v>
      </c>
      <c r="G135" t="s">
        <v>281</v>
      </c>
      <c r="H135">
        <v>4</v>
      </c>
      <c r="I135" t="s">
        <v>124</v>
      </c>
      <c r="J135" t="s">
        <v>274</v>
      </c>
      <c r="K135" t="s">
        <v>78</v>
      </c>
      <c r="L135" t="s">
        <v>122</v>
      </c>
      <c r="M135">
        <v>1.79</v>
      </c>
      <c r="N135" s="82">
        <v>9270.0550961016743</v>
      </c>
      <c r="O135" s="82">
        <v>1.0582254675915153</v>
      </c>
      <c r="P135" s="82">
        <v>0.54024131430380973</v>
      </c>
      <c r="Q135" s="82">
        <v>0.38316690679222393</v>
      </c>
      <c r="R135" s="84">
        <v>37.879613304482888</v>
      </c>
      <c r="S135" s="84">
        <v>2.4327884458236082</v>
      </c>
      <c r="T135" s="84">
        <v>2.4328062315750962</v>
      </c>
      <c r="U135" s="82">
        <v>0.60440288926281838</v>
      </c>
      <c r="V135" s="82">
        <v>0.23280960287013336</v>
      </c>
      <c r="W135" s="82">
        <v>0.22101297545856352</v>
      </c>
    </row>
    <row r="136" spans="1:23">
      <c r="A136">
        <v>32.229999999999997</v>
      </c>
      <c r="B136">
        <v>-101.84</v>
      </c>
      <c r="C136" t="s">
        <v>18</v>
      </c>
      <c r="D136" t="s">
        <v>35</v>
      </c>
      <c r="E136">
        <v>176</v>
      </c>
      <c r="F136">
        <v>4</v>
      </c>
      <c r="G136" t="s">
        <v>282</v>
      </c>
      <c r="H136">
        <v>4</v>
      </c>
      <c r="I136" t="s">
        <v>117</v>
      </c>
      <c r="J136" t="s">
        <v>274</v>
      </c>
      <c r="K136" t="s">
        <v>78</v>
      </c>
      <c r="L136" t="s">
        <v>122</v>
      </c>
      <c r="M136">
        <v>8.2200000000000006</v>
      </c>
      <c r="N136" s="82">
        <v>42569.750217852386</v>
      </c>
      <c r="O136" s="82">
        <v>4.859560527152099</v>
      </c>
      <c r="P136" s="82">
        <v>2.4808846947359315</v>
      </c>
      <c r="Q136" s="82">
        <v>1.7595709351017212</v>
      </c>
      <c r="R136" s="84">
        <v>173.94995606863097</v>
      </c>
      <c r="S136" s="84">
        <v>11.171799455122938</v>
      </c>
      <c r="T136" s="84">
        <v>11.171881130473349</v>
      </c>
      <c r="U136" s="82">
        <v>2.7755261171733898</v>
      </c>
      <c r="V136" s="82">
        <v>1.0691033159734618</v>
      </c>
      <c r="W136" s="82">
        <v>1.0149310940052472</v>
      </c>
    </row>
    <row r="137" spans="1:23">
      <c r="A137">
        <v>31.82</v>
      </c>
      <c r="B137">
        <v>-103.7</v>
      </c>
      <c r="C137" t="s">
        <v>18</v>
      </c>
      <c r="D137" t="s">
        <v>19</v>
      </c>
      <c r="E137">
        <v>177</v>
      </c>
      <c r="F137">
        <v>8</v>
      </c>
      <c r="G137" t="s">
        <v>283</v>
      </c>
      <c r="H137">
        <v>4</v>
      </c>
      <c r="I137" t="s">
        <v>117</v>
      </c>
      <c r="J137" t="s">
        <v>279</v>
      </c>
      <c r="K137" t="s">
        <v>78</v>
      </c>
      <c r="L137" t="s">
        <v>122</v>
      </c>
      <c r="M137">
        <v>0.21</v>
      </c>
      <c r="N137" s="82">
        <v>1087.5483632298053</v>
      </c>
      <c r="O137" s="82">
        <v>0.1241493565330828</v>
      </c>
      <c r="P137" s="82">
        <v>6.3380265923910648E-2</v>
      </c>
      <c r="Q137" s="82">
        <v>4.4952542137635214E-2</v>
      </c>
      <c r="R137" s="84">
        <v>4.4439769798555346</v>
      </c>
      <c r="S137" s="84">
        <v>0.28541093498489256</v>
      </c>
      <c r="T137" s="84">
        <v>0.28541302158143589</v>
      </c>
      <c r="U137" s="82">
        <v>7.0907601533626741E-2</v>
      </c>
      <c r="V137" s="82">
        <v>2.7312858437278216E-2</v>
      </c>
      <c r="W137" s="82">
        <v>2.5928896562177846E-2</v>
      </c>
    </row>
    <row r="138" spans="1:23">
      <c r="A138">
        <v>31.52</v>
      </c>
      <c r="B138">
        <v>-101.92</v>
      </c>
      <c r="C138" t="s">
        <v>18</v>
      </c>
      <c r="D138" t="s">
        <v>19</v>
      </c>
      <c r="E138">
        <v>178</v>
      </c>
      <c r="F138">
        <v>8</v>
      </c>
      <c r="G138" t="s">
        <v>284</v>
      </c>
      <c r="H138">
        <v>4</v>
      </c>
      <c r="I138" t="s">
        <v>117</v>
      </c>
      <c r="J138" t="s">
        <v>274</v>
      </c>
      <c r="K138" t="s">
        <v>78</v>
      </c>
      <c r="L138" t="s">
        <v>122</v>
      </c>
      <c r="M138">
        <v>0.43</v>
      </c>
      <c r="N138" s="82">
        <v>2226.8847437562681</v>
      </c>
      <c r="O138" s="82">
        <v>0.25421058718678863</v>
      </c>
      <c r="P138" s="82">
        <v>0.12977863974895992</v>
      </c>
      <c r="Q138" s="82">
        <v>9.2045681519919736E-2</v>
      </c>
      <c r="R138" s="84">
        <v>9.0995719111327613</v>
      </c>
      <c r="S138" s="84">
        <v>0.58441286687382776</v>
      </c>
      <c r="T138" s="84">
        <v>0.58441713942865448</v>
      </c>
      <c r="U138" s="82">
        <v>0.14519175552123573</v>
      </c>
      <c r="V138" s="82">
        <v>5.5926329181093498E-2</v>
      </c>
      <c r="W138" s="82">
        <v>5.3092502484459403E-2</v>
      </c>
    </row>
    <row r="139" spans="1:23">
      <c r="A139">
        <v>31.45</v>
      </c>
      <c r="B139">
        <v>-100.45</v>
      </c>
      <c r="C139" t="s">
        <v>18</v>
      </c>
      <c r="D139" t="s">
        <v>25</v>
      </c>
      <c r="E139">
        <v>68</v>
      </c>
      <c r="F139">
        <v>4</v>
      </c>
      <c r="G139" t="s">
        <v>285</v>
      </c>
      <c r="H139">
        <v>4</v>
      </c>
      <c r="I139" t="s">
        <v>124</v>
      </c>
      <c r="J139" t="s">
        <v>167</v>
      </c>
      <c r="K139" t="s">
        <v>78</v>
      </c>
      <c r="L139" t="s">
        <v>122</v>
      </c>
      <c r="M139">
        <v>257.85000000000002</v>
      </c>
      <c r="N139" s="82">
        <v>1335354.0259943111</v>
      </c>
      <c r="O139" s="82">
        <v>152.43767420026381</v>
      </c>
      <c r="P139" s="82">
        <v>77.821912230858857</v>
      </c>
      <c r="Q139" s="82">
        <v>55.195299953282088</v>
      </c>
      <c r="R139" s="84">
        <v>5456.568877408331</v>
      </c>
      <c r="S139" s="84">
        <v>350.44385517073596</v>
      </c>
      <c r="T139" s="84">
        <v>350.44641721320585</v>
      </c>
      <c r="U139" s="82">
        <v>86.889474294150361</v>
      </c>
      <c r="V139" s="82">
        <v>33.536288324058042</v>
      </c>
      <c r="W139" s="82">
        <v>32.011911582055397</v>
      </c>
    </row>
    <row r="140" spans="1:23">
      <c r="A140">
        <v>30.57</v>
      </c>
      <c r="B140">
        <v>-97.08</v>
      </c>
      <c r="C140" t="s">
        <v>22</v>
      </c>
      <c r="D140" t="s">
        <v>25</v>
      </c>
      <c r="E140">
        <v>48</v>
      </c>
      <c r="F140">
        <v>5</v>
      </c>
      <c r="G140" t="s">
        <v>286</v>
      </c>
      <c r="H140">
        <v>5</v>
      </c>
      <c r="I140" t="s">
        <v>124</v>
      </c>
      <c r="J140" t="s">
        <v>146</v>
      </c>
      <c r="K140" t="s">
        <v>78</v>
      </c>
      <c r="L140" t="s">
        <v>122</v>
      </c>
      <c r="M140">
        <v>91.23</v>
      </c>
      <c r="N140" s="82">
        <v>472462.08179740544</v>
      </c>
      <c r="O140" s="82">
        <v>53.934027602443543</v>
      </c>
      <c r="P140" s="82">
        <v>27.534198382087467</v>
      </c>
      <c r="Q140" s="82">
        <v>19.528668662935523</v>
      </c>
      <c r="R140" s="84">
        <v>1930.5905708200974</v>
      </c>
      <c r="S140" s="84">
        <v>123.99066475557977</v>
      </c>
      <c r="T140" s="84">
        <v>123.99157123273521</v>
      </c>
      <c r="U140" s="82">
        <v>30.742395733392815</v>
      </c>
      <c r="V140" s="82">
        <v>11.86548607253758</v>
      </c>
      <c r="W140" s="82">
        <v>11.326145796513144</v>
      </c>
    </row>
    <row r="141" spans="1:23">
      <c r="A141">
        <v>29.71</v>
      </c>
      <c r="B141">
        <v>-100.07</v>
      </c>
      <c r="C141" t="s">
        <v>22</v>
      </c>
      <c r="D141" t="s">
        <v>19</v>
      </c>
      <c r="E141">
        <v>133</v>
      </c>
      <c r="F141">
        <v>6</v>
      </c>
      <c r="G141" t="s">
        <v>287</v>
      </c>
      <c r="H141">
        <v>5</v>
      </c>
      <c r="I141" t="s">
        <v>117</v>
      </c>
      <c r="J141" t="s">
        <v>251</v>
      </c>
      <c r="K141" t="s">
        <v>79</v>
      </c>
      <c r="L141" t="s">
        <v>122</v>
      </c>
      <c r="M141">
        <v>3.69</v>
      </c>
      <c r="N141" s="82">
        <v>91059.165401518185</v>
      </c>
      <c r="O141" s="82">
        <v>10.394881895150478</v>
      </c>
      <c r="P141" s="82">
        <v>23.636835797043549</v>
      </c>
      <c r="Q141" s="82">
        <v>18.960247702756696</v>
      </c>
      <c r="R141" s="84">
        <v>4294.074310827008</v>
      </c>
      <c r="S141" s="84">
        <v>395.25769077107475</v>
      </c>
      <c r="T141" s="84">
        <v>18.739113064322815</v>
      </c>
      <c r="U141" s="82">
        <v>7.1351299445231939</v>
      </c>
      <c r="V141" s="82">
        <v>1.2254853080413095</v>
      </c>
      <c r="W141" s="82">
        <v>2.0342666425859748</v>
      </c>
    </row>
    <row r="142" spans="1:23">
      <c r="A142">
        <v>29.99</v>
      </c>
      <c r="B142">
        <v>-100.29</v>
      </c>
      <c r="C142" t="s">
        <v>22</v>
      </c>
      <c r="D142" t="s">
        <v>19</v>
      </c>
      <c r="E142">
        <v>141</v>
      </c>
      <c r="F142">
        <v>6</v>
      </c>
      <c r="G142" t="s">
        <v>288</v>
      </c>
      <c r="H142">
        <v>5</v>
      </c>
      <c r="I142" t="s">
        <v>117</v>
      </c>
      <c r="J142" t="s">
        <v>251</v>
      </c>
      <c r="K142" t="s">
        <v>79</v>
      </c>
      <c r="L142" t="s">
        <v>122</v>
      </c>
      <c r="M142">
        <v>3.98</v>
      </c>
      <c r="N142" s="82">
        <v>98215.576774537229</v>
      </c>
      <c r="O142" s="82">
        <v>11.211823832709728</v>
      </c>
      <c r="P142" s="82">
        <v>25.494473298708215</v>
      </c>
      <c r="Q142" s="82">
        <v>20.45034847072402</v>
      </c>
      <c r="R142" s="84">
        <v>4631.5489856616505</v>
      </c>
      <c r="S142" s="84">
        <v>426.32130332489902</v>
      </c>
      <c r="T142" s="84">
        <v>20.211834687264169</v>
      </c>
      <c r="U142" s="82">
        <v>7.6958854144179698</v>
      </c>
      <c r="V142" s="82">
        <v>1.3217971615188104</v>
      </c>
      <c r="W142" s="82">
        <v>2.1941412567729479</v>
      </c>
    </row>
    <row r="143" spans="1:23">
      <c r="A143">
        <v>33.14</v>
      </c>
      <c r="B143">
        <v>-99.2</v>
      </c>
      <c r="C143" t="s">
        <v>18</v>
      </c>
      <c r="D143" t="s">
        <v>35</v>
      </c>
      <c r="E143">
        <v>46</v>
      </c>
      <c r="F143">
        <v>1</v>
      </c>
      <c r="G143" t="s">
        <v>289</v>
      </c>
      <c r="H143">
        <v>5</v>
      </c>
      <c r="I143" t="s">
        <v>124</v>
      </c>
      <c r="J143" t="s">
        <v>136</v>
      </c>
      <c r="K143" t="s">
        <v>79</v>
      </c>
      <c r="L143" t="s">
        <v>122</v>
      </c>
      <c r="M143">
        <v>3.71</v>
      </c>
      <c r="N143" s="82">
        <v>91552.711013450535</v>
      </c>
      <c r="O143" s="82">
        <v>10.451222718430426</v>
      </c>
      <c r="P143" s="82">
        <v>23.764948728192838</v>
      </c>
      <c r="Q143" s="82">
        <v>19.063013272961339</v>
      </c>
      <c r="R143" s="84">
        <v>4317.3484263328455</v>
      </c>
      <c r="S143" s="84">
        <v>397.40000887823504</v>
      </c>
      <c r="T143" s="84">
        <v>18.840680072801529</v>
      </c>
      <c r="U143" s="82">
        <v>7.1738027355504199</v>
      </c>
      <c r="V143" s="82">
        <v>1.2321275048328613</v>
      </c>
      <c r="W143" s="82">
        <v>2.0452924780471453</v>
      </c>
    </row>
    <row r="144" spans="1:23">
      <c r="A144">
        <v>29.27</v>
      </c>
      <c r="B144">
        <v>-100.27</v>
      </c>
      <c r="C144" t="s">
        <v>22</v>
      </c>
      <c r="D144" t="s">
        <v>35</v>
      </c>
      <c r="E144">
        <v>131</v>
      </c>
      <c r="F144">
        <v>6</v>
      </c>
      <c r="G144" t="s">
        <v>290</v>
      </c>
      <c r="H144">
        <v>5</v>
      </c>
      <c r="I144" t="s">
        <v>124</v>
      </c>
      <c r="J144" t="s">
        <v>251</v>
      </c>
      <c r="K144" t="s">
        <v>79</v>
      </c>
      <c r="L144" t="s">
        <v>122</v>
      </c>
      <c r="M144">
        <v>9.09</v>
      </c>
      <c r="N144" s="82">
        <v>224316.48062325211</v>
      </c>
      <c r="O144" s="82">
        <v>25.606904180736539</v>
      </c>
      <c r="P144" s="82">
        <v>58.227327207351173</v>
      </c>
      <c r="Q144" s="82">
        <v>46.706951658010382</v>
      </c>
      <c r="R144" s="84">
        <v>10578.085497403115</v>
      </c>
      <c r="S144" s="84">
        <v>973.68357970435466</v>
      </c>
      <c r="T144" s="84">
        <v>46.162205353575708</v>
      </c>
      <c r="U144" s="82">
        <v>17.576783521874209</v>
      </c>
      <c r="V144" s="82">
        <v>3.0188784417602985</v>
      </c>
      <c r="W144" s="82">
        <v>5.0112422171020343</v>
      </c>
    </row>
    <row r="145" spans="1:23">
      <c r="A145">
        <v>28.77</v>
      </c>
      <c r="B145">
        <v>-99.8</v>
      </c>
      <c r="C145" t="s">
        <v>22</v>
      </c>
      <c r="D145" t="s">
        <v>25</v>
      </c>
      <c r="E145">
        <v>134</v>
      </c>
      <c r="F145">
        <v>6</v>
      </c>
      <c r="G145" t="s">
        <v>291</v>
      </c>
      <c r="H145">
        <v>5</v>
      </c>
      <c r="I145" t="s">
        <v>124</v>
      </c>
      <c r="J145" t="s">
        <v>251</v>
      </c>
      <c r="K145" t="s">
        <v>79</v>
      </c>
      <c r="L145" t="s">
        <v>122</v>
      </c>
      <c r="M145">
        <v>21.54</v>
      </c>
      <c r="N145" s="82">
        <v>531548.62405113864</v>
      </c>
      <c r="O145" s="82">
        <v>60.679066672504412</v>
      </c>
      <c r="P145" s="82">
        <v>137.97762684778266</v>
      </c>
      <c r="Q145" s="82">
        <v>110.67851911040086</v>
      </c>
      <c r="R145" s="84">
        <v>25066.222399786922</v>
      </c>
      <c r="S145" s="84">
        <v>2307.2766014116396</v>
      </c>
      <c r="T145" s="84">
        <v>109.38766813157545</v>
      </c>
      <c r="U145" s="82">
        <v>41.650595936322382</v>
      </c>
      <c r="V145" s="82">
        <v>7.1536459445013021</v>
      </c>
      <c r="W145" s="82">
        <v>11.87482479168073</v>
      </c>
    </row>
    <row r="146" spans="1:23">
      <c r="A146">
        <v>29.73</v>
      </c>
      <c r="B146">
        <v>-100.88</v>
      </c>
      <c r="C146" t="s">
        <v>22</v>
      </c>
      <c r="D146" t="s">
        <v>25</v>
      </c>
      <c r="E146">
        <v>136</v>
      </c>
      <c r="F146">
        <v>6</v>
      </c>
      <c r="G146" t="s">
        <v>292</v>
      </c>
      <c r="H146">
        <v>5</v>
      </c>
      <c r="I146" t="s">
        <v>124</v>
      </c>
      <c r="J146" t="s">
        <v>251</v>
      </c>
      <c r="K146" t="s">
        <v>79</v>
      </c>
      <c r="L146" t="s">
        <v>122</v>
      </c>
      <c r="M146">
        <v>114.68</v>
      </c>
      <c r="N146" s="82">
        <v>2829990.5388200833</v>
      </c>
      <c r="O146" s="82">
        <v>323.05828068722411</v>
      </c>
      <c r="P146" s="82">
        <v>734.59954721001475</v>
      </c>
      <c r="Q146" s="82">
        <v>589.25777955342494</v>
      </c>
      <c r="R146" s="84">
        <v>133453.77831047191</v>
      </c>
      <c r="S146" s="84">
        <v>12284.052026457142</v>
      </c>
      <c r="T146" s="84">
        <v>582.38522661694878</v>
      </c>
      <c r="U146" s="82">
        <v>221.74978375011383</v>
      </c>
      <c r="V146" s="82">
        <v>38.086356402758099</v>
      </c>
      <c r="W146" s="82">
        <v>63.222140534352199</v>
      </c>
    </row>
    <row r="147" spans="1:23">
      <c r="A147">
        <v>29.58</v>
      </c>
      <c r="B147">
        <v>-99.05</v>
      </c>
      <c r="C147" t="s">
        <v>22</v>
      </c>
      <c r="D147" t="s">
        <v>25</v>
      </c>
      <c r="E147">
        <v>98</v>
      </c>
      <c r="F147">
        <v>5</v>
      </c>
      <c r="G147" t="s">
        <v>293</v>
      </c>
      <c r="H147">
        <v>5</v>
      </c>
      <c r="I147" t="s">
        <v>124</v>
      </c>
      <c r="J147" t="s">
        <v>294</v>
      </c>
      <c r="K147" t="s">
        <v>80</v>
      </c>
      <c r="L147" t="s">
        <v>122</v>
      </c>
      <c r="M147">
        <v>68.58</v>
      </c>
      <c r="N147" s="82">
        <v>1692367.9033160207</v>
      </c>
      <c r="O147" s="82">
        <v>193.192683026943</v>
      </c>
      <c r="P147" s="82">
        <v>439.29924091090692</v>
      </c>
      <c r="Q147" s="82">
        <v>352.38314023172194</v>
      </c>
      <c r="R147" s="84">
        <v>79806.942069516575</v>
      </c>
      <c r="S147" s="84">
        <v>7346.0087894526559</v>
      </c>
      <c r="T147" s="84">
        <v>348.27327207351181</v>
      </c>
      <c r="U147" s="82">
        <v>132.60900043235787</v>
      </c>
      <c r="V147" s="82">
        <v>22.776092798231161</v>
      </c>
      <c r="W147" s="82">
        <v>37.807589796353966</v>
      </c>
    </row>
    <row r="148" spans="1:23">
      <c r="A148">
        <v>27.52</v>
      </c>
      <c r="B148">
        <v>-99.44</v>
      </c>
      <c r="C148" t="s">
        <v>22</v>
      </c>
      <c r="D148" t="s">
        <v>37</v>
      </c>
      <c r="E148">
        <v>109</v>
      </c>
      <c r="F148">
        <v>7</v>
      </c>
      <c r="G148" t="s">
        <v>295</v>
      </c>
      <c r="H148">
        <v>5</v>
      </c>
      <c r="I148" t="s">
        <v>124</v>
      </c>
      <c r="J148" t="s">
        <v>242</v>
      </c>
      <c r="K148" t="s">
        <v>81</v>
      </c>
      <c r="L148" t="s">
        <v>128</v>
      </c>
      <c r="M148">
        <v>356.61</v>
      </c>
      <c r="N148" s="82">
        <v>531924</v>
      </c>
      <c r="O148" s="82">
        <v>60.721917808219182</v>
      </c>
      <c r="P148" s="82">
        <v>16.917302336558883</v>
      </c>
      <c r="Q148" s="82">
        <v>20.824994773930342</v>
      </c>
      <c r="R148" s="84">
        <v>3910.8185913213529</v>
      </c>
      <c r="S148" s="84">
        <v>388.84545669105506</v>
      </c>
      <c r="T148" s="84">
        <v>409.28569405576729</v>
      </c>
      <c r="U148" s="82">
        <v>45.104337899543388</v>
      </c>
      <c r="V148" s="82">
        <v>10.690182648401827</v>
      </c>
      <c r="W148" s="82">
        <v>4.9273972602739731</v>
      </c>
    </row>
    <row r="149" spans="1:23">
      <c r="A149">
        <v>30.29</v>
      </c>
      <c r="B149">
        <v>-97.69</v>
      </c>
      <c r="C149" t="s">
        <v>22</v>
      </c>
      <c r="D149" t="s">
        <v>23</v>
      </c>
      <c r="E149">
        <v>126</v>
      </c>
      <c r="F149">
        <v>5</v>
      </c>
      <c r="G149" t="s">
        <v>296</v>
      </c>
      <c r="H149">
        <v>4</v>
      </c>
      <c r="I149" t="s">
        <v>120</v>
      </c>
      <c r="J149" t="s">
        <v>146</v>
      </c>
      <c r="K149" t="s">
        <v>81</v>
      </c>
      <c r="L149" t="s">
        <v>122</v>
      </c>
      <c r="M149">
        <v>2965.9</v>
      </c>
      <c r="N149" s="82">
        <v>12939762</v>
      </c>
      <c r="O149" s="82">
        <v>1477.1417808219178</v>
      </c>
      <c r="P149" s="82">
        <v>3607.5</v>
      </c>
      <c r="Q149" s="82">
        <v>2893.75</v>
      </c>
      <c r="R149" s="84">
        <v>414091</v>
      </c>
      <c r="S149" s="84">
        <v>50121</v>
      </c>
      <c r="T149" s="84">
        <v>109.99999999999999</v>
      </c>
      <c r="U149" s="82">
        <v>487.45678767123292</v>
      </c>
      <c r="V149" s="82">
        <v>664.71380136986306</v>
      </c>
      <c r="W149" s="82">
        <v>324.97119178082193</v>
      </c>
    </row>
    <row r="150" spans="1:23">
      <c r="A150">
        <v>30.59</v>
      </c>
      <c r="B150">
        <v>-104.66</v>
      </c>
      <c r="C150" t="s">
        <v>18</v>
      </c>
      <c r="D150" t="s">
        <v>25</v>
      </c>
      <c r="E150">
        <v>188</v>
      </c>
      <c r="F150">
        <v>8</v>
      </c>
      <c r="G150" t="s">
        <v>297</v>
      </c>
      <c r="H150">
        <v>4</v>
      </c>
      <c r="I150" t="s">
        <v>124</v>
      </c>
      <c r="J150" t="s">
        <v>118</v>
      </c>
      <c r="K150" t="s">
        <v>82</v>
      </c>
      <c r="L150" t="s">
        <v>122</v>
      </c>
      <c r="M150">
        <v>0.39</v>
      </c>
      <c r="N150" s="82">
        <v>694.89359729854993</v>
      </c>
      <c r="O150" s="82">
        <v>7.9325753116272824E-2</v>
      </c>
      <c r="P150" s="82">
        <v>6.7138979010792549E-2</v>
      </c>
      <c r="Q150" s="82">
        <v>5.9392173740316488E-2</v>
      </c>
      <c r="R150" s="84">
        <v>21.388929351784412</v>
      </c>
      <c r="S150" s="84">
        <v>10.77064159438522</v>
      </c>
      <c r="T150" s="84">
        <v>1.3453618486393433</v>
      </c>
      <c r="U150" s="82">
        <v>2.5012630167824772E-2</v>
      </c>
      <c r="V150" s="82">
        <v>2.713032609868855E-2</v>
      </c>
      <c r="W150" s="82">
        <v>2.7182796849759504E-2</v>
      </c>
    </row>
    <row r="151" spans="1:23">
      <c r="A151">
        <v>28.45</v>
      </c>
      <c r="B151">
        <v>-99.89</v>
      </c>
      <c r="C151" t="s">
        <v>22</v>
      </c>
      <c r="D151" t="s">
        <v>19</v>
      </c>
      <c r="E151">
        <v>132</v>
      </c>
      <c r="F151">
        <v>7</v>
      </c>
      <c r="G151" t="s">
        <v>298</v>
      </c>
      <c r="H151">
        <v>5</v>
      </c>
      <c r="I151" t="s">
        <v>117</v>
      </c>
      <c r="J151" t="s">
        <v>242</v>
      </c>
      <c r="K151" t="s">
        <v>82</v>
      </c>
      <c r="L151" t="s">
        <v>122</v>
      </c>
      <c r="M151">
        <v>16.91</v>
      </c>
      <c r="N151" s="82">
        <v>30129.873667483283</v>
      </c>
      <c r="O151" s="82">
        <v>3.4394832953748042</v>
      </c>
      <c r="P151" s="82">
        <v>8.083837648149375</v>
      </c>
      <c r="Q151" s="82">
        <v>5.7773687346884728</v>
      </c>
      <c r="R151" s="84">
        <v>927.4020393299345</v>
      </c>
      <c r="S151" s="84">
        <v>467.00397272065157</v>
      </c>
      <c r="T151" s="84">
        <v>58.333509898695631</v>
      </c>
      <c r="U151" s="82">
        <v>1.0845219900972229</v>
      </c>
      <c r="V151" s="82">
        <v>1.1763431136636497</v>
      </c>
      <c r="W151" s="82">
        <v>1.1786181916139316</v>
      </c>
    </row>
    <row r="152" spans="1:23">
      <c r="A152">
        <v>29.36</v>
      </c>
      <c r="B152">
        <v>-100.78</v>
      </c>
      <c r="C152" t="s">
        <v>22</v>
      </c>
      <c r="D152" t="s">
        <v>19</v>
      </c>
      <c r="E152">
        <v>137</v>
      </c>
      <c r="F152">
        <v>6</v>
      </c>
      <c r="G152" t="s">
        <v>299</v>
      </c>
      <c r="H152">
        <v>5</v>
      </c>
      <c r="I152" t="s">
        <v>117</v>
      </c>
      <c r="J152" t="s">
        <v>251</v>
      </c>
      <c r="K152" t="s">
        <v>82</v>
      </c>
      <c r="L152" t="s">
        <v>122</v>
      </c>
      <c r="M152">
        <v>0.8</v>
      </c>
      <c r="N152" s="82">
        <v>1425.4227636893334</v>
      </c>
      <c r="O152" s="82">
        <v>0.16271949357184171</v>
      </c>
      <c r="P152" s="82">
        <v>0.38244057472025428</v>
      </c>
      <c r="Q152" s="82">
        <v>0.27332318082500168</v>
      </c>
      <c r="R152" s="84">
        <v>43.87472687545521</v>
      </c>
      <c r="S152" s="84">
        <v>22.0936237833543</v>
      </c>
      <c r="T152" s="84">
        <v>2.7597166125935249</v>
      </c>
      <c r="U152" s="82">
        <v>5.1307959318614919E-2</v>
      </c>
      <c r="V152" s="82">
        <v>5.5651950971668827E-2</v>
      </c>
      <c r="W152" s="82">
        <v>5.5759583281557959E-2</v>
      </c>
    </row>
    <row r="153" spans="1:23">
      <c r="A153">
        <v>30.01</v>
      </c>
      <c r="B153">
        <v>-101.75</v>
      </c>
      <c r="C153" t="s">
        <v>22</v>
      </c>
      <c r="D153" t="s">
        <v>19</v>
      </c>
      <c r="E153">
        <v>138</v>
      </c>
      <c r="F153">
        <v>6</v>
      </c>
      <c r="G153" t="s">
        <v>300</v>
      </c>
      <c r="H153">
        <v>5</v>
      </c>
      <c r="I153" t="s">
        <v>117</v>
      </c>
      <c r="J153" t="s">
        <v>251</v>
      </c>
      <c r="K153" t="s">
        <v>82</v>
      </c>
      <c r="L153" t="s">
        <v>122</v>
      </c>
      <c r="M153">
        <v>0.15</v>
      </c>
      <c r="N153" s="82">
        <v>267.26676819174997</v>
      </c>
      <c r="O153" s="82">
        <v>3.0509905044720315E-2</v>
      </c>
      <c r="P153" s="82">
        <v>7.170760776004767E-2</v>
      </c>
      <c r="Q153" s="82">
        <v>5.1248096404687804E-2</v>
      </c>
      <c r="R153" s="84">
        <v>8.2265112891478509</v>
      </c>
      <c r="S153" s="84">
        <v>4.142554459378931</v>
      </c>
      <c r="T153" s="84">
        <v>0.51744686486128577</v>
      </c>
      <c r="U153" s="82">
        <v>9.6202423722402952E-3</v>
      </c>
      <c r="V153" s="82">
        <v>1.0434740807187903E-2</v>
      </c>
      <c r="W153" s="82">
        <v>1.0454921865292116E-2</v>
      </c>
    </row>
    <row r="154" spans="1:23">
      <c r="A154">
        <v>28.74</v>
      </c>
      <c r="B154">
        <v>-100.31</v>
      </c>
      <c r="C154" t="s">
        <v>22</v>
      </c>
      <c r="D154" t="s">
        <v>19</v>
      </c>
      <c r="E154">
        <v>139</v>
      </c>
      <c r="F154">
        <v>6</v>
      </c>
      <c r="G154" t="s">
        <v>301</v>
      </c>
      <c r="H154">
        <v>5</v>
      </c>
      <c r="I154" t="s">
        <v>117</v>
      </c>
      <c r="J154" t="s">
        <v>251</v>
      </c>
      <c r="K154" t="s">
        <v>82</v>
      </c>
      <c r="L154" t="s">
        <v>122</v>
      </c>
      <c r="M154">
        <v>98.17</v>
      </c>
      <c r="N154" s="82">
        <v>174917.19088922729</v>
      </c>
      <c r="O154" s="82">
        <v>19.967715854934621</v>
      </c>
      <c r="P154" s="82">
        <v>46.930239025359192</v>
      </c>
      <c r="Q154" s="82">
        <v>33.54017082698801</v>
      </c>
      <c r="R154" s="84">
        <v>5383.9774217042959</v>
      </c>
      <c r="S154" s="84">
        <v>2711.1638085148643</v>
      </c>
      <c r="T154" s="84">
        <v>338.65172482288278</v>
      </c>
      <c r="U154" s="82">
        <v>6.296127957885532</v>
      </c>
      <c r="V154" s="82">
        <v>6.8291900336109093</v>
      </c>
      <c r="W154" s="82">
        <v>6.8423978634381797</v>
      </c>
    </row>
    <row r="155" spans="1:23">
      <c r="A155">
        <v>28.95</v>
      </c>
      <c r="B155">
        <v>-100.59</v>
      </c>
      <c r="C155" t="s">
        <v>22</v>
      </c>
      <c r="D155" t="s">
        <v>19</v>
      </c>
      <c r="E155">
        <v>140</v>
      </c>
      <c r="F155">
        <v>6</v>
      </c>
      <c r="G155" t="s">
        <v>302</v>
      </c>
      <c r="H155">
        <v>5</v>
      </c>
      <c r="I155" t="s">
        <v>117</v>
      </c>
      <c r="J155" t="s">
        <v>251</v>
      </c>
      <c r="K155" t="s">
        <v>82</v>
      </c>
      <c r="L155" t="s">
        <v>122</v>
      </c>
      <c r="M155">
        <v>1.82</v>
      </c>
      <c r="N155" s="82">
        <v>3242.8367873932334</v>
      </c>
      <c r="O155" s="82">
        <v>0.37018684787593986</v>
      </c>
      <c r="P155" s="82">
        <v>0.87005230748857842</v>
      </c>
      <c r="Q155" s="82">
        <v>0.62181023637687882</v>
      </c>
      <c r="R155" s="84">
        <v>99.815003641660596</v>
      </c>
      <c r="S155" s="84">
        <v>50.262994107131028</v>
      </c>
      <c r="T155" s="84">
        <v>6.278355293650268</v>
      </c>
      <c r="U155" s="82">
        <v>0.11672560744984893</v>
      </c>
      <c r="V155" s="82">
        <v>0.12660818846054656</v>
      </c>
      <c r="W155" s="82">
        <v>0.12685305196554436</v>
      </c>
    </row>
    <row r="156" spans="1:23">
      <c r="A156">
        <v>29.82</v>
      </c>
      <c r="B156">
        <v>-103.22</v>
      </c>
      <c r="C156" t="s">
        <v>22</v>
      </c>
      <c r="D156" t="s">
        <v>19</v>
      </c>
      <c r="E156">
        <v>180</v>
      </c>
      <c r="F156">
        <v>8</v>
      </c>
      <c r="G156" t="s">
        <v>303</v>
      </c>
      <c r="H156">
        <v>5</v>
      </c>
      <c r="I156" t="s">
        <v>117</v>
      </c>
      <c r="J156" t="s">
        <v>118</v>
      </c>
      <c r="K156" t="s">
        <v>82</v>
      </c>
      <c r="L156" t="s">
        <v>122</v>
      </c>
      <c r="M156">
        <v>15.17</v>
      </c>
      <c r="N156" s="82">
        <v>27029.579156458982</v>
      </c>
      <c r="O156" s="82">
        <v>3.0855683968560483</v>
      </c>
      <c r="P156" s="82">
        <v>7.2520293981328212</v>
      </c>
      <c r="Q156" s="82">
        <v>5.1828908163940941</v>
      </c>
      <c r="R156" s="84">
        <v>831.97450837581937</v>
      </c>
      <c r="S156" s="84">
        <v>418.95034099185597</v>
      </c>
      <c r="T156" s="84">
        <v>52.331126266304715</v>
      </c>
      <c r="U156" s="82">
        <v>0.97292717857923539</v>
      </c>
      <c r="V156" s="82">
        <v>1.0553001203002701</v>
      </c>
      <c r="W156" s="82">
        <v>1.0573410979765427</v>
      </c>
    </row>
    <row r="157" spans="1:23">
      <c r="A157">
        <v>29.16</v>
      </c>
      <c r="B157">
        <v>-103.28</v>
      </c>
      <c r="C157" t="s">
        <v>22</v>
      </c>
      <c r="D157" t="s">
        <v>19</v>
      </c>
      <c r="E157">
        <v>182</v>
      </c>
      <c r="F157">
        <v>8</v>
      </c>
      <c r="G157" t="s">
        <v>304</v>
      </c>
      <c r="H157">
        <v>5</v>
      </c>
      <c r="I157" t="s">
        <v>117</v>
      </c>
      <c r="J157" t="s">
        <v>118</v>
      </c>
      <c r="K157" t="s">
        <v>82</v>
      </c>
      <c r="L157" t="s">
        <v>122</v>
      </c>
      <c r="M157">
        <v>0.37</v>
      </c>
      <c r="N157" s="82">
        <v>659.25802820631668</v>
      </c>
      <c r="O157" s="82">
        <v>7.5257765776976793E-2</v>
      </c>
      <c r="P157" s="82">
        <v>0.17687876580811762</v>
      </c>
      <c r="Q157" s="82">
        <v>0.12641197113156327</v>
      </c>
      <c r="R157" s="84">
        <v>20.292061179898035</v>
      </c>
      <c r="S157" s="84">
        <v>10.218300999801365</v>
      </c>
      <c r="T157" s="84">
        <v>1.276368933324505</v>
      </c>
      <c r="U157" s="82">
        <v>2.3729931184859401E-2</v>
      </c>
      <c r="V157" s="82">
        <v>2.5739027324396833E-2</v>
      </c>
      <c r="W157" s="82">
        <v>2.5788807267720558E-2</v>
      </c>
    </row>
    <row r="158" spans="1:23">
      <c r="A158">
        <v>29.89</v>
      </c>
      <c r="B158">
        <v>-104.52</v>
      </c>
      <c r="C158" t="s">
        <v>22</v>
      </c>
      <c r="D158" t="s">
        <v>19</v>
      </c>
      <c r="E158">
        <v>184</v>
      </c>
      <c r="F158">
        <v>8</v>
      </c>
      <c r="G158" t="s">
        <v>305</v>
      </c>
      <c r="H158">
        <v>5</v>
      </c>
      <c r="I158" t="s">
        <v>117</v>
      </c>
      <c r="J158" t="s">
        <v>118</v>
      </c>
      <c r="K158" t="s">
        <v>82</v>
      </c>
      <c r="L158" t="s">
        <v>122</v>
      </c>
      <c r="M158">
        <v>9.5299999999999994</v>
      </c>
      <c r="N158" s="82">
        <v>16980.348672449181</v>
      </c>
      <c r="O158" s="82">
        <v>1.9383959671745641</v>
      </c>
      <c r="P158" s="82">
        <v>4.5558233463550284</v>
      </c>
      <c r="Q158" s="82">
        <v>3.2559623915778317</v>
      </c>
      <c r="R158" s="84">
        <v>522.65768390386017</v>
      </c>
      <c r="S158" s="84">
        <v>263.19029331920808</v>
      </c>
      <c r="T158" s="84">
        <v>32.87512414752036</v>
      </c>
      <c r="U158" s="82">
        <v>0.61120606538300015</v>
      </c>
      <c r="V158" s="82">
        <v>0.66295386595000483</v>
      </c>
      <c r="W158" s="82">
        <v>0.6642360358415591</v>
      </c>
    </row>
    <row r="159" spans="1:23">
      <c r="A159">
        <v>29.39</v>
      </c>
      <c r="B159">
        <v>-103.99</v>
      </c>
      <c r="C159" t="s">
        <v>22</v>
      </c>
      <c r="D159" t="s">
        <v>19</v>
      </c>
      <c r="E159">
        <v>185</v>
      </c>
      <c r="F159">
        <v>8</v>
      </c>
      <c r="G159" t="s">
        <v>306</v>
      </c>
      <c r="H159">
        <v>5</v>
      </c>
      <c r="I159" t="s">
        <v>117</v>
      </c>
      <c r="J159" t="s">
        <v>118</v>
      </c>
      <c r="K159" t="s">
        <v>82</v>
      </c>
      <c r="L159" t="s">
        <v>122</v>
      </c>
      <c r="M159">
        <v>0.19</v>
      </c>
      <c r="N159" s="82">
        <v>338.53790637621665</v>
      </c>
      <c r="O159" s="82">
        <v>3.8645879723312404E-2</v>
      </c>
      <c r="P159" s="82">
        <v>9.0829636496060392E-2</v>
      </c>
      <c r="Q159" s="82">
        <v>6.4914255445937888E-2</v>
      </c>
      <c r="R159" s="84">
        <v>10.420247632920612</v>
      </c>
      <c r="S159" s="84">
        <v>5.2472356485466465</v>
      </c>
      <c r="T159" s="84">
        <v>0.65543269549096217</v>
      </c>
      <c r="U159" s="82">
        <v>1.2185640338171043E-2</v>
      </c>
      <c r="V159" s="82">
        <v>1.3217338355771345E-2</v>
      </c>
      <c r="W159" s="82">
        <v>1.3242901029370015E-2</v>
      </c>
    </row>
    <row r="160" spans="1:23">
      <c r="A160">
        <v>30.26</v>
      </c>
      <c r="B160">
        <v>-102.3</v>
      </c>
      <c r="C160" t="s">
        <v>22</v>
      </c>
      <c r="D160" t="s">
        <v>19</v>
      </c>
      <c r="E160">
        <v>186</v>
      </c>
      <c r="F160">
        <v>8</v>
      </c>
      <c r="G160" t="s">
        <v>307</v>
      </c>
      <c r="H160">
        <v>5</v>
      </c>
      <c r="I160" t="s">
        <v>117</v>
      </c>
      <c r="J160" t="s">
        <v>251</v>
      </c>
      <c r="K160" t="s">
        <v>82</v>
      </c>
      <c r="L160" t="s">
        <v>122</v>
      </c>
      <c r="M160">
        <v>1.72</v>
      </c>
      <c r="N160" s="82">
        <v>3064.6589419320667</v>
      </c>
      <c r="O160" s="82">
        <v>0.34984691117945971</v>
      </c>
      <c r="P160" s="82">
        <v>0.82224723564854685</v>
      </c>
      <c r="Q160" s="82">
        <v>0.58764483877375362</v>
      </c>
      <c r="R160" s="84">
        <v>94.330662782228714</v>
      </c>
      <c r="S160" s="84">
        <v>47.501291134211755</v>
      </c>
      <c r="T160" s="84">
        <v>5.9333907170760787</v>
      </c>
      <c r="U160" s="82">
        <v>0.11031211253502209</v>
      </c>
      <c r="V160" s="82">
        <v>0.11965169458908799</v>
      </c>
      <c r="W160" s="82">
        <v>0.11988310405534963</v>
      </c>
    </row>
    <row r="161" spans="1:23">
      <c r="A161">
        <v>29.4</v>
      </c>
      <c r="B161">
        <v>-103.62</v>
      </c>
      <c r="C161" t="s">
        <v>22</v>
      </c>
      <c r="D161" t="s">
        <v>19</v>
      </c>
      <c r="E161">
        <v>187</v>
      </c>
      <c r="F161">
        <v>8</v>
      </c>
      <c r="G161" t="s">
        <v>308</v>
      </c>
      <c r="H161">
        <v>5</v>
      </c>
      <c r="I161" t="s">
        <v>117</v>
      </c>
      <c r="J161" t="s">
        <v>118</v>
      </c>
      <c r="K161" t="s">
        <v>82</v>
      </c>
      <c r="L161" t="s">
        <v>122</v>
      </c>
      <c r="M161">
        <v>1.48</v>
      </c>
      <c r="N161" s="82">
        <v>2637.0321128252667</v>
      </c>
      <c r="O161" s="82">
        <v>0.30103106310790717</v>
      </c>
      <c r="P161" s="82">
        <v>0.70751506323247049</v>
      </c>
      <c r="Q161" s="82">
        <v>0.50564788452625309</v>
      </c>
      <c r="R161" s="84">
        <v>81.168244719592138</v>
      </c>
      <c r="S161" s="84">
        <v>40.873203999205458</v>
      </c>
      <c r="T161" s="84">
        <v>5.1054757332980198</v>
      </c>
      <c r="U161" s="82">
        <v>9.4919724739437605E-2</v>
      </c>
      <c r="V161" s="82">
        <v>0.10295610929758733</v>
      </c>
      <c r="W161" s="82">
        <v>0.10315522907088223</v>
      </c>
    </row>
    <row r="162" spans="1:23">
      <c r="A162">
        <v>31.09</v>
      </c>
      <c r="B162">
        <v>-104.62</v>
      </c>
      <c r="C162" t="s">
        <v>18</v>
      </c>
      <c r="D162" t="s">
        <v>19</v>
      </c>
      <c r="E162">
        <v>189</v>
      </c>
      <c r="F162">
        <v>8</v>
      </c>
      <c r="G162" t="s">
        <v>309</v>
      </c>
      <c r="H162">
        <v>4</v>
      </c>
      <c r="I162" t="s">
        <v>117</v>
      </c>
      <c r="J162" t="s">
        <v>118</v>
      </c>
      <c r="K162" t="s">
        <v>82</v>
      </c>
      <c r="L162" t="s">
        <v>122</v>
      </c>
      <c r="M162">
        <v>4.33</v>
      </c>
      <c r="N162" s="82">
        <v>7715.1007084685152</v>
      </c>
      <c r="O162" s="82">
        <v>0.88071925895759307</v>
      </c>
      <c r="P162" s="82">
        <v>2.0699596106733762</v>
      </c>
      <c r="Q162" s="82">
        <v>1.4793617162153212</v>
      </c>
      <c r="R162" s="84">
        <v>237.47195921340128</v>
      </c>
      <c r="S162" s="84">
        <v>119.58173872740512</v>
      </c>
      <c r="T162" s="84">
        <v>14.936966165662449</v>
      </c>
      <c r="U162" s="82">
        <v>0.27770432981200321</v>
      </c>
      <c r="V162" s="82">
        <v>0.30121618463415745</v>
      </c>
      <c r="W162" s="82">
        <v>0.3017987445114324</v>
      </c>
    </row>
    <row r="163" spans="1:23">
      <c r="A163">
        <v>29.6</v>
      </c>
      <c r="B163">
        <v>-104.3</v>
      </c>
      <c r="C163" t="s">
        <v>22</v>
      </c>
      <c r="D163" t="s">
        <v>19</v>
      </c>
      <c r="E163">
        <v>198</v>
      </c>
      <c r="F163">
        <v>8</v>
      </c>
      <c r="G163" t="s">
        <v>310</v>
      </c>
      <c r="H163">
        <v>5</v>
      </c>
      <c r="I163" t="s">
        <v>117</v>
      </c>
      <c r="J163" t="s">
        <v>118</v>
      </c>
      <c r="K163" t="s">
        <v>82</v>
      </c>
      <c r="L163" t="s">
        <v>119</v>
      </c>
      <c r="M163">
        <v>0</v>
      </c>
      <c r="N163" s="82">
        <v>0</v>
      </c>
      <c r="O163" s="82">
        <v>0</v>
      </c>
      <c r="P163" s="82">
        <v>0</v>
      </c>
      <c r="Q163" s="82">
        <v>0</v>
      </c>
      <c r="R163" s="84">
        <v>0</v>
      </c>
      <c r="S163" s="84">
        <v>0</v>
      </c>
      <c r="T163" s="84">
        <v>0</v>
      </c>
      <c r="U163" s="82">
        <v>0</v>
      </c>
      <c r="V163" s="82">
        <v>0</v>
      </c>
      <c r="W163" s="82">
        <v>0</v>
      </c>
    </row>
    <row r="164" spans="1:23">
      <c r="A164">
        <v>31.3</v>
      </c>
      <c r="B164">
        <v>-94.71</v>
      </c>
      <c r="C164" t="s">
        <v>22</v>
      </c>
      <c r="D164" t="s">
        <v>25</v>
      </c>
      <c r="E164">
        <v>22</v>
      </c>
      <c r="F164">
        <v>1</v>
      </c>
      <c r="G164" t="s">
        <v>311</v>
      </c>
      <c r="H164">
        <v>5</v>
      </c>
      <c r="I164" t="s">
        <v>124</v>
      </c>
      <c r="J164" t="s">
        <v>312</v>
      </c>
      <c r="K164" t="s">
        <v>83</v>
      </c>
      <c r="L164" t="s">
        <v>122</v>
      </c>
      <c r="M164">
        <v>140.97</v>
      </c>
      <c r="N164" s="82">
        <v>1285739</v>
      </c>
      <c r="O164" s="82">
        <v>146.77385844748858</v>
      </c>
      <c r="P164" s="82">
        <v>333.74786038120533</v>
      </c>
      <c r="Q164" s="82">
        <v>231.37731356981718</v>
      </c>
      <c r="R164" s="84">
        <v>67573</v>
      </c>
      <c r="S164" s="84">
        <v>5495</v>
      </c>
      <c r="T164" s="84">
        <v>187</v>
      </c>
      <c r="U164" s="82">
        <v>105.97853881278537</v>
      </c>
      <c r="V164" s="82">
        <v>13.820091324200913</v>
      </c>
      <c r="W164" s="82">
        <v>26.975228310502281</v>
      </c>
    </row>
    <row r="165" spans="1:23">
      <c r="A165">
        <v>29</v>
      </c>
      <c r="B165">
        <v>-96.73</v>
      </c>
      <c r="C165" t="s">
        <v>22</v>
      </c>
      <c r="D165" t="s">
        <v>35</v>
      </c>
      <c r="E165">
        <v>90</v>
      </c>
      <c r="F165">
        <v>2</v>
      </c>
      <c r="G165" t="s">
        <v>64</v>
      </c>
      <c r="H165">
        <v>5</v>
      </c>
      <c r="I165" t="s">
        <v>124</v>
      </c>
      <c r="J165" t="s">
        <v>313</v>
      </c>
      <c r="K165" t="s">
        <v>84</v>
      </c>
      <c r="L165" t="s">
        <v>119</v>
      </c>
      <c r="M165">
        <v>26.66</v>
      </c>
      <c r="N165" s="82">
        <v>406726.32653061219</v>
      </c>
      <c r="O165" s="82">
        <v>46.429945950983125</v>
      </c>
      <c r="P165" s="82">
        <v>94.01224489795915</v>
      </c>
      <c r="Q165" s="82">
        <v>94.708163265306098</v>
      </c>
      <c r="R165" s="84">
        <v>16109.244897959179</v>
      </c>
      <c r="S165" s="84">
        <v>650.99999999999977</v>
      </c>
      <c r="T165" s="84">
        <v>2.5306122448979584</v>
      </c>
      <c r="U165" s="82">
        <v>27.166454664057401</v>
      </c>
      <c r="V165" s="82">
        <v>6.3199585313577478</v>
      </c>
      <c r="W165" s="82">
        <v>12.943532755567979</v>
      </c>
    </row>
    <row r="166" spans="1:23">
      <c r="A166">
        <v>29.38</v>
      </c>
      <c r="B166">
        <v>-96.84</v>
      </c>
      <c r="C166" t="s">
        <v>22</v>
      </c>
      <c r="D166" t="s">
        <v>35</v>
      </c>
      <c r="E166">
        <v>92</v>
      </c>
      <c r="F166">
        <v>5</v>
      </c>
      <c r="G166" t="s">
        <v>314</v>
      </c>
      <c r="H166">
        <v>5</v>
      </c>
      <c r="I166" t="s">
        <v>124</v>
      </c>
      <c r="J166" t="s">
        <v>313</v>
      </c>
      <c r="K166" t="s">
        <v>84</v>
      </c>
      <c r="L166" t="s">
        <v>119</v>
      </c>
      <c r="M166">
        <v>15.48</v>
      </c>
      <c r="N166" s="82">
        <v>236163.67346938778</v>
      </c>
      <c r="O166" s="82">
        <v>26.959323455409564</v>
      </c>
      <c r="P166" s="82">
        <v>54.587755102040816</v>
      </c>
      <c r="Q166" s="82">
        <v>54.991836734693877</v>
      </c>
      <c r="R166" s="84">
        <v>9353.7551020408155</v>
      </c>
      <c r="S166" s="84">
        <v>378</v>
      </c>
      <c r="T166" s="84">
        <v>1.4693877551020409</v>
      </c>
      <c r="U166" s="82">
        <v>15.774070450097851</v>
      </c>
      <c r="V166" s="82">
        <v>3.6696533407883707</v>
      </c>
      <c r="W166" s="82">
        <v>7.5155996645233447</v>
      </c>
    </row>
    <row r="167" spans="1:23">
      <c r="A167">
        <v>28.32</v>
      </c>
      <c r="B167">
        <v>-97.65</v>
      </c>
      <c r="C167" t="s">
        <v>22</v>
      </c>
      <c r="D167" t="s">
        <v>25</v>
      </c>
      <c r="E167">
        <v>113</v>
      </c>
      <c r="F167">
        <v>7</v>
      </c>
      <c r="G167" t="s">
        <v>315</v>
      </c>
      <c r="H167">
        <v>5</v>
      </c>
      <c r="I167" t="s">
        <v>124</v>
      </c>
      <c r="J167" t="s">
        <v>121</v>
      </c>
      <c r="K167" t="s">
        <v>85</v>
      </c>
      <c r="L167" t="s">
        <v>119</v>
      </c>
      <c r="M167">
        <v>76.319999999999993</v>
      </c>
      <c r="N167" s="82">
        <v>275942</v>
      </c>
      <c r="O167" s="82">
        <v>31.500228310502283</v>
      </c>
      <c r="P167" s="82">
        <v>62</v>
      </c>
      <c r="Q167" s="82">
        <v>60</v>
      </c>
      <c r="R167" s="84">
        <v>8820</v>
      </c>
      <c r="S167" s="84">
        <v>2502</v>
      </c>
      <c r="T167" s="84">
        <v>40</v>
      </c>
      <c r="U167" s="82">
        <v>13.404566210045662</v>
      </c>
      <c r="V167" s="82">
        <v>4.122488584474886</v>
      </c>
      <c r="W167" s="82">
        <v>13.973173515981737</v>
      </c>
    </row>
    <row r="168" spans="1:23">
      <c r="A168">
        <v>32.86</v>
      </c>
      <c r="B168">
        <v>-101.67</v>
      </c>
      <c r="C168" t="s">
        <v>18</v>
      </c>
      <c r="D168" t="s">
        <v>19</v>
      </c>
      <c r="E168">
        <v>152</v>
      </c>
      <c r="F168">
        <v>3</v>
      </c>
      <c r="G168" t="s">
        <v>316</v>
      </c>
      <c r="H168">
        <v>4</v>
      </c>
      <c r="I168" t="s">
        <v>117</v>
      </c>
      <c r="J168" t="s">
        <v>143</v>
      </c>
      <c r="K168" t="s">
        <v>86</v>
      </c>
      <c r="L168" t="s">
        <v>122</v>
      </c>
      <c r="M168">
        <v>28.97</v>
      </c>
      <c r="N168" s="82">
        <v>429911.49777820712</v>
      </c>
      <c r="O168" s="82">
        <v>49.076654997512229</v>
      </c>
      <c r="P168" s="82">
        <v>99.878216769706341</v>
      </c>
      <c r="Q168" s="82">
        <v>63.973551004636789</v>
      </c>
      <c r="R168" s="84">
        <v>10682.127801391036</v>
      </c>
      <c r="S168" s="84">
        <v>2531.5168083462136</v>
      </c>
      <c r="T168" s="84">
        <v>2155.9590417310669</v>
      </c>
      <c r="U168" s="82">
        <v>15.850747666169111</v>
      </c>
      <c r="V168" s="82">
        <v>12.68599066291207</v>
      </c>
      <c r="W168" s="82">
        <v>20.539916668431047</v>
      </c>
    </row>
    <row r="169" spans="1:23">
      <c r="A169">
        <v>33.29</v>
      </c>
      <c r="B169">
        <v>-101.34</v>
      </c>
      <c r="C169" t="s">
        <v>18</v>
      </c>
      <c r="D169" t="s">
        <v>19</v>
      </c>
      <c r="E169">
        <v>154</v>
      </c>
      <c r="F169">
        <v>3</v>
      </c>
      <c r="G169" t="s">
        <v>317</v>
      </c>
      <c r="H169">
        <v>4</v>
      </c>
      <c r="I169" t="s">
        <v>117</v>
      </c>
      <c r="J169" t="s">
        <v>143</v>
      </c>
      <c r="K169" t="s">
        <v>86</v>
      </c>
      <c r="L169" t="s">
        <v>122</v>
      </c>
      <c r="M169">
        <v>11.83</v>
      </c>
      <c r="N169" s="82">
        <v>175555.85152627513</v>
      </c>
      <c r="O169" s="82">
        <v>20.040622320351044</v>
      </c>
      <c r="P169" s="82">
        <v>40.785616306027826</v>
      </c>
      <c r="Q169" s="82">
        <v>26.123821483771259</v>
      </c>
      <c r="R169" s="84">
        <v>4362.0839451313768</v>
      </c>
      <c r="S169" s="84">
        <v>1033.7536707882537</v>
      </c>
      <c r="T169" s="84">
        <v>880.39335394126749</v>
      </c>
      <c r="U169" s="82">
        <v>6.4727077974035421</v>
      </c>
      <c r="V169" s="82">
        <v>5.1803682962461108</v>
      </c>
      <c r="W169" s="82">
        <v>8.3875462267013923</v>
      </c>
    </row>
    <row r="170" spans="1:23">
      <c r="A170">
        <v>32.93</v>
      </c>
      <c r="B170">
        <v>-102.13</v>
      </c>
      <c r="C170" t="s">
        <v>18</v>
      </c>
      <c r="D170" t="s">
        <v>19</v>
      </c>
      <c r="E170">
        <v>155</v>
      </c>
      <c r="F170">
        <v>3</v>
      </c>
      <c r="G170" t="s">
        <v>318</v>
      </c>
      <c r="H170">
        <v>4</v>
      </c>
      <c r="I170" t="s">
        <v>117</v>
      </c>
      <c r="J170" t="s">
        <v>143</v>
      </c>
      <c r="K170" t="s">
        <v>86</v>
      </c>
      <c r="L170" t="s">
        <v>122</v>
      </c>
      <c r="M170">
        <v>0.51</v>
      </c>
      <c r="N170" s="82">
        <v>7568.3418663060284</v>
      </c>
      <c r="O170" s="82">
        <v>0.86396596647329094</v>
      </c>
      <c r="P170" s="82">
        <v>1.7582979134466772</v>
      </c>
      <c r="Q170" s="82">
        <v>1.1262171561051006</v>
      </c>
      <c r="R170" s="84">
        <v>188.05264683153015</v>
      </c>
      <c r="S170" s="84">
        <v>44.565880989180847</v>
      </c>
      <c r="T170" s="84">
        <v>37.95440494590418</v>
      </c>
      <c r="U170" s="82">
        <v>0.27904319329465815</v>
      </c>
      <c r="V170" s="82">
        <v>0.22332948698947727</v>
      </c>
      <c r="W170" s="82">
        <v>0.36159328618915548</v>
      </c>
    </row>
    <row r="171" spans="1:23">
      <c r="A171">
        <v>34.44</v>
      </c>
      <c r="B171">
        <v>-100.29</v>
      </c>
      <c r="C171" t="s">
        <v>18</v>
      </c>
      <c r="D171" t="s">
        <v>19</v>
      </c>
      <c r="E171">
        <v>143</v>
      </c>
      <c r="F171">
        <v>3</v>
      </c>
      <c r="G171" t="s">
        <v>319</v>
      </c>
      <c r="H171">
        <v>4</v>
      </c>
      <c r="I171" t="s">
        <v>117</v>
      </c>
      <c r="J171" t="s">
        <v>213</v>
      </c>
      <c r="K171" t="s">
        <v>87</v>
      </c>
      <c r="L171" t="s">
        <v>122</v>
      </c>
      <c r="M171">
        <v>13.51</v>
      </c>
      <c r="N171" s="82">
        <v>200486.86002704792</v>
      </c>
      <c r="O171" s="82">
        <v>22.886627856968943</v>
      </c>
      <c r="P171" s="82">
        <v>46.577656491499233</v>
      </c>
      <c r="Q171" s="82">
        <v>29.833713292117469</v>
      </c>
      <c r="R171" s="84">
        <v>4981.5514876352408</v>
      </c>
      <c r="S171" s="84">
        <v>1180.5589258114376</v>
      </c>
      <c r="T171" s="84">
        <v>1005.4196290571872</v>
      </c>
      <c r="U171" s="82">
        <v>7.3919089047271216</v>
      </c>
      <c r="V171" s="82">
        <v>5.9160419004467411</v>
      </c>
      <c r="W171" s="82">
        <v>9.5786770517950792</v>
      </c>
    </row>
    <row r="172" spans="1:23">
      <c r="A172">
        <v>33.950000000000003</v>
      </c>
      <c r="B172">
        <v>-100.3</v>
      </c>
      <c r="C172" t="s">
        <v>18</v>
      </c>
      <c r="D172" t="s">
        <v>19</v>
      </c>
      <c r="E172">
        <v>148</v>
      </c>
      <c r="F172">
        <v>3</v>
      </c>
      <c r="G172" t="s">
        <v>320</v>
      </c>
      <c r="H172">
        <v>4</v>
      </c>
      <c r="I172" t="s">
        <v>117</v>
      </c>
      <c r="J172" t="s">
        <v>213</v>
      </c>
      <c r="K172" t="s">
        <v>87</v>
      </c>
      <c r="L172" t="s">
        <v>122</v>
      </c>
      <c r="M172">
        <v>3.26</v>
      </c>
      <c r="N172" s="82">
        <v>48378.028400309122</v>
      </c>
      <c r="O172" s="82">
        <v>5.5226059817704476</v>
      </c>
      <c r="P172" s="82">
        <v>11.239316074188563</v>
      </c>
      <c r="Q172" s="82">
        <v>7.1989567233384868</v>
      </c>
      <c r="R172" s="84">
        <v>1202.0620170015457</v>
      </c>
      <c r="S172" s="84">
        <v>284.87210200927359</v>
      </c>
      <c r="T172" s="84">
        <v>242.61051004636786</v>
      </c>
      <c r="U172" s="82">
        <v>1.783687863020756</v>
      </c>
      <c r="V172" s="82">
        <v>1.4275571129131293</v>
      </c>
      <c r="W172" s="82">
        <v>2.3113610058365621</v>
      </c>
    </row>
    <row r="173" spans="1:23">
      <c r="A173">
        <v>32.81</v>
      </c>
      <c r="B173">
        <v>-100.98</v>
      </c>
      <c r="C173" t="s">
        <v>18</v>
      </c>
      <c r="D173" t="s">
        <v>19</v>
      </c>
      <c r="E173">
        <v>151</v>
      </c>
      <c r="F173">
        <v>4</v>
      </c>
      <c r="G173" t="s">
        <v>321</v>
      </c>
      <c r="H173">
        <v>4</v>
      </c>
      <c r="I173" t="s">
        <v>117</v>
      </c>
      <c r="J173" t="s">
        <v>136</v>
      </c>
      <c r="K173" t="s">
        <v>87</v>
      </c>
      <c r="L173" t="s">
        <v>122</v>
      </c>
      <c r="M173">
        <v>38.24</v>
      </c>
      <c r="N173" s="82">
        <v>567477.24111282849</v>
      </c>
      <c r="O173" s="82">
        <v>64.780506976350281</v>
      </c>
      <c r="P173" s="82">
        <v>131.83786707882535</v>
      </c>
      <c r="Q173" s="82">
        <v>84.44420401854714</v>
      </c>
      <c r="R173" s="84">
        <v>14100.261205564144</v>
      </c>
      <c r="S173" s="84">
        <v>3341.5672333848534</v>
      </c>
      <c r="T173" s="84">
        <v>2845.8361669242663</v>
      </c>
      <c r="U173" s="82">
        <v>20.922768061936722</v>
      </c>
      <c r="V173" s="82">
        <v>16.745332514661982</v>
      </c>
      <c r="W173" s="82">
        <v>27.112406399751578</v>
      </c>
    </row>
    <row r="174" spans="1:23">
      <c r="A174">
        <v>33.700000000000003</v>
      </c>
      <c r="B174">
        <v>-101.45</v>
      </c>
      <c r="C174" t="s">
        <v>18</v>
      </c>
      <c r="D174" t="s">
        <v>19</v>
      </c>
      <c r="E174">
        <v>153</v>
      </c>
      <c r="F174">
        <v>3</v>
      </c>
      <c r="G174" t="s">
        <v>322</v>
      </c>
      <c r="H174">
        <v>4</v>
      </c>
      <c r="I174" t="s">
        <v>117</v>
      </c>
      <c r="J174" t="s">
        <v>143</v>
      </c>
      <c r="K174" t="s">
        <v>87</v>
      </c>
      <c r="L174" t="s">
        <v>122</v>
      </c>
      <c r="M174">
        <v>7.2</v>
      </c>
      <c r="N174" s="82">
        <v>106847.17928902627</v>
      </c>
      <c r="O174" s="82">
        <v>12.197166585505281</v>
      </c>
      <c r="P174" s="82">
        <v>24.823029366306024</v>
      </c>
      <c r="Q174" s="82">
        <v>15.899536321483771</v>
      </c>
      <c r="R174" s="84">
        <v>2654.8608964451309</v>
      </c>
      <c r="S174" s="84">
        <v>629.1653786707883</v>
      </c>
      <c r="T174" s="84">
        <v>535.82689335394127</v>
      </c>
      <c r="U174" s="82">
        <v>3.9394333171010558</v>
      </c>
      <c r="V174" s="82">
        <v>3.152886875145561</v>
      </c>
      <c r="W174" s="82">
        <v>5.1048463932586641</v>
      </c>
    </row>
    <row r="175" spans="1:23">
      <c r="A175">
        <v>34.11</v>
      </c>
      <c r="B175">
        <v>-99.19</v>
      </c>
      <c r="C175" t="s">
        <v>18</v>
      </c>
      <c r="D175" t="s">
        <v>19</v>
      </c>
      <c r="E175">
        <v>35</v>
      </c>
      <c r="F175">
        <v>3</v>
      </c>
      <c r="G175" t="s">
        <v>323</v>
      </c>
      <c r="H175">
        <v>4</v>
      </c>
      <c r="I175" t="s">
        <v>117</v>
      </c>
      <c r="J175" t="s">
        <v>203</v>
      </c>
      <c r="K175" t="s">
        <v>88</v>
      </c>
      <c r="L175" t="s">
        <v>122</v>
      </c>
      <c r="M175">
        <v>33.25</v>
      </c>
      <c r="N175" s="82">
        <v>71363.095238095237</v>
      </c>
      <c r="O175" s="82">
        <v>8.1464720591432922</v>
      </c>
      <c r="P175" s="82">
        <v>81.70935203520682</v>
      </c>
      <c r="Q175" s="82">
        <v>75.342389538956937</v>
      </c>
      <c r="R175" s="84">
        <v>2370.0828157349897</v>
      </c>
      <c r="S175" s="84">
        <v>965.73498964803321</v>
      </c>
      <c r="T175" s="84">
        <v>18.685300207039337</v>
      </c>
      <c r="U175" s="82">
        <v>2.8404036321695645</v>
      </c>
      <c r="V175" s="82">
        <v>3.9247662535333769</v>
      </c>
      <c r="W175" s="82">
        <v>1.381302173440351</v>
      </c>
    </row>
    <row r="176" spans="1:23">
      <c r="A176">
        <v>30.6</v>
      </c>
      <c r="B176">
        <v>-101.78</v>
      </c>
      <c r="C176" t="s">
        <v>18</v>
      </c>
      <c r="D176" t="s">
        <v>19</v>
      </c>
      <c r="E176">
        <v>179</v>
      </c>
      <c r="F176">
        <v>8</v>
      </c>
      <c r="G176" t="s">
        <v>324</v>
      </c>
      <c r="H176">
        <v>4</v>
      </c>
      <c r="I176" t="s">
        <v>117</v>
      </c>
      <c r="J176" t="s">
        <v>167</v>
      </c>
      <c r="K176" t="s">
        <v>88</v>
      </c>
      <c r="L176" t="s">
        <v>122</v>
      </c>
      <c r="M176">
        <v>0.56000000000000005</v>
      </c>
      <c r="N176" s="82">
        <v>1201.9047619047619</v>
      </c>
      <c r="O176" s="82">
        <v>0.13720373994346599</v>
      </c>
      <c r="P176" s="82">
        <v>1.3761575079613784</v>
      </c>
      <c r="Q176" s="82">
        <v>1.2689244553929593</v>
      </c>
      <c r="R176" s="84">
        <v>39.917184265010356</v>
      </c>
      <c r="S176" s="84">
        <v>16.265010351966879</v>
      </c>
      <c r="T176" s="84">
        <v>0.31469979296066258</v>
      </c>
      <c r="U176" s="82">
        <v>4.7838376962855825E-2</v>
      </c>
      <c r="V176" s="82">
        <v>6.6101326375298988E-2</v>
      </c>
      <c r="W176" s="82">
        <v>2.3264036605311178E-2</v>
      </c>
    </row>
    <row r="177" spans="1:23">
      <c r="A177">
        <v>30.54</v>
      </c>
      <c r="B177">
        <v>-101.3</v>
      </c>
      <c r="C177" t="s">
        <v>18</v>
      </c>
      <c r="D177" t="s">
        <v>19</v>
      </c>
      <c r="E177">
        <v>71</v>
      </c>
      <c r="F177">
        <v>6</v>
      </c>
      <c r="G177" t="s">
        <v>325</v>
      </c>
      <c r="H177">
        <v>4</v>
      </c>
      <c r="I177" t="s">
        <v>117</v>
      </c>
      <c r="J177" t="s">
        <v>167</v>
      </c>
      <c r="K177" t="s">
        <v>89</v>
      </c>
      <c r="L177" t="s">
        <v>119</v>
      </c>
      <c r="M177">
        <v>6.85</v>
      </c>
      <c r="N177" s="82">
        <v>40921.802311285959</v>
      </c>
      <c r="O177" s="82">
        <v>4.6714386200098126</v>
      </c>
      <c r="P177" s="82">
        <v>6.5687238750922052</v>
      </c>
      <c r="Q177" s="82">
        <v>6.4002950577821487</v>
      </c>
      <c r="R177" s="84">
        <v>919.28448487828871</v>
      </c>
      <c r="S177" s="84">
        <v>672.36783870174577</v>
      </c>
      <c r="T177" s="84">
        <v>68.71895746250307</v>
      </c>
      <c r="U177" s="82">
        <v>0.64668205952128333</v>
      </c>
      <c r="V177" s="82">
        <v>0.79113476550877815</v>
      </c>
      <c r="W177" s="82">
        <v>3.2336217949797508</v>
      </c>
    </row>
    <row r="178" spans="1:23">
      <c r="A178">
        <v>30.44</v>
      </c>
      <c r="B178">
        <v>-100.56</v>
      </c>
      <c r="C178" t="s">
        <v>18</v>
      </c>
      <c r="D178" t="s">
        <v>19</v>
      </c>
      <c r="E178">
        <v>73</v>
      </c>
      <c r="F178">
        <v>6</v>
      </c>
      <c r="G178" t="s">
        <v>326</v>
      </c>
      <c r="H178">
        <v>4</v>
      </c>
      <c r="I178" t="s">
        <v>117</v>
      </c>
      <c r="J178" t="s">
        <v>167</v>
      </c>
      <c r="K178" t="s">
        <v>89</v>
      </c>
      <c r="L178" t="s">
        <v>119</v>
      </c>
      <c r="M178">
        <v>9.9</v>
      </c>
      <c r="N178" s="82">
        <v>59142.458814851248</v>
      </c>
      <c r="O178" s="82">
        <v>6.7514222391382708</v>
      </c>
      <c r="P178" s="82">
        <v>9.4934841406442114</v>
      </c>
      <c r="Q178" s="82">
        <v>9.250061470371282</v>
      </c>
      <c r="R178" s="84">
        <v>1328.6009343496437</v>
      </c>
      <c r="S178" s="84">
        <v>971.74329972953058</v>
      </c>
      <c r="T178" s="84">
        <v>99.316449471354829</v>
      </c>
      <c r="U178" s="82">
        <v>0.93462078675338778</v>
      </c>
      <c r="V178" s="82">
        <v>1.1433918508813001</v>
      </c>
      <c r="W178" s="82">
        <v>4.6734096015035824</v>
      </c>
    </row>
    <row r="179" spans="1:23">
      <c r="A179">
        <v>31.69</v>
      </c>
      <c r="B179">
        <v>-100.05</v>
      </c>
      <c r="C179" t="s">
        <v>18</v>
      </c>
      <c r="D179" t="s">
        <v>72</v>
      </c>
      <c r="E179">
        <v>57</v>
      </c>
      <c r="F179">
        <v>4</v>
      </c>
      <c r="G179" t="s">
        <v>327</v>
      </c>
      <c r="H179">
        <v>4</v>
      </c>
      <c r="I179" t="s">
        <v>117</v>
      </c>
      <c r="J179" t="s">
        <v>167</v>
      </c>
      <c r="K179" t="s">
        <v>89</v>
      </c>
      <c r="L179" t="s">
        <v>119</v>
      </c>
      <c r="M179">
        <v>23.92</v>
      </c>
      <c r="N179" s="82">
        <v>142897.73887386281</v>
      </c>
      <c r="O179" s="82">
        <v>16.3125272687058</v>
      </c>
      <c r="P179" s="82">
        <v>22.937791984263587</v>
      </c>
      <c r="Q179" s="82">
        <v>22.349643471846573</v>
      </c>
      <c r="R179" s="84">
        <v>3210.1145807720682</v>
      </c>
      <c r="S179" s="84">
        <v>2347.8888615687242</v>
      </c>
      <c r="T179" s="84">
        <v>239.96459306614213</v>
      </c>
      <c r="U179" s="82">
        <v>2.2581948706203065</v>
      </c>
      <c r="V179" s="82">
        <v>2.7626195023313835</v>
      </c>
      <c r="W179" s="82">
        <v>11.29171289575411</v>
      </c>
    </row>
    <row r="180" spans="1:23">
      <c r="A180">
        <v>31.87</v>
      </c>
      <c r="B180">
        <v>-99.49</v>
      </c>
      <c r="C180" t="s">
        <v>18</v>
      </c>
      <c r="D180" t="s">
        <v>19</v>
      </c>
      <c r="E180">
        <v>61</v>
      </c>
      <c r="F180">
        <v>1</v>
      </c>
      <c r="G180" t="s">
        <v>328</v>
      </c>
      <c r="H180">
        <v>4</v>
      </c>
      <c r="I180" t="s">
        <v>117</v>
      </c>
      <c r="J180" t="s">
        <v>136</v>
      </c>
      <c r="K180" t="s">
        <v>90</v>
      </c>
      <c r="L180" t="s">
        <v>128</v>
      </c>
      <c r="M180">
        <v>14.99</v>
      </c>
      <c r="N180" s="82">
        <v>158131.07611940298</v>
      </c>
      <c r="O180" s="82">
        <v>18.051492707694404</v>
      </c>
      <c r="P180" s="82">
        <v>48.661567164179104</v>
      </c>
      <c r="Q180" s="82">
        <v>60.407462686567165</v>
      </c>
      <c r="R180" s="84">
        <v>8271.3477611940307</v>
      </c>
      <c r="S180" s="84">
        <v>1576.1873134328357</v>
      </c>
      <c r="T180" s="84">
        <v>3.9152985074626865</v>
      </c>
      <c r="U180" s="82">
        <v>11.607148887412254</v>
      </c>
      <c r="V180" s="82">
        <v>5.553568714645948</v>
      </c>
      <c r="W180" s="82">
        <v>0.89077510563620255</v>
      </c>
    </row>
    <row r="181" spans="1:23">
      <c r="A181">
        <v>32.020000000000003</v>
      </c>
      <c r="B181">
        <v>-99.89</v>
      </c>
      <c r="C181" t="s">
        <v>18</v>
      </c>
      <c r="D181" t="s">
        <v>19</v>
      </c>
      <c r="E181">
        <v>163</v>
      </c>
      <c r="F181">
        <v>4</v>
      </c>
      <c r="G181" t="s">
        <v>329</v>
      </c>
      <c r="H181">
        <v>4</v>
      </c>
      <c r="I181" t="s">
        <v>117</v>
      </c>
      <c r="J181" t="s">
        <v>136</v>
      </c>
      <c r="K181" t="s">
        <v>90</v>
      </c>
      <c r="L181" t="s">
        <v>128</v>
      </c>
      <c r="M181">
        <v>11.81</v>
      </c>
      <c r="N181" s="82">
        <v>124584.92388059701</v>
      </c>
      <c r="O181" s="82">
        <v>14.222023274040753</v>
      </c>
      <c r="P181" s="82">
        <v>38.338432835820889</v>
      </c>
      <c r="Q181" s="82">
        <v>47.592537313432835</v>
      </c>
      <c r="R181" s="84">
        <v>6516.6522388059693</v>
      </c>
      <c r="S181" s="84">
        <v>1241.8126865671638</v>
      </c>
      <c r="T181" s="84">
        <v>3.0847014925373131</v>
      </c>
      <c r="U181" s="82">
        <v>9.1447917518571522</v>
      </c>
      <c r="V181" s="82">
        <v>4.3754267191440048</v>
      </c>
      <c r="W181" s="82">
        <v>0.70180480303959636</v>
      </c>
    </row>
    <row r="182" spans="1:23">
      <c r="A182">
        <v>31.02</v>
      </c>
      <c r="B182">
        <v>-103.72</v>
      </c>
      <c r="C182" t="s">
        <v>18</v>
      </c>
      <c r="D182" t="s">
        <v>19</v>
      </c>
      <c r="E182">
        <v>167</v>
      </c>
      <c r="F182">
        <v>8</v>
      </c>
      <c r="G182" t="s">
        <v>330</v>
      </c>
      <c r="H182">
        <v>4</v>
      </c>
      <c r="I182" t="s">
        <v>117</v>
      </c>
      <c r="J182" t="s">
        <v>118</v>
      </c>
      <c r="K182" t="s">
        <v>91</v>
      </c>
      <c r="L182" t="s">
        <v>122</v>
      </c>
      <c r="M182">
        <v>1.75</v>
      </c>
      <c r="N182" s="82">
        <v>374194.75268466177</v>
      </c>
      <c r="O182" s="82">
        <v>42.716295968568694</v>
      </c>
      <c r="P182" s="82">
        <v>97.132231404958716</v>
      </c>
      <c r="Q182" s="82">
        <v>67.338842975206632</v>
      </c>
      <c r="R182" s="84">
        <v>17645.890643345196</v>
      </c>
      <c r="S182" s="84">
        <v>1624.2555397100859</v>
      </c>
      <c r="T182" s="84">
        <v>77.005733005733035</v>
      </c>
      <c r="U182" s="82">
        <v>29.320806677624859</v>
      </c>
      <c r="V182" s="82">
        <v>5.0359584314129764</v>
      </c>
      <c r="W182" s="82">
        <v>8.3595308595308602</v>
      </c>
    </row>
    <row r="183" spans="1:23">
      <c r="A183">
        <v>31.42</v>
      </c>
      <c r="B183">
        <v>-103.62</v>
      </c>
      <c r="C183" t="s">
        <v>18</v>
      </c>
      <c r="D183" t="s">
        <v>35</v>
      </c>
      <c r="E183">
        <v>168</v>
      </c>
      <c r="F183">
        <v>8</v>
      </c>
      <c r="G183" t="s">
        <v>127</v>
      </c>
      <c r="H183">
        <v>4</v>
      </c>
      <c r="I183" t="s">
        <v>124</v>
      </c>
      <c r="J183" t="s">
        <v>279</v>
      </c>
      <c r="K183" t="s">
        <v>91</v>
      </c>
      <c r="L183" t="s">
        <v>122</v>
      </c>
      <c r="M183">
        <v>24.54</v>
      </c>
      <c r="N183" s="82">
        <v>5247279.5605037715</v>
      </c>
      <c r="O183" s="82">
        <v>599.0045160392433</v>
      </c>
      <c r="P183" s="82">
        <v>1362.0714049586782</v>
      </c>
      <c r="Q183" s="82">
        <v>944.28297520661192</v>
      </c>
      <c r="R183" s="84">
        <v>247445.80365010918</v>
      </c>
      <c r="S183" s="84">
        <v>22776.703396848861</v>
      </c>
      <c r="T183" s="84">
        <v>1079.8403931203934</v>
      </c>
      <c r="U183" s="82">
        <v>411.16148335366518</v>
      </c>
      <c r="V183" s="82">
        <v>70.618525661071118</v>
      </c>
      <c r="W183" s="82">
        <v>117.22450702450702</v>
      </c>
    </row>
    <row r="184" spans="1:23">
      <c r="A184">
        <v>30.69</v>
      </c>
      <c r="B184">
        <v>-103.96</v>
      </c>
      <c r="C184" t="s">
        <v>18</v>
      </c>
      <c r="D184" t="s">
        <v>19</v>
      </c>
      <c r="E184">
        <v>172</v>
      </c>
      <c r="F184">
        <v>8</v>
      </c>
      <c r="G184" t="s">
        <v>331</v>
      </c>
      <c r="H184">
        <v>4</v>
      </c>
      <c r="I184" t="s">
        <v>117</v>
      </c>
      <c r="J184" t="s">
        <v>118</v>
      </c>
      <c r="K184" t="s">
        <v>91</v>
      </c>
      <c r="L184" t="s">
        <v>122</v>
      </c>
      <c r="M184">
        <v>3.96</v>
      </c>
      <c r="N184" s="82">
        <v>846749.26893214893</v>
      </c>
      <c r="O184" s="82">
        <v>96.660875448875444</v>
      </c>
      <c r="P184" s="82">
        <v>219.79636363636371</v>
      </c>
      <c r="Q184" s="82">
        <v>152.3781818181819</v>
      </c>
      <c r="R184" s="84">
        <v>39930.129684369691</v>
      </c>
      <c r="S184" s="84">
        <v>3675.4582498582517</v>
      </c>
      <c r="T184" s="84">
        <v>174.25297297297303</v>
      </c>
      <c r="U184" s="82">
        <v>66.348796824796821</v>
      </c>
      <c r="V184" s="82">
        <v>11.395654507654507</v>
      </c>
      <c r="W184" s="82">
        <v>18.916424116424118</v>
      </c>
    </row>
    <row r="185" spans="1:23">
      <c r="A185">
        <v>30.96</v>
      </c>
      <c r="B185">
        <v>-103.31</v>
      </c>
      <c r="C185" t="s">
        <v>18</v>
      </c>
      <c r="D185" t="s">
        <v>19</v>
      </c>
      <c r="E185">
        <v>199</v>
      </c>
      <c r="F185">
        <v>8</v>
      </c>
      <c r="G185" t="s">
        <v>129</v>
      </c>
      <c r="H185">
        <v>4</v>
      </c>
      <c r="I185" t="s">
        <v>117</v>
      </c>
      <c r="J185" t="s">
        <v>118</v>
      </c>
      <c r="K185" t="s">
        <v>91</v>
      </c>
      <c r="L185" t="s">
        <v>119</v>
      </c>
      <c r="M185">
        <v>0</v>
      </c>
      <c r="N185" s="82">
        <v>0</v>
      </c>
      <c r="O185" s="82">
        <v>0</v>
      </c>
      <c r="P185" s="82">
        <v>0</v>
      </c>
      <c r="Q185" s="82">
        <v>0</v>
      </c>
      <c r="R185" s="84">
        <v>0</v>
      </c>
      <c r="S185" s="84">
        <v>0</v>
      </c>
      <c r="T185" s="84">
        <v>0</v>
      </c>
      <c r="U185" s="82">
        <v>0</v>
      </c>
      <c r="V185" s="82">
        <v>0</v>
      </c>
      <c r="W185" s="82">
        <v>0</v>
      </c>
    </row>
    <row r="186" spans="1:23">
      <c r="A186">
        <v>33.090000000000003</v>
      </c>
      <c r="B186">
        <v>-97.94</v>
      </c>
      <c r="C186" t="s">
        <v>18</v>
      </c>
      <c r="D186" t="s">
        <v>35</v>
      </c>
      <c r="E186">
        <v>28</v>
      </c>
      <c r="F186">
        <v>1</v>
      </c>
      <c r="G186" t="s">
        <v>332</v>
      </c>
      <c r="H186">
        <v>4</v>
      </c>
      <c r="I186" t="s">
        <v>124</v>
      </c>
      <c r="J186" t="s">
        <v>269</v>
      </c>
      <c r="K186" t="s">
        <v>92</v>
      </c>
      <c r="L186" t="s">
        <v>119</v>
      </c>
      <c r="M186">
        <v>50.23</v>
      </c>
      <c r="N186" s="82">
        <v>1774880.4667811382</v>
      </c>
      <c r="O186" s="82">
        <v>202.61192543163679</v>
      </c>
      <c r="P186" s="82">
        <v>465.87644961035522</v>
      </c>
      <c r="Q186" s="82">
        <v>450.15262184651954</v>
      </c>
      <c r="R186" s="84">
        <v>59369.060229824325</v>
      </c>
      <c r="S186" s="84">
        <v>8535.3183199048999</v>
      </c>
      <c r="T186" s="84">
        <v>975.93884559503363</v>
      </c>
      <c r="U186" s="82">
        <v>123.92818328951675</v>
      </c>
      <c r="V186" s="82">
        <v>39.523449578390021</v>
      </c>
      <c r="W186" s="82">
        <v>39.160292563730017</v>
      </c>
    </row>
    <row r="187" spans="1:23">
      <c r="A187">
        <v>33.51</v>
      </c>
      <c r="B187">
        <v>-99.5</v>
      </c>
      <c r="C187" t="s">
        <v>18</v>
      </c>
      <c r="D187" t="s">
        <v>35</v>
      </c>
      <c r="E187">
        <v>36</v>
      </c>
      <c r="F187">
        <v>3</v>
      </c>
      <c r="G187" t="s">
        <v>333</v>
      </c>
      <c r="H187">
        <v>4</v>
      </c>
      <c r="I187" t="s">
        <v>124</v>
      </c>
      <c r="J187" t="s">
        <v>203</v>
      </c>
      <c r="K187" t="s">
        <v>92</v>
      </c>
      <c r="L187" t="s">
        <v>119</v>
      </c>
      <c r="M187">
        <v>16.920000000000002</v>
      </c>
      <c r="N187" s="82">
        <v>597869.35094439308</v>
      </c>
      <c r="O187" s="82">
        <v>68.249925906894191</v>
      </c>
      <c r="P187" s="82">
        <v>156.93070928543125</v>
      </c>
      <c r="Q187" s="82">
        <v>151.63413023378683</v>
      </c>
      <c r="R187" s="84">
        <v>19998.496896050721</v>
      </c>
      <c r="S187" s="84">
        <v>2875.1261392154274</v>
      </c>
      <c r="T187" s="84">
        <v>328.74547615902787</v>
      </c>
      <c r="U187" s="82">
        <v>41.745268987828467</v>
      </c>
      <c r="V187" s="82">
        <v>13.313493268293037</v>
      </c>
      <c r="W187" s="82">
        <v>13.191163650772687</v>
      </c>
    </row>
    <row r="188" spans="1:23">
      <c r="A188">
        <v>33.9</v>
      </c>
      <c r="B188">
        <v>-99.77</v>
      </c>
      <c r="C188" t="s">
        <v>18</v>
      </c>
      <c r="D188" t="s">
        <v>35</v>
      </c>
      <c r="E188">
        <v>145</v>
      </c>
      <c r="F188">
        <v>3</v>
      </c>
      <c r="G188" t="s">
        <v>334</v>
      </c>
      <c r="H188">
        <v>4</v>
      </c>
      <c r="I188" t="s">
        <v>124</v>
      </c>
      <c r="J188" t="s">
        <v>203</v>
      </c>
      <c r="K188" t="s">
        <v>92</v>
      </c>
      <c r="L188" t="s">
        <v>119</v>
      </c>
      <c r="M188">
        <v>2.61</v>
      </c>
      <c r="N188" s="82">
        <v>92224.527539294664</v>
      </c>
      <c r="O188" s="82">
        <v>10.527914102659208</v>
      </c>
      <c r="P188" s="82">
        <v>24.207396645093116</v>
      </c>
      <c r="Q188" s="82">
        <v>23.390371153084132</v>
      </c>
      <c r="R188" s="84">
        <v>3084.8745211993123</v>
      </c>
      <c r="S188" s="84">
        <v>443.50350019812441</v>
      </c>
      <c r="T188" s="84">
        <v>50.710738343679822</v>
      </c>
      <c r="U188" s="82">
        <v>6.4394297906756659</v>
      </c>
      <c r="V188" s="82">
        <v>2.0536771530877553</v>
      </c>
      <c r="W188" s="82">
        <v>2.0348071588957861</v>
      </c>
    </row>
    <row r="189" spans="1:23">
      <c r="A189">
        <v>34.299999999999997</v>
      </c>
      <c r="B189">
        <v>-99.82</v>
      </c>
      <c r="C189" t="s">
        <v>18</v>
      </c>
      <c r="D189" t="s">
        <v>72</v>
      </c>
      <c r="E189">
        <v>150</v>
      </c>
      <c r="F189">
        <v>3</v>
      </c>
      <c r="G189" t="s">
        <v>335</v>
      </c>
      <c r="H189">
        <v>4</v>
      </c>
      <c r="I189" t="s">
        <v>117</v>
      </c>
      <c r="J189" t="s">
        <v>213</v>
      </c>
      <c r="K189" t="s">
        <v>93</v>
      </c>
      <c r="L189" t="s">
        <v>119</v>
      </c>
      <c r="M189">
        <v>5.95</v>
      </c>
      <c r="N189" s="82">
        <v>210243.65473517365</v>
      </c>
      <c r="O189" s="82">
        <v>24.000417207211601</v>
      </c>
      <c r="P189" s="82">
        <v>55.185444459120319</v>
      </c>
      <c r="Q189" s="82">
        <v>53.322876766609411</v>
      </c>
      <c r="R189" s="84">
        <v>7032.5683529256348</v>
      </c>
      <c r="S189" s="84">
        <v>1011.0520406815476</v>
      </c>
      <c r="T189" s="84">
        <v>115.60493990225858</v>
      </c>
      <c r="U189" s="82">
        <v>14.679926151157169</v>
      </c>
      <c r="V189" s="82">
        <v>4.6817544294529281</v>
      </c>
      <c r="W189" s="82">
        <v>4.6387366266015047</v>
      </c>
    </row>
    <row r="190" spans="1:23">
      <c r="A190">
        <v>32.6</v>
      </c>
      <c r="B190">
        <v>-95.84</v>
      </c>
      <c r="C190" t="s">
        <v>18</v>
      </c>
      <c r="D190" t="s">
        <v>19</v>
      </c>
      <c r="E190">
        <v>5</v>
      </c>
      <c r="F190">
        <v>1</v>
      </c>
      <c r="G190" t="s">
        <v>336</v>
      </c>
      <c r="H190">
        <v>4</v>
      </c>
      <c r="I190" t="s">
        <v>117</v>
      </c>
      <c r="J190" t="s">
        <v>171</v>
      </c>
      <c r="K190" t="s">
        <v>94</v>
      </c>
      <c r="L190" t="s">
        <v>128</v>
      </c>
      <c r="M190">
        <v>77.77</v>
      </c>
      <c r="N190" s="82">
        <v>147862.95585359036</v>
      </c>
      <c r="O190" s="82">
        <v>16.8793328599989</v>
      </c>
      <c r="P190" s="82">
        <v>38.729697746659433</v>
      </c>
      <c r="Q190" s="82">
        <v>50.757633581513069</v>
      </c>
      <c r="R190" s="84">
        <v>7909.5501536742095</v>
      </c>
      <c r="S190" s="84">
        <v>582.73495718488562</v>
      </c>
      <c r="T190" s="84">
        <v>1.022566277139523</v>
      </c>
      <c r="U190" s="82">
        <v>13.856852819859659</v>
      </c>
      <c r="V190" s="82">
        <v>2.2008083478121732</v>
      </c>
      <c r="W190" s="82">
        <v>0.82167169232706638</v>
      </c>
    </row>
    <row r="191" spans="1:23">
      <c r="A191">
        <v>32.17</v>
      </c>
      <c r="B191">
        <v>-96.1</v>
      </c>
      <c r="C191" t="s">
        <v>18</v>
      </c>
      <c r="D191" t="s">
        <v>35</v>
      </c>
      <c r="E191">
        <v>6</v>
      </c>
      <c r="F191">
        <v>1</v>
      </c>
      <c r="G191" t="s">
        <v>337</v>
      </c>
      <c r="H191">
        <v>5</v>
      </c>
      <c r="I191" t="s">
        <v>117</v>
      </c>
      <c r="J191" t="s">
        <v>171</v>
      </c>
      <c r="K191" t="s">
        <v>94</v>
      </c>
      <c r="L191" t="s">
        <v>128</v>
      </c>
      <c r="M191">
        <v>129.16999999999999</v>
      </c>
      <c r="N191" s="82">
        <v>245589.01899972055</v>
      </c>
      <c r="O191" s="82">
        <v>28.035276141520612</v>
      </c>
      <c r="P191" s="82">
        <v>64.327054878950733</v>
      </c>
      <c r="Q191" s="82">
        <v>84.304532978321234</v>
      </c>
      <c r="R191" s="84">
        <v>13137.155630064262</v>
      </c>
      <c r="S191" s="84">
        <v>967.87803034038416</v>
      </c>
      <c r="T191" s="84">
        <v>1.6984040892132206</v>
      </c>
      <c r="U191" s="82">
        <v>23.015168814983571</v>
      </c>
      <c r="V191" s="82">
        <v>3.6553737210607995</v>
      </c>
      <c r="W191" s="82">
        <v>1.3647336054762398</v>
      </c>
    </row>
    <row r="192" spans="1:23">
      <c r="A192">
        <v>32.31</v>
      </c>
      <c r="B192">
        <v>-95.35</v>
      </c>
      <c r="C192" t="s">
        <v>18</v>
      </c>
      <c r="D192" t="s">
        <v>25</v>
      </c>
      <c r="E192">
        <v>14</v>
      </c>
      <c r="F192">
        <v>1</v>
      </c>
      <c r="G192" t="s">
        <v>338</v>
      </c>
      <c r="H192">
        <v>4</v>
      </c>
      <c r="I192" t="s">
        <v>124</v>
      </c>
      <c r="J192" t="s">
        <v>339</v>
      </c>
      <c r="K192" t="s">
        <v>94</v>
      </c>
      <c r="L192" t="s">
        <v>128</v>
      </c>
      <c r="M192">
        <v>371.72</v>
      </c>
      <c r="N192" s="82">
        <v>706745.76250349253</v>
      </c>
      <c r="O192" s="82">
        <v>80.678740011814213</v>
      </c>
      <c r="P192" s="82">
        <v>185.11769636605689</v>
      </c>
      <c r="Q192" s="82">
        <v>242.60804365333726</v>
      </c>
      <c r="R192" s="84">
        <v>37805.554624196695</v>
      </c>
      <c r="S192" s="84">
        <v>2785.3187383922555</v>
      </c>
      <c r="T192" s="84">
        <v>4.8875959436582672</v>
      </c>
      <c r="U192" s="82">
        <v>66.232086025436971</v>
      </c>
      <c r="V192" s="82">
        <v>10.519280944435399</v>
      </c>
      <c r="W192" s="82">
        <v>3.9273730419418427</v>
      </c>
    </row>
    <row r="193" spans="1:23">
      <c r="A193">
        <v>31.85</v>
      </c>
      <c r="B193">
        <v>-96.08</v>
      </c>
      <c r="C193" t="s">
        <v>18</v>
      </c>
      <c r="D193" t="s">
        <v>19</v>
      </c>
      <c r="E193">
        <v>18</v>
      </c>
      <c r="F193">
        <v>1</v>
      </c>
      <c r="G193" t="s">
        <v>340</v>
      </c>
      <c r="H193">
        <v>4</v>
      </c>
      <c r="I193" t="s">
        <v>117</v>
      </c>
      <c r="J193" t="s">
        <v>269</v>
      </c>
      <c r="K193" t="s">
        <v>94</v>
      </c>
      <c r="L193" t="s">
        <v>128</v>
      </c>
      <c r="M193">
        <v>29.77</v>
      </c>
      <c r="N193" s="82">
        <v>56601.262643196409</v>
      </c>
      <c r="O193" s="82">
        <v>6.4613313519630609</v>
      </c>
      <c r="P193" s="82">
        <v>14.825551008332919</v>
      </c>
      <c r="Q193" s="82">
        <v>19.42978978682839</v>
      </c>
      <c r="R193" s="84">
        <v>3027.7395920648219</v>
      </c>
      <c r="S193" s="84">
        <v>223.06827408247455</v>
      </c>
      <c r="T193" s="84">
        <v>0.39143368998898798</v>
      </c>
      <c r="U193" s="82">
        <v>5.3043398283042569</v>
      </c>
      <c r="V193" s="82">
        <v>0.84245936112084852</v>
      </c>
      <c r="W193" s="82">
        <v>0.31453216253795507</v>
      </c>
    </row>
    <row r="194" spans="1:23">
      <c r="A194">
        <v>32.29</v>
      </c>
      <c r="B194">
        <v>-96.67</v>
      </c>
      <c r="C194" t="s">
        <v>18</v>
      </c>
      <c r="D194" t="s">
        <v>23</v>
      </c>
      <c r="E194">
        <v>4</v>
      </c>
      <c r="F194">
        <v>1</v>
      </c>
      <c r="G194" t="s">
        <v>341</v>
      </c>
      <c r="H194">
        <v>4</v>
      </c>
      <c r="I194" t="s">
        <v>117</v>
      </c>
      <c r="J194" t="s">
        <v>269</v>
      </c>
      <c r="K194" t="s">
        <v>95</v>
      </c>
      <c r="L194" t="s">
        <v>119</v>
      </c>
      <c r="M194">
        <v>289.72000000000003</v>
      </c>
      <c r="N194" s="82">
        <v>22743609.96303786</v>
      </c>
      <c r="O194" s="82">
        <v>2596.3025071961024</v>
      </c>
      <c r="P194" s="82">
        <v>278.33261117674141</v>
      </c>
      <c r="Q194" s="82">
        <v>268.23884828704718</v>
      </c>
      <c r="R194" s="84">
        <v>835217.11182748305</v>
      </c>
      <c r="S194" s="84">
        <v>99813.972648819617</v>
      </c>
      <c r="T194" s="84">
        <v>14223.504154736394</v>
      </c>
      <c r="U194" s="82">
        <v>1350.4466587526215</v>
      </c>
      <c r="V194" s="82">
        <v>342.16541034861922</v>
      </c>
      <c r="W194" s="82">
        <v>903.69043809486163</v>
      </c>
    </row>
    <row r="195" spans="1:23">
      <c r="A195">
        <v>32.29</v>
      </c>
      <c r="B195">
        <v>-98.41</v>
      </c>
      <c r="C195" t="s">
        <v>18</v>
      </c>
      <c r="D195" t="s">
        <v>35</v>
      </c>
      <c r="E195">
        <v>38</v>
      </c>
      <c r="F195">
        <v>1</v>
      </c>
      <c r="G195" t="s">
        <v>342</v>
      </c>
      <c r="H195">
        <v>4</v>
      </c>
      <c r="I195" t="s">
        <v>124</v>
      </c>
      <c r="J195" t="s">
        <v>269</v>
      </c>
      <c r="K195" t="s">
        <v>95</v>
      </c>
      <c r="L195" t="s">
        <v>119</v>
      </c>
      <c r="M195">
        <v>125.73</v>
      </c>
      <c r="N195" s="82">
        <v>9870061.0266904272</v>
      </c>
      <c r="O195" s="82">
        <v>1126.7192952842954</v>
      </c>
      <c r="P195" s="82">
        <v>120.78820655547324</v>
      </c>
      <c r="Q195" s="82">
        <v>116.40780890214845</v>
      </c>
      <c r="R195" s="84">
        <v>362459.78002923331</v>
      </c>
      <c r="S195" s="84">
        <v>43316.342610576059</v>
      </c>
      <c r="T195" s="84">
        <v>6172.5844863143984</v>
      </c>
      <c r="U195" s="82">
        <v>586.05432281156686</v>
      </c>
      <c r="V195" s="82">
        <v>148.48977303303849</v>
      </c>
      <c r="W195" s="82">
        <v>392.17519943969</v>
      </c>
    </row>
    <row r="196" spans="1:23">
      <c r="A196">
        <v>33.14</v>
      </c>
      <c r="B196">
        <v>-98.49</v>
      </c>
      <c r="C196" t="s">
        <v>18</v>
      </c>
      <c r="D196" t="s">
        <v>19</v>
      </c>
      <c r="E196">
        <v>40</v>
      </c>
      <c r="F196">
        <v>1</v>
      </c>
      <c r="G196" t="s">
        <v>343</v>
      </c>
      <c r="H196">
        <v>4</v>
      </c>
      <c r="I196" t="s">
        <v>117</v>
      </c>
      <c r="J196" t="s">
        <v>269</v>
      </c>
      <c r="K196" t="s">
        <v>95</v>
      </c>
      <c r="L196" t="s">
        <v>119</v>
      </c>
      <c r="M196">
        <v>56.34</v>
      </c>
      <c r="N196" s="82">
        <v>4422804.726348036</v>
      </c>
      <c r="O196" s="82">
        <v>504.88638428630549</v>
      </c>
      <c r="P196" s="82">
        <v>54.125567146547056</v>
      </c>
      <c r="Q196" s="82">
        <v>52.162697475121625</v>
      </c>
      <c r="R196" s="84">
        <v>162419.34309112382</v>
      </c>
      <c r="S196" s="84">
        <v>19410.18645255591</v>
      </c>
      <c r="T196" s="84">
        <v>2765.9541076827577</v>
      </c>
      <c r="U196" s="82">
        <v>262.61274594133198</v>
      </c>
      <c r="V196" s="82">
        <v>66.53872435123985</v>
      </c>
      <c r="W196" s="82">
        <v>175.73491399373364</v>
      </c>
    </row>
    <row r="197" spans="1:23">
      <c r="A197">
        <v>32</v>
      </c>
      <c r="B197">
        <v>-97.79</v>
      </c>
      <c r="C197" t="s">
        <v>18</v>
      </c>
      <c r="D197" t="s">
        <v>23</v>
      </c>
      <c r="E197">
        <v>45</v>
      </c>
      <c r="F197">
        <v>1</v>
      </c>
      <c r="G197" t="s">
        <v>344</v>
      </c>
      <c r="H197">
        <v>4</v>
      </c>
      <c r="I197" t="s">
        <v>120</v>
      </c>
      <c r="J197" t="s">
        <v>269</v>
      </c>
      <c r="K197" t="s">
        <v>95</v>
      </c>
      <c r="L197" t="s">
        <v>119</v>
      </c>
      <c r="M197">
        <v>27.64</v>
      </c>
      <c r="N197" s="82">
        <v>2169796.2839236725</v>
      </c>
      <c r="O197" s="82">
        <v>247.69363971731423</v>
      </c>
      <c r="P197" s="82">
        <v>26.553615121238206</v>
      </c>
      <c r="Q197" s="82">
        <v>25.59064533568267</v>
      </c>
      <c r="R197" s="84">
        <v>79681.765052159433</v>
      </c>
      <c r="S197" s="84">
        <v>9522.4982880483731</v>
      </c>
      <c r="T197" s="84">
        <v>1356.9572512664436</v>
      </c>
      <c r="U197" s="82">
        <v>128.83593002872587</v>
      </c>
      <c r="V197" s="82">
        <v>32.643421034225582</v>
      </c>
      <c r="W197" s="82">
        <v>86.214288654362761</v>
      </c>
    </row>
    <row r="198" spans="1:23">
      <c r="A198">
        <v>28.77</v>
      </c>
      <c r="B198">
        <v>-97.11</v>
      </c>
      <c r="C198" t="s">
        <v>22</v>
      </c>
      <c r="D198" t="s">
        <v>25</v>
      </c>
      <c r="E198">
        <v>88</v>
      </c>
      <c r="F198">
        <v>7</v>
      </c>
      <c r="G198" t="s">
        <v>96</v>
      </c>
      <c r="H198">
        <v>5</v>
      </c>
      <c r="I198" t="s">
        <v>124</v>
      </c>
      <c r="J198" t="s">
        <v>180</v>
      </c>
      <c r="K198" t="s">
        <v>96</v>
      </c>
      <c r="L198" t="s">
        <v>122</v>
      </c>
      <c r="M198">
        <v>207.64</v>
      </c>
      <c r="N198" s="82">
        <v>329260.17074456072</v>
      </c>
      <c r="O198" s="82">
        <v>37.586777482255791</v>
      </c>
      <c r="P198" s="82">
        <v>83.787578107355273</v>
      </c>
      <c r="Q198" s="82">
        <v>75.346292253256053</v>
      </c>
      <c r="R198" s="84">
        <v>15294.359406760523</v>
      </c>
      <c r="S198" s="84">
        <v>2108.7582624407141</v>
      </c>
      <c r="T198" s="84">
        <v>262.61778212753148</v>
      </c>
      <c r="U198" s="82">
        <v>25.233563070453975</v>
      </c>
      <c r="V198" s="82">
        <v>3.934145285438833</v>
      </c>
      <c r="W198" s="82">
        <v>8.4190691263629791</v>
      </c>
    </row>
    <row r="199" spans="1:23">
      <c r="A199">
        <v>28.65</v>
      </c>
      <c r="B199">
        <v>-96.57</v>
      </c>
      <c r="C199" t="s">
        <v>22</v>
      </c>
      <c r="D199" t="s">
        <v>35</v>
      </c>
      <c r="E199">
        <v>91</v>
      </c>
      <c r="F199">
        <v>2</v>
      </c>
      <c r="G199" t="s">
        <v>345</v>
      </c>
      <c r="H199">
        <v>5</v>
      </c>
      <c r="I199" t="s">
        <v>117</v>
      </c>
      <c r="J199" t="s">
        <v>313</v>
      </c>
      <c r="K199" t="s">
        <v>96</v>
      </c>
      <c r="L199" t="s">
        <v>122</v>
      </c>
      <c r="M199">
        <v>58.02</v>
      </c>
      <c r="N199" s="82">
        <v>92003.829255439297</v>
      </c>
      <c r="O199" s="82">
        <v>10.50272023463919</v>
      </c>
      <c r="P199" s="82">
        <v>23.412421892644744</v>
      </c>
      <c r="Q199" s="82">
        <v>21.053707746743964</v>
      </c>
      <c r="R199" s="84">
        <v>4273.64059323948</v>
      </c>
      <c r="S199" s="84">
        <v>589.24173755928643</v>
      </c>
      <c r="T199" s="84">
        <v>73.382217872468587</v>
      </c>
      <c r="U199" s="82">
        <v>7.0509118153907728</v>
      </c>
      <c r="V199" s="82">
        <v>1.0993022031456421</v>
      </c>
      <c r="W199" s="82">
        <v>2.3525062161027748</v>
      </c>
    </row>
    <row r="200" spans="1:23">
      <c r="A200">
        <v>28.8</v>
      </c>
      <c r="B200">
        <v>-96.05</v>
      </c>
      <c r="C200" t="s">
        <v>22</v>
      </c>
      <c r="D200" t="s">
        <v>72</v>
      </c>
      <c r="E200">
        <v>83</v>
      </c>
      <c r="F200">
        <v>2</v>
      </c>
      <c r="G200" t="s">
        <v>346</v>
      </c>
      <c r="H200">
        <v>5</v>
      </c>
      <c r="I200" t="s">
        <v>117</v>
      </c>
      <c r="J200" t="s">
        <v>313</v>
      </c>
      <c r="K200" t="s">
        <v>97</v>
      </c>
      <c r="L200" t="s">
        <v>122</v>
      </c>
      <c r="M200">
        <v>82.13</v>
      </c>
      <c r="N200" s="82">
        <v>223276</v>
      </c>
      <c r="O200" s="82">
        <v>25.488127853881281</v>
      </c>
      <c r="P200" s="82">
        <v>49.300000000000011</v>
      </c>
      <c r="Q200" s="82">
        <v>45.300000000000011</v>
      </c>
      <c r="R200" s="84">
        <v>5290.0000000000009</v>
      </c>
      <c r="S200" s="84">
        <v>909.00000000000011</v>
      </c>
      <c r="T200" s="84">
        <v>17.000000000000004</v>
      </c>
      <c r="U200" s="82">
        <v>7.9719178082191791</v>
      </c>
      <c r="V200" s="82">
        <v>5.6313926940639272</v>
      </c>
      <c r="W200" s="82">
        <v>11.884817351598175</v>
      </c>
    </row>
    <row r="201" spans="1:23">
      <c r="A201">
        <v>33.450000000000003</v>
      </c>
      <c r="B201">
        <v>-97.87</v>
      </c>
      <c r="C201" t="s">
        <v>18</v>
      </c>
      <c r="D201" t="s">
        <v>37</v>
      </c>
      <c r="E201">
        <v>30</v>
      </c>
      <c r="F201">
        <v>3</v>
      </c>
      <c r="G201" t="s">
        <v>98</v>
      </c>
      <c r="H201">
        <v>4</v>
      </c>
      <c r="I201" t="s">
        <v>124</v>
      </c>
      <c r="J201" t="s">
        <v>269</v>
      </c>
      <c r="K201" t="s">
        <v>98</v>
      </c>
      <c r="L201" t="s">
        <v>128</v>
      </c>
      <c r="M201">
        <v>39.520000000000003</v>
      </c>
      <c r="N201" s="82">
        <v>736160</v>
      </c>
      <c r="O201" s="82">
        <v>84.036529680365291</v>
      </c>
      <c r="P201" s="82">
        <v>152</v>
      </c>
      <c r="Q201" s="82">
        <v>187</v>
      </c>
      <c r="R201" s="84">
        <v>15845</v>
      </c>
      <c r="S201" s="84">
        <v>5723</v>
      </c>
      <c r="T201" s="84">
        <v>0</v>
      </c>
      <c r="U201" s="82">
        <v>30.011415525114153</v>
      </c>
      <c r="V201" s="82">
        <v>54.025114155251138</v>
      </c>
      <c r="W201" s="82">
        <v>0</v>
      </c>
    </row>
    <row r="202" spans="1:23">
      <c r="A202">
        <v>32.229999999999997</v>
      </c>
      <c r="B202">
        <v>-105.29</v>
      </c>
      <c r="C202" t="s">
        <v>18</v>
      </c>
      <c r="D202" t="s">
        <v>19</v>
      </c>
      <c r="E202">
        <v>197</v>
      </c>
      <c r="F202">
        <v>8</v>
      </c>
      <c r="G202" t="s">
        <v>347</v>
      </c>
      <c r="H202">
        <v>4</v>
      </c>
      <c r="I202" t="s">
        <v>117</v>
      </c>
      <c r="J202" t="s">
        <v>348</v>
      </c>
      <c r="L202" t="s">
        <v>119</v>
      </c>
      <c r="M202">
        <v>1.37</v>
      </c>
      <c r="N202" s="82">
        <v>736160</v>
      </c>
      <c r="O202" s="82">
        <v>84.036529680365291</v>
      </c>
      <c r="P202" s="82">
        <v>152</v>
      </c>
      <c r="Q202" s="82">
        <v>187</v>
      </c>
      <c r="R202" s="84">
        <v>15845</v>
      </c>
      <c r="S202" s="84">
        <v>5723</v>
      </c>
      <c r="T202" s="84">
        <v>0</v>
      </c>
      <c r="U202" s="82">
        <v>30.011415525114153</v>
      </c>
      <c r="V202" s="82">
        <v>54.025114155251138</v>
      </c>
      <c r="W202" s="82">
        <v>0</v>
      </c>
    </row>
  </sheetData>
  <autoFilter ref="A1:W1048576" xr:uid="{7EB713BD-C861-4485-A779-17107AF87988}">
    <filterColumn colId="17" showButton="0"/>
    <filterColumn colId="18" showButton="0"/>
    <filterColumn colId="20" showButton="0"/>
    <filterColumn colId="21" showButton="0"/>
  </autoFilter>
  <mergeCells count="2">
    <mergeCell ref="R1:T1"/>
    <mergeCell ref="U1:W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374B0451CC1944BABC7DE14FB784E0" ma:contentTypeVersion="10" ma:contentTypeDescription="Create a new document." ma:contentTypeScope="" ma:versionID="faaaac214a768b176fc8568f1f74c35c">
  <xsd:schema xmlns:xsd="http://www.w3.org/2001/XMLSchema" xmlns:xs="http://www.w3.org/2001/XMLSchema" xmlns:p="http://schemas.microsoft.com/office/2006/metadata/properties" xmlns:ns2="be345ffc-0c46-492d-aceb-79520ad5aed1" xmlns:ns3="5052b032-a3e4-468a-ac55-53d448f2f9fb" targetNamespace="http://schemas.microsoft.com/office/2006/metadata/properties" ma:root="true" ma:fieldsID="1e1f5af8fde2bce5b7eec675a0734915" ns2:_="" ns3:_="">
    <xsd:import namespace="be345ffc-0c46-492d-aceb-79520ad5aed1"/>
    <xsd:import namespace="5052b032-a3e4-468a-ac55-53d448f2f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45ffc-0c46-492d-aceb-79520ad5ae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2b032-a3e4-468a-ac55-53d448f2f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37C70A-8E05-4D5F-91F6-1C3DE813DC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D02369-E516-4863-A7BD-9C0306F855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45ffc-0c46-492d-aceb-79520ad5aed1"/>
    <ds:schemaRef ds:uri="5052b032-a3e4-468a-ac55-53d448f2f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20072B-287B-4C1C-968C-DAF7B4F396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200BusValues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Doty, Jeffrey D</dc:creator>
  <cp:keywords/>
  <dc:description/>
  <cp:lastModifiedBy>Hardy, Trevor D</cp:lastModifiedBy>
  <cp:revision/>
  <dcterms:created xsi:type="dcterms:W3CDTF">2018-11-28T17:54:40Z</dcterms:created>
  <dcterms:modified xsi:type="dcterms:W3CDTF">2020-03-12T15:40:38Z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0x01010071374B0451CC1944BABC7DE14FB784E0</vt:lpwstr>
  </property>
</Properties>
</file>