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MicroController Unit
red = Atmega
green = SiLabs</t>
      </text>
    </comment>
    <comment authorId="0" ref="E1">
      <text>
        <t xml:space="preserve">Crystal
Oscillator
Resonator</t>
      </text>
    </comment>
    <comment authorId="0" ref="F1">
      <text>
        <t xml:space="preserve">You may need different files for various FET.
N: all same label
P/N: different labels</t>
      </text>
    </comment>
  </commentList>
</comments>
</file>

<file path=xl/sharedStrings.xml><?xml version="1.0" encoding="utf-8"?>
<sst xmlns="http://schemas.openxmlformats.org/spreadsheetml/2006/main" count="1183" uniqueCount="324">
  <si>
    <t>Brand / Model</t>
  </si>
  <si>
    <t>Amp</t>
  </si>
  <si>
    <t>MCU</t>
  </si>
  <si>
    <t>Pads</t>
  </si>
  <si>
    <t>Ext. Osc.</t>
  </si>
  <si>
    <t>FETs</t>
  </si>
  <si>
    <t>FW file</t>
  </si>
  <si>
    <t>Front</t>
  </si>
  <si>
    <t>Back</t>
  </si>
  <si>
    <t>Note</t>
  </si>
  <si>
    <t>TowerPro</t>
  </si>
  <si>
    <t>This list has been attentively written; however, there is no guarantee that your ESC will match the specifications in this list. Many boards change PCBs regularly (particularly many higher current boards). Always check your ESCs before flashing!</t>
  </si>
  <si>
    <t>Mag8 TP_w12A</t>
  </si>
  <si>
    <t>Atmega</t>
  </si>
  <si>
    <t>no</t>
  </si>
  <si>
    <t>P/N</t>
  </si>
  <si>
    <t>tgy.hex</t>
  </si>
  <si>
    <t>yes</t>
  </si>
  <si>
    <t>tp.hex</t>
  </si>
  <si>
    <t>oldest "type 1" - tp_i2c.hex on i2c mod</t>
  </si>
  <si>
    <t>old "type 2"</t>
  </si>
  <si>
    <t>TP18A_BESC</t>
  </si>
  <si>
    <t>N</t>
  </si>
  <si>
    <t>tp_nfet.hex</t>
  </si>
  <si>
    <t>HH30A_V1.1 with 4 FETs per phase</t>
  </si>
  <si>
    <t>TP_w25A</t>
  </si>
  <si>
    <t>TP-W30A</t>
  </si>
  <si>
    <t>HH30A_V1.1 with 6 FETs per phase</t>
  </si>
  <si>
    <t>L40A v1.1</t>
  </si>
  <si>
    <t>Mag8 HXTBSC65</t>
  </si>
  <si>
    <t>tp70a.hex</t>
  </si>
  <si>
    <t>TQFP</t>
  </si>
  <si>
    <t>Hobbyking F-Series "UBEC"</t>
  </si>
  <si>
    <t>row</t>
  </si>
  <si>
    <t>bs.hex (old @3.3V)</t>
  </si>
  <si>
    <t>~1.27mm pads: mosi miso sck rst</t>
  </si>
  <si>
    <t>bs.hex</t>
  </si>
  <si>
    <t>~1.27mm pads: 5v gnd mosi miso sck rst</t>
  </si>
  <si>
    <t>F-20A</t>
  </si>
  <si>
    <t>bs_nfet.hex</t>
  </si>
  <si>
    <t>Same as F-30A but P75N02LDG FETs</t>
  </si>
  <si>
    <t>F-30A</t>
  </si>
  <si>
    <t>Same as F-20A but STD85N3LH5 FETs</t>
  </si>
  <si>
    <t>F-40A</t>
  </si>
  <si>
    <t>SBEC from this size and up</t>
  </si>
  <si>
    <t>F-60A</t>
  </si>
  <si>
    <t>4nops COMP_PWM</t>
  </si>
  <si>
    <t>F-80A</t>
  </si>
  <si>
    <t>F-90A</t>
  </si>
  <si>
    <t>Hobbyking BlueSeries</t>
  </si>
  <si>
    <t>Blueseries</t>
  </si>
  <si>
    <t>also branded "Black Mantis"</t>
  </si>
  <si>
    <t>Please report errors and omissions to Simon Kirby &lt;pixelmaze@gmail.com&gt;</t>
  </si>
  <si>
    <t>pads NOT in a row</t>
  </si>
  <si>
    <t>bs40a.hex</t>
  </si>
  <si>
    <t>hardware often interchanged with bs</t>
  </si>
  <si>
    <t>Hobbyking SuperSimple (HK-SS), also HiModel GX series</t>
  </si>
  <si>
    <t>Note: New (2012-04) HK-SS20A-HW boards, maybe others, ship with reset pin disabled (RSTDISBL set) - cannot be programmed - avoid</t>
  </si>
  <si>
    <t>Note: HK-SS18A, HK-SS20A, and maybe other sizes kill themselves (P-FET gate noise) when ran at higher PWM speeds - avoid</t>
  </si>
  <si>
    <t>HK-SS10A</t>
  </si>
  <si>
    <t>HK-SS18A</t>
  </si>
  <si>
    <t>tp_8khz.hex</t>
  </si>
  <si>
    <t>HK-SS20A</t>
  </si>
  <si>
    <t>Non programmable version</t>
  </si>
  <si>
    <t>HK-SS20A-HW</t>
  </si>
  <si>
    <t>Card programmable</t>
  </si>
  <si>
    <t>HK-SS30A</t>
  </si>
  <si>
    <t>HK-SS30A-HW</t>
  </si>
  <si>
    <t>HK-SS40A</t>
  </si>
  <si>
    <t>rct50a.hex</t>
  </si>
  <si>
    <t>HK-SS50A</t>
  </si>
  <si>
    <t>rb50a.hex</t>
  </si>
  <si>
    <t>New has pads</t>
  </si>
  <si>
    <t>HK-SS70A</t>
  </si>
  <si>
    <t>HK-SS200ALV</t>
  </si>
  <si>
    <t>hk200a.hex</t>
  </si>
  <si>
    <t>HobbyKing Multistar</t>
  </si>
  <si>
    <t>9351000065, 9351000066</t>
  </si>
  <si>
    <t>kda_nfet_ni.hex</t>
  </si>
  <si>
    <t>kda.hex</t>
  </si>
  <si>
    <t>9351000003, 9351000007</t>
  </si>
  <si>
    <t>kda_nfet.hex</t>
  </si>
  <si>
    <t>With discrete driver stage (newest)</t>
  </si>
  <si>
    <t>With 6-pin drivers (early 2014)</t>
  </si>
  <si>
    <t>link</t>
  </si>
  <si>
    <t>older</t>
  </si>
  <si>
    <t>9351000004 after mid 2014</t>
  </si>
  <si>
    <t>With discrete driver stage</t>
  </si>
  <si>
    <t>MULTI = multirotors
TAIL = ESC controls heli tail motor
MAIN = ESC controls heli main motor</t>
  </si>
  <si>
    <t>9351000004 early 2014</t>
  </si>
  <si>
    <t>kda_8khz.hex</t>
  </si>
  <si>
    <t>With TPC8123 FETs</t>
  </si>
  <si>
    <t>9351000004 older</t>
  </si>
  <si>
    <t>mosi miso sck rst 5v gnd</t>
  </si>
  <si>
    <t>dlu40a.hex</t>
  </si>
  <si>
    <t>HobbyKing / HexTronik F3J</t>
  </si>
  <si>
    <t>HXT200A</t>
  </si>
  <si>
    <t>hxt200a.hex</t>
  </si>
  <si>
    <t>Note that this doc is no longer up to date on all BLHeli supported ESCs. 
Please check the "BLHeli supported ESCs" docs for the current status.</t>
  </si>
  <si>
    <t>Mystery</t>
  </si>
  <si>
    <t>MY12ABEC</t>
  </si>
  <si>
    <t>Check which FETs you have!</t>
  </si>
  <si>
    <t>Cloud</t>
  </si>
  <si>
    <t>hfuse may be 0xc6 -- change to 0xca</t>
  </si>
  <si>
    <t>Pentium</t>
  </si>
  <si>
    <t>new are SiLabs</t>
  </si>
  <si>
    <t>Firedragon</t>
  </si>
  <si>
    <t>pads NOT in a row - Xinghe Series</t>
  </si>
  <si>
    <t>SBEC</t>
  </si>
  <si>
    <t>Turnigy dlux</t>
  </si>
  <si>
    <t>dlux.hex</t>
  </si>
  <si>
    <t>6S not recommended ;)</t>
  </si>
  <si>
    <t>Turnigy Plush / Basic / Hobbywing Pentium</t>
  </si>
  <si>
    <t>Plush / Pentium / Sentry</t>
  </si>
  <si>
    <t>tgy6a.hex</t>
  </si>
  <si>
    <t>Editors:
SimonK
Chris
TomSn0w
sskaug</t>
  </si>
  <si>
    <t>tgy.hex ?</t>
  </si>
  <si>
    <t>also Aeolian Evolution</t>
  </si>
  <si>
    <t>Turnigy Plush / Hobbywing Flyfun / HiModel professional SiLabs</t>
  </si>
  <si>
    <t>Plush / Flyfun</t>
  </si>
  <si>
    <t>SiLabs</t>
  </si>
  <si>
    <t>TURNIGY_PLUSH_6A_[...].HEX</t>
  </si>
  <si>
    <t>TURNIGY_PLUSH_10A_[...].HEX</t>
  </si>
  <si>
    <t>TURNIGY_PLUSH_12A_[...].HEX</t>
  </si>
  <si>
    <t>TURNIGY_PLUSH_18A_[...].HEX</t>
  </si>
  <si>
    <t>TURNIGY_PLUSH_25A_[...].HEX</t>
  </si>
  <si>
    <t>TURNIGY_PLUSH_30A_[...].HEX</t>
  </si>
  <si>
    <t>Plush / Flyfun NFET</t>
  </si>
  <si>
    <t>TURNIGY_PLUSH_NFET_18A_[...].HEX</t>
  </si>
  <si>
    <t>New version is all nfet</t>
  </si>
  <si>
    <t>TURNIGY_PLUSH_NFET_25A_[...].HEX</t>
  </si>
  <si>
    <t>TURNIGY_PLUSH_NFET_30A_[...].HEX</t>
  </si>
  <si>
    <t>TURNIGY_PLUSH_40A_[...].HEX</t>
  </si>
  <si>
    <t>Hobbywing Flyfun 40A OPTO</t>
  </si>
  <si>
    <t>TURNIGY_PLUSH_60A_[...].HEX</t>
  </si>
  <si>
    <t>TURNIGY_PLUSH_80A_[...].HEX</t>
  </si>
  <si>
    <t>RC Timer</t>
  </si>
  <si>
    <t>RCTIMER_6A_[...].HEX</t>
  </si>
  <si>
    <t>Also sold as RCX 6A</t>
  </si>
  <si>
    <t>MCU corruption at high current - beware</t>
  </si>
  <si>
    <t xml:space="preserve">18, 20, 30 Ampere boards are all the same, just different FET counts
</t>
  </si>
  <si>
    <t>also branded "IPEAKA"</t>
  </si>
  <si>
    <t>MLF, reset is tied to 5V w/o resistor</t>
  </si>
  <si>
    <t>TQFP -- watch out for boot loader fuses</t>
  </si>
  <si>
    <t>Red Brick</t>
  </si>
  <si>
    <t>Reset is floating</t>
  </si>
  <si>
    <t>May now be shipping with RSTDISBL set</t>
  </si>
  <si>
    <t>Check for ceramic resonator</t>
  </si>
  <si>
    <t>2014-01-21: New reported as mega48</t>
  </si>
  <si>
    <t>rb70a.hex or rb50a.hex</t>
  </si>
  <si>
    <t>rb70a2.hex</t>
  </si>
  <si>
    <t>Newer blue PCB</t>
  </si>
  <si>
    <t>rb70a.hex</t>
  </si>
  <si>
    <t>TQFP black board (check pins)</t>
  </si>
  <si>
    <t>birdie70a.hex</t>
  </si>
  <si>
    <t>MLF green board (check pins)</t>
  </si>
  <si>
    <t>Turnigy Trust</t>
  </si>
  <si>
    <t>Turnigy TY-P1</t>
  </si>
  <si>
    <t>pads NOT in a row, some have ext. osc</t>
  </si>
  <si>
    <t>Turborix</t>
  </si>
  <si>
    <t>Proton</t>
  </si>
  <si>
    <t>new are SiLabs - HobbyWing OEM</t>
  </si>
  <si>
    <t>ZTW</t>
  </si>
  <si>
    <t>A Series</t>
  </si>
  <si>
    <t>AL Series</t>
  </si>
  <si>
    <t>E Series</t>
  </si>
  <si>
    <t>Maytech / eRC</t>
  </si>
  <si>
    <t>Harrier Supreme V2</t>
  </si>
  <si>
    <t>45A Opto</t>
  </si>
  <si>
    <t>50A-OPTO-V1</t>
  </si>
  <si>
    <t>DYS</t>
  </si>
  <si>
    <t>SN20A</t>
  </si>
  <si>
    <t>dys_nfet.hex</t>
  </si>
  <si>
    <t>SN30A</t>
  </si>
  <si>
    <t>SN40A</t>
  </si>
  <si>
    <t>waiting confirmation</t>
  </si>
  <si>
    <t>RC MAX Giantcod</t>
  </si>
  <si>
    <t>RC MAX</t>
  </si>
  <si>
    <t>Dynam (Blue Heat Shrink)</t>
  </si>
  <si>
    <t>Dynam</t>
  </si>
  <si>
    <t>Dynam (Yellow Heat Shrink)</t>
  </si>
  <si>
    <t>Dynam Detrum</t>
  </si>
  <si>
    <t>DYE</t>
  </si>
  <si>
    <t>Birdie cheep cheep</t>
  </si>
  <si>
    <t>Birdie</t>
  </si>
  <si>
    <t>TQFP red board</t>
  </si>
  <si>
    <t>TQFP green board</t>
  </si>
  <si>
    <t>Dragonsky</t>
  </si>
  <si>
    <t>Robbe Roxxy</t>
  </si>
  <si>
    <t>BL-Control 720</t>
  </si>
  <si>
    <t>BL-Control 730</t>
  </si>
  <si>
    <t>Rightmost board is rb50a,hex</t>
  </si>
  <si>
    <t>Pulso</t>
  </si>
  <si>
    <t>DLU40A+</t>
  </si>
  <si>
    <t>Advance Plus</t>
  </si>
  <si>
    <t>Hobbypower</t>
  </si>
  <si>
    <t>30A</t>
  </si>
  <si>
    <t>XP / EMAX</t>
  </si>
  <si>
    <t>XP-3A</t>
  </si>
  <si>
    <t>XP_3A_[...].HEX</t>
  </si>
  <si>
    <t>XP-7A</t>
  </si>
  <si>
    <t>XP_7A_[...].HEX</t>
  </si>
  <si>
    <t>XP-7A Fast</t>
  </si>
  <si>
    <t>XP_7A_FAST_[...].HEX</t>
  </si>
  <si>
    <t>This is an XP-7A with 3 mod'ed resistors</t>
  </si>
  <si>
    <t>XP-12A</t>
  </si>
  <si>
    <t>XP_12A_[...].HEX</t>
  </si>
  <si>
    <t>XP-18A</t>
  </si>
  <si>
    <t>XP_18A_[...].HEX</t>
  </si>
  <si>
    <t>XP-25A</t>
  </si>
  <si>
    <t>XP_25A_[...].HEX</t>
  </si>
  <si>
    <t>XP-35A SW</t>
  </si>
  <si>
    <t>XP_35A_SW_[...].HEX</t>
  </si>
  <si>
    <t>Hobbywing Skywalker</t>
  </si>
  <si>
    <t>Skywalker 12A</t>
  </si>
  <si>
    <t>Identical to Plush 12A</t>
  </si>
  <si>
    <t>Skywalker 20A</t>
  </si>
  <si>
    <t>SKYWALKER_20A_[...].HEX</t>
  </si>
  <si>
    <t>Skywalker 40A</t>
  </si>
  <si>
    <t>SKYWALKER_40A_[...].HEX</t>
  </si>
  <si>
    <t>Both linear BEC and UBEC supported</t>
  </si>
  <si>
    <t>Skywalker Quattro</t>
  </si>
  <si>
    <t>4x20</t>
  </si>
  <si>
    <t>Favourite</t>
  </si>
  <si>
    <t>FVT SkyIII 30A</t>
  </si>
  <si>
    <t>SKYIII_30A_[...].HEX</t>
  </si>
  <si>
    <t>FVT SkyIII 30A 4in1</t>
  </si>
  <si>
    <t>Hobbywing Platinum Pro</t>
  </si>
  <si>
    <t>Platinum Pro 30A opto</t>
  </si>
  <si>
    <t>PLATINUM_PRO_30A_[...].HEX</t>
  </si>
  <si>
    <t>Platinum Pro 40A</t>
  </si>
  <si>
    <t>Platinum Pro 60A</t>
  </si>
  <si>
    <t>Turnigy AE</t>
  </si>
  <si>
    <t>Turnigy AE 20A</t>
  </si>
  <si>
    <t>TURNIGY_AE_20A_[...].HEX</t>
  </si>
  <si>
    <t>Turnigy AE 25A</t>
  </si>
  <si>
    <t>TURNIGY_AE_25A_[...].HEX</t>
  </si>
  <si>
    <t>Turnigy AE 30A</t>
  </si>
  <si>
    <t>TURNIGY_AE_30A_[...].HEX</t>
  </si>
  <si>
    <t>Turnigy AE 45A</t>
  </si>
  <si>
    <t>TURNIGY_AE_45A_[...].HEX</t>
  </si>
  <si>
    <t>Turnigy KForce</t>
  </si>
  <si>
    <t>Turnigy KForce 40A</t>
  </si>
  <si>
    <t>TURNIGY_KForce_40A_[...].HEX</t>
  </si>
  <si>
    <t>Turnigy KForce 70A HV</t>
  </si>
  <si>
    <t>TURNIGY_KForce_70A_HV_[...].HEX</t>
  </si>
  <si>
    <t>Needs a strap on the MCU</t>
  </si>
  <si>
    <t>Turnigy KForce 120A HV</t>
  </si>
  <si>
    <t>TURNIGY_KForce_120A_HV_[...].HEX</t>
  </si>
  <si>
    <t>Turnigy KForce 120A HV v2</t>
  </si>
  <si>
    <t>TURNIGY_KForce_120A_HV_V2_[...].HEX</t>
  </si>
  <si>
    <t>HiModel Cool</t>
  </si>
  <si>
    <t>HiModel Cool 22A</t>
  </si>
  <si>
    <t>HIMODEL_COOL_22A_[...].HEX</t>
  </si>
  <si>
    <t>Has a 5V/4A SBEC. Needs modifications</t>
  </si>
  <si>
    <t>HiModel Cool 33A</t>
  </si>
  <si>
    <t>HIMODEL_COOL_33A_[...].HEX</t>
  </si>
  <si>
    <t>HiModel Cool 41A</t>
  </si>
  <si>
    <t>HIMODEL_COOL_41A_[...].HEX</t>
  </si>
  <si>
    <t>Turnigy DP</t>
  </si>
  <si>
    <t>DP 3A</t>
  </si>
  <si>
    <t>DP_3A_[...].HEX</t>
  </si>
  <si>
    <t>Supermicro</t>
  </si>
  <si>
    <t>Supermicro 3.5A</t>
  </si>
  <si>
    <t>SUPERMICRO_3P5A_[...].HEX</t>
  </si>
  <si>
    <t>MX 3A</t>
  </si>
  <si>
    <t>EAZY</t>
  </si>
  <si>
    <t>EAZY 3A v2</t>
  </si>
  <si>
    <t>EAZY_3AV2_[...].HEX</t>
  </si>
  <si>
    <t>H-King / Skyrc Swift</t>
  </si>
  <si>
    <t>H-King 10A</t>
  </si>
  <si>
    <t>H_KING_10A_[...].HEX</t>
  </si>
  <si>
    <t>H-King 20A</t>
  </si>
  <si>
    <t>H_KING_20A_[...].HEX</t>
  </si>
  <si>
    <t>H-King 35A</t>
  </si>
  <si>
    <t>H_KING_35A_[...].HEX</t>
  </si>
  <si>
    <t>H-King 50A</t>
  </si>
  <si>
    <t>H_KING_50A_[...].HEX</t>
  </si>
  <si>
    <t>Polaris Thunder</t>
  </si>
  <si>
    <t>Polaris Thunder 12A</t>
  </si>
  <si>
    <t>POLARIS_THUNDER_12A_[...].HEX</t>
  </si>
  <si>
    <t>Polaris Thunder 20A</t>
  </si>
  <si>
    <t>POLARIS_THUNDER_20A_[...].HEX</t>
  </si>
  <si>
    <t>Polaris Thunder 30A</t>
  </si>
  <si>
    <t>POLARIS_THUNDER_30A_[...].HEX</t>
  </si>
  <si>
    <t>Polaris Thunder 40A</t>
  </si>
  <si>
    <t>POLARIS_THUNDER_40A_[...].HEX</t>
  </si>
  <si>
    <t>Polaris Thunder 60A</t>
  </si>
  <si>
    <t>POLARIS_THUNDER_60A_[...].HEX</t>
  </si>
  <si>
    <t>Polaris Thunder 80A</t>
  </si>
  <si>
    <t>POLARIS_THUNDER_80A_[...].HEX</t>
  </si>
  <si>
    <t>Polaris Thunder 100A</t>
  </si>
  <si>
    <t>POLARIS_THUNDER_100A_[...].HEX</t>
  </si>
  <si>
    <t>Align</t>
  </si>
  <si>
    <t>150MRS</t>
  </si>
  <si>
    <t>10/3</t>
  </si>
  <si>
    <t>XP_7A_[...] / XP_7A_FAST_[...].HEX</t>
  </si>
  <si>
    <t>RCE-BL15X</t>
  </si>
  <si>
    <t>ALIGN_RCE_BL15X_[...].HEX</t>
  </si>
  <si>
    <t>RCE-BL15P</t>
  </si>
  <si>
    <t>ALIGN_RCE_BL15P_[...].HEX</t>
  </si>
  <si>
    <t>RCE-BL35X</t>
  </si>
  <si>
    <t>ALIGN_RCE_BL35X_[...].HEX</t>
  </si>
  <si>
    <t>RCE-BL35P</t>
  </si>
  <si>
    <t>ALIGN_RCE_BL35P_[...].HEX</t>
  </si>
  <si>
    <t>Gaui</t>
  </si>
  <si>
    <t>Gaui GE183 18A</t>
  </si>
  <si>
    <t>GAUI_GE_183_18A_[...].HEX</t>
  </si>
  <si>
    <t>Gaui GE221 22A</t>
  </si>
  <si>
    <t>Same as Turnigy Plush 18A</t>
  </si>
  <si>
    <t>Origin/Oversky/HK etc</t>
  </si>
  <si>
    <t>Origin 10A</t>
  </si>
  <si>
    <t>plug</t>
  </si>
  <si>
    <t>Origin double</t>
  </si>
  <si>
    <t>XP_7A_[...].HEX / DP_3A_[...].HEX</t>
  </si>
  <si>
    <t>Sunrise</t>
  </si>
  <si>
    <t>Sunrise BLHeli Multi 20A opto</t>
  </si>
  <si>
    <t>Sunrise BLHeli Multi 40A opto</t>
  </si>
  <si>
    <t>Can't decide which MCU to use :)</t>
  </si>
  <si>
    <t>Tarot</t>
  </si>
  <si>
    <t>Tarot Dual 30A</t>
  </si>
  <si>
    <t>TAROT_30A_[...].HEX</t>
  </si>
  <si>
    <t>DJI</t>
  </si>
  <si>
    <t>DJI Phantom 18A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</si>
</sst>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</font>
    <font>
      <sz val="8.0"/>
    </font>
    <font>
      <sz val="9.0"/>
    </font>
    <font>
      <u/>
      <sz val="8.0"/>
      <color rgb="FF0000FF"/>
    </font>
    <font>
      <b/>
      <u/>
      <sz val="9.0"/>
      <color rgb="FF0000FF"/>
    </font>
    <font>
      <b/>
      <sz val="9.0"/>
    </font>
    <font>
      <b/>
      <u/>
      <sz val="9.0"/>
      <color rgb="FF0000FF"/>
    </font>
    <font>
      <u/>
      <sz val="8.0"/>
      <color rgb="FF0000FF"/>
    </font>
    <font/>
    <font>
      <b/>
      <sz val="10.0"/>
    </font>
    <font>
      <sz val="7.0"/>
    </font>
    <font>
      <b/>
      <sz val="8.0"/>
      <color rgb="FF000000"/>
    </font>
    <font>
      <sz val="8.0"/>
      <color rgb="FF000000"/>
    </font>
    <font>
      <sz val="10.0"/>
      <color rgb="FF000000"/>
    </font>
    <font>
      <sz val="6.0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3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3" fontId="2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4" fontId="9" numFmtId="0" xfId="0" applyAlignment="1" applyFont="1">
      <alignment shrinkToFit="0" vertical="center" wrapText="1"/>
    </xf>
    <xf borderId="0" fillId="4" fontId="10" numFmtId="0" xfId="0" applyAlignment="1" applyFont="1">
      <alignment shrinkToFit="0" vertical="center" wrapText="1"/>
    </xf>
    <xf borderId="0" fillId="4" fontId="11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5" fontId="2" numFmtId="0" xfId="0" applyAlignment="1" applyFill="1" applyFont="1">
      <alignment horizontal="right" readingOrder="0" shrinkToFit="0" vertical="top" wrapText="1"/>
    </xf>
    <xf borderId="0" fillId="4" fontId="12" numFmtId="0" xfId="0" applyAlignment="1" applyFont="1">
      <alignment readingOrder="0" shrinkToFit="0" wrapText="1"/>
    </xf>
    <xf borderId="0" fillId="4" fontId="13" numFmtId="0" xfId="0" applyAlignment="1" applyFont="1">
      <alignment horizontal="center" shrinkToFit="0" vertical="bottom" wrapText="1"/>
    </xf>
    <xf borderId="0" fillId="4" fontId="14" numFmtId="0" xfId="0" applyAlignment="1" applyFont="1">
      <alignment shrinkToFit="0" wrapText="1"/>
    </xf>
    <xf borderId="0" fillId="4" fontId="14" numFmtId="0" xfId="0" applyAlignment="1" applyFont="1">
      <alignment horizontal="center" shrinkToFit="0" vertical="bottom" wrapText="1"/>
    </xf>
    <xf borderId="0" fillId="4" fontId="14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6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center" shrinkToFit="0" vertical="bottom" wrapText="1"/>
    </xf>
    <xf borderId="0" fillId="4" fontId="13" numFmtId="0" xfId="0" applyAlignment="1" applyFont="1">
      <alignment shrinkToFit="0" vertical="center" wrapText="1"/>
    </xf>
    <xf borderId="0" fillId="4" fontId="13" numFmtId="0" xfId="0" applyAlignment="1" applyFont="1">
      <alignment shrinkToFit="0" wrapText="1"/>
    </xf>
    <xf borderId="0" fillId="0" fontId="2" numFmtId="0" xfId="0" applyAlignment="1" applyFont="1">
      <alignment horizontal="left" shrinkToFit="0" vertical="bottom" wrapText="1"/>
    </xf>
    <xf borderId="0" fillId="0" fontId="2" numFmtId="49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2.71"/>
    <col customWidth="1" min="2" max="2" width="4.29"/>
    <col customWidth="1" min="3" max="3" width="10.29"/>
    <col customWidth="1" min="4" max="4" width="5.0"/>
    <col customWidth="1" min="5" max="5" width="7.43"/>
    <col customWidth="1" min="6" max="6" width="7.14"/>
    <col customWidth="1" min="7" max="7" width="18.43"/>
    <col customWidth="1" min="8" max="9" width="5.0"/>
    <col customWidth="1" min="10" max="10" width="29.57"/>
    <col customWidth="1" min="11" max="24" width="17.29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0.5" customHeight="1">
      <c r="A2" s="4" t="s">
        <v>10</v>
      </c>
      <c r="B2" s="5"/>
      <c r="C2" s="5"/>
      <c r="D2" s="5"/>
      <c r="E2" s="5"/>
      <c r="F2" s="5"/>
      <c r="G2" s="6"/>
      <c r="H2" s="5"/>
      <c r="I2" s="5"/>
      <c r="J2" s="7"/>
      <c r="K2" s="8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0.5" customHeight="1">
      <c r="A3" s="9" t="s">
        <v>12</v>
      </c>
      <c r="B3" s="10">
        <v>12.0</v>
      </c>
      <c r="C3" s="10" t="s">
        <v>13</v>
      </c>
      <c r="D3" s="10" t="s">
        <v>14</v>
      </c>
      <c r="E3" s="10" t="s">
        <v>14</v>
      </c>
      <c r="F3" s="10" t="s">
        <v>15</v>
      </c>
      <c r="G3" s="11" t="s">
        <v>16</v>
      </c>
      <c r="H3" s="12" t="str">
        <f>hyperlink("http://0x.ca/~sim/esc/HK_TP_w12A/img_5331.jpg","link")</f>
        <v>link</v>
      </c>
      <c r="I3" s="12" t="str">
        <f>hyperlink("http://0x.ca/~sim/esc/HK_TP_w12A/img_5330.jpg","link")</f>
        <v>link</v>
      </c>
      <c r="J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0.5" customHeight="1">
      <c r="A4" s="9" t="s">
        <v>10</v>
      </c>
      <c r="B4" s="10">
        <v>17.0</v>
      </c>
      <c r="C4" s="10" t="s">
        <v>13</v>
      </c>
      <c r="D4" s="13"/>
      <c r="E4" s="10" t="s">
        <v>17</v>
      </c>
      <c r="F4" s="10" t="s">
        <v>15</v>
      </c>
      <c r="G4" s="11" t="s">
        <v>18</v>
      </c>
      <c r="H4" s="13"/>
      <c r="I4" s="13"/>
      <c r="J4" s="9" t="s">
        <v>19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0.5" customHeight="1">
      <c r="A5" s="9" t="s">
        <v>10</v>
      </c>
      <c r="B5" s="10">
        <v>18.0</v>
      </c>
      <c r="C5" s="10" t="s">
        <v>13</v>
      </c>
      <c r="D5" s="10" t="s">
        <v>17</v>
      </c>
      <c r="E5" s="10" t="s">
        <v>14</v>
      </c>
      <c r="F5" s="10" t="s">
        <v>15</v>
      </c>
      <c r="G5" s="11" t="s">
        <v>16</v>
      </c>
      <c r="H5" s="13"/>
      <c r="I5" s="13"/>
      <c r="J5" s="9" t="s">
        <v>20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0.5" customHeight="1">
      <c r="A6" s="9" t="s">
        <v>21</v>
      </c>
      <c r="B6" s="10">
        <v>18.0</v>
      </c>
      <c r="C6" s="10" t="s">
        <v>13</v>
      </c>
      <c r="D6" s="10" t="s">
        <v>14</v>
      </c>
      <c r="E6" s="10" t="s">
        <v>14</v>
      </c>
      <c r="F6" s="10" t="s">
        <v>22</v>
      </c>
      <c r="G6" s="11" t="s">
        <v>23</v>
      </c>
      <c r="H6" s="12" t="str">
        <f>hyperlink("http://0x.ca/sim/esc/HK_TP18A_BESC/img_1881.jpg","link")</f>
        <v>link</v>
      </c>
      <c r="I6" s="12" t="str">
        <f>hyperlink("http://0x.ca/sim/esc/HK_TP18A_BESC/img_1888.jpg","link")</f>
        <v>link</v>
      </c>
      <c r="J6" s="9" t="s">
        <v>24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0.5" customHeight="1">
      <c r="A7" s="9" t="s">
        <v>10</v>
      </c>
      <c r="B7" s="10">
        <v>25.0</v>
      </c>
      <c r="C7" s="10" t="s">
        <v>13</v>
      </c>
      <c r="D7" s="13"/>
      <c r="E7" s="10" t="s">
        <v>17</v>
      </c>
      <c r="F7" s="10" t="s">
        <v>15</v>
      </c>
      <c r="G7" s="11" t="s">
        <v>18</v>
      </c>
      <c r="H7" s="13"/>
      <c r="I7" s="13"/>
      <c r="J7" s="9" t="s">
        <v>19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0.5" customHeight="1">
      <c r="A8" s="9" t="s">
        <v>10</v>
      </c>
      <c r="B8" s="10">
        <v>25.0</v>
      </c>
      <c r="C8" s="10" t="s">
        <v>13</v>
      </c>
      <c r="D8" s="13"/>
      <c r="E8" s="10" t="s">
        <v>14</v>
      </c>
      <c r="F8" s="10" t="s">
        <v>15</v>
      </c>
      <c r="G8" s="11" t="s">
        <v>16</v>
      </c>
      <c r="H8" s="13"/>
      <c r="I8" s="13"/>
      <c r="J8" s="9" t="s">
        <v>20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0.5" customHeight="1">
      <c r="A9" s="9" t="s">
        <v>25</v>
      </c>
      <c r="B9" s="10">
        <v>25.0</v>
      </c>
      <c r="C9" s="10" t="s">
        <v>13</v>
      </c>
      <c r="D9" s="10" t="s">
        <v>14</v>
      </c>
      <c r="E9" s="10" t="s">
        <v>14</v>
      </c>
      <c r="F9" s="10" t="s">
        <v>22</v>
      </c>
      <c r="G9" s="11" t="s">
        <v>23</v>
      </c>
      <c r="H9" s="12" t="str">
        <f>hyperlink("http://0x.ca/sim/esc/HK_TP-w25A/img_1876.jpg","link")</f>
        <v>link</v>
      </c>
      <c r="I9" s="12" t="str">
        <f>hyperlink("http://0x.ca/sim/esc/HK_TP-w25A/img_1873.jpg","link")</f>
        <v>link</v>
      </c>
      <c r="J9" s="9" t="s">
        <v>24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0.5" customHeight="1">
      <c r="A10" s="9" t="s">
        <v>26</v>
      </c>
      <c r="B10" s="10">
        <v>30.0</v>
      </c>
      <c r="C10" s="10" t="s">
        <v>13</v>
      </c>
      <c r="D10" s="10" t="s">
        <v>14</v>
      </c>
      <c r="E10" s="10" t="s">
        <v>14</v>
      </c>
      <c r="F10" s="10" t="s">
        <v>22</v>
      </c>
      <c r="G10" s="11" t="s">
        <v>23</v>
      </c>
      <c r="H10" s="12" t="str">
        <f>hyperlink("http://0x.ca/~sim/esc/HK_TP-W30A/img_1869.jpg","link")</f>
        <v>link</v>
      </c>
      <c r="I10" s="12" t="str">
        <f>hyperlink("http://0x.ca/sim/esc/HK_TP-W30A/img_1861.jpg","link")</f>
        <v>link</v>
      </c>
      <c r="J10" s="9" t="s">
        <v>27</v>
      </c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0.5" customHeight="1">
      <c r="A11" s="9" t="s">
        <v>10</v>
      </c>
      <c r="B11" s="10">
        <v>40.0</v>
      </c>
      <c r="C11" s="10" t="s">
        <v>13</v>
      </c>
      <c r="D11" s="10" t="s">
        <v>14</v>
      </c>
      <c r="E11" s="10" t="s">
        <v>14</v>
      </c>
      <c r="F11" s="10" t="s">
        <v>22</v>
      </c>
      <c r="G11" s="11" t="s">
        <v>23</v>
      </c>
      <c r="H11" s="12" t="str">
        <f>hyperlink("http://static.rcgroups.net/forums/attachments/6/9/7/2/4/a4568374-250-TowerPro%20H40A2.JPG","link")</f>
        <v>link</v>
      </c>
      <c r="I11" s="12" t="str">
        <f>hyperlink("http://static.rcgroups.net/forums/attachments/6/9/7/2/4/a4568376-91-TowerPro%20H40A3.JPG","link")</f>
        <v>link</v>
      </c>
      <c r="J11" s="9" t="s">
        <v>28</v>
      </c>
      <c r="K11" s="15" t="str">
        <f>hyperlink("https://github.com/sim-/tgy/downloads","Download firmware")</f>
        <v>Download firmware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0.5" customHeight="1">
      <c r="A12" s="9" t="s">
        <v>29</v>
      </c>
      <c r="B12" s="10">
        <v>65.0</v>
      </c>
      <c r="C12" s="10" t="s">
        <v>13</v>
      </c>
      <c r="D12" s="10" t="s">
        <v>14</v>
      </c>
      <c r="E12" s="10" t="s">
        <v>17</v>
      </c>
      <c r="F12" s="10" t="s">
        <v>22</v>
      </c>
      <c r="G12" s="11" t="s">
        <v>30</v>
      </c>
      <c r="H12" s="12" t="str">
        <f>hyperlink("http://0x.ca/sim/esc/HK_HXTBSC65/img_5335.jpg","link")</f>
        <v>link</v>
      </c>
      <c r="I12" s="12" t="str">
        <f>hyperlink("http://0x.ca/sim/esc/HK_HXTBSC65/img_5337.jpg","link")</f>
        <v>link</v>
      </c>
      <c r="J12" s="9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0.5" customHeight="1">
      <c r="A13" s="4" t="s">
        <v>32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0.5" customHeight="1">
      <c r="A14" s="16">
        <v>2.61000001E8</v>
      </c>
      <c r="B14" s="10">
        <v>6.0</v>
      </c>
      <c r="C14" s="10" t="s">
        <v>13</v>
      </c>
      <c r="D14" s="10" t="s">
        <v>33</v>
      </c>
      <c r="E14" s="10" t="s">
        <v>17</v>
      </c>
      <c r="F14" s="10" t="s">
        <v>15</v>
      </c>
      <c r="G14" s="11" t="s">
        <v>34</v>
      </c>
      <c r="H14" s="12" t="str">
        <f>hyperlink("http://0x.ca/sim/esc/HK_261000001/img_4489.jpg","link")</f>
        <v>link</v>
      </c>
      <c r="I14" s="12" t="str">
        <f>hyperlink("http://0x.ca/sim/esc/HK_261000001/img_4498.jpg","link")</f>
        <v>link</v>
      </c>
      <c r="J14" s="9" t="s">
        <v>35</v>
      </c>
      <c r="K14" s="15" t="str">
        <f>hyperlink("http://www.rcgroups.com/forums/showthread.php?t=1513678","Identify pins")</f>
        <v>Identify pins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0.5" customHeight="1">
      <c r="A15" s="16">
        <v>2.61000002E8</v>
      </c>
      <c r="B15" s="10">
        <v>10.0</v>
      </c>
      <c r="C15" s="10" t="s">
        <v>13</v>
      </c>
      <c r="D15" s="10" t="s">
        <v>33</v>
      </c>
      <c r="E15" s="10" t="s">
        <v>17</v>
      </c>
      <c r="F15" s="10" t="s">
        <v>15</v>
      </c>
      <c r="G15" s="11" t="s">
        <v>36</v>
      </c>
      <c r="H15" s="12" t="str">
        <f>hyperlink("http://0x.ca/sim/esc/HK_261000002/img_4482.jpg","link")</f>
        <v>link</v>
      </c>
      <c r="I15" s="12" t="str">
        <f>hyperlink("http://0x.ca/sim/esc/HK_261000002/img_4484.jpg","link")</f>
        <v>link</v>
      </c>
      <c r="J15" s="9" t="s">
        <v>37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0.5" customHeight="1">
      <c r="A16" s="16" t="s">
        <v>38</v>
      </c>
      <c r="B16" s="10">
        <v>20.0</v>
      </c>
      <c r="C16" s="10" t="s">
        <v>13</v>
      </c>
      <c r="D16" s="10" t="s">
        <v>33</v>
      </c>
      <c r="E16" s="10" t="s">
        <v>17</v>
      </c>
      <c r="F16" s="10" t="s">
        <v>22</v>
      </c>
      <c r="G16" s="11" t="s">
        <v>39</v>
      </c>
      <c r="H16" s="12" t="str">
        <f>hyperlink("http://static.rcgroups.net/forums/attachments/3/0/1/1/1/9/a4636871-168-hobbyking_20A.jpg","link")</f>
        <v>link</v>
      </c>
      <c r="I16" s="12" t="str">
        <f>hyperlink("http://static.rcgroups.net/forums/attachments/3/1/6/9/0/4/a4585302-91-Hobby%20King%2020A%20%28F-20A%29.jpg","link")</f>
        <v>link</v>
      </c>
      <c r="J16" s="9" t="s">
        <v>40</v>
      </c>
      <c r="M16" s="3"/>
      <c r="N16" s="17"/>
      <c r="P16" s="3"/>
      <c r="Q16" s="3"/>
      <c r="R16" s="3"/>
      <c r="S16" s="3"/>
      <c r="T16" s="3"/>
      <c r="U16" s="3"/>
      <c r="V16" s="3"/>
      <c r="W16" s="3"/>
      <c r="X16" s="3"/>
    </row>
    <row r="17" ht="10.5" customHeight="1">
      <c r="A17" s="16" t="s">
        <v>41</v>
      </c>
      <c r="B17" s="10">
        <v>30.0</v>
      </c>
      <c r="C17" s="10" t="s">
        <v>13</v>
      </c>
      <c r="D17" s="10" t="s">
        <v>33</v>
      </c>
      <c r="E17" s="10" t="s">
        <v>17</v>
      </c>
      <c r="F17" s="10" t="s">
        <v>22</v>
      </c>
      <c r="G17" s="11" t="s">
        <v>39</v>
      </c>
      <c r="H17" s="12" t="str">
        <f>hyperlink("http://0x.ca/sim/esc/HK_F-30A/img_2231.jpg","link")</f>
        <v>link</v>
      </c>
      <c r="I17" s="12" t="str">
        <f>hyperlink("http://0x.ca/sim/esc/HK_F-30A/img_2235.jpg","link")</f>
        <v>link</v>
      </c>
      <c r="J17" s="9" t="s">
        <v>42</v>
      </c>
      <c r="K17" s="15" t="str">
        <f>hyperlink("http://www.rcgroups.com/forums/showatt.php?attachmentid=4321149&amp;d=1317604941","ATmega8 pins")</f>
        <v>ATmega8 pins</v>
      </c>
      <c r="M17" s="3"/>
      <c r="N17" s="17"/>
      <c r="P17" s="3"/>
      <c r="Q17" s="3"/>
      <c r="R17" s="3"/>
      <c r="S17" s="3"/>
      <c r="T17" s="3"/>
      <c r="U17" s="3"/>
      <c r="V17" s="3"/>
      <c r="W17" s="3"/>
      <c r="X17" s="3"/>
    </row>
    <row r="18" ht="10.5" customHeight="1">
      <c r="A18" s="16" t="s">
        <v>43</v>
      </c>
      <c r="B18" s="10">
        <v>40.0</v>
      </c>
      <c r="C18" s="10" t="s">
        <v>13</v>
      </c>
      <c r="D18" s="10" t="s">
        <v>33</v>
      </c>
      <c r="E18" s="10" t="s">
        <v>17</v>
      </c>
      <c r="F18" s="10" t="s">
        <v>22</v>
      </c>
      <c r="G18" s="11" t="s">
        <v>36</v>
      </c>
      <c r="H18" s="12" t="str">
        <f>hyperlink("http://0x.ca/sim/esc/HK_F-40A/img_5305.jpg","link")</f>
        <v>link</v>
      </c>
      <c r="I18" s="12" t="str">
        <f>hyperlink("http://0x.ca/sim/esc/HK_F-40A/img_5312.jpg","link")</f>
        <v>link</v>
      </c>
      <c r="J18" s="9" t="s">
        <v>44</v>
      </c>
      <c r="M18" s="3"/>
      <c r="N18" s="17"/>
      <c r="P18" s="3"/>
      <c r="Q18" s="3"/>
      <c r="R18" s="3"/>
      <c r="S18" s="3"/>
      <c r="T18" s="3"/>
      <c r="U18" s="3"/>
      <c r="V18" s="3"/>
      <c r="W18" s="3"/>
      <c r="X18" s="3"/>
    </row>
    <row r="19" ht="10.5" customHeight="1">
      <c r="A19" s="16" t="s">
        <v>45</v>
      </c>
      <c r="B19" s="10">
        <v>60.0</v>
      </c>
      <c r="C19" s="10" t="s">
        <v>13</v>
      </c>
      <c r="D19" s="10" t="s">
        <v>33</v>
      </c>
      <c r="E19" s="10" t="s">
        <v>17</v>
      </c>
      <c r="F19" s="10" t="s">
        <v>22</v>
      </c>
      <c r="G19" s="11" t="s">
        <v>36</v>
      </c>
      <c r="H19" s="12" t="str">
        <f>hyperlink("http://0x.ca/sim/esc/HK_F-60A/img_3538.jpg","link")</f>
        <v>link</v>
      </c>
      <c r="I19" s="12" t="str">
        <f>hyperlink("http://0x.ca/sim/esc/HK_F-60A/img_3541.jpg","link")</f>
        <v>link</v>
      </c>
      <c r="J19" s="9" t="s">
        <v>46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0.5" customHeight="1">
      <c r="A20" s="16" t="s">
        <v>47</v>
      </c>
      <c r="B20" s="10">
        <v>80.0</v>
      </c>
      <c r="C20" s="10" t="s">
        <v>13</v>
      </c>
      <c r="D20" s="10" t="s">
        <v>33</v>
      </c>
      <c r="E20" s="10" t="s">
        <v>17</v>
      </c>
      <c r="F20" s="10" t="s">
        <v>22</v>
      </c>
      <c r="G20" s="11" t="s">
        <v>36</v>
      </c>
      <c r="H20" s="12" t="str">
        <f>hyperlink("http://0x.ca/sim/esc/HK_F-80A/img_7425.jpg","link")</f>
        <v>link</v>
      </c>
      <c r="I20" s="12" t="str">
        <f>hyperlink("http://0x.ca/sim/esc/HK_F-80A/img_7430.jpg","link")</f>
        <v>link</v>
      </c>
      <c r="J20" s="3"/>
      <c r="K20" s="15" t="str">
        <f>hyperlink("http://wiki.openpilot.org/display/Doc/Flashing+Instructions","Tutorial ENG")</f>
        <v>Tutorial ENG</v>
      </c>
      <c r="L20" s="15" t="str">
        <f>hyperlink("http://www.rc-heli-fan.org/quadrocopter-co-f255/howto-esc-regler-flashen-t92521.html","Tutorial GER")</f>
        <v>Tutorial GER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0.5" customHeight="1">
      <c r="A21" s="16" t="s">
        <v>48</v>
      </c>
      <c r="B21" s="10">
        <v>90.0</v>
      </c>
      <c r="C21" s="10" t="s">
        <v>13</v>
      </c>
      <c r="D21" s="10" t="s">
        <v>33</v>
      </c>
      <c r="E21" s="10" t="s">
        <v>17</v>
      </c>
      <c r="F21" s="10" t="s">
        <v>22</v>
      </c>
      <c r="G21" s="11" t="s">
        <v>36</v>
      </c>
      <c r="H21" s="12" t="str">
        <f>hyperlink("http://0x.ca/sim/esc/HK_F-90A/img_7418.jpg","link")</f>
        <v>link</v>
      </c>
      <c r="I21" s="12" t="str">
        <f>hyperlink("http://0x.ca/sim/esc/HK_F-90A/img_7423.jpg","link")</f>
        <v>link</v>
      </c>
      <c r="J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0.5" customHeight="1">
      <c r="A22" s="4" t="s">
        <v>49</v>
      </c>
      <c r="D22" s="5"/>
      <c r="E22" s="5"/>
      <c r="F22" s="5"/>
      <c r="G22" s="6"/>
      <c r="H22" s="5"/>
      <c r="I22" s="5"/>
      <c r="J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0.5" customHeight="1">
      <c r="A23" s="9" t="s">
        <v>50</v>
      </c>
      <c r="B23" s="10">
        <v>12.0</v>
      </c>
      <c r="C23" s="10" t="s">
        <v>13</v>
      </c>
      <c r="D23" s="10" t="s">
        <v>14</v>
      </c>
      <c r="E23" s="10" t="s">
        <v>17</v>
      </c>
      <c r="F23" s="10" t="s">
        <v>22</v>
      </c>
      <c r="G23" s="11" t="s">
        <v>39</v>
      </c>
      <c r="H23" s="12" t="str">
        <f>hyperlink("http://static.rcgroups.net/forums/attachments/3/8/2/4/5/7/a4452987-164-annotated%20esc.jpg","link")</f>
        <v>link</v>
      </c>
      <c r="I23" s="12" t="str">
        <f>hyperlink("http://static.rcgroups.net/forums/attachments/3/9/3/7/4/0/a4549256-16-ImageUploadedByTapatalk1326449458.264754.jpg","link")</f>
        <v>link</v>
      </c>
      <c r="J23" s="9" t="s">
        <v>51</v>
      </c>
      <c r="K23" s="18" t="s">
        <v>52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0.5" customHeight="1">
      <c r="A24" s="9" t="s">
        <v>50</v>
      </c>
      <c r="B24" s="10">
        <v>20.0</v>
      </c>
      <c r="C24" s="10" t="s">
        <v>13</v>
      </c>
      <c r="D24" s="10" t="s">
        <v>17</v>
      </c>
      <c r="E24" s="10" t="s">
        <v>17</v>
      </c>
      <c r="F24" s="10" t="s">
        <v>22</v>
      </c>
      <c r="G24" s="11" t="s">
        <v>39</v>
      </c>
      <c r="H24" s="12" t="str">
        <f>hyperlink("http://www.rcgroups.com/forums/attachmentNew.php?attachmentid=4547965","link")</f>
        <v>link</v>
      </c>
      <c r="I24" s="12" t="str">
        <f>hyperlink("http://www.rcgroups.com/forums/attachmentNew.php?attachmentid=4547952","link")</f>
        <v>link</v>
      </c>
      <c r="J24" s="9" t="s">
        <v>53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0.5" customHeight="1">
      <c r="A25" s="9" t="s">
        <v>50</v>
      </c>
      <c r="B25" s="10">
        <v>30.0</v>
      </c>
      <c r="C25" s="10" t="s">
        <v>13</v>
      </c>
      <c r="D25" s="10" t="s">
        <v>14</v>
      </c>
      <c r="E25" s="10" t="s">
        <v>17</v>
      </c>
      <c r="F25" s="10" t="s">
        <v>15</v>
      </c>
      <c r="G25" s="11" t="s">
        <v>36</v>
      </c>
      <c r="H25" s="12" t="str">
        <f>hyperlink("http://www.rcgroups.com/forums/showatt.php?attachmentid=4368878&amp;d=1319408138","link")</f>
        <v>link</v>
      </c>
      <c r="I25" s="13"/>
      <c r="J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0.5" customHeight="1">
      <c r="A26" s="9" t="s">
        <v>50</v>
      </c>
      <c r="B26" s="10">
        <v>30.0</v>
      </c>
      <c r="C26" s="10" t="s">
        <v>13</v>
      </c>
      <c r="D26" s="10" t="s">
        <v>17</v>
      </c>
      <c r="E26" s="10" t="s">
        <v>17</v>
      </c>
      <c r="F26" s="10" t="s">
        <v>22</v>
      </c>
      <c r="G26" s="11" t="s">
        <v>39</v>
      </c>
      <c r="H26" s="12" t="str">
        <f t="shared" ref="H26:I26" si="1">hyperlink("http://static.rcgroups.net/forums/attachments/1/0/5/5/0/5/a4614446-81-own%20BS30A%20pads%20not%20in%20row.jpg","link")</f>
        <v>link</v>
      </c>
      <c r="I26" s="12" t="str">
        <f t="shared" si="1"/>
        <v>link</v>
      </c>
      <c r="J26" s="9" t="s">
        <v>53</v>
      </c>
      <c r="K26" s="19" t="str">
        <f>hyperlink("https://github.com/bitdump/BLHeli","BLHeli firmware")</f>
        <v>BLHeli firmware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0.5" customHeight="1">
      <c r="A27" s="9" t="s">
        <v>50</v>
      </c>
      <c r="B27" s="10">
        <v>40.0</v>
      </c>
      <c r="C27" s="10" t="s">
        <v>13</v>
      </c>
      <c r="D27" s="10" t="s">
        <v>17</v>
      </c>
      <c r="E27" s="10" t="s">
        <v>17</v>
      </c>
      <c r="F27" s="10" t="s">
        <v>22</v>
      </c>
      <c r="G27" s="11" t="s">
        <v>54</v>
      </c>
      <c r="H27" s="12" t="str">
        <f>hyperlink("http://i1195.photobucket.com/albums/aa388/Cossacs/IMG_6509.jpg","link")</f>
        <v>link</v>
      </c>
      <c r="I27" s="12" t="str">
        <f>hyperlink("http://i1195.photobucket.com/albums/aa388/Cossacs/IMG_6522.jpg","link")</f>
        <v>link</v>
      </c>
      <c r="J27" s="9" t="s">
        <v>55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0.5" customHeight="1">
      <c r="A28" s="9" t="s">
        <v>50</v>
      </c>
      <c r="B28" s="10">
        <v>50.0</v>
      </c>
      <c r="C28" s="10" t="s">
        <v>13</v>
      </c>
      <c r="D28" s="10" t="s">
        <v>17</v>
      </c>
      <c r="E28" s="10" t="s">
        <v>17</v>
      </c>
      <c r="F28" s="10" t="s">
        <v>22</v>
      </c>
      <c r="G28" s="11" t="s">
        <v>36</v>
      </c>
      <c r="H28" s="13"/>
      <c r="I28" s="13"/>
      <c r="J28" s="9" t="s">
        <v>53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0.5" customHeight="1">
      <c r="A29" s="9" t="s">
        <v>50</v>
      </c>
      <c r="B29" s="10">
        <v>60.0</v>
      </c>
      <c r="C29" s="10" t="s">
        <v>13</v>
      </c>
      <c r="D29" s="10" t="s">
        <v>17</v>
      </c>
      <c r="E29" s="10" t="s">
        <v>17</v>
      </c>
      <c r="F29" s="10" t="s">
        <v>22</v>
      </c>
      <c r="G29" s="11" t="s">
        <v>54</v>
      </c>
      <c r="H29" s="13"/>
      <c r="I29" s="13"/>
      <c r="J29" s="9" t="s">
        <v>53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0.5" customHeight="1">
      <c r="A30" s="4" t="s">
        <v>56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0.5" customHeight="1">
      <c r="A31" s="20" t="s">
        <v>57</v>
      </c>
      <c r="K31" s="19" t="str">
        <f>hyperlink("https://github.com/bitdump/BLHeli/blob/master/SiLabs/BLHeli%20programming%20by%20TX%20SiLabs%20Rev7.0.pdf?raw=true","BLHeli documentation")</f>
        <v>BLHeli documentation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0.5" customHeight="1">
      <c r="A32" s="20" t="s">
        <v>58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0.5" customHeight="1">
      <c r="A33" s="9" t="s">
        <v>59</v>
      </c>
      <c r="B33" s="10">
        <v>10.0</v>
      </c>
      <c r="C33" s="10" t="s">
        <v>13</v>
      </c>
      <c r="D33" s="10" t="s">
        <v>14</v>
      </c>
      <c r="E33" s="10" t="s">
        <v>17</v>
      </c>
      <c r="F33" s="10" t="s">
        <v>15</v>
      </c>
      <c r="G33" s="11" t="s">
        <v>18</v>
      </c>
      <c r="H33" s="12" t="str">
        <f>hyperlink("http://0x.ca/sim/esc/HK_HK-SS10A/img_20130619_120240.jpg","link")</f>
        <v>link</v>
      </c>
      <c r="I33" s="12" t="str">
        <f>hyperlink("http://0x.ca/sim/esc/HK_HK-SS10A/img_20130617_181727.jpg","link")</f>
        <v>link</v>
      </c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0.5" customHeight="1">
      <c r="A34" s="9" t="s">
        <v>60</v>
      </c>
      <c r="B34" s="10">
        <v>15.0</v>
      </c>
      <c r="C34" s="10" t="s">
        <v>13</v>
      </c>
      <c r="D34" s="10" t="s">
        <v>14</v>
      </c>
      <c r="E34" s="10" t="s">
        <v>17</v>
      </c>
      <c r="F34" s="10" t="s">
        <v>15</v>
      </c>
      <c r="G34" s="11" t="s">
        <v>61</v>
      </c>
      <c r="H34" s="12" t="str">
        <f>hyperlink("http://static.rcgroups.net/forums/attachments/3/0/1/1/1/9/a4644960-92-SS%2015-18A%20front.jpg","link")</f>
        <v>link</v>
      </c>
      <c r="I34" s="12" t="str">
        <f>hyperlink("http://static.rcgroups.net/forums/attachments/3/0/1/1/1/9/a4644961-30-SS%2015-18A%20back.jpg","link")</f>
        <v>link</v>
      </c>
      <c r="J34" s="21" t="str">
        <f>hyperlink("http://www.rcgroups.com/forums/showpost.php?p=20791427&amp;postcount=2127","tested")</f>
        <v>tested</v>
      </c>
      <c r="K34" s="19" t="str">
        <f>hyperlink("https://github.com/bitdump/BLHeli/blob/master/SiLabs/BLHeli%20supported%20SiLabs%20ESCs.pdf?raw=true","BLHeli supported ESCs")</f>
        <v>BLHeli supported ESCs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0.5" customHeight="1">
      <c r="A35" s="9" t="s">
        <v>62</v>
      </c>
      <c r="B35" s="10">
        <v>18.0</v>
      </c>
      <c r="C35" s="10" t="s">
        <v>13</v>
      </c>
      <c r="D35" s="10" t="s">
        <v>14</v>
      </c>
      <c r="E35" s="10" t="s">
        <v>17</v>
      </c>
      <c r="F35" s="10" t="s">
        <v>15</v>
      </c>
      <c r="G35" s="11" t="s">
        <v>61</v>
      </c>
      <c r="H35" s="12" t="str">
        <f>hyperlink("http://static.rcgroups.net/forums/attachments/3/4/0/0/5/0/a4569710-116-HK18ampFront%20copy.jpg","link")</f>
        <v>link</v>
      </c>
      <c r="I35" s="12" t="str">
        <f>hyperlink("http://jfsdata.com/RC/ESC/HK18ampBack.png","link")</f>
        <v>link</v>
      </c>
      <c r="J35" s="9" t="s">
        <v>63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0.5" customHeight="1">
      <c r="A36" s="9" t="s">
        <v>64</v>
      </c>
      <c r="B36" s="10">
        <v>18.0</v>
      </c>
      <c r="C36" s="10" t="s">
        <v>13</v>
      </c>
      <c r="D36" s="10" t="s">
        <v>33</v>
      </c>
      <c r="E36" s="10" t="s">
        <v>14</v>
      </c>
      <c r="F36" s="10" t="s">
        <v>15</v>
      </c>
      <c r="G36" s="11" t="s">
        <v>16</v>
      </c>
      <c r="H36" s="12" t="str">
        <f>hyperlink("http://static.rcgroups.net/forums/attachments/2/0/3/4/8/0/a4635494-247-HobbyKing%2020Amp%20ESC.gif","link")</f>
        <v>link</v>
      </c>
      <c r="I36" s="13"/>
      <c r="J36" s="9" t="s">
        <v>65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0.5" customHeight="1">
      <c r="A37" s="9" t="s">
        <v>66</v>
      </c>
      <c r="B37" s="10">
        <v>25.0</v>
      </c>
      <c r="C37" s="10" t="s">
        <v>13</v>
      </c>
      <c r="D37" s="10" t="s">
        <v>14</v>
      </c>
      <c r="E37" s="10" t="s">
        <v>17</v>
      </c>
      <c r="F37" s="10" t="s">
        <v>15</v>
      </c>
      <c r="G37" s="11" t="s">
        <v>61</v>
      </c>
      <c r="H37" s="12" t="str">
        <f>hyperlink("http://static.rcgroups.net/forums/attachments/1/7/1/2/4/9/a4589114-68-HS%20SS%20NON.jpg","link")</f>
        <v>link</v>
      </c>
      <c r="I37" s="12" t="str">
        <f>hyperlink("http://www.ljplus.ru/img4/p/i/piranha_art/HK_SS_25-30A.jpg","link")</f>
        <v>link</v>
      </c>
      <c r="J37" s="9" t="s">
        <v>63</v>
      </c>
      <c r="K37" s="19" t="str">
        <f>hyperlink("http://www.helifreak.com/blog.php?u=144146&amp;blogcategoryid=119","BLHeliSetup software")</f>
        <v>BLHeliSetup software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0.5" customHeight="1">
      <c r="A38" s="9" t="s">
        <v>67</v>
      </c>
      <c r="B38" s="10">
        <v>25.0</v>
      </c>
      <c r="C38" s="10" t="s">
        <v>13</v>
      </c>
      <c r="D38" s="10" t="s">
        <v>33</v>
      </c>
      <c r="E38" s="10" t="s">
        <v>14</v>
      </c>
      <c r="F38" s="10" t="s">
        <v>15</v>
      </c>
      <c r="G38" s="11" t="s">
        <v>16</v>
      </c>
      <c r="H38" s="12" t="str">
        <f>hyperlink("http://static.rcgroups.net/forums/attachments/1/2/8/0/4/4/a4560256-228-hk_ss_25a.jpg","link")</f>
        <v>link</v>
      </c>
      <c r="J38" s="9" t="s">
        <v>65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0.5" customHeight="1">
      <c r="A39" s="9" t="s">
        <v>68</v>
      </c>
      <c r="B39" s="10">
        <v>35.0</v>
      </c>
      <c r="C39" s="10" t="s">
        <v>13</v>
      </c>
      <c r="D39" s="10" t="s">
        <v>14</v>
      </c>
      <c r="E39" s="10" t="s">
        <v>17</v>
      </c>
      <c r="F39" s="10" t="s">
        <v>22</v>
      </c>
      <c r="G39" s="11" t="s">
        <v>69</v>
      </c>
      <c r="H39" s="12" t="str">
        <f>hyperlink("http://static.rcgroups.net/forums/attachments/3/6/9/8/2/0/a5390115-14-HK_SS35A_bottom.jpg","link")</f>
        <v>link</v>
      </c>
      <c r="I39" s="12" t="str">
        <f>hyperlink("http://static.rcgroups.net/forums/attachments/3/6/9/8/2/0/a5390117-190-HK_SS35A_top.jpg","link")</f>
        <v>link</v>
      </c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0.5" customHeight="1">
      <c r="A40" s="9" t="s">
        <v>70</v>
      </c>
      <c r="B40" s="10">
        <v>50.0</v>
      </c>
      <c r="C40" s="10" t="s">
        <v>13</v>
      </c>
      <c r="D40" s="10" t="s">
        <v>33</v>
      </c>
      <c r="E40" s="10" t="s">
        <v>17</v>
      </c>
      <c r="F40" s="10" t="s">
        <v>22</v>
      </c>
      <c r="G40" s="11" t="s">
        <v>71</v>
      </c>
      <c r="H40" s="12" t="str">
        <f>HYPERLINK("http://forum.rcdesign.ru/attachment.php?attachmentid=612695&amp;d=1330847385","link")</f>
        <v>link</v>
      </c>
      <c r="I40" s="12" t="str">
        <f>HYPERLINK("http://forum.rcdesign.ru/attachment.php?attachmentid=612694&amp;d=1330847385","link")</f>
        <v>link</v>
      </c>
      <c r="J40" s="9" t="s">
        <v>72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0.5" customHeight="1">
      <c r="A41" s="9" t="s">
        <v>73</v>
      </c>
      <c r="B41" s="10">
        <v>60.0</v>
      </c>
      <c r="C41" s="10" t="s">
        <v>13</v>
      </c>
      <c r="D41" s="10" t="s">
        <v>14</v>
      </c>
      <c r="E41" s="10" t="s">
        <v>17</v>
      </c>
      <c r="F41" s="10" t="s">
        <v>22</v>
      </c>
      <c r="G41" s="22"/>
      <c r="H41" s="13"/>
      <c r="I41" s="13"/>
      <c r="J41" s="3"/>
      <c r="K41" s="19" t="str">
        <f>hyperlink("http://www.olliw.eu/2012/owsilprog/","BLHeliTool software ++")</f>
        <v>BLHeliTool software ++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0.5" customHeight="1">
      <c r="A42" s="9" t="s">
        <v>74</v>
      </c>
      <c r="B42" s="10">
        <v>200.0</v>
      </c>
      <c r="C42" s="10" t="s">
        <v>13</v>
      </c>
      <c r="D42" s="10" t="s">
        <v>14</v>
      </c>
      <c r="E42" s="10" t="s">
        <v>17</v>
      </c>
      <c r="F42" s="10" t="s">
        <v>22</v>
      </c>
      <c r="G42" s="11" t="s">
        <v>75</v>
      </c>
      <c r="H42" s="12" t="str">
        <f>hyperlink("http://0x.ca/sim/esc/HK_HK-SS200ALV/img_4564.jpg","link")</f>
        <v>link</v>
      </c>
      <c r="I42" s="12" t="str">
        <f>hyperlink("http://0x.ca/sim/esc/HK_HK-SS200ALV/","link")</f>
        <v>link</v>
      </c>
      <c r="J42" s="9" t="s">
        <v>31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0.5" customHeight="1">
      <c r="A43" s="4" t="s">
        <v>76</v>
      </c>
      <c r="B43" s="5"/>
      <c r="C43" s="5"/>
      <c r="D43" s="5"/>
      <c r="E43" s="5"/>
      <c r="F43" s="5"/>
      <c r="G43" s="6"/>
      <c r="H43" s="5"/>
      <c r="I43" s="5"/>
      <c r="J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0.5" customHeight="1">
      <c r="A44" s="16" t="s">
        <v>77</v>
      </c>
      <c r="B44" s="10">
        <v>6.0</v>
      </c>
      <c r="C44" s="10" t="s">
        <v>13</v>
      </c>
      <c r="D44" s="10" t="s">
        <v>14</v>
      </c>
      <c r="E44" s="10" t="s">
        <v>17</v>
      </c>
      <c r="F44" s="10" t="s">
        <v>22</v>
      </c>
      <c r="G44" s="11" t="s">
        <v>78</v>
      </c>
      <c r="H44" s="12" t="str">
        <f>hyperlink("http://i.snag.gy/VtX1m.jpg","link")</f>
        <v>link</v>
      </c>
      <c r="I44" s="13"/>
      <c r="J44" s="3"/>
      <c r="K44" s="23"/>
      <c r="L44" s="2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0.5" customHeight="1">
      <c r="A45" s="16">
        <v>9.351000001E9</v>
      </c>
      <c r="B45" s="10">
        <v>10.0</v>
      </c>
      <c r="C45" s="10" t="s">
        <v>13</v>
      </c>
      <c r="D45" s="13"/>
      <c r="E45" s="10" t="s">
        <v>17</v>
      </c>
      <c r="F45" s="10" t="s">
        <v>15</v>
      </c>
      <c r="G45" s="11" t="s">
        <v>79</v>
      </c>
      <c r="H45" s="13"/>
      <c r="I45" s="13"/>
      <c r="J45" s="3"/>
      <c r="K45" s="19" t="str">
        <f>hyperlink("http://oddcopter.com/2012/07/18/flashing-silabs-escs-with-blheli-firmware/","SiLabs Tutorial")</f>
        <v>SiLabs Tutorial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0.5" customHeight="1">
      <c r="A46" s="16">
        <v>9.351000002E9</v>
      </c>
      <c r="B46" s="10">
        <v>15.0</v>
      </c>
      <c r="C46" s="10" t="s">
        <v>13</v>
      </c>
      <c r="D46" s="10" t="s">
        <v>14</v>
      </c>
      <c r="E46" s="10" t="s">
        <v>17</v>
      </c>
      <c r="F46" s="10" t="s">
        <v>15</v>
      </c>
      <c r="G46" s="11" t="s">
        <v>79</v>
      </c>
      <c r="H46" s="12" t="str">
        <f>hyperlink("http://static.rcgroups.net/forums/attachments/3/3/9/2/4/0/a5344400-27-20121202_084549.jpg","link")</f>
        <v>link</v>
      </c>
      <c r="I46" s="12" t="str">
        <f>hyperlink("http://static.rcgroups.net/forums/attachments/3/3/9/2/4/0/a5344403-147-20121202_084613.jpg","link")</f>
        <v>link</v>
      </c>
      <c r="J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0.5" customHeight="1">
      <c r="A47" s="16" t="s">
        <v>80</v>
      </c>
      <c r="B47" s="10">
        <v>20.0</v>
      </c>
      <c r="C47" s="10" t="s">
        <v>13</v>
      </c>
      <c r="D47" s="10" t="s">
        <v>17</v>
      </c>
      <c r="E47" s="10" t="s">
        <v>17</v>
      </c>
      <c r="F47" s="10" t="s">
        <v>22</v>
      </c>
      <c r="G47" s="11" t="s">
        <v>81</v>
      </c>
      <c r="H47" s="13"/>
      <c r="I47" s="13"/>
      <c r="J47" s="9" t="s">
        <v>82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0.5" customHeight="1">
      <c r="A48" s="16" t="s">
        <v>80</v>
      </c>
      <c r="B48" s="10">
        <v>20.0</v>
      </c>
      <c r="C48" s="10" t="s">
        <v>13</v>
      </c>
      <c r="D48" s="10" t="s">
        <v>17</v>
      </c>
      <c r="E48" s="10" t="s">
        <v>17</v>
      </c>
      <c r="F48" s="10" t="s">
        <v>22</v>
      </c>
      <c r="G48" s="11" t="s">
        <v>79</v>
      </c>
      <c r="H48" s="12" t="str">
        <f>hyperlink("https://cloud.githubusercontent.com/assets/8467231/3977520/13d32d76-283a-11e4-803e-ce6c7a572377.JPG","link")</f>
        <v>link</v>
      </c>
      <c r="I48" s="12" t="str">
        <f>hyperlink("https://cloud.githubusercontent.com/assets/8467231/3977519/13ce292a-283a-11e4-814c-900ab49f5d56.JPG","link")</f>
        <v>link</v>
      </c>
      <c r="J48" s="9" t="s">
        <v>83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0.5" customHeight="1">
      <c r="A49" s="16" t="s">
        <v>80</v>
      </c>
      <c r="B49" s="10">
        <v>20.0</v>
      </c>
      <c r="C49" s="10" t="s">
        <v>13</v>
      </c>
      <c r="D49" s="10" t="s">
        <v>14</v>
      </c>
      <c r="E49" s="10" t="s">
        <v>17</v>
      </c>
      <c r="F49" s="10" t="s">
        <v>15</v>
      </c>
      <c r="G49" s="11" t="s">
        <v>79</v>
      </c>
      <c r="H49" s="10" t="s">
        <v>84</v>
      </c>
      <c r="I49" s="10" t="s">
        <v>84</v>
      </c>
      <c r="J49" s="9" t="s">
        <v>85</v>
      </c>
      <c r="K49" s="24"/>
      <c r="L49" s="2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0.5" customHeight="1">
      <c r="A50" s="16" t="s">
        <v>86</v>
      </c>
      <c r="B50" s="10">
        <v>30.0</v>
      </c>
      <c r="C50" s="10" t="s">
        <v>13</v>
      </c>
      <c r="D50" s="10" t="s">
        <v>17</v>
      </c>
      <c r="E50" s="10" t="s">
        <v>17</v>
      </c>
      <c r="F50" s="10" t="s">
        <v>22</v>
      </c>
      <c r="G50" s="11" t="s">
        <v>81</v>
      </c>
      <c r="H50" s="12" t="str">
        <f>hyperlink("http://0x.ca/sim/esc/HK_9351000004/img_5535.jpg","link")</f>
        <v>link</v>
      </c>
      <c r="I50" s="12" t="str">
        <f>hyperlink("http://0x.ca/sim/esc/HK_9351000004/","link")</f>
        <v>link</v>
      </c>
      <c r="J50" s="9" t="s">
        <v>87</v>
      </c>
      <c r="K50" s="26" t="s">
        <v>88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0.5" customHeight="1">
      <c r="A51" s="16" t="s">
        <v>89</v>
      </c>
      <c r="B51" s="10">
        <v>30.0</v>
      </c>
      <c r="C51" s="10" t="s">
        <v>13</v>
      </c>
      <c r="D51" s="10" t="s">
        <v>17</v>
      </c>
      <c r="E51" s="10" t="s">
        <v>17</v>
      </c>
      <c r="F51" s="10" t="s">
        <v>15</v>
      </c>
      <c r="G51" s="11" t="s">
        <v>90</v>
      </c>
      <c r="H51" s="13"/>
      <c r="I51" s="13"/>
      <c r="J51" s="9" t="s">
        <v>91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0.5" customHeight="1">
      <c r="A52" s="16" t="s">
        <v>92</v>
      </c>
      <c r="B52" s="10">
        <v>30.0</v>
      </c>
      <c r="C52" s="10" t="s">
        <v>13</v>
      </c>
      <c r="D52" s="10" t="s">
        <v>17</v>
      </c>
      <c r="E52" s="10" t="s">
        <v>17</v>
      </c>
      <c r="F52" s="10" t="s">
        <v>15</v>
      </c>
      <c r="G52" s="11" t="s">
        <v>79</v>
      </c>
      <c r="H52" s="12" t="str">
        <f>hyperlink("http://0x.ca/sim/esc/HK_9351000004_old/img_1898.jpg","link")</f>
        <v>link</v>
      </c>
      <c r="I52" s="12" t="str">
        <f>hyperlink("http://0x.ca/sim/esc/HK_9351000004_old/","link")</f>
        <v>link</v>
      </c>
      <c r="J52" s="9" t="s">
        <v>93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0.5" customHeight="1">
      <c r="A53" s="16">
        <v>9.351000005E9</v>
      </c>
      <c r="B53" s="10">
        <v>45.0</v>
      </c>
      <c r="C53" s="10" t="s">
        <v>13</v>
      </c>
      <c r="D53" s="10" t="s">
        <v>14</v>
      </c>
      <c r="E53" s="10" t="s">
        <v>17</v>
      </c>
      <c r="F53" s="10" t="s">
        <v>22</v>
      </c>
      <c r="G53" s="11" t="s">
        <v>94</v>
      </c>
      <c r="H53" s="12" t="str">
        <f>hyperlink("https://dl.dropbox.com/u/94567760/IMG_8623.JPG","link")</f>
        <v>link</v>
      </c>
      <c r="I53" s="12" t="str">
        <f>hyperlink("https://dl.dropbox.com/u/94567760/IMG_8622.JPG","link")</f>
        <v>link</v>
      </c>
      <c r="J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0.5" customHeight="1">
      <c r="A54" s="4" t="s">
        <v>95</v>
      </c>
      <c r="B54" s="5"/>
      <c r="C54" s="5"/>
      <c r="D54" s="5"/>
      <c r="E54" s="5"/>
      <c r="F54" s="5"/>
      <c r="G54" s="6"/>
      <c r="H54" s="5"/>
      <c r="I54" s="5"/>
      <c r="J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0.5" customHeight="1">
      <c r="A55" s="16" t="s">
        <v>96</v>
      </c>
      <c r="B55" s="10">
        <v>200.0</v>
      </c>
      <c r="C55" s="10" t="s">
        <v>13</v>
      </c>
      <c r="D55" s="10" t="s">
        <v>33</v>
      </c>
      <c r="E55" s="10" t="s">
        <v>17</v>
      </c>
      <c r="F55" s="10" t="s">
        <v>22</v>
      </c>
      <c r="G55" s="11" t="s">
        <v>97</v>
      </c>
      <c r="H55" s="13"/>
      <c r="I55" s="13"/>
      <c r="J55" s="3"/>
      <c r="K55" s="27" t="s">
        <v>98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0.5" customHeight="1">
      <c r="A56" s="4" t="s">
        <v>99</v>
      </c>
      <c r="B56" s="5"/>
      <c r="C56" s="5"/>
      <c r="D56" s="5"/>
      <c r="E56" s="5"/>
      <c r="F56" s="5"/>
      <c r="G56" s="6"/>
      <c r="H56" s="5"/>
      <c r="I56" s="5"/>
      <c r="J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0.5" customHeight="1">
      <c r="A57" s="9" t="s">
        <v>100</v>
      </c>
      <c r="B57" s="10">
        <v>12.0</v>
      </c>
      <c r="C57" s="10" t="s">
        <v>13</v>
      </c>
      <c r="D57" s="10" t="s">
        <v>14</v>
      </c>
      <c r="E57" s="10" t="s">
        <v>17</v>
      </c>
      <c r="F57" s="10" t="s">
        <v>15</v>
      </c>
      <c r="G57" s="11" t="s">
        <v>36</v>
      </c>
      <c r="H57" s="12" t="str">
        <f>hyperlink("http://i43.tinypic.com/oa8xfn.jpg","link")</f>
        <v>link</v>
      </c>
      <c r="I57" s="13"/>
      <c r="J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0.5" customHeight="1">
      <c r="A58" s="9" t="s">
        <v>99</v>
      </c>
      <c r="B58" s="10">
        <v>20.0</v>
      </c>
      <c r="C58" s="10" t="s">
        <v>13</v>
      </c>
      <c r="D58" s="10" t="s">
        <v>17</v>
      </c>
      <c r="E58" s="10" t="s">
        <v>17</v>
      </c>
      <c r="F58" s="10" t="s">
        <v>15</v>
      </c>
      <c r="G58" s="11" t="s">
        <v>36</v>
      </c>
      <c r="H58" s="13"/>
      <c r="I58" s="13"/>
      <c r="J58" s="9" t="s">
        <v>53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0.5" customHeight="1">
      <c r="A59" s="9" t="s">
        <v>99</v>
      </c>
      <c r="B59" s="10">
        <v>20.0</v>
      </c>
      <c r="C59" s="10" t="s">
        <v>13</v>
      </c>
      <c r="D59" s="10" t="s">
        <v>17</v>
      </c>
      <c r="E59" s="10" t="s">
        <v>17</v>
      </c>
      <c r="F59" s="10" t="s">
        <v>15</v>
      </c>
      <c r="G59" s="11" t="s">
        <v>39</v>
      </c>
      <c r="H59" s="13"/>
      <c r="I59" s="13"/>
      <c r="J59" s="9" t="s">
        <v>101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0.5" customHeight="1">
      <c r="A60" s="9" t="s">
        <v>102</v>
      </c>
      <c r="B60" s="10">
        <v>20.0</v>
      </c>
      <c r="C60" s="10" t="s">
        <v>13</v>
      </c>
      <c r="D60" s="10" t="s">
        <v>14</v>
      </c>
      <c r="E60" s="10" t="s">
        <v>17</v>
      </c>
      <c r="F60" s="10" t="s">
        <v>15</v>
      </c>
      <c r="G60" s="22"/>
      <c r="H60" s="13"/>
      <c r="I60" s="13"/>
      <c r="J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0.5" customHeight="1">
      <c r="A61" s="9" t="s">
        <v>102</v>
      </c>
      <c r="B61" s="10">
        <v>30.0</v>
      </c>
      <c r="C61" s="10" t="s">
        <v>13</v>
      </c>
      <c r="D61" s="10" t="s">
        <v>14</v>
      </c>
      <c r="E61" s="10" t="s">
        <v>17</v>
      </c>
      <c r="F61" s="10" t="s">
        <v>15</v>
      </c>
      <c r="G61" s="11" t="s">
        <v>18</v>
      </c>
      <c r="H61" s="12" t="str">
        <f>hyperlink("http://static.rcgroups.net/forums/attachments/3/6/9/8/2/0/a4603454-201-plogste.jpg","link")</f>
        <v>link</v>
      </c>
      <c r="I61" s="13"/>
      <c r="J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0.5" customHeight="1">
      <c r="A62" s="9" t="s">
        <v>102</v>
      </c>
      <c r="B62" s="10">
        <v>50.0</v>
      </c>
      <c r="C62" s="10" t="s">
        <v>13</v>
      </c>
      <c r="D62" s="10" t="s">
        <v>14</v>
      </c>
      <c r="E62" s="10" t="s">
        <v>17</v>
      </c>
      <c r="F62" s="10" t="s">
        <v>22</v>
      </c>
      <c r="G62" s="11" t="s">
        <v>71</v>
      </c>
      <c r="H62" s="12" t="str">
        <f>hyperlink("http://static.rcgroups.net/forums/attachments/3/6/9/8/2/0/a4484462-75-ESC-bottom.jpg","link")</f>
        <v>link</v>
      </c>
      <c r="I62" s="13"/>
      <c r="J62" s="9" t="s">
        <v>103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0.5" customHeight="1">
      <c r="A63" s="9" t="s">
        <v>104</v>
      </c>
      <c r="B63" s="10">
        <v>30.0</v>
      </c>
      <c r="C63" s="10" t="s">
        <v>13</v>
      </c>
      <c r="D63" s="10" t="s">
        <v>17</v>
      </c>
      <c r="E63" s="10" t="s">
        <v>17</v>
      </c>
      <c r="F63" s="13"/>
      <c r="G63" s="22"/>
      <c r="H63" s="12" t="str">
        <f>hyperlink("http://i29.photobucket.com/albums/c267/the_bongmaster/S73F1539.jpg","link")</f>
        <v>link</v>
      </c>
      <c r="I63" s="13"/>
      <c r="J63" s="9" t="s">
        <v>105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0.5" customHeight="1">
      <c r="A64" s="9" t="s">
        <v>106</v>
      </c>
      <c r="B64" s="10">
        <v>30.0</v>
      </c>
      <c r="C64" s="10" t="s">
        <v>13</v>
      </c>
      <c r="D64" s="10" t="s">
        <v>14</v>
      </c>
      <c r="E64" s="10" t="s">
        <v>14</v>
      </c>
      <c r="F64" s="10" t="s">
        <v>15</v>
      </c>
      <c r="G64" s="11" t="s">
        <v>16</v>
      </c>
      <c r="H64" s="12" t="str">
        <f>hyperlink("http://static.rcgroups.net/forums/attachments/3/6/9/9/5/3/a4575128-165-P1050374.jpg","link")</f>
        <v>link</v>
      </c>
      <c r="I64" s="12" t="str">
        <f>hyperlink("http://static.rcgroups.net/forums/attachments/3/6/9/9/5/3/a4575129-231-P1050372.jpg","link")</f>
        <v>link</v>
      </c>
      <c r="J64" s="21" t="str">
        <f>hyperlink("http://www.rcgroups.com/forums/showpost.php?p=20725311&amp;postcount=2011","tested")</f>
        <v>tested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0.5" customHeight="1">
      <c r="A65" s="9" t="s">
        <v>99</v>
      </c>
      <c r="B65" s="10">
        <v>40.0</v>
      </c>
      <c r="C65" s="10" t="s">
        <v>13</v>
      </c>
      <c r="D65" s="10" t="s">
        <v>17</v>
      </c>
      <c r="E65" s="10" t="s">
        <v>17</v>
      </c>
      <c r="F65" s="10" t="s">
        <v>22</v>
      </c>
      <c r="G65" s="11" t="s">
        <v>36</v>
      </c>
      <c r="H65" s="12" t="str">
        <f>hyperlink("http://0x.ca/sim/esc/Mystery_40A/img_4547.jpg","link")</f>
        <v>link</v>
      </c>
      <c r="I65" s="12" t="str">
        <f>hyperlink("http://0x.ca/sim/esc/Mystery_40A/img_4549.jpg","link")</f>
        <v>link</v>
      </c>
      <c r="J65" s="9" t="s">
        <v>107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0.5" customHeight="1">
      <c r="A66" s="9" t="s">
        <v>99</v>
      </c>
      <c r="B66" s="10">
        <v>60.0</v>
      </c>
      <c r="C66" s="10" t="s">
        <v>13</v>
      </c>
      <c r="D66" s="10" t="s">
        <v>14</v>
      </c>
      <c r="E66" s="10" t="s">
        <v>17</v>
      </c>
      <c r="F66" s="10" t="s">
        <v>22</v>
      </c>
      <c r="G66" s="11" t="s">
        <v>36</v>
      </c>
      <c r="H66" s="13"/>
      <c r="I66" s="13"/>
      <c r="J66" s="9" t="s">
        <v>108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0.5" customHeight="1">
      <c r="A67" s="4" t="s">
        <v>109</v>
      </c>
      <c r="B67" s="5"/>
      <c r="C67" s="13"/>
      <c r="D67" s="5"/>
      <c r="E67" s="5"/>
      <c r="F67" s="5"/>
      <c r="G67" s="6"/>
      <c r="H67" s="5"/>
      <c r="I67" s="5"/>
      <c r="J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0.5" customHeight="1">
      <c r="A68" s="16">
        <v>9.192000026E9</v>
      </c>
      <c r="B68" s="10">
        <v>20.0</v>
      </c>
      <c r="C68" s="10" t="s">
        <v>13</v>
      </c>
      <c r="D68" s="10" t="s">
        <v>17</v>
      </c>
      <c r="E68" s="10" t="s">
        <v>17</v>
      </c>
      <c r="F68" s="10" t="s">
        <v>22</v>
      </c>
      <c r="G68" s="11" t="s">
        <v>110</v>
      </c>
      <c r="H68" s="12" t="str">
        <f>hyperlink("http://0x.ca/sim/esc/HK_9192000026/img_2387.jpg","link")</f>
        <v>link</v>
      </c>
      <c r="I68" s="12" t="str">
        <f>hyperlink("http://0x.ca/sim/esc/HK_9192000026/","link")</f>
        <v>link</v>
      </c>
      <c r="J68" s="9" t="s">
        <v>111</v>
      </c>
      <c r="K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0.5" customHeight="1">
      <c r="A69" s="4" t="s">
        <v>112</v>
      </c>
      <c r="B69" s="5"/>
      <c r="C69" s="13"/>
      <c r="D69" s="5"/>
      <c r="E69" s="5"/>
      <c r="F69" s="5"/>
      <c r="G69" s="6"/>
      <c r="H69" s="5"/>
      <c r="I69" s="5"/>
      <c r="J69" s="7"/>
      <c r="K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0.5" customHeight="1">
      <c r="A70" s="9" t="s">
        <v>113</v>
      </c>
      <c r="B70" s="10">
        <v>6.0</v>
      </c>
      <c r="C70" s="10" t="s">
        <v>13</v>
      </c>
      <c r="D70" s="10" t="s">
        <v>33</v>
      </c>
      <c r="E70" s="10" t="s">
        <v>14</v>
      </c>
      <c r="F70" s="10" t="s">
        <v>15</v>
      </c>
      <c r="G70" s="11" t="s">
        <v>114</v>
      </c>
      <c r="H70" s="12" t="str">
        <f>hyperlink("http://www.rcgroups.com/forums/showatt.php?attachmentid=4321150&amp;d=1317605064","link")</f>
        <v>link</v>
      </c>
      <c r="I70" s="12" t="str">
        <f>hyperlink("http://static.rcgroups.net/forums/attachments/3/2/3/3/3/0/a4697315-18-CIMG3941.jpg","link")</f>
        <v>link</v>
      </c>
      <c r="J70" s="11" t="s">
        <v>105</v>
      </c>
      <c r="K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0.5" customHeight="1">
      <c r="A71" s="9" t="s">
        <v>113</v>
      </c>
      <c r="B71" s="10">
        <v>12.0</v>
      </c>
      <c r="C71" s="10" t="s">
        <v>13</v>
      </c>
      <c r="D71" s="10" t="s">
        <v>33</v>
      </c>
      <c r="E71" s="10" t="s">
        <v>14</v>
      </c>
      <c r="F71" s="13"/>
      <c r="G71" s="11" t="s">
        <v>16</v>
      </c>
      <c r="H71" s="13"/>
      <c r="I71" s="13"/>
      <c r="J71" s="11" t="s">
        <v>105</v>
      </c>
      <c r="K71" s="3"/>
      <c r="L71" s="28" t="s">
        <v>115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0.5" customHeight="1">
      <c r="A72" s="9" t="s">
        <v>113</v>
      </c>
      <c r="B72" s="10">
        <v>18.0</v>
      </c>
      <c r="C72" s="10" t="s">
        <v>13</v>
      </c>
      <c r="D72" s="10" t="s">
        <v>33</v>
      </c>
      <c r="E72" s="10" t="s">
        <v>14</v>
      </c>
      <c r="F72" s="10" t="s">
        <v>15</v>
      </c>
      <c r="G72" s="11" t="s">
        <v>16</v>
      </c>
      <c r="H72" s="12" t="str">
        <f>hyperlink("http://static.rcgroups.net/forums/attachments/6/9/7/2/4/a4568329-61-plush18a2.jpg","link")</f>
        <v>link</v>
      </c>
      <c r="I72" s="12" t="str">
        <f>hyperlink("http://static.rcgroups.net/forums/attachments/6/9/7/2/4/a4568330-84-plush18a3.jpg","link")</f>
        <v>link</v>
      </c>
      <c r="J72" s="11" t="s">
        <v>105</v>
      </c>
      <c r="K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0.5" customHeight="1">
      <c r="A73" s="9" t="s">
        <v>113</v>
      </c>
      <c r="B73" s="10">
        <v>25.0</v>
      </c>
      <c r="C73" s="10" t="s">
        <v>13</v>
      </c>
      <c r="D73" s="10" t="s">
        <v>33</v>
      </c>
      <c r="E73" s="10" t="s">
        <v>14</v>
      </c>
      <c r="F73" s="10" t="s">
        <v>15</v>
      </c>
      <c r="G73" s="11" t="s">
        <v>16</v>
      </c>
      <c r="H73" s="12" t="str">
        <f>hyperlink("http://www.rcgroups.com/forums/showatt.php?attachmentid=4321151&amp;d=1317605103","link")</f>
        <v>link</v>
      </c>
      <c r="I73" s="13"/>
      <c r="J73" s="11" t="s">
        <v>105</v>
      </c>
      <c r="K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0.5" customHeight="1">
      <c r="A74" s="9" t="s">
        <v>113</v>
      </c>
      <c r="B74" s="10">
        <v>30.0</v>
      </c>
      <c r="C74" s="10" t="s">
        <v>13</v>
      </c>
      <c r="D74" s="10" t="s">
        <v>33</v>
      </c>
      <c r="E74" s="10" t="s">
        <v>14</v>
      </c>
      <c r="F74" s="10" t="s">
        <v>15</v>
      </c>
      <c r="G74" s="11" t="s">
        <v>116</v>
      </c>
      <c r="H74" s="13"/>
      <c r="I74" s="13"/>
      <c r="J74" s="11" t="s">
        <v>105</v>
      </c>
      <c r="K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0.5" customHeight="1">
      <c r="A75" s="9" t="s">
        <v>113</v>
      </c>
      <c r="B75" s="10">
        <v>40.0</v>
      </c>
      <c r="C75" s="10" t="s">
        <v>13</v>
      </c>
      <c r="D75" s="10" t="s">
        <v>33</v>
      </c>
      <c r="E75" s="10" t="s">
        <v>14</v>
      </c>
      <c r="F75" s="10" t="s">
        <v>22</v>
      </c>
      <c r="G75" s="11" t="s">
        <v>23</v>
      </c>
      <c r="H75" s="12" t="str">
        <f>hyperlink("http://i1239.photobucket.com/albums/ff508/Beedrones/P1010165.jpg","link")</f>
        <v>link</v>
      </c>
      <c r="I75" s="12" t="str">
        <f>hyperlink("http://i1239.photobucket.com/albums/ff508/Beedrones/P1010162.jpg","link")</f>
        <v>link</v>
      </c>
      <c r="J75" s="11" t="s">
        <v>105</v>
      </c>
      <c r="K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0.5" customHeight="1">
      <c r="A76" s="9" t="s">
        <v>113</v>
      </c>
      <c r="B76" s="10">
        <v>60.0</v>
      </c>
      <c r="C76" s="10" t="s">
        <v>13</v>
      </c>
      <c r="D76" s="10" t="s">
        <v>33</v>
      </c>
      <c r="F76" s="10" t="s">
        <v>22</v>
      </c>
      <c r="G76" s="11" t="s">
        <v>23</v>
      </c>
      <c r="J76" s="9" t="s">
        <v>117</v>
      </c>
      <c r="K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0.5" customHeight="1">
      <c r="A77" s="9" t="s">
        <v>113</v>
      </c>
      <c r="B77" s="10">
        <v>80.0</v>
      </c>
      <c r="C77" s="10" t="s">
        <v>13</v>
      </c>
      <c r="D77" s="10" t="s">
        <v>33</v>
      </c>
      <c r="F77" s="10" t="s">
        <v>22</v>
      </c>
      <c r="G77" s="11" t="s">
        <v>23</v>
      </c>
      <c r="J77" s="9" t="s">
        <v>117</v>
      </c>
      <c r="K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0.5" customHeight="1">
      <c r="A78" s="29" t="s">
        <v>118</v>
      </c>
      <c r="B78" s="30"/>
      <c r="C78" s="13"/>
      <c r="D78" s="30"/>
      <c r="E78" s="31"/>
      <c r="F78" s="32"/>
      <c r="G78" s="33"/>
      <c r="H78" s="31"/>
      <c r="I78" s="31"/>
      <c r="J78" s="3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0.5" customHeight="1">
      <c r="A79" s="9" t="s">
        <v>119</v>
      </c>
      <c r="B79" s="10">
        <v>6.0</v>
      </c>
      <c r="C79" s="10" t="s">
        <v>120</v>
      </c>
      <c r="D79" s="10" t="s">
        <v>33</v>
      </c>
      <c r="E79" s="13"/>
      <c r="F79" s="10" t="s">
        <v>15</v>
      </c>
      <c r="G79" s="34" t="s">
        <v>121</v>
      </c>
      <c r="H79" s="12" t="str">
        <f>hyperlink("http://www.helifreak.com/attachment.php?attachmentid=294862&amp;d=1330623799","link")</f>
        <v>link</v>
      </c>
      <c r="I79" s="12" t="str">
        <f>hyperlink("http://www.helifreak.com/attachment.php?attachmentid=294863&amp;d=1330623799","link")</f>
        <v>link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0.5" customHeight="1">
      <c r="A80" s="9" t="s">
        <v>119</v>
      </c>
      <c r="B80" s="10">
        <v>10.0</v>
      </c>
      <c r="C80" s="10" t="s">
        <v>120</v>
      </c>
      <c r="D80" s="10" t="s">
        <v>33</v>
      </c>
      <c r="E80" s="13"/>
      <c r="F80" s="10" t="s">
        <v>15</v>
      </c>
      <c r="G80" s="34" t="s">
        <v>122</v>
      </c>
      <c r="H80" s="12" t="str">
        <f>hyperlink("http://www.helifreak.com/attachment.php?attachmentid=352397&amp;d=1348594711","link")</f>
        <v>link</v>
      </c>
      <c r="I80" s="12" t="str">
        <f>hyperlink("http://www.helifreak.com/attachment.php?attachmentid=352398&amp;d=1348594711","link")</f>
        <v>link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0.5" customHeight="1">
      <c r="A81" s="9" t="s">
        <v>119</v>
      </c>
      <c r="B81" s="10">
        <v>12.0</v>
      </c>
      <c r="C81" s="10" t="s">
        <v>120</v>
      </c>
      <c r="D81" s="10" t="s">
        <v>33</v>
      </c>
      <c r="E81" s="13"/>
      <c r="F81" s="10" t="s">
        <v>15</v>
      </c>
      <c r="G81" s="34" t="s">
        <v>123</v>
      </c>
      <c r="H81" s="12" t="str">
        <f>hyperlink("http://www.helifreak.com/attachment.php?attachmentid=352399&amp;d=1348594711","link")</f>
        <v>link</v>
      </c>
      <c r="I81" s="12" t="str">
        <f>hyperlink("http://www.helifreak.com/attachment.php?attachmentid=352400&amp;d=1348594711","link")</f>
        <v>link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0.5" customHeight="1">
      <c r="A82" s="9" t="s">
        <v>119</v>
      </c>
      <c r="B82" s="10">
        <v>18.0</v>
      </c>
      <c r="C82" s="10" t="s">
        <v>120</v>
      </c>
      <c r="D82" s="10" t="s">
        <v>33</v>
      </c>
      <c r="E82" s="13"/>
      <c r="F82" s="10" t="s">
        <v>15</v>
      </c>
      <c r="G82" s="34" t="s">
        <v>124</v>
      </c>
      <c r="H82" s="12" t="str">
        <f>hyperlink("http://www.helifreak.com/attachment.php?attachmentid=352401&amp;d=1348594711","link")</f>
        <v>link</v>
      </c>
      <c r="I82" s="12" t="str">
        <f>hyperlink("http://www.helifreak.com/attachment.php?attachmentid=352402&amp;d=1348594711","link")</f>
        <v>link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0.5" customHeight="1">
      <c r="A83" s="9" t="s">
        <v>119</v>
      </c>
      <c r="B83" s="10">
        <v>25.0</v>
      </c>
      <c r="C83" s="10" t="s">
        <v>120</v>
      </c>
      <c r="D83" s="10" t="s">
        <v>33</v>
      </c>
      <c r="E83" s="13"/>
      <c r="F83" s="10" t="s">
        <v>15</v>
      </c>
      <c r="G83" s="34" t="s">
        <v>125</v>
      </c>
      <c r="H83" s="12" t="str">
        <f t="shared" ref="H83:H84" si="2">hyperlink("http://www.helifreak.com/attachment.php?attachmentid=352403&amp;d=1348594711","link")</f>
        <v>link</v>
      </c>
      <c r="I83" s="12" t="str">
        <f t="shared" ref="I83:I84" si="3">hyperlink("http://www.helifreak.com/attachment.php?attachmentid=352404&amp;d=1348594711","link")</f>
        <v>link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0.5" customHeight="1">
      <c r="A84" s="9" t="s">
        <v>119</v>
      </c>
      <c r="B84" s="10">
        <v>30.0</v>
      </c>
      <c r="C84" s="10" t="s">
        <v>120</v>
      </c>
      <c r="D84" s="10" t="s">
        <v>33</v>
      </c>
      <c r="E84" s="13"/>
      <c r="F84" s="10" t="s">
        <v>15</v>
      </c>
      <c r="G84" s="34" t="s">
        <v>126</v>
      </c>
      <c r="H84" s="12" t="str">
        <f t="shared" si="2"/>
        <v>link</v>
      </c>
      <c r="I84" s="12" t="str">
        <f t="shared" si="3"/>
        <v>link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0.5" customHeight="1">
      <c r="A85" s="9" t="s">
        <v>127</v>
      </c>
      <c r="B85" s="10">
        <v>18.0</v>
      </c>
      <c r="C85" s="10" t="s">
        <v>120</v>
      </c>
      <c r="D85" s="10" t="s">
        <v>33</v>
      </c>
      <c r="E85" s="13"/>
      <c r="F85" s="10" t="s">
        <v>22</v>
      </c>
      <c r="G85" s="34" t="s">
        <v>128</v>
      </c>
      <c r="H85" s="12" t="str">
        <f>hyperlink("http://www.helifreak.com/attachment.php?attachmentid=481798&amp;d=1390652932","link")</f>
        <v>link</v>
      </c>
      <c r="I85" s="12" t="str">
        <f>hyperlink("http://www.helifreak.com/attachment.php?attachmentid=481797&amp;d=1390652932","link")</f>
        <v>link</v>
      </c>
      <c r="J85" s="9" t="s">
        <v>129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0.5" customHeight="1">
      <c r="A86" s="9" t="s">
        <v>127</v>
      </c>
      <c r="B86" s="10">
        <v>25.0</v>
      </c>
      <c r="C86" s="10" t="s">
        <v>120</v>
      </c>
      <c r="D86" s="10" t="s">
        <v>33</v>
      </c>
      <c r="E86" s="13"/>
      <c r="F86" s="10" t="s">
        <v>22</v>
      </c>
      <c r="G86" s="34" t="s">
        <v>130</v>
      </c>
      <c r="H86" s="12" t="str">
        <f t="shared" ref="H86:H87" si="4">hyperlink("http://www.helifreak.com/attachment.php?attachmentid=481800&amp;d=1390652961","link")</f>
        <v>link</v>
      </c>
      <c r="I86" s="12" t="str">
        <f t="shared" ref="I86:I87" si="5">hyperlink("http://www.helifreak.com/attachment.php?attachmentid=481799&amp;d=1390652961","link")</f>
        <v>link</v>
      </c>
      <c r="J86" s="9" t="s">
        <v>129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0.5" customHeight="1">
      <c r="A87" s="9" t="s">
        <v>127</v>
      </c>
      <c r="B87" s="10">
        <v>30.0</v>
      </c>
      <c r="C87" s="10" t="s">
        <v>120</v>
      </c>
      <c r="D87" s="10" t="s">
        <v>33</v>
      </c>
      <c r="E87" s="13"/>
      <c r="F87" s="10" t="s">
        <v>22</v>
      </c>
      <c r="G87" s="34" t="s">
        <v>131</v>
      </c>
      <c r="H87" s="12" t="str">
        <f t="shared" si="4"/>
        <v>link</v>
      </c>
      <c r="I87" s="12" t="str">
        <f t="shared" si="5"/>
        <v>link</v>
      </c>
      <c r="J87" s="9" t="s">
        <v>129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0.5" customHeight="1">
      <c r="A88" s="9" t="s">
        <v>119</v>
      </c>
      <c r="B88" s="10">
        <v>40.0</v>
      </c>
      <c r="C88" s="10" t="s">
        <v>120</v>
      </c>
      <c r="D88" s="10" t="s">
        <v>33</v>
      </c>
      <c r="E88" s="13"/>
      <c r="F88" s="10" t="s">
        <v>22</v>
      </c>
      <c r="G88" s="34" t="s">
        <v>132</v>
      </c>
      <c r="H88" s="12" t="str">
        <f>hyperlink("http://www.helifreak.com/attachment.php?attachmentid=357765&amp;d=1350318010","link")</f>
        <v>link</v>
      </c>
      <c r="I88" s="12" t="str">
        <f>hyperlink("http://www.helifreak.com/attachment.php?attachmentid=357764&amp;d=1350318010","link")</f>
        <v>link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0.5" customHeight="1">
      <c r="A89" s="9" t="s">
        <v>133</v>
      </c>
      <c r="B89" s="10">
        <v>40.0</v>
      </c>
      <c r="C89" s="10" t="s">
        <v>120</v>
      </c>
      <c r="D89" s="10" t="s">
        <v>33</v>
      </c>
      <c r="E89" s="13"/>
      <c r="F89" s="10" t="s">
        <v>22</v>
      </c>
      <c r="G89" s="34" t="s">
        <v>132</v>
      </c>
      <c r="H89" s="12" t="str">
        <f>hyperlink("http://www.helifreak.com/attachment.php?attachmentid=372542&amp;d=1355081507","link")</f>
        <v>link</v>
      </c>
      <c r="I89" s="12" t="str">
        <f>hyperlink("http://www.helifreak.com/attachment.php?attachmentid=372541&amp;d=1355081507","link")</f>
        <v>link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0.5" customHeight="1">
      <c r="A90" s="9" t="s">
        <v>119</v>
      </c>
      <c r="B90" s="10">
        <v>60.0</v>
      </c>
      <c r="C90" s="10" t="s">
        <v>120</v>
      </c>
      <c r="D90" s="10" t="s">
        <v>33</v>
      </c>
      <c r="E90" s="13"/>
      <c r="F90" s="10" t="s">
        <v>22</v>
      </c>
      <c r="G90" s="34" t="s">
        <v>134</v>
      </c>
      <c r="H90" s="12" t="str">
        <f>hyperlink("http://www.helifreak.com/attachment.php?attachmentid=357767&amp;d=1350318039","link")</f>
        <v>link</v>
      </c>
      <c r="I90" s="12" t="str">
        <f>hyperlink("http://www.helifreak.com/attachment.php?attachmentid=357766&amp;d=1350318039","link")</f>
        <v>link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0.5" customHeight="1">
      <c r="A91" s="9" t="s">
        <v>119</v>
      </c>
      <c r="B91" s="10">
        <v>80.0</v>
      </c>
      <c r="C91" s="10" t="s">
        <v>120</v>
      </c>
      <c r="D91" s="10" t="s">
        <v>33</v>
      </c>
      <c r="E91" s="13"/>
      <c r="F91" s="10" t="s">
        <v>22</v>
      </c>
      <c r="G91" s="34" t="s">
        <v>135</v>
      </c>
      <c r="H91" s="12" t="str">
        <f>hyperlink("http://www.helifreak.com/attachment.php?attachmentid=357769&amp;d=1350318039","link")</f>
        <v>link</v>
      </c>
      <c r="I91" s="12" t="str">
        <f>hyperlink("http://www.helifreak.com/attachment.php?attachmentid=357768&amp;d=1350318039","link")</f>
        <v>link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0.5" customHeight="1">
      <c r="A92" s="4" t="s">
        <v>136</v>
      </c>
      <c r="B92" s="5"/>
      <c r="C92" s="5"/>
      <c r="D92" s="5"/>
      <c r="E92" s="5"/>
      <c r="F92" s="5"/>
      <c r="G92" s="6"/>
      <c r="H92" s="5"/>
      <c r="I92" s="5"/>
      <c r="J92" s="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0.5" customHeight="1">
      <c r="A93" s="9" t="s">
        <v>136</v>
      </c>
      <c r="B93" s="10">
        <v>6.0</v>
      </c>
      <c r="C93" s="10" t="s">
        <v>120</v>
      </c>
      <c r="D93" s="10" t="s">
        <v>33</v>
      </c>
      <c r="E93" s="13"/>
      <c r="F93" s="10" t="s">
        <v>15</v>
      </c>
      <c r="G93" s="34" t="s">
        <v>137</v>
      </c>
      <c r="H93" s="12" t="str">
        <f>hyperlink("http://www.helifreak.com/attachment.php?attachmentid=357761&amp;d=1350317978","link")</f>
        <v>link</v>
      </c>
      <c r="I93" s="12" t="str">
        <f>hyperlink("http://www.helifreak.com/attachment.php?attachmentid=357760&amp;d=1350317978","link")</f>
        <v>link</v>
      </c>
      <c r="J93" s="9" t="s">
        <v>138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0.5" customHeight="1">
      <c r="A94" s="9" t="s">
        <v>136</v>
      </c>
      <c r="B94" s="10">
        <v>10.0</v>
      </c>
      <c r="C94" s="10" t="s">
        <v>13</v>
      </c>
      <c r="D94" s="10" t="s">
        <v>33</v>
      </c>
      <c r="E94" s="10" t="s">
        <v>14</v>
      </c>
      <c r="F94" s="10" t="s">
        <v>15</v>
      </c>
      <c r="G94" s="11" t="s">
        <v>16</v>
      </c>
      <c r="H94" s="12" t="str">
        <f>hyperlink("http://www.rcgroups.com/forums/showatt.php?attachmentid=4560602&amp;d=1326830558","link")</f>
        <v>link</v>
      </c>
      <c r="I94" s="13"/>
      <c r="J94" s="9" t="s">
        <v>139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0.5" customHeight="1">
      <c r="A95" s="9" t="s">
        <v>136</v>
      </c>
      <c r="B95" s="10">
        <v>18.0</v>
      </c>
      <c r="C95" s="10" t="s">
        <v>13</v>
      </c>
      <c r="D95" s="10" t="s">
        <v>33</v>
      </c>
      <c r="E95" s="10" t="s">
        <v>14</v>
      </c>
      <c r="F95" s="10" t="s">
        <v>15</v>
      </c>
      <c r="G95" s="11" t="s">
        <v>16</v>
      </c>
      <c r="H95" s="12" t="str">
        <f>hyperlink("http://i.imgur.com/mCjAI.jpg","link")</f>
        <v>link</v>
      </c>
      <c r="I95" s="13"/>
      <c r="J95" s="11" t="s">
        <v>140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0.5" customHeight="1">
      <c r="A96" s="9" t="s">
        <v>136</v>
      </c>
      <c r="B96" s="10">
        <v>20.0</v>
      </c>
      <c r="C96" s="10" t="s">
        <v>13</v>
      </c>
      <c r="D96" s="10" t="s">
        <v>33</v>
      </c>
      <c r="E96" s="10" t="s">
        <v>14</v>
      </c>
      <c r="F96" s="10" t="s">
        <v>15</v>
      </c>
      <c r="G96" s="11" t="s">
        <v>16</v>
      </c>
      <c r="H96" s="13"/>
      <c r="I96" s="13"/>
      <c r="J96" s="2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0.5" customHeight="1">
      <c r="A97" s="9" t="s">
        <v>136</v>
      </c>
      <c r="B97" s="10">
        <v>30.0</v>
      </c>
      <c r="C97" s="10" t="s">
        <v>13</v>
      </c>
      <c r="D97" s="10" t="s">
        <v>33</v>
      </c>
      <c r="E97" s="10" t="s">
        <v>14</v>
      </c>
      <c r="F97" s="10" t="s">
        <v>15</v>
      </c>
      <c r="G97" s="11" t="s">
        <v>16</v>
      </c>
      <c r="H97" s="12" t="str">
        <f>hyperlink("http://0x.ca/sim/esc/RCTimer_CBS002/img_4507.jpg","link")</f>
        <v>link</v>
      </c>
      <c r="I97" s="12" t="str">
        <f>hyperlink("http://0x.ca/sim/esc/RCTimer_CBS002/img_4509.jpg","link")</f>
        <v>link</v>
      </c>
      <c r="J97" s="2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0.5" customHeight="1">
      <c r="A98" s="9" t="s">
        <v>136</v>
      </c>
      <c r="B98" s="10">
        <v>40.0</v>
      </c>
      <c r="C98" s="10" t="s">
        <v>13</v>
      </c>
      <c r="D98" s="10" t="s">
        <v>33</v>
      </c>
      <c r="E98" s="10" t="s">
        <v>14</v>
      </c>
      <c r="F98" s="10" t="s">
        <v>22</v>
      </c>
      <c r="G98" s="11" t="s">
        <v>16</v>
      </c>
      <c r="H98" s="12" t="str">
        <f>hyperlink("http://static.rcgroups.net/forums/attachments/3/0/1/1/1/9/a4669609-86-rctimer%2040A.jpg","link")</f>
        <v>link</v>
      </c>
      <c r="I98" s="12" t="str">
        <f>hyperlink("http://static.rcgroups.net/forums/attachments/3/0/1/1/1/9/a4669610-189-RCTIMER%2040A%20IPEAKA%2040A.jpg","link")</f>
        <v>link</v>
      </c>
      <c r="J98" s="9" t="s">
        <v>141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0.5" customHeight="1">
      <c r="A99" s="9" t="s">
        <v>136</v>
      </c>
      <c r="B99" s="10">
        <v>50.0</v>
      </c>
      <c r="C99" s="10" t="s">
        <v>13</v>
      </c>
      <c r="D99" s="10" t="s">
        <v>14</v>
      </c>
      <c r="E99" s="10" t="s">
        <v>17</v>
      </c>
      <c r="F99" s="10" t="s">
        <v>22</v>
      </c>
      <c r="G99" s="11" t="s">
        <v>69</v>
      </c>
      <c r="H99" s="12" t="str">
        <f>hyperlink("http://0x.ca/~sim/esc/RCTimer_CBS003/img_4689.jpg","link")</f>
        <v>link</v>
      </c>
      <c r="I99" s="12" t="str">
        <f>hyperlink("http://0x.ca/~sim/esc/RCTimer_CBS003/img_4691.jpg","link")</f>
        <v>link</v>
      </c>
      <c r="J99" s="9" t="s">
        <v>142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0.5" customHeight="1">
      <c r="A100" s="9" t="s">
        <v>136</v>
      </c>
      <c r="B100" s="10">
        <v>50.0</v>
      </c>
      <c r="C100" s="10" t="s">
        <v>13</v>
      </c>
      <c r="D100" s="10" t="s">
        <v>14</v>
      </c>
      <c r="E100" s="10" t="s">
        <v>17</v>
      </c>
      <c r="F100" s="10" t="s">
        <v>22</v>
      </c>
      <c r="G100" s="11" t="s">
        <v>75</v>
      </c>
      <c r="H100" s="35"/>
      <c r="I100" s="35"/>
      <c r="J100" s="9" t="s">
        <v>143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0.5" customHeight="1">
      <c r="A101" s="4" t="s">
        <v>144</v>
      </c>
      <c r="B101" s="5"/>
      <c r="C101" s="5"/>
      <c r="D101" s="5"/>
      <c r="E101" s="5"/>
      <c r="F101" s="5"/>
      <c r="G101" s="6"/>
      <c r="H101" s="5"/>
      <c r="I101" s="5"/>
      <c r="J101" s="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0.5" customHeight="1">
      <c r="A102" s="9" t="s">
        <v>144</v>
      </c>
      <c r="B102" s="10">
        <v>10.0</v>
      </c>
      <c r="C102" s="10" t="s">
        <v>13</v>
      </c>
      <c r="D102" s="10" t="s">
        <v>14</v>
      </c>
      <c r="E102" s="10" t="s">
        <v>17</v>
      </c>
      <c r="F102" s="10" t="s">
        <v>15</v>
      </c>
      <c r="G102" s="11" t="s">
        <v>18</v>
      </c>
      <c r="H102" s="12" t="str">
        <f>hyperlink("http://0x.ca/~sim/esc/HK_RB10A-BEC/img_5294.jpg","link")</f>
        <v>link</v>
      </c>
      <c r="I102" s="12" t="str">
        <f>hyperlink("http://0x.ca/~sim/esc/HK_RB10A-BEC/img_5299.jpg","link")</f>
        <v>link</v>
      </c>
      <c r="J102" s="9" t="s">
        <v>145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0.5" customHeight="1">
      <c r="A103" s="9" t="s">
        <v>144</v>
      </c>
      <c r="B103" s="10">
        <v>20.0</v>
      </c>
      <c r="C103" s="10" t="s">
        <v>13</v>
      </c>
      <c r="D103" s="10" t="s">
        <v>17</v>
      </c>
      <c r="E103" s="10" t="s">
        <v>17</v>
      </c>
      <c r="F103" s="10" t="s">
        <v>15</v>
      </c>
      <c r="G103" s="11" t="s">
        <v>18</v>
      </c>
      <c r="H103" s="12" t="str">
        <f>hyperlink("http://farm6.staticflickr.com/5322/9008887030_ac331e422e.jpg","link")</f>
        <v>link</v>
      </c>
      <c r="I103" s="1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0.5" customHeight="1">
      <c r="A104" s="9" t="s">
        <v>144</v>
      </c>
      <c r="B104" s="10">
        <v>25.0</v>
      </c>
      <c r="C104" s="10" t="s">
        <v>13</v>
      </c>
      <c r="D104" s="10" t="s">
        <v>33</v>
      </c>
      <c r="E104" s="10" t="s">
        <v>14</v>
      </c>
      <c r="F104" s="10" t="s">
        <v>15</v>
      </c>
      <c r="G104" s="11" t="s">
        <v>16</v>
      </c>
      <c r="H104" s="13"/>
      <c r="I104" s="13"/>
      <c r="J104" s="9" t="s">
        <v>146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0.5" customHeight="1">
      <c r="A105" s="9" t="s">
        <v>144</v>
      </c>
      <c r="B105" s="10">
        <v>30.0</v>
      </c>
      <c r="C105" s="10" t="s">
        <v>13</v>
      </c>
      <c r="D105" s="10" t="s">
        <v>33</v>
      </c>
      <c r="E105" s="10" t="s">
        <v>14</v>
      </c>
      <c r="F105" s="10" t="s">
        <v>15</v>
      </c>
      <c r="G105" s="11" t="s">
        <v>16</v>
      </c>
      <c r="H105" s="12" t="str">
        <f>hyperlink("http://0x.ca/sim/esc/HK_RB30-ESC/img_5321.jpg","link")</f>
        <v>link</v>
      </c>
      <c r="I105" s="12" t="str">
        <f>hyperlink("http://0x.ca/sim/esc/HK_RB30-ESC/","link")</f>
        <v>link</v>
      </c>
      <c r="J105" s="9" t="s">
        <v>146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0.5" customHeight="1">
      <c r="A106" s="9" t="s">
        <v>144</v>
      </c>
      <c r="B106" s="10">
        <v>30.0</v>
      </c>
      <c r="C106" s="10" t="s">
        <v>13</v>
      </c>
      <c r="D106" s="10" t="s">
        <v>33</v>
      </c>
      <c r="E106" s="10" t="s">
        <v>17</v>
      </c>
      <c r="F106" s="10" t="s">
        <v>15</v>
      </c>
      <c r="G106" s="11" t="s">
        <v>18</v>
      </c>
      <c r="H106" s="13"/>
      <c r="I106" s="13"/>
      <c r="J106" s="9" t="s">
        <v>147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0.5" customHeight="1">
      <c r="A107" s="9" t="s">
        <v>144</v>
      </c>
      <c r="B107" s="10">
        <v>50.0</v>
      </c>
      <c r="C107" s="10" t="s">
        <v>13</v>
      </c>
      <c r="D107" s="10" t="s">
        <v>14</v>
      </c>
      <c r="E107" s="10" t="s">
        <v>17</v>
      </c>
      <c r="F107" s="10" t="s">
        <v>22</v>
      </c>
      <c r="G107" s="11" t="s">
        <v>71</v>
      </c>
      <c r="H107" s="12" t="str">
        <f>hyperlink("http://0x.ca/sim/esc/HK_RB50A/img_7577.jpg","link")</f>
        <v>link</v>
      </c>
      <c r="I107" s="12" t="str">
        <f>hyperlink("http://0x.ca/sim/esc/HK_RB50A/","link")</f>
        <v>link</v>
      </c>
      <c r="J107" s="9" t="s">
        <v>148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0.5" customHeight="1">
      <c r="A108" s="9" t="s">
        <v>144</v>
      </c>
      <c r="B108" s="10">
        <v>70.0</v>
      </c>
      <c r="C108" s="10" t="s">
        <v>13</v>
      </c>
      <c r="D108" s="10" t="s">
        <v>14</v>
      </c>
      <c r="E108" s="10" t="s">
        <v>17</v>
      </c>
      <c r="F108" s="10" t="s">
        <v>22</v>
      </c>
      <c r="G108" s="11" t="s">
        <v>149</v>
      </c>
      <c r="H108" s="12" t="str">
        <f>hyperlink("http://0x.ca/sim/esc/HK_RB70A/img_4529.jpg","link")</f>
        <v>link</v>
      </c>
      <c r="I108" s="12" t="str">
        <f>hyperlink("http://0x.ca/sim/esc/HK_RB70A/","link")</f>
        <v>link</v>
      </c>
      <c r="J108" s="9" t="s">
        <v>31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0.5" customHeight="1">
      <c r="A109" s="9" t="s">
        <v>144</v>
      </c>
      <c r="B109" s="10">
        <v>70.0</v>
      </c>
      <c r="C109" s="10" t="s">
        <v>13</v>
      </c>
      <c r="D109" s="10" t="s">
        <v>14</v>
      </c>
      <c r="E109" s="10" t="s">
        <v>17</v>
      </c>
      <c r="F109" s="10" t="s">
        <v>22</v>
      </c>
      <c r="G109" s="11" t="s">
        <v>150</v>
      </c>
      <c r="H109" s="13"/>
      <c r="I109" s="13"/>
      <c r="J109" s="9" t="s">
        <v>151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0.5" customHeight="1">
      <c r="A110" s="9" t="s">
        <v>144</v>
      </c>
      <c r="B110" s="10">
        <v>125.0</v>
      </c>
      <c r="C110" s="10" t="s">
        <v>13</v>
      </c>
      <c r="D110" s="10" t="s">
        <v>14</v>
      </c>
      <c r="E110" s="10" t="s">
        <v>17</v>
      </c>
      <c r="F110" s="10" t="s">
        <v>22</v>
      </c>
      <c r="G110" s="11" t="s">
        <v>152</v>
      </c>
      <c r="H110" s="12" t="str">
        <f>hyperlink("http://0x.ca/sim/esc/HK_RB125A/img_0210.jpg","link")</f>
        <v>link</v>
      </c>
      <c r="I110" s="12" t="str">
        <f>hyperlink("http://0x.ca/sim/esc/HK_RB125A/img_0211.jpg","link")</f>
        <v>link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0.5" customHeight="1">
      <c r="A111" s="9" t="s">
        <v>144</v>
      </c>
      <c r="B111" s="10">
        <v>200.0</v>
      </c>
      <c r="C111" s="10" t="s">
        <v>13</v>
      </c>
      <c r="D111" s="10" t="s">
        <v>14</v>
      </c>
      <c r="E111" s="10" t="s">
        <v>17</v>
      </c>
      <c r="F111" s="10" t="s">
        <v>22</v>
      </c>
      <c r="G111" s="11" t="s">
        <v>152</v>
      </c>
      <c r="H111" s="12" t="str">
        <f>hyperlink("http://0x.ca/sim/esc/HK_RB200A-BTO/dscf8964.jpg","link")</f>
        <v>link</v>
      </c>
      <c r="I111" s="12" t="str">
        <f>hyperlink("http://0x.ca/sim/esc/HK_RB200A-BTO/","link")</f>
        <v>link</v>
      </c>
      <c r="J111" s="9" t="s">
        <v>153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0.5" customHeight="1">
      <c r="A112" s="9" t="s">
        <v>144</v>
      </c>
      <c r="B112" s="10">
        <v>200.0</v>
      </c>
      <c r="C112" s="10" t="s">
        <v>13</v>
      </c>
      <c r="D112" s="10" t="s">
        <v>14</v>
      </c>
      <c r="E112" s="10" t="s">
        <v>17</v>
      </c>
      <c r="F112" s="10" t="s">
        <v>22</v>
      </c>
      <c r="G112" s="11" t="s">
        <v>154</v>
      </c>
      <c r="H112" s="12" t="str">
        <f>hyperlink("http://0x.ca/sim/esc/HK_RB200A/logic1.jpg","link")</f>
        <v>link</v>
      </c>
      <c r="I112" s="12" t="str">
        <f>hyperlink("http://0x.ca/sim/esc/HK_RB200A/","link")</f>
        <v>link</v>
      </c>
      <c r="J112" s="9" t="s">
        <v>155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0.5" customHeight="1">
      <c r="A113" s="4" t="s">
        <v>156</v>
      </c>
      <c r="B113" s="5"/>
      <c r="C113" s="5"/>
      <c r="D113" s="5"/>
      <c r="E113" s="5"/>
      <c r="F113" s="5"/>
      <c r="G113" s="6"/>
      <c r="H113" s="5"/>
      <c r="I113" s="5"/>
      <c r="J113" s="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0.5" customHeight="1">
      <c r="A114" s="9" t="s">
        <v>156</v>
      </c>
      <c r="B114" s="10">
        <v>45.0</v>
      </c>
      <c r="C114" s="10" t="s">
        <v>13</v>
      </c>
      <c r="D114" s="10" t="s">
        <v>17</v>
      </c>
      <c r="E114" s="10" t="s">
        <v>17</v>
      </c>
      <c r="F114" s="10" t="s">
        <v>22</v>
      </c>
      <c r="G114" s="11" t="s">
        <v>36</v>
      </c>
      <c r="H114" s="12" t="str">
        <f>hyperlink("http://0x.ca/sim/esc/HK_TST-BEC45A/img_1742.jpg","link")</f>
        <v>link</v>
      </c>
      <c r="I114" s="12" t="str">
        <f>hyperlink("http://0x.ca/sim/esc/HK_TST-BEC45A/","link")</f>
        <v>link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0.5" customHeight="1">
      <c r="A115" s="9" t="s">
        <v>156</v>
      </c>
      <c r="B115" s="10">
        <v>55.0</v>
      </c>
      <c r="C115" s="10" t="s">
        <v>13</v>
      </c>
      <c r="D115" s="10" t="s">
        <v>17</v>
      </c>
      <c r="E115" s="10" t="s">
        <v>17</v>
      </c>
      <c r="F115" s="10" t="s">
        <v>22</v>
      </c>
      <c r="G115" s="11" t="s">
        <v>36</v>
      </c>
      <c r="H115" s="12" t="str">
        <f>hyperlink("http://static.rcgroups.net/forums/attachments/2/9/2/6/3/1/a5345928-240-Pinout.jpg","link")</f>
        <v>link</v>
      </c>
      <c r="I115" s="12" t="str">
        <f>hyperlink("http://static.rcgroups.net/forums/attachments/2/9/2/6/3/1/a5345927-5-All_N_FETs.jpg","link")</f>
        <v>link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0.5" customHeight="1">
      <c r="A116" s="9" t="s">
        <v>156</v>
      </c>
      <c r="B116" s="10">
        <v>70.0</v>
      </c>
      <c r="C116" s="10" t="s">
        <v>13</v>
      </c>
      <c r="D116" s="10" t="s">
        <v>14</v>
      </c>
      <c r="E116" s="10" t="s">
        <v>17</v>
      </c>
      <c r="F116" s="10" t="s">
        <v>22</v>
      </c>
      <c r="G116" s="11" t="s">
        <v>36</v>
      </c>
      <c r="H116" s="13"/>
      <c r="I116" s="1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0.5" customHeight="1">
      <c r="A117" s="4" t="s">
        <v>157</v>
      </c>
      <c r="B117" s="5"/>
      <c r="C117" s="5"/>
      <c r="D117" s="5"/>
      <c r="E117" s="5"/>
      <c r="F117" s="5"/>
      <c r="G117" s="6"/>
      <c r="H117" s="5"/>
      <c r="I117" s="5"/>
      <c r="J117" s="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0.5" customHeight="1">
      <c r="A118" s="9" t="s">
        <v>157</v>
      </c>
      <c r="B118" s="10">
        <v>25.0</v>
      </c>
      <c r="C118" s="10" t="s">
        <v>13</v>
      </c>
      <c r="D118" s="10" t="s">
        <v>17</v>
      </c>
      <c r="E118" s="10" t="s">
        <v>17</v>
      </c>
      <c r="F118" s="10" t="s">
        <v>22</v>
      </c>
      <c r="G118" s="11" t="s">
        <v>36</v>
      </c>
      <c r="H118" s="12" t="str">
        <f>hyperlink("http://static.rcgroups.net/forums/attachments/2/4/0/8/5/a4583135-62-sP1030311.jpg","link")</f>
        <v>link</v>
      </c>
      <c r="I118" s="12" t="str">
        <f>hyperlink("http://static.rcgroups.net/forums/attachments/2/4/0/8/5/a4583136-115-sP1030312.jpg","link")</f>
        <v>link</v>
      </c>
      <c r="J118" s="9" t="s">
        <v>158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0.5" customHeight="1">
      <c r="A119" s="4" t="s">
        <v>159</v>
      </c>
      <c r="B119" s="5"/>
      <c r="C119" s="5"/>
      <c r="D119" s="5"/>
      <c r="E119" s="5"/>
      <c r="F119" s="5"/>
      <c r="G119" s="6"/>
      <c r="H119" s="5"/>
      <c r="I119" s="5"/>
      <c r="J119" s="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0.5" customHeight="1">
      <c r="A120" s="9" t="s">
        <v>159</v>
      </c>
      <c r="B120" s="10">
        <v>18.0</v>
      </c>
      <c r="C120" s="10" t="s">
        <v>13</v>
      </c>
      <c r="D120" s="10" t="s">
        <v>33</v>
      </c>
      <c r="E120" s="10" t="s">
        <v>14</v>
      </c>
      <c r="F120" s="10" t="s">
        <v>15</v>
      </c>
      <c r="G120" s="22"/>
      <c r="H120" s="12" t="str">
        <f>hyperlink("http://static.rcgroups.net/forums/attachments/6/9/7/2/4/a4568352-66-turborix%2018a3.JPG","link")</f>
        <v>link</v>
      </c>
      <c r="I120" s="12" t="str">
        <f>hyperlink("http://static.rcgroups.net/forums/attachments/6/9/7/2/4/a4568350-160-turborix%2018a2.JPG","link")</f>
        <v>link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0.5" customHeight="1">
      <c r="A121" s="4" t="s">
        <v>160</v>
      </c>
      <c r="B121" s="5"/>
      <c r="C121" s="36"/>
      <c r="D121" s="5"/>
      <c r="E121" s="5"/>
      <c r="F121" s="5"/>
      <c r="G121" s="6"/>
      <c r="H121" s="5"/>
      <c r="I121" s="5"/>
      <c r="J121" s="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0.5" customHeight="1">
      <c r="A122" s="9" t="s">
        <v>160</v>
      </c>
      <c r="B122" s="10">
        <v>30.0</v>
      </c>
      <c r="C122" s="10" t="s">
        <v>13</v>
      </c>
      <c r="D122" s="10" t="s">
        <v>33</v>
      </c>
      <c r="E122" s="10" t="s">
        <v>14</v>
      </c>
      <c r="F122" s="10" t="s">
        <v>15</v>
      </c>
      <c r="G122" s="11" t="s">
        <v>16</v>
      </c>
      <c r="H122" s="12" t="str">
        <f>hyperlink("http://static.rcgroups.net/forums/attachments/3/7/3/8/a4569184-199-DSCN1505.jpg","link")</f>
        <v>link</v>
      </c>
      <c r="I122" s="12" t="str">
        <f>hyperlink("http://static.rcgroups.net/forums/attachments/3/7/3/8/a4576322-204-30%20and%2018.jpg","link")</f>
        <v>link</v>
      </c>
      <c r="J122" s="9" t="s">
        <v>161</v>
      </c>
    </row>
    <row r="123" ht="10.5" customHeight="1">
      <c r="A123" s="4" t="s">
        <v>162</v>
      </c>
      <c r="B123" s="5"/>
      <c r="C123" s="5"/>
      <c r="D123" s="5"/>
      <c r="E123" s="5"/>
      <c r="F123" s="5"/>
      <c r="G123" s="6"/>
      <c r="H123" s="5"/>
      <c r="I123" s="5"/>
      <c r="J123" s="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0.5" customHeight="1">
      <c r="A124" s="9" t="s">
        <v>163</v>
      </c>
      <c r="B124" s="10">
        <v>12.0</v>
      </c>
      <c r="C124" s="10" t="s">
        <v>13</v>
      </c>
      <c r="D124" s="10" t="s">
        <v>17</v>
      </c>
      <c r="E124" s="10" t="s">
        <v>17</v>
      </c>
      <c r="F124" s="10" t="s">
        <v>22</v>
      </c>
      <c r="G124" s="11" t="s">
        <v>39</v>
      </c>
      <c r="H124" s="12" t="str">
        <f>hyperlink("http://vk1od.net/rc/ESC/ZtwA12/index.htm","link")</f>
        <v>link</v>
      </c>
      <c r="I124" s="13"/>
      <c r="J124" s="9" t="s">
        <v>53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0.5" customHeight="1">
      <c r="A125" s="9" t="s">
        <v>164</v>
      </c>
      <c r="B125" s="10">
        <v>20.0</v>
      </c>
      <c r="C125" s="10" t="s">
        <v>13</v>
      </c>
      <c r="D125" s="10" t="s">
        <v>17</v>
      </c>
      <c r="E125" s="10" t="s">
        <v>17</v>
      </c>
      <c r="F125" s="10" t="s">
        <v>22</v>
      </c>
      <c r="G125" s="11" t="s">
        <v>39</v>
      </c>
      <c r="H125" s="12" t="str">
        <f>hyperlink("http://0x.ca/sim/esc/AL-ZTW_20A/img_2032.jpg","link")</f>
        <v>link</v>
      </c>
      <c r="I125" s="12" t="str">
        <f>hyperlink("http://0x.ca/sim/esc/AL-ZTW_20A/img_2044.jpg","link")</f>
        <v>link</v>
      </c>
      <c r="J125" s="9" t="s">
        <v>53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0.5" customHeight="1">
      <c r="A126" s="9" t="s">
        <v>165</v>
      </c>
      <c r="B126" s="10">
        <v>30.0</v>
      </c>
      <c r="C126" s="10" t="s">
        <v>13</v>
      </c>
      <c r="D126" s="10" t="s">
        <v>17</v>
      </c>
      <c r="E126" s="10" t="s">
        <v>17</v>
      </c>
      <c r="F126" s="10" t="s">
        <v>22</v>
      </c>
      <c r="G126" s="11" t="s">
        <v>39</v>
      </c>
      <c r="H126" s="12" t="str">
        <f>hyperlink("http://static.rcgroups.net/forums/attachments/1/5/0/3/4/a4584610-10-P1010621.jpg","link")</f>
        <v>link</v>
      </c>
      <c r="I126" s="12" t="str">
        <f>hyperlink("http://static.rcgroups.net/forums/attachments/1/5/0/3/4/a4584609-99-P1010614.jpg","link")</f>
        <v>link</v>
      </c>
      <c r="J126" s="9" t="s">
        <v>53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0.5" customHeight="1">
      <c r="A127" s="4" t="s">
        <v>166</v>
      </c>
      <c r="B127" s="5"/>
      <c r="C127" s="5"/>
      <c r="D127" s="5"/>
      <c r="E127" s="5"/>
      <c r="F127" s="5"/>
      <c r="G127" s="6"/>
      <c r="H127" s="5"/>
      <c r="I127" s="5"/>
      <c r="J127" s="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0.5" customHeight="1">
      <c r="A128" s="9" t="s">
        <v>167</v>
      </c>
      <c r="B128" s="10">
        <v>35.0</v>
      </c>
      <c r="C128" s="10" t="s">
        <v>13</v>
      </c>
      <c r="D128" s="10" t="s">
        <v>14</v>
      </c>
      <c r="E128" s="10" t="s">
        <v>17</v>
      </c>
      <c r="F128" s="10" t="s">
        <v>22</v>
      </c>
      <c r="G128" s="22"/>
      <c r="H128" s="12" t="str">
        <f>hyperlink("http://static.rcgroups.net/forums/attachments/3/6/0/7/2/9/a4573559-60-P1010338.jpg","link")</f>
        <v>link</v>
      </c>
      <c r="I128" s="12" t="str">
        <f>hyperlink("http://static.rcgroups.net/forums/attachments/3/6/0/7/2/9/a4573560-84-P1010337.jpg","link")</f>
        <v>link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0.5" customHeight="1">
      <c r="A129" s="9" t="s">
        <v>168</v>
      </c>
      <c r="B129" s="10">
        <v>45.0</v>
      </c>
      <c r="C129" s="10" t="s">
        <v>13</v>
      </c>
      <c r="D129" s="13"/>
      <c r="E129" s="13"/>
      <c r="F129" s="10" t="s">
        <v>22</v>
      </c>
      <c r="G129" s="11" t="s">
        <v>54</v>
      </c>
      <c r="H129" s="13"/>
      <c r="I129" s="13"/>
      <c r="J129" s="21" t="str">
        <f>hyperlink("http://www.rcgroups.com/forums/showpost.php?p=23786910&amp;postcount=6842","info")</f>
        <v>info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0.5" customHeight="1">
      <c r="A130" s="9" t="s">
        <v>169</v>
      </c>
      <c r="B130" s="10">
        <v>50.0</v>
      </c>
      <c r="C130" s="10" t="s">
        <v>13</v>
      </c>
      <c r="D130" s="10" t="s">
        <v>17</v>
      </c>
      <c r="E130" s="10" t="s">
        <v>17</v>
      </c>
      <c r="F130" s="10" t="s">
        <v>22</v>
      </c>
      <c r="G130" s="11" t="s">
        <v>36</v>
      </c>
      <c r="H130" s="13"/>
      <c r="I130" s="1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0.5" customHeight="1">
      <c r="A131" s="4" t="s">
        <v>170</v>
      </c>
      <c r="B131" s="5"/>
      <c r="C131" s="5"/>
      <c r="D131" s="5"/>
      <c r="E131" s="5"/>
      <c r="F131" s="5"/>
      <c r="G131" s="6"/>
      <c r="H131" s="5"/>
      <c r="I131" s="5"/>
      <c r="J131" s="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0.5" customHeight="1">
      <c r="A132" s="9" t="s">
        <v>171</v>
      </c>
      <c r="B132" s="10">
        <v>20.0</v>
      </c>
      <c r="C132" s="10" t="s">
        <v>13</v>
      </c>
      <c r="D132" s="10" t="s">
        <v>33</v>
      </c>
      <c r="E132" s="10" t="s">
        <v>17</v>
      </c>
      <c r="F132" s="10" t="s">
        <v>22</v>
      </c>
      <c r="G132" s="37" t="s">
        <v>172</v>
      </c>
      <c r="H132" s="13"/>
      <c r="I132" s="1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0.5" customHeight="1">
      <c r="A133" s="9" t="s">
        <v>173</v>
      </c>
      <c r="B133" s="10">
        <v>30.0</v>
      </c>
      <c r="C133" s="10" t="s">
        <v>13</v>
      </c>
      <c r="D133" s="10" t="s">
        <v>33</v>
      </c>
      <c r="E133" s="10" t="s">
        <v>17</v>
      </c>
      <c r="F133" s="10" t="s">
        <v>22</v>
      </c>
      <c r="G133" s="37" t="s">
        <v>172</v>
      </c>
      <c r="H133" s="13"/>
      <c r="I133" s="1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0.5" customHeight="1">
      <c r="A134" s="9" t="s">
        <v>174</v>
      </c>
      <c r="B134" s="10">
        <v>40.0</v>
      </c>
      <c r="C134" s="10" t="s">
        <v>13</v>
      </c>
      <c r="D134" s="10" t="s">
        <v>33</v>
      </c>
      <c r="E134" s="10" t="s">
        <v>17</v>
      </c>
      <c r="F134" s="10" t="s">
        <v>22</v>
      </c>
      <c r="G134" s="37" t="s">
        <v>172</v>
      </c>
      <c r="H134" s="13"/>
      <c r="I134" s="13"/>
      <c r="J134" s="9" t="s">
        <v>175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0.5" customHeight="1">
      <c r="A135" s="16">
        <v>30030.0</v>
      </c>
      <c r="B135" s="10">
        <v>30.0</v>
      </c>
      <c r="C135" s="10" t="s">
        <v>13</v>
      </c>
      <c r="D135" s="10" t="s">
        <v>33</v>
      </c>
      <c r="E135" s="10" t="s">
        <v>14</v>
      </c>
      <c r="F135" s="10" t="s">
        <v>15</v>
      </c>
      <c r="G135" s="11" t="s">
        <v>16</v>
      </c>
      <c r="H135" s="12" t="str">
        <f>hyperlink("http://www.rcgroups.com/forums/showatt.php?attachmentid=4652985&amp;d=1329889033","link")</f>
        <v>link</v>
      </c>
      <c r="I135" s="1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0.5" customHeight="1">
      <c r="A136" s="4" t="s">
        <v>176</v>
      </c>
      <c r="B136" s="5"/>
      <c r="C136" s="5"/>
      <c r="D136" s="5"/>
      <c r="E136" s="5"/>
      <c r="F136" s="5"/>
      <c r="G136" s="6"/>
      <c r="H136" s="5"/>
      <c r="I136" s="5"/>
      <c r="J136" s="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0.5" customHeight="1">
      <c r="A137" s="9" t="s">
        <v>177</v>
      </c>
      <c r="B137" s="10">
        <v>10.0</v>
      </c>
      <c r="C137" s="10" t="s">
        <v>13</v>
      </c>
      <c r="D137" s="10" t="s">
        <v>14</v>
      </c>
      <c r="E137" s="10" t="s">
        <v>17</v>
      </c>
      <c r="F137" s="10" t="s">
        <v>15</v>
      </c>
      <c r="G137" s="11" t="s">
        <v>18</v>
      </c>
      <c r="H137" s="12" t="str">
        <f>hyperlink("http://www.rcgroups.com/forums/showatt.php?attachmentid=4674702&amp;d=1330594505","link")</f>
        <v>link</v>
      </c>
      <c r="I137" s="12" t="str">
        <f>hyperlink("http://www.rcgroups.com/forums/showatt.php?attachmentid=4672945&amp;d=1330542341","link")</f>
        <v>link</v>
      </c>
      <c r="J137" s="21" t="str">
        <f>hyperlink("http://www.rcgroups.com/forums/showpost.php?p=20912097&amp;postcount=2407","info")</f>
        <v>info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0.5" customHeight="1">
      <c r="A138" s="9" t="s">
        <v>177</v>
      </c>
      <c r="B138" s="10">
        <v>18.0</v>
      </c>
      <c r="C138" s="10" t="s">
        <v>13</v>
      </c>
      <c r="D138" s="10" t="s">
        <v>14</v>
      </c>
      <c r="E138" s="10" t="s">
        <v>17</v>
      </c>
      <c r="F138" s="10" t="s">
        <v>15</v>
      </c>
      <c r="G138" s="11" t="s">
        <v>18</v>
      </c>
      <c r="H138" s="12" t="str">
        <f>hyperlink("http://static.rcgroups.net/forums/attachments/3/4/0/0/5/0/a4578223-4-_MG_2299edited.jpeg","link")</f>
        <v>link</v>
      </c>
      <c r="I138" s="1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0.5" customHeight="1">
      <c r="A139" s="4" t="s">
        <v>178</v>
      </c>
      <c r="B139" s="5"/>
      <c r="C139" s="5"/>
      <c r="D139" s="5"/>
      <c r="E139" s="5"/>
      <c r="F139" s="5"/>
      <c r="G139" s="6"/>
      <c r="H139" s="5"/>
      <c r="I139" s="5"/>
      <c r="J139" s="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0.5" customHeight="1">
      <c r="A140" s="9" t="s">
        <v>179</v>
      </c>
      <c r="B140" s="10">
        <v>18.0</v>
      </c>
      <c r="C140" s="10" t="s">
        <v>13</v>
      </c>
      <c r="D140" s="10" t="s">
        <v>33</v>
      </c>
      <c r="E140" s="10" t="s">
        <v>17</v>
      </c>
      <c r="F140" s="10" t="s">
        <v>15</v>
      </c>
      <c r="G140" s="11" t="s">
        <v>79</v>
      </c>
      <c r="H140" s="13"/>
      <c r="I140" s="1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0.5" customHeight="1">
      <c r="A141" s="9" t="s">
        <v>179</v>
      </c>
      <c r="B141" s="10">
        <v>25.0</v>
      </c>
      <c r="C141" s="10" t="s">
        <v>13</v>
      </c>
      <c r="D141" s="10" t="s">
        <v>33</v>
      </c>
      <c r="E141" s="10" t="s">
        <v>17</v>
      </c>
      <c r="F141" s="10" t="s">
        <v>15</v>
      </c>
      <c r="G141" s="11" t="s">
        <v>79</v>
      </c>
      <c r="H141" s="13"/>
      <c r="I141" s="1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0.5" customHeight="1">
      <c r="A142" s="4" t="s">
        <v>180</v>
      </c>
      <c r="B142" s="5"/>
      <c r="C142" s="5"/>
      <c r="D142" s="5"/>
      <c r="E142" s="5"/>
      <c r="F142" s="5"/>
      <c r="G142" s="6"/>
      <c r="H142" s="5"/>
      <c r="I142" s="5"/>
      <c r="J142" s="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0.5" customHeight="1">
      <c r="A143" s="9" t="s">
        <v>179</v>
      </c>
      <c r="B143" s="10">
        <v>18.0</v>
      </c>
      <c r="C143" s="10" t="s">
        <v>13</v>
      </c>
      <c r="D143" s="10" t="s">
        <v>33</v>
      </c>
      <c r="E143" s="10" t="s">
        <v>14</v>
      </c>
      <c r="F143" s="10" t="s">
        <v>15</v>
      </c>
      <c r="G143" s="11" t="s">
        <v>16</v>
      </c>
      <c r="H143" s="13"/>
      <c r="I143" s="1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0.5" customHeight="1">
      <c r="A144" s="9" t="s">
        <v>179</v>
      </c>
      <c r="B144" s="10">
        <v>25.0</v>
      </c>
      <c r="C144" s="10" t="s">
        <v>13</v>
      </c>
      <c r="D144" s="10" t="s">
        <v>33</v>
      </c>
      <c r="E144" s="10" t="s">
        <v>14</v>
      </c>
      <c r="F144" s="10" t="s">
        <v>15</v>
      </c>
      <c r="G144" s="11" t="s">
        <v>16</v>
      </c>
      <c r="H144" s="13"/>
      <c r="I144" s="1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0.5" customHeight="1">
      <c r="A145" s="4" t="s">
        <v>181</v>
      </c>
      <c r="B145" s="5"/>
      <c r="C145" s="5"/>
      <c r="D145" s="5"/>
      <c r="E145" s="5"/>
      <c r="F145" s="5"/>
      <c r="G145" s="6"/>
      <c r="H145" s="5"/>
      <c r="I145" s="5"/>
      <c r="J145" s="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0.5" customHeight="1">
      <c r="A146" s="9" t="s">
        <v>182</v>
      </c>
      <c r="B146" s="10">
        <v>30.0</v>
      </c>
      <c r="C146" s="10" t="s">
        <v>13</v>
      </c>
      <c r="D146" s="10" t="s">
        <v>33</v>
      </c>
      <c r="E146" s="10" t="s">
        <v>14</v>
      </c>
      <c r="F146" s="10" t="s">
        <v>15</v>
      </c>
      <c r="G146" s="11" t="s">
        <v>16</v>
      </c>
      <c r="H146" s="12" t="str">
        <f>hyperlink("http://i.imgur.com/VIgbU.jpg","link")</f>
        <v>link</v>
      </c>
      <c r="I146" s="12" t="str">
        <f>hyperlink("http://i.imgur.com/nbgHa.jpg","link")</f>
        <v>link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0.5" customHeight="1">
      <c r="A147" s="9" t="s">
        <v>182</v>
      </c>
      <c r="B147" s="10">
        <v>40.0</v>
      </c>
      <c r="C147" s="10" t="s">
        <v>13</v>
      </c>
      <c r="D147" s="10" t="s">
        <v>33</v>
      </c>
      <c r="E147" s="13"/>
      <c r="F147" s="13"/>
      <c r="G147" s="11" t="s">
        <v>23</v>
      </c>
      <c r="H147" s="12" t="str">
        <f>hyperlink("http://static.rcgroups.net/forums/attachments/4/1/3/7/7/2/a5022393-69-20120719_212605.jpg","link")</f>
        <v>link</v>
      </c>
      <c r="I147" s="12" t="str">
        <f>hyperlink("http://static.rcgroups.net/forums/attachments/4/1/3/7/7/2/a5022394-22-dsases.jpg","link")</f>
        <v>link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0.5" customHeight="1">
      <c r="A148" s="4" t="s">
        <v>183</v>
      </c>
      <c r="B148" s="5"/>
      <c r="C148" s="5"/>
      <c r="D148" s="5"/>
      <c r="E148" s="5"/>
      <c r="F148" s="5"/>
      <c r="G148" s="6"/>
      <c r="H148" s="5"/>
      <c r="I148" s="5"/>
      <c r="J148" s="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0.5" customHeight="1">
      <c r="A149" s="9" t="s">
        <v>184</v>
      </c>
      <c r="B149" s="10">
        <v>10.0</v>
      </c>
      <c r="C149" s="10" t="s">
        <v>13</v>
      </c>
      <c r="D149" s="10" t="s">
        <v>14</v>
      </c>
      <c r="E149" s="10" t="s">
        <v>17</v>
      </c>
      <c r="F149" s="10" t="s">
        <v>15</v>
      </c>
      <c r="G149" s="11" t="s">
        <v>18</v>
      </c>
      <c r="H149" s="13"/>
      <c r="I149" s="12" t="str">
        <f>hyperlink("http://0x.ca/~sim/esc/HK_BIRD-10A/img_5325.jpg","link")</f>
        <v>link</v>
      </c>
      <c r="J149" s="9" t="s">
        <v>145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0.5" customHeight="1">
      <c r="A150" s="9" t="s">
        <v>184</v>
      </c>
      <c r="B150" s="10">
        <v>30.0</v>
      </c>
      <c r="C150" s="10" t="s">
        <v>13</v>
      </c>
      <c r="D150" s="10" t="s">
        <v>14</v>
      </c>
      <c r="E150" s="10" t="s">
        <v>17</v>
      </c>
      <c r="F150" s="10" t="s">
        <v>15</v>
      </c>
      <c r="G150" s="11" t="s">
        <v>18</v>
      </c>
      <c r="H150" s="12" t="str">
        <f>hyperlink("http://1.bp.blogspot.com/-1Q2ZcX4Sqqw/T5jNXtTde_I/AAAAAAAAAG0/LFcAjy3PVgo/s1600/Birdie30ATOP.JPG","link")</f>
        <v>link</v>
      </c>
      <c r="I150" s="12" t="str">
        <f>hyperlink("http://2.bp.blogspot.com/-x68XmOBpvUE/T5jNT5mMwrI/AAAAAAAAAGs/H0xM0UUmiF8/s1600/Birdie30ABOT.JPG","link")</f>
        <v>link</v>
      </c>
      <c r="J150" s="21" t="str">
        <f>hyperlink("http://chriscircuits.blogspot.no/2012/04/flashing-hobbyking-birdie-30a-esc.html","tested")</f>
        <v>tested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0.5" customHeight="1">
      <c r="A151" s="9" t="s">
        <v>184</v>
      </c>
      <c r="B151" s="10">
        <v>70.0</v>
      </c>
      <c r="C151" s="10" t="s">
        <v>13</v>
      </c>
      <c r="D151" s="10" t="s">
        <v>14</v>
      </c>
      <c r="E151" s="10" t="s">
        <v>17</v>
      </c>
      <c r="F151" s="10" t="s">
        <v>22</v>
      </c>
      <c r="G151" s="11" t="s">
        <v>154</v>
      </c>
      <c r="H151" s="13"/>
      <c r="I151" s="13"/>
      <c r="J151" s="9" t="s">
        <v>185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0.5" customHeight="1">
      <c r="A152" s="9" t="s">
        <v>184</v>
      </c>
      <c r="B152" s="10">
        <v>70.0</v>
      </c>
      <c r="C152" s="10" t="s">
        <v>13</v>
      </c>
      <c r="D152" s="10" t="s">
        <v>14</v>
      </c>
      <c r="E152" s="10" t="s">
        <v>17</v>
      </c>
      <c r="F152" s="10" t="s">
        <v>22</v>
      </c>
      <c r="G152" s="11" t="s">
        <v>69</v>
      </c>
      <c r="H152" s="13"/>
      <c r="I152" s="13"/>
      <c r="J152" s="9" t="s">
        <v>186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0.5" customHeight="1">
      <c r="A153" s="4" t="s">
        <v>187</v>
      </c>
      <c r="B153" s="5"/>
      <c r="C153" s="5"/>
      <c r="D153" s="5"/>
      <c r="E153" s="5"/>
      <c r="F153" s="5"/>
      <c r="G153" s="6"/>
      <c r="H153" s="5"/>
      <c r="I153" s="5"/>
      <c r="J153" s="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0.5" customHeight="1">
      <c r="A154" s="9" t="s">
        <v>187</v>
      </c>
      <c r="B154" s="10">
        <v>30.0</v>
      </c>
      <c r="C154" s="10" t="s">
        <v>13</v>
      </c>
      <c r="D154" s="10" t="s">
        <v>14</v>
      </c>
      <c r="E154" s="10" t="s">
        <v>17</v>
      </c>
      <c r="F154" s="13"/>
      <c r="G154" s="11" t="s">
        <v>18</v>
      </c>
      <c r="H154" s="12" t="str">
        <f>hyperlink("http://0x.ca/~sim/esc/dragonsky_30a_esc/nozSg.jpg","link")</f>
        <v>link</v>
      </c>
      <c r="I154" s="1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0.5" customHeight="1">
      <c r="A155" s="9" t="s">
        <v>187</v>
      </c>
      <c r="B155" s="10">
        <v>60.0</v>
      </c>
      <c r="C155" s="10" t="s">
        <v>13</v>
      </c>
      <c r="D155" s="10" t="s">
        <v>14</v>
      </c>
      <c r="E155" s="10" t="s">
        <v>17</v>
      </c>
      <c r="F155" s="10" t="s">
        <v>22</v>
      </c>
      <c r="G155" s="11" t="s">
        <v>69</v>
      </c>
      <c r="H155" s="13"/>
      <c r="I155" s="1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0.5" customHeight="1">
      <c r="A156" s="4" t="s">
        <v>188</v>
      </c>
      <c r="B156" s="5"/>
      <c r="C156" s="5"/>
      <c r="D156" s="5"/>
      <c r="E156" s="5"/>
      <c r="F156" s="5"/>
      <c r="G156" s="6"/>
      <c r="H156" s="5"/>
      <c r="I156" s="5"/>
      <c r="J156" s="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0.5" customHeight="1">
      <c r="A157" s="9" t="s">
        <v>189</v>
      </c>
      <c r="B157" s="10">
        <v>20.0</v>
      </c>
      <c r="C157" s="10" t="s">
        <v>13</v>
      </c>
      <c r="D157" s="10" t="s">
        <v>14</v>
      </c>
      <c r="E157" s="10" t="s">
        <v>17</v>
      </c>
      <c r="F157" s="10" t="s">
        <v>15</v>
      </c>
      <c r="G157" s="11" t="s">
        <v>18</v>
      </c>
      <c r="H157" s="12" t="str">
        <f>hyperlink("http://0x.ca/sim/esc/Roxxy_720/foto2.jpg","link")</f>
        <v>link</v>
      </c>
      <c r="I157" s="12" t="str">
        <f>hyperlink("http://0x.ca/sim/esc/Roxxy_720/","link")</f>
        <v>link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0.5" customHeight="1">
      <c r="A158" s="9" t="s">
        <v>190</v>
      </c>
      <c r="B158" s="10">
        <v>30.0</v>
      </c>
      <c r="C158" s="10" t="s">
        <v>13</v>
      </c>
      <c r="D158" s="10" t="s">
        <v>14</v>
      </c>
      <c r="E158" s="10" t="s">
        <v>17</v>
      </c>
      <c r="F158" s="10" t="s">
        <v>22</v>
      </c>
      <c r="G158" s="11" t="s">
        <v>69</v>
      </c>
      <c r="H158" s="12" t="str">
        <f>hyperlink("http://static.rcgroups.net/forums/attachments/6/6/3/4/9/a5288361-154-Foto%202.jpg","link")</f>
        <v>link</v>
      </c>
      <c r="I158" s="12" t="str">
        <f>hyperlink("http://static.rcgroups.net/forums/attachments/6/6/3/4/9/a5288360-121-Foto%201.jpg","link")</f>
        <v>link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0.5" customHeight="1">
      <c r="A159" s="9" t="s">
        <v>190</v>
      </c>
      <c r="B159" s="10">
        <v>30.0</v>
      </c>
      <c r="C159" s="10" t="s">
        <v>13</v>
      </c>
      <c r="D159" s="10" t="s">
        <v>14</v>
      </c>
      <c r="E159" s="10" t="s">
        <v>17</v>
      </c>
      <c r="F159" s="10" t="s">
        <v>22</v>
      </c>
      <c r="G159" s="11" t="s">
        <v>71</v>
      </c>
      <c r="H159" s="12" t="str">
        <f>hyperlink("http://static.rcgroups.net/forums/attachments/3/9/9/6/6/a5599396-234-robbe_roxxy.jpg","link")</f>
        <v>link</v>
      </c>
      <c r="I159" s="13"/>
      <c r="J159" s="9" t="s">
        <v>191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0.5" customHeight="1">
      <c r="A160" s="4" t="s">
        <v>192</v>
      </c>
      <c r="B160" s="5"/>
      <c r="C160" s="5"/>
      <c r="D160" s="5"/>
      <c r="E160" s="5"/>
      <c r="F160" s="5"/>
      <c r="G160" s="6"/>
      <c r="H160" s="5"/>
      <c r="I160" s="5"/>
      <c r="J160" s="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0.5" customHeight="1">
      <c r="A161" s="9" t="s">
        <v>193</v>
      </c>
      <c r="B161" s="10">
        <v>40.0</v>
      </c>
      <c r="C161" s="10" t="s">
        <v>13</v>
      </c>
      <c r="D161" s="10" t="s">
        <v>14</v>
      </c>
      <c r="E161" s="10" t="s">
        <v>17</v>
      </c>
      <c r="F161" s="10" t="s">
        <v>22</v>
      </c>
      <c r="G161" s="11" t="s">
        <v>94</v>
      </c>
      <c r="H161" s="12" t="str">
        <f>hyperlink("http://i.imgur.com/KSCto.jpg","link")</f>
        <v>link</v>
      </c>
      <c r="I161" s="13"/>
      <c r="J161" s="9" t="s">
        <v>194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0.5" customHeight="1">
      <c r="A162" s="4" t="s">
        <v>195</v>
      </c>
      <c r="B162" s="5"/>
      <c r="C162" s="5"/>
      <c r="D162" s="5"/>
      <c r="E162" s="5"/>
      <c r="F162" s="5"/>
      <c r="G162" s="6"/>
      <c r="H162" s="5"/>
      <c r="I162" s="5"/>
      <c r="J162" s="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0.5" customHeight="1">
      <c r="A163" s="9" t="s">
        <v>196</v>
      </c>
      <c r="B163" s="10">
        <v>30.0</v>
      </c>
      <c r="C163" s="10" t="s">
        <v>13</v>
      </c>
      <c r="D163" s="10" t="s">
        <v>14</v>
      </c>
      <c r="E163" s="10" t="s">
        <v>14</v>
      </c>
      <c r="F163" s="10" t="s">
        <v>22</v>
      </c>
      <c r="G163" s="11" t="s">
        <v>16</v>
      </c>
      <c r="H163" s="12" t="str">
        <f>hyperlink("http://0x.ca/sim/esc/Hobbypower_30A/front.jpg","link")</f>
        <v>link</v>
      </c>
      <c r="I163" s="12" t="str">
        <f>hyperlink("http://0x.ca/sim/esc/Hobbypower_30A/","link")</f>
        <v>link</v>
      </c>
      <c r="J163" s="3"/>
    </row>
    <row r="164" ht="10.5" customHeight="1">
      <c r="A164" s="29" t="s">
        <v>197</v>
      </c>
      <c r="B164" s="30"/>
      <c r="C164" s="38"/>
      <c r="D164" s="30"/>
      <c r="E164" s="30"/>
      <c r="F164" s="30"/>
      <c r="G164" s="39"/>
      <c r="H164" s="30"/>
      <c r="I164" s="30"/>
      <c r="J164" s="40"/>
    </row>
    <row r="165" ht="10.5" customHeight="1">
      <c r="A165" s="9" t="s">
        <v>198</v>
      </c>
      <c r="B165" s="10">
        <v>3.0</v>
      </c>
      <c r="C165" s="10" t="s">
        <v>120</v>
      </c>
      <c r="D165" s="10" t="s">
        <v>17</v>
      </c>
      <c r="E165" s="13"/>
      <c r="F165" s="10" t="s">
        <v>15</v>
      </c>
      <c r="G165" s="34" t="s">
        <v>199</v>
      </c>
      <c r="H165" s="12" t="str">
        <f>hyperlink("http://www.helifreak.com/attachment.php?attachmentid=294856&amp;d=1330623702","link")</f>
        <v>link</v>
      </c>
      <c r="I165" s="12" t="str">
        <f>hyperlink("http://www.helifreak.com/attachment.php?attachmentid=294857&amp;d=1330623702","link")</f>
        <v>link</v>
      </c>
      <c r="J165" s="3"/>
    </row>
    <row r="166" ht="10.5" customHeight="1">
      <c r="A166" s="9" t="s">
        <v>200</v>
      </c>
      <c r="B166" s="10">
        <v>7.0</v>
      </c>
      <c r="C166" s="10" t="s">
        <v>120</v>
      </c>
      <c r="D166" s="10" t="s">
        <v>17</v>
      </c>
      <c r="E166" s="13"/>
      <c r="F166" s="10" t="s">
        <v>15</v>
      </c>
      <c r="G166" s="34" t="s">
        <v>201</v>
      </c>
      <c r="H166" s="12" t="str">
        <f t="shared" ref="H166:H167" si="6">hyperlink("http://www.helifreak.com/attachment.php?attachmentid=294858&amp;d=1330623702","link")</f>
        <v>link</v>
      </c>
      <c r="I166" s="12" t="str">
        <f t="shared" ref="I166:I167" si="7">hyperlink("http://www.helifreak.com/attachment.php?attachmentid=294859&amp;d=1330623702","link")</f>
        <v>link</v>
      </c>
      <c r="J166" s="3"/>
    </row>
    <row r="167" ht="10.5" customHeight="1">
      <c r="A167" s="9" t="s">
        <v>202</v>
      </c>
      <c r="B167" s="10">
        <v>7.0</v>
      </c>
      <c r="C167" s="10" t="s">
        <v>120</v>
      </c>
      <c r="D167" s="10" t="s">
        <v>17</v>
      </c>
      <c r="E167" s="13"/>
      <c r="F167" s="10" t="s">
        <v>15</v>
      </c>
      <c r="G167" s="34" t="s">
        <v>203</v>
      </c>
      <c r="H167" s="12" t="str">
        <f t="shared" si="6"/>
        <v>link</v>
      </c>
      <c r="I167" s="12" t="str">
        <f t="shared" si="7"/>
        <v>link</v>
      </c>
      <c r="J167" s="9" t="s">
        <v>204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0.5" customHeight="1">
      <c r="A168" s="9" t="s">
        <v>205</v>
      </c>
      <c r="B168" s="10">
        <v>12.0</v>
      </c>
      <c r="C168" s="10" t="s">
        <v>120</v>
      </c>
      <c r="D168" s="10" t="s">
        <v>17</v>
      </c>
      <c r="E168" s="13"/>
      <c r="F168" s="10" t="s">
        <v>15</v>
      </c>
      <c r="G168" s="34" t="s">
        <v>206</v>
      </c>
      <c r="H168" s="12" t="str">
        <f>hyperlink("http://www.helifreak.com/attachment.php?attachmentid=294860&amp;d=1330623799","link")</f>
        <v>link</v>
      </c>
      <c r="I168" s="12" t="str">
        <f>hyperlink("http://www.helifreak.com/attachment.php?attachmentid=294861&amp;d=1330623799","link")</f>
        <v>link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0.5" customHeight="1">
      <c r="A169" s="9" t="s">
        <v>207</v>
      </c>
      <c r="B169" s="10">
        <v>18.0</v>
      </c>
      <c r="C169" s="10" t="s">
        <v>120</v>
      </c>
      <c r="D169" s="10" t="s">
        <v>33</v>
      </c>
      <c r="E169" s="13"/>
      <c r="F169" s="10" t="s">
        <v>22</v>
      </c>
      <c r="G169" s="34" t="s">
        <v>208</v>
      </c>
      <c r="H169" s="12" t="str">
        <f>hyperlink("http://www.helifreak.com/attachment.php?attachmentid=352405&amp;d=1348595045","link")</f>
        <v>link</v>
      </c>
      <c r="I169" s="12" t="str">
        <f>hyperlink("http://www.helifreak.com/attachment.php?attachmentid=352406&amp;d=1348595045","link")</f>
        <v>link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0.5" customHeight="1">
      <c r="A170" s="9" t="s">
        <v>209</v>
      </c>
      <c r="B170" s="10">
        <v>25.0</v>
      </c>
      <c r="C170" s="10" t="s">
        <v>120</v>
      </c>
      <c r="D170" s="10" t="s">
        <v>33</v>
      </c>
      <c r="E170" s="13"/>
      <c r="F170" s="10" t="s">
        <v>22</v>
      </c>
      <c r="G170" s="34" t="s">
        <v>210</v>
      </c>
      <c r="H170" s="12" t="str">
        <f>hyperlink("http://www.helifreak.com/attachment.php?attachmentid=352407&amp;d=1348595045","link")</f>
        <v>link</v>
      </c>
      <c r="I170" s="12" t="str">
        <f>hyperlink("http://www.helifreak.com/attachment.php?attachmentid=352408&amp;d=1348595045","link")</f>
        <v>link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0.5" customHeight="1">
      <c r="A171" s="9" t="s">
        <v>211</v>
      </c>
      <c r="B171" s="10">
        <v>35.0</v>
      </c>
      <c r="C171" s="10" t="s">
        <v>120</v>
      </c>
      <c r="D171" s="10" t="s">
        <v>33</v>
      </c>
      <c r="E171" s="13"/>
      <c r="F171" s="10" t="s">
        <v>22</v>
      </c>
      <c r="G171" s="34" t="s">
        <v>212</v>
      </c>
      <c r="H171" s="12" t="str">
        <f>hyperlink("http://www.helifreak.com/attachment.php?attachmentid=481802&amp;d=1390652961","link")</f>
        <v>link</v>
      </c>
      <c r="I171" s="12" t="str">
        <f>hyperlink("http://www.helifreak.com/attachment.php?attachmentid=481801&amp;d=1390652961","link")</f>
        <v>link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0.5" customHeight="1">
      <c r="A172" s="29" t="s">
        <v>213</v>
      </c>
      <c r="B172" s="30"/>
      <c r="C172" s="38"/>
      <c r="D172" s="30"/>
      <c r="E172" s="30"/>
      <c r="F172" s="30"/>
      <c r="G172" s="39"/>
      <c r="H172" s="30"/>
      <c r="I172" s="30"/>
      <c r="J172" s="4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0.5" customHeight="1">
      <c r="A173" s="9" t="s">
        <v>214</v>
      </c>
      <c r="B173" s="10">
        <v>12.0</v>
      </c>
      <c r="C173" s="10" t="s">
        <v>120</v>
      </c>
      <c r="D173" s="10" t="s">
        <v>33</v>
      </c>
      <c r="E173" s="13"/>
      <c r="F173" s="10" t="s">
        <v>22</v>
      </c>
      <c r="G173" s="34" t="s">
        <v>123</v>
      </c>
      <c r="H173" s="12" t="str">
        <f>hyperlink("http://www.helifreak.com/attachment.php?attachmentid=481790&amp;d=1390652876","link")</f>
        <v>link</v>
      </c>
      <c r="I173" s="12" t="str">
        <f>hyperlink("http://www.helifreak.com/attachment.php?attachmentid=481789&amp;d=1390652876","link")</f>
        <v>link</v>
      </c>
      <c r="J173" s="9" t="s">
        <v>215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0.5" customHeight="1">
      <c r="A174" s="9" t="s">
        <v>216</v>
      </c>
      <c r="B174" s="10">
        <v>20.0</v>
      </c>
      <c r="C174" s="10" t="s">
        <v>120</v>
      </c>
      <c r="D174" s="10" t="s">
        <v>33</v>
      </c>
      <c r="E174" s="13"/>
      <c r="F174" s="10" t="s">
        <v>22</v>
      </c>
      <c r="G174" s="34" t="s">
        <v>217</v>
      </c>
      <c r="H174" s="12" t="str">
        <f>hyperlink("http://www.helifreak.com/attachment.php?attachmentid=352409&amp;d=1348595045","link")</f>
        <v>link</v>
      </c>
      <c r="I174" s="12" t="str">
        <f>hyperlink("http://www.helifreak.com/attachment.php?attachmentid=352410&amp;d=1348595045","link")</f>
        <v>link</v>
      </c>
      <c r="J174" s="4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0.5" customHeight="1">
      <c r="A175" s="9" t="s">
        <v>218</v>
      </c>
      <c r="B175" s="10">
        <v>40.0</v>
      </c>
      <c r="C175" s="10" t="s">
        <v>120</v>
      </c>
      <c r="D175" s="10" t="s">
        <v>33</v>
      </c>
      <c r="E175" s="13"/>
      <c r="F175" s="10" t="s">
        <v>22</v>
      </c>
      <c r="G175" s="34" t="s">
        <v>219</v>
      </c>
      <c r="H175" s="12" t="str">
        <f>hyperlink("http://www.helifreak.com/attachment.php?attachmentid=352411&amp;d=1348595045","link")</f>
        <v>link</v>
      </c>
      <c r="I175" s="12" t="str">
        <f>hyperlink("http://www.helifreak.com/attachment.php?attachmentid=352412&amp;d=1348595045","link")</f>
        <v>link</v>
      </c>
      <c r="J175" s="16" t="s">
        <v>220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0.5" customHeight="1">
      <c r="A176" s="9" t="s">
        <v>221</v>
      </c>
      <c r="B176" s="10" t="s">
        <v>222</v>
      </c>
      <c r="C176" s="10" t="s">
        <v>120</v>
      </c>
      <c r="D176" s="10" t="s">
        <v>33</v>
      </c>
      <c r="E176" s="13"/>
      <c r="F176" s="10" t="s">
        <v>22</v>
      </c>
      <c r="G176" s="34" t="s">
        <v>217</v>
      </c>
      <c r="H176" s="12" t="str">
        <f>hyperlink("http://drug123.org.ua/skywalker_quattro/1200455v.jpg","link")</f>
        <v>link</v>
      </c>
      <c r="I176" s="12" t="str">
        <f>hyperlink("http://drug123.org.ua/skywalker_quattro/1200456v.jpg","link")</f>
        <v>link</v>
      </c>
      <c r="J176" s="4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0.5" customHeight="1">
      <c r="A177" s="29" t="s">
        <v>223</v>
      </c>
      <c r="B177" s="30"/>
      <c r="C177" s="38"/>
      <c r="D177" s="30"/>
      <c r="E177" s="30"/>
      <c r="F177" s="30"/>
      <c r="G177" s="39"/>
      <c r="H177" s="30"/>
      <c r="I177" s="30"/>
      <c r="J177" s="4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0.5" customHeight="1">
      <c r="A178" s="9" t="s">
        <v>224</v>
      </c>
      <c r="B178" s="10">
        <v>30.0</v>
      </c>
      <c r="C178" s="10" t="s">
        <v>120</v>
      </c>
      <c r="D178" s="10" t="s">
        <v>33</v>
      </c>
      <c r="E178" s="13"/>
      <c r="F178" s="10" t="s">
        <v>22</v>
      </c>
      <c r="G178" s="34" t="s">
        <v>225</v>
      </c>
      <c r="H178" s="12" t="str">
        <f>hyperlink("http://www.helifreak.com/attachment.php?attachmentid=481788&amp;d=1390652876","link")</f>
        <v>link</v>
      </c>
      <c r="I178" s="12" t="str">
        <f>hyperlink("http://www.helifreak.com/attachment.php?attachmentid=481787&amp;d=1390652849","link")</f>
        <v>link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0.5" customHeight="1">
      <c r="A179" s="9" t="s">
        <v>226</v>
      </c>
      <c r="B179" s="10">
        <v>30.0</v>
      </c>
      <c r="C179" s="10" t="s">
        <v>120</v>
      </c>
      <c r="D179" s="10" t="s">
        <v>33</v>
      </c>
      <c r="E179" s="13"/>
      <c r="F179" s="10" t="s">
        <v>22</v>
      </c>
      <c r="G179" s="34" t="s">
        <v>225</v>
      </c>
      <c r="H179" s="12" t="str">
        <f>hyperlink("http://www.helifreak.com/attachment.php?attachmentid=481786&amp;d=1390652849","link")</f>
        <v>link</v>
      </c>
      <c r="I179" s="12" t="str">
        <f>hyperlink("http://www.helifreak.com/attachment.php?attachmentid=481785&amp;d=1390652849","link")</f>
        <v>link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0.5" customHeight="1">
      <c r="A180" s="29" t="s">
        <v>227</v>
      </c>
      <c r="B180" s="30"/>
      <c r="C180" s="38"/>
      <c r="D180" s="30"/>
      <c r="E180" s="30"/>
      <c r="F180" s="30"/>
      <c r="G180" s="39"/>
      <c r="H180" s="30"/>
      <c r="I180" s="30"/>
      <c r="J180" s="4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0.5" customHeight="1">
      <c r="A181" s="9" t="s">
        <v>228</v>
      </c>
      <c r="B181" s="10">
        <v>30.0</v>
      </c>
      <c r="C181" s="10" t="s">
        <v>120</v>
      </c>
      <c r="D181" s="10" t="s">
        <v>33</v>
      </c>
      <c r="E181" s="13"/>
      <c r="F181" s="10" t="s">
        <v>22</v>
      </c>
      <c r="G181" s="34" t="s">
        <v>229</v>
      </c>
      <c r="H181" s="12" t="str">
        <f>hyperlink("http://www.helifreak.com/attachment.php?attachmentid=429328&amp;d=1371581915","link")</f>
        <v>link</v>
      </c>
      <c r="I181" s="12" t="str">
        <f>hyperlink("http://www.helifreak.com/attachment.php?attachmentid=429327&amp;d=1371581915","link")</f>
        <v>link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0.5" customHeight="1">
      <c r="A182" s="9" t="s">
        <v>230</v>
      </c>
      <c r="B182" s="10">
        <v>40.0</v>
      </c>
      <c r="C182" s="10" t="s">
        <v>120</v>
      </c>
      <c r="D182" s="10" t="s">
        <v>33</v>
      </c>
      <c r="E182" s="13"/>
      <c r="F182" s="10" t="s">
        <v>22</v>
      </c>
      <c r="G182" s="34" t="s">
        <v>132</v>
      </c>
      <c r="H182" s="12" t="str">
        <f>hyperlink("http://www.helifreak.com/attachment.php?attachmentid=429330&amp;d=1371581963","link")</f>
        <v>link</v>
      </c>
      <c r="I182" s="12" t="str">
        <f>hyperlink("http://www.helifreak.com/attachment.php?attachmentid=429329&amp;d=1371581963","link")</f>
        <v>link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0.5" customHeight="1">
      <c r="A183" s="9" t="s">
        <v>231</v>
      </c>
      <c r="B183" s="10">
        <v>60.0</v>
      </c>
      <c r="C183" s="10" t="s">
        <v>120</v>
      </c>
      <c r="D183" s="10" t="s">
        <v>33</v>
      </c>
      <c r="E183" s="13"/>
      <c r="F183" s="10" t="s">
        <v>22</v>
      </c>
      <c r="G183" s="34" t="s">
        <v>132</v>
      </c>
      <c r="H183" s="12" t="str">
        <f>hyperlink("http://www.helifreak.com/attachment.php?attachmentid=429332&amp;d=1371581963","link")</f>
        <v>link</v>
      </c>
      <c r="I183" s="12" t="str">
        <f>hyperlink("http://www.helifreak.com/attachment.php?attachmentid=429331&amp;d=1371581963","link")</f>
        <v>link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0.5" customHeight="1">
      <c r="A184" s="29" t="s">
        <v>232</v>
      </c>
      <c r="B184" s="30"/>
      <c r="C184" s="38"/>
      <c r="D184" s="30"/>
      <c r="E184" s="30"/>
      <c r="F184" s="30"/>
      <c r="G184" s="39"/>
      <c r="H184" s="30"/>
      <c r="I184" s="30"/>
      <c r="J184" s="4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0.5" customHeight="1">
      <c r="A185" s="9" t="s">
        <v>233</v>
      </c>
      <c r="B185" s="10">
        <v>20.0</v>
      </c>
      <c r="C185" s="10" t="s">
        <v>120</v>
      </c>
      <c r="D185" s="10" t="s">
        <v>33</v>
      </c>
      <c r="E185" s="13"/>
      <c r="F185" s="10" t="s">
        <v>22</v>
      </c>
      <c r="G185" s="34" t="s">
        <v>234</v>
      </c>
      <c r="H185" s="12" t="str">
        <f>hyperlink("http://www.helifreak.com/attachment.php?attachmentid=352415&amp;d=1348595349","link")</f>
        <v>link</v>
      </c>
      <c r="I185" s="12" t="str">
        <f>hyperlink("http://www.helifreak.com/attachment.php?attachmentid=352416&amp;d=1348595349","link")</f>
        <v>link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0.5" customHeight="1">
      <c r="A186" s="9" t="s">
        <v>235</v>
      </c>
      <c r="B186" s="10">
        <v>25.0</v>
      </c>
      <c r="C186" s="10" t="s">
        <v>120</v>
      </c>
      <c r="D186" s="10" t="s">
        <v>33</v>
      </c>
      <c r="E186" s="13"/>
      <c r="F186" s="10" t="s">
        <v>22</v>
      </c>
      <c r="G186" s="34" t="s">
        <v>236</v>
      </c>
      <c r="H186" s="12" t="str">
        <f>hyperlink("http://www.helifreak.com/attachment.php?attachmentid=352417&amp;d=1348595349","link")</f>
        <v>link</v>
      </c>
      <c r="I186" s="12" t="str">
        <f>hyperlink("http://www.helifreak.com/attachment.php?attachmentid=352418&amp;d=1348595349","link")</f>
        <v>link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0.5" customHeight="1">
      <c r="A187" s="9" t="s">
        <v>237</v>
      </c>
      <c r="B187" s="10">
        <v>30.0</v>
      </c>
      <c r="C187" s="10" t="s">
        <v>120</v>
      </c>
      <c r="D187" s="10" t="s">
        <v>33</v>
      </c>
      <c r="E187" s="13"/>
      <c r="F187" s="10" t="s">
        <v>22</v>
      </c>
      <c r="G187" s="34" t="s">
        <v>238</v>
      </c>
      <c r="H187" s="12" t="str">
        <f>hyperlink("http://www.helifreak.com/attachment.php?attachmentid=352419&amp;d=1348595349","link")</f>
        <v>link</v>
      </c>
      <c r="I187" s="12" t="str">
        <f>hyperlink("http://www.helifreak.com/attachment.php?attachmentid=352420&amp;d=1348595349","link")</f>
        <v>link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0.5" customHeight="1">
      <c r="A188" s="9" t="s">
        <v>239</v>
      </c>
      <c r="B188" s="10">
        <v>45.0</v>
      </c>
      <c r="C188" s="10" t="s">
        <v>120</v>
      </c>
      <c r="D188" s="10" t="s">
        <v>33</v>
      </c>
      <c r="E188" s="13"/>
      <c r="F188" s="10" t="s">
        <v>22</v>
      </c>
      <c r="G188" s="34" t="s">
        <v>240</v>
      </c>
      <c r="H188" s="12" t="str">
        <f>hyperlink("http://www.helifreak.com/attachment.php?attachmentid=357763&amp;d=1350318010","link")</f>
        <v>link</v>
      </c>
      <c r="I188" s="12" t="str">
        <f>hyperlink("http://www.helifreak.com/attachment.php?attachmentid=357762&amp;d=1350318010","link")</f>
        <v>link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0.5" customHeight="1">
      <c r="A189" s="29" t="s">
        <v>241</v>
      </c>
      <c r="B189" s="30"/>
      <c r="C189" s="38"/>
      <c r="D189" s="30"/>
      <c r="E189" s="30"/>
      <c r="F189" s="30"/>
      <c r="G189" s="39"/>
      <c r="H189" s="30"/>
      <c r="I189" s="30"/>
      <c r="J189" s="4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0.5" customHeight="1">
      <c r="A190" s="9" t="s">
        <v>242</v>
      </c>
      <c r="B190" s="10">
        <v>40.0</v>
      </c>
      <c r="C190" s="10" t="s">
        <v>120</v>
      </c>
      <c r="D190" s="10" t="s">
        <v>33</v>
      </c>
      <c r="E190" s="13"/>
      <c r="F190" s="10" t="s">
        <v>22</v>
      </c>
      <c r="G190" s="34" t="s">
        <v>243</v>
      </c>
      <c r="H190" s="12" t="str">
        <f>hyperlink("http://www.helifreak.com/attachment.php?attachmentid=405158&amp;d=1363813746","link")</f>
        <v>link</v>
      </c>
      <c r="I190" s="12" t="str">
        <f>hyperlink("http://www.helifreak.com/attachment.php?attachmentid=405159&amp;d=1363813746","link")</f>
        <v>link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0.5" customHeight="1">
      <c r="A191" s="9" t="s">
        <v>244</v>
      </c>
      <c r="B191" s="10">
        <v>70.0</v>
      </c>
      <c r="C191" s="10" t="s">
        <v>120</v>
      </c>
      <c r="D191" s="10" t="s">
        <v>33</v>
      </c>
      <c r="E191" s="13"/>
      <c r="F191" s="10" t="s">
        <v>22</v>
      </c>
      <c r="G191" s="34" t="s">
        <v>245</v>
      </c>
      <c r="H191" s="12" t="str">
        <f>hyperlink("http://www.helifreak.com/attachment.php?attachmentid=481796&amp;d=1390652932","link")</f>
        <v>link</v>
      </c>
      <c r="I191" s="12" t="str">
        <f>hyperlink("http://www.helifreak.com/attachment.php?attachmentid=481795&amp;d=1390652907","link")</f>
        <v>link</v>
      </c>
      <c r="J191" s="9" t="s">
        <v>246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0.5" customHeight="1">
      <c r="A192" s="9" t="s">
        <v>247</v>
      </c>
      <c r="B192" s="10">
        <v>120.0</v>
      </c>
      <c r="C192" s="10" t="s">
        <v>120</v>
      </c>
      <c r="D192" s="10" t="s">
        <v>33</v>
      </c>
      <c r="E192" s="13"/>
      <c r="F192" s="10" t="s">
        <v>22</v>
      </c>
      <c r="G192" s="34" t="s">
        <v>248</v>
      </c>
      <c r="H192" s="12" t="str">
        <f>hyperlink("http://www.helifreak.com/attachment.php?attachmentid=405160&amp;d=1363813746","link")</f>
        <v>link</v>
      </c>
      <c r="I192" s="12" t="str">
        <f t="shared" ref="I192:I193" si="8">hyperlink("http://www.helifreak.com/attachment.php?attachmentid=405161&amp;d=1363813746","link")</f>
        <v>link</v>
      </c>
      <c r="J192" s="9" t="s">
        <v>246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0.5" customHeight="1">
      <c r="A193" s="9" t="s">
        <v>249</v>
      </c>
      <c r="B193" s="10">
        <v>120.0</v>
      </c>
      <c r="C193" s="10" t="s">
        <v>120</v>
      </c>
      <c r="D193" s="10" t="s">
        <v>33</v>
      </c>
      <c r="E193" s="13"/>
      <c r="F193" s="10" t="s">
        <v>22</v>
      </c>
      <c r="G193" s="34" t="s">
        <v>250</v>
      </c>
      <c r="H193" s="12" t="str">
        <f>hyperlink("http://www.helifreak.com/attachment.php?attachmentid=439782&amp;d=1375216363","link")</f>
        <v>link</v>
      </c>
      <c r="I193" s="12" t="str">
        <f t="shared" si="8"/>
        <v>link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0.5" customHeight="1">
      <c r="A194" s="29" t="s">
        <v>251</v>
      </c>
      <c r="B194" s="30"/>
      <c r="C194" s="38"/>
      <c r="D194" s="30"/>
      <c r="E194" s="30"/>
      <c r="F194" s="30"/>
      <c r="G194" s="39"/>
      <c r="H194" s="30"/>
      <c r="I194" s="30"/>
      <c r="J194" s="4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0.5" customHeight="1">
      <c r="A195" s="9" t="s">
        <v>252</v>
      </c>
      <c r="B195" s="10">
        <v>22.0</v>
      </c>
      <c r="C195" s="10" t="s">
        <v>120</v>
      </c>
      <c r="D195" s="10" t="s">
        <v>14</v>
      </c>
      <c r="E195" s="13"/>
      <c r="F195" s="10" t="s">
        <v>22</v>
      </c>
      <c r="G195" s="34" t="s">
        <v>253</v>
      </c>
      <c r="H195" s="12" t="str">
        <f>hyperlink("http://www.helifreak.com/attachment.php?attachmentid=352422&amp;d=1348595532","link")</f>
        <v>link</v>
      </c>
      <c r="I195" s="12" t="str">
        <f>hyperlink("http://www.helifreak.com/attachment.php?attachmentid=352423&amp;d=1348595532","link")</f>
        <v>link</v>
      </c>
      <c r="J195" s="9" t="s">
        <v>254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0.5" customHeight="1">
      <c r="A196" s="9" t="s">
        <v>255</v>
      </c>
      <c r="B196" s="10">
        <v>33.0</v>
      </c>
      <c r="C196" s="10" t="s">
        <v>120</v>
      </c>
      <c r="D196" s="10" t="s">
        <v>14</v>
      </c>
      <c r="E196" s="13"/>
      <c r="F196" s="10" t="s">
        <v>22</v>
      </c>
      <c r="G196" s="34" t="s">
        <v>256</v>
      </c>
      <c r="H196" s="12" t="str">
        <f>hyperlink("http://www.helifreak.com/attachment.php?attachmentid=352424&amp;d=1348595532","link")</f>
        <v>link</v>
      </c>
      <c r="I196" s="12" t="str">
        <f>hyperlink("http://www.helifreak.com/attachment.php?attachmentid=352425&amp;d=1348595532","link")</f>
        <v>link</v>
      </c>
      <c r="J196" s="9" t="s">
        <v>254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0.5" customHeight="1">
      <c r="A197" s="9" t="s">
        <v>257</v>
      </c>
      <c r="B197" s="10">
        <v>41.0</v>
      </c>
      <c r="C197" s="10" t="s">
        <v>120</v>
      </c>
      <c r="D197" s="10" t="s">
        <v>14</v>
      </c>
      <c r="E197" s="13"/>
      <c r="F197" s="10" t="s">
        <v>22</v>
      </c>
      <c r="G197" s="34" t="s">
        <v>258</v>
      </c>
      <c r="H197" s="12" t="str">
        <f>hyperlink("http://www.helifreak.com/attachment.php?attachmentid=352426&amp;d=1348595532","link")</f>
        <v>link</v>
      </c>
      <c r="I197" s="12" t="str">
        <f>hyperlink("http://www.helifreak.com/attachment.php?attachmentid=352427&amp;d=1348595532","link")</f>
        <v>link</v>
      </c>
      <c r="J197" s="9" t="s">
        <v>254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0.5" customHeight="1">
      <c r="A198" s="29" t="s">
        <v>259</v>
      </c>
      <c r="B198" s="30"/>
      <c r="C198" s="38"/>
      <c r="D198" s="30"/>
      <c r="E198" s="30"/>
      <c r="F198" s="30"/>
      <c r="G198" s="39"/>
      <c r="H198" s="30"/>
      <c r="I198" s="30"/>
      <c r="J198" s="4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0.5" customHeight="1">
      <c r="A199" s="9" t="s">
        <v>260</v>
      </c>
      <c r="B199" s="10">
        <v>3.0</v>
      </c>
      <c r="C199" s="10" t="s">
        <v>120</v>
      </c>
      <c r="D199" s="10" t="s">
        <v>17</v>
      </c>
      <c r="E199" s="13"/>
      <c r="F199" s="10" t="s">
        <v>15</v>
      </c>
      <c r="G199" s="34" t="s">
        <v>261</v>
      </c>
      <c r="H199" s="12" t="str">
        <f>hyperlink("http://www.helifreak.com/attachment.php?attachmentid=294852&amp;d=1330623595","link")</f>
        <v>link</v>
      </c>
      <c r="I199" s="12" t="str">
        <f>hyperlink("http://www.helifreak.com/attachment.php?attachmentid=294853&amp;d=1330623595","link")</f>
        <v>link</v>
      </c>
      <c r="J199" s="4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0.5" customHeight="1">
      <c r="A200" s="29" t="s">
        <v>262</v>
      </c>
      <c r="B200" s="30"/>
      <c r="C200" s="38"/>
      <c r="D200" s="30"/>
      <c r="E200" s="30"/>
      <c r="F200" s="30"/>
      <c r="G200" s="39"/>
      <c r="H200" s="30"/>
      <c r="I200" s="30"/>
      <c r="J200" s="4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0.5" customHeight="1">
      <c r="A201" s="9" t="s">
        <v>263</v>
      </c>
      <c r="B201" s="10">
        <v>3.0</v>
      </c>
      <c r="C201" s="10" t="s">
        <v>120</v>
      </c>
      <c r="D201" s="10" t="s">
        <v>17</v>
      </c>
      <c r="E201" s="13"/>
      <c r="F201" s="10" t="s">
        <v>15</v>
      </c>
      <c r="G201" s="34" t="s">
        <v>264</v>
      </c>
      <c r="H201" s="12" t="str">
        <f>hyperlink("http://www.helifreak.com/attachment.php?attachmentid=294854&amp;d=1330623595","link")</f>
        <v>link</v>
      </c>
      <c r="I201" s="12" t="str">
        <f>hyperlink("http://www.helifreak.com/attachment.php?attachmentid=294855&amp;d=1330623595","link")</f>
        <v>link</v>
      </c>
      <c r="J201" s="4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0.5" customHeight="1">
      <c r="A202" s="9" t="s">
        <v>265</v>
      </c>
      <c r="B202" s="10">
        <v>3.0</v>
      </c>
      <c r="C202" s="10" t="s">
        <v>120</v>
      </c>
      <c r="D202" s="10" t="s">
        <v>17</v>
      </c>
      <c r="E202" s="13"/>
      <c r="F202" s="10" t="s">
        <v>15</v>
      </c>
      <c r="G202" s="34" t="s">
        <v>264</v>
      </c>
      <c r="H202" s="12" t="str">
        <f>hyperlink("http://www.helifreak.com/attachment.php?attachmentid=481792&amp;d=1390652907","link")</f>
        <v>link</v>
      </c>
      <c r="I202" s="12" t="str">
        <f>hyperlink("http://www.helifreak.com/attachment.php?attachmentid=481791&amp;d=1390652876","link")</f>
        <v>link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0.5" customHeight="1">
      <c r="A203" s="29" t="s">
        <v>266</v>
      </c>
      <c r="B203" s="30"/>
      <c r="C203" s="38"/>
      <c r="D203" s="30"/>
      <c r="E203" s="30"/>
      <c r="F203" s="30"/>
      <c r="G203" s="39"/>
      <c r="H203" s="30"/>
      <c r="I203" s="30"/>
      <c r="J203" s="4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0.5" customHeight="1">
      <c r="A204" s="9" t="s">
        <v>267</v>
      </c>
      <c r="B204" s="10">
        <v>3.0</v>
      </c>
      <c r="C204" s="10" t="s">
        <v>120</v>
      </c>
      <c r="D204" s="10" t="s">
        <v>17</v>
      </c>
      <c r="E204" s="13"/>
      <c r="F204" s="10" t="s">
        <v>15</v>
      </c>
      <c r="G204" s="34" t="s">
        <v>268</v>
      </c>
      <c r="H204" s="12" t="str">
        <f>hyperlink("http://www.helifreak.com/attachment.php?attachmentid=481819&amp;d=1390655684","link")</f>
        <v>link</v>
      </c>
      <c r="I204" s="12" t="str">
        <f>hyperlink("http://www.helifreak.com/attachment.php?attachmentid=481820&amp;d=1390655684","link")</f>
        <v>link</v>
      </c>
      <c r="J204" s="4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0.5" customHeight="1">
      <c r="A205" s="29" t="s">
        <v>269</v>
      </c>
      <c r="B205" s="30"/>
      <c r="C205" s="38"/>
      <c r="D205" s="30"/>
      <c r="E205" s="30"/>
      <c r="F205" s="30"/>
      <c r="G205" s="39"/>
      <c r="H205" s="30"/>
      <c r="I205" s="30"/>
      <c r="J205" s="4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0.5" customHeight="1">
      <c r="A206" s="9" t="s">
        <v>270</v>
      </c>
      <c r="B206" s="10">
        <v>10.0</v>
      </c>
      <c r="C206" s="10" t="s">
        <v>120</v>
      </c>
      <c r="D206" s="10" t="s">
        <v>17</v>
      </c>
      <c r="E206" s="13"/>
      <c r="F206" s="10" t="s">
        <v>22</v>
      </c>
      <c r="G206" s="34" t="s">
        <v>271</v>
      </c>
      <c r="H206" s="12" t="str">
        <f>hyperlink("http://www.helifreak.com/attachment.php?attachmentid=412285&amp;d=1365934226","link")</f>
        <v>link</v>
      </c>
      <c r="I206" s="12" t="str">
        <f>hyperlink("http://www.helifreak.com/attachment.php?attachmentid=412286&amp;d=1365934226","link")</f>
        <v>link</v>
      </c>
      <c r="J206" s="4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0.5" customHeight="1">
      <c r="A207" s="9" t="s">
        <v>272</v>
      </c>
      <c r="B207" s="10">
        <v>20.0</v>
      </c>
      <c r="C207" s="10" t="s">
        <v>120</v>
      </c>
      <c r="D207" s="10" t="s">
        <v>17</v>
      </c>
      <c r="E207" s="13"/>
      <c r="F207" s="10" t="s">
        <v>22</v>
      </c>
      <c r="G207" s="34" t="s">
        <v>273</v>
      </c>
      <c r="H207" s="12" t="str">
        <f>hyperlink("http://www.helifreak.com/attachment.php?attachmentid=419447&amp;d=1368265239","link")</f>
        <v>link</v>
      </c>
      <c r="I207" s="12" t="str">
        <f>hyperlink("http://www.helifreak.com/attachment.php?attachmentid=419448&amp;d=1368265239","link")</f>
        <v>link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0.5" customHeight="1">
      <c r="A208" s="9" t="s">
        <v>274</v>
      </c>
      <c r="B208" s="10">
        <v>35.0</v>
      </c>
      <c r="C208" s="10" t="s">
        <v>120</v>
      </c>
      <c r="D208" s="10" t="s">
        <v>17</v>
      </c>
      <c r="E208" s="13"/>
      <c r="F208" s="10" t="s">
        <v>22</v>
      </c>
      <c r="G208" s="34" t="s">
        <v>275</v>
      </c>
      <c r="H208" s="12" t="str">
        <f t="shared" ref="H208:H209" si="9">hyperlink("http://www.helifreak.com/attachment.php?attachmentid=419453&amp;d=1368265312","link")</f>
        <v>link</v>
      </c>
      <c r="I208" s="12" t="str">
        <f>hyperlink("http://www.helifreak.com/attachment.php?attachmentid=419449&amp;d=1368265300","link")</f>
        <v>link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0.5" customHeight="1">
      <c r="A209" s="9" t="s">
        <v>276</v>
      </c>
      <c r="B209" s="10">
        <v>50.0</v>
      </c>
      <c r="C209" s="10" t="s">
        <v>120</v>
      </c>
      <c r="D209" s="10" t="s">
        <v>17</v>
      </c>
      <c r="E209" s="13"/>
      <c r="F209" s="10" t="s">
        <v>22</v>
      </c>
      <c r="G209" s="34" t="s">
        <v>277</v>
      </c>
      <c r="H209" s="12" t="str">
        <f t="shared" si="9"/>
        <v>link</v>
      </c>
      <c r="I209" s="12" t="str">
        <f>hyperlink("http://www.helifreak.com/attachment.php?attachmentid=419451&amp;d=1368265300","link")</f>
        <v>link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0.5" customHeight="1">
      <c r="A210" s="29" t="s">
        <v>278</v>
      </c>
      <c r="B210" s="30"/>
      <c r="C210" s="38"/>
      <c r="D210" s="30"/>
      <c r="E210" s="30"/>
      <c r="F210" s="30"/>
      <c r="G210" s="39"/>
      <c r="H210" s="30"/>
      <c r="I210" s="30"/>
      <c r="J210" s="4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0.5" customHeight="1">
      <c r="A211" s="9" t="s">
        <v>279</v>
      </c>
      <c r="B211" s="10">
        <v>12.0</v>
      </c>
      <c r="C211" s="10" t="s">
        <v>120</v>
      </c>
      <c r="D211" s="10" t="s">
        <v>33</v>
      </c>
      <c r="E211" s="13"/>
      <c r="F211" s="10" t="s">
        <v>15</v>
      </c>
      <c r="G211" s="34" t="s">
        <v>280</v>
      </c>
      <c r="H211" s="12" t="str">
        <f>hyperlink("http://www.helifreak.com/attachment.php?attachmentid=429334&amp;d=1371582006","link")</f>
        <v>link</v>
      </c>
      <c r="I211" s="12" t="str">
        <f>hyperlink("http://www.helifreak.com/attachment.php?attachmentid=429333&amp;d=1371582006","link")</f>
        <v>link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0.5" customHeight="1">
      <c r="A212" s="9" t="s">
        <v>281</v>
      </c>
      <c r="B212" s="10">
        <v>20.0</v>
      </c>
      <c r="C212" s="10" t="s">
        <v>120</v>
      </c>
      <c r="D212" s="10" t="s">
        <v>33</v>
      </c>
      <c r="E212" s="13"/>
      <c r="F212" s="10" t="s">
        <v>22</v>
      </c>
      <c r="G212" s="34" t="s">
        <v>282</v>
      </c>
      <c r="H212" s="12" t="str">
        <f t="shared" ref="H212:H213" si="10">hyperlink("http://www.helifreak.com/attachment.php?attachmentid=429336&amp;d=1371582006","link")</f>
        <v>link</v>
      </c>
      <c r="I212" s="12" t="str">
        <f t="shared" ref="I212:I213" si="11">hyperlink("http://www.helifreak.com/attachment.php?attachmentid=429335&amp;d=1371582006","link")</f>
        <v>link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0.5" customHeight="1">
      <c r="A213" s="9" t="s">
        <v>283</v>
      </c>
      <c r="B213" s="10">
        <v>30.0</v>
      </c>
      <c r="C213" s="10" t="s">
        <v>120</v>
      </c>
      <c r="D213" s="10" t="s">
        <v>33</v>
      </c>
      <c r="E213" s="13"/>
      <c r="F213" s="10" t="s">
        <v>22</v>
      </c>
      <c r="G213" s="34" t="s">
        <v>284</v>
      </c>
      <c r="H213" s="12" t="str">
        <f t="shared" si="10"/>
        <v>link</v>
      </c>
      <c r="I213" s="12" t="str">
        <f t="shared" si="11"/>
        <v>link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0.5" customHeight="1">
      <c r="A214" s="9" t="s">
        <v>285</v>
      </c>
      <c r="B214" s="10">
        <v>40.0</v>
      </c>
      <c r="C214" s="10" t="s">
        <v>120</v>
      </c>
      <c r="D214" s="10" t="s">
        <v>33</v>
      </c>
      <c r="E214" s="13"/>
      <c r="F214" s="10" t="s">
        <v>22</v>
      </c>
      <c r="G214" s="34" t="s">
        <v>286</v>
      </c>
      <c r="H214" s="12" t="str">
        <f>hyperlink("http://www.helifreak.com/attachment.php?attachmentid=429342&amp;d=1371582052","link")</f>
        <v>link</v>
      </c>
      <c r="I214" s="12" t="str">
        <f>hyperlink("http://www.helifreak.com/attachment.php?attachmentid=429341&amp;d=1371582052","link")</f>
        <v>link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0.5" customHeight="1">
      <c r="A215" s="9" t="s">
        <v>287</v>
      </c>
      <c r="B215" s="10">
        <v>60.0</v>
      </c>
      <c r="C215" s="10" t="s">
        <v>120</v>
      </c>
      <c r="D215" s="10" t="s">
        <v>33</v>
      </c>
      <c r="E215" s="13"/>
      <c r="F215" s="10" t="s">
        <v>22</v>
      </c>
      <c r="G215" s="34" t="s">
        <v>288</v>
      </c>
      <c r="H215" s="12" t="str">
        <f>hyperlink("http://www.helifreak.com/attachment.php?attachmentid=429344&amp;d=1371582052","link")</f>
        <v>link</v>
      </c>
      <c r="I215" s="12" t="str">
        <f>hyperlink("http://www.helifreak.com/attachment.php?attachmentid=429343&amp;d=1371582052","link")</f>
        <v>link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0.5" customHeight="1">
      <c r="A216" s="9" t="s">
        <v>289</v>
      </c>
      <c r="B216" s="10">
        <v>80.0</v>
      </c>
      <c r="C216" s="10" t="s">
        <v>120</v>
      </c>
      <c r="D216" s="10" t="s">
        <v>33</v>
      </c>
      <c r="E216" s="13"/>
      <c r="F216" s="10" t="s">
        <v>22</v>
      </c>
      <c r="G216" s="34" t="s">
        <v>290</v>
      </c>
      <c r="H216" s="12" t="str">
        <f t="shared" ref="H216:H217" si="12">hyperlink("http://www.helifreak.com/attachment.php?attachmentid=429346&amp;d=1371582092","link")</f>
        <v>link</v>
      </c>
      <c r="I216" s="12" t="str">
        <f t="shared" ref="I216:I217" si="13">hyperlink("http://www.helifreak.com/attachment.php?attachmentid=429345&amp;d=1371582092","link")</f>
        <v>link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0.5" customHeight="1">
      <c r="A217" s="9" t="s">
        <v>291</v>
      </c>
      <c r="B217" s="10">
        <v>100.0</v>
      </c>
      <c r="C217" s="10" t="s">
        <v>120</v>
      </c>
      <c r="D217" s="10" t="s">
        <v>33</v>
      </c>
      <c r="E217" s="13"/>
      <c r="F217" s="10" t="s">
        <v>22</v>
      </c>
      <c r="G217" s="34" t="s">
        <v>292</v>
      </c>
      <c r="H217" s="12" t="str">
        <f t="shared" si="12"/>
        <v>link</v>
      </c>
      <c r="I217" s="12" t="str">
        <f t="shared" si="13"/>
        <v>link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0.5" customHeight="1">
      <c r="A218" s="29" t="s">
        <v>293</v>
      </c>
      <c r="B218" s="30"/>
      <c r="C218" s="38"/>
      <c r="D218" s="30"/>
      <c r="E218" s="30"/>
      <c r="F218" s="30"/>
      <c r="G218" s="39"/>
      <c r="H218" s="30"/>
      <c r="I218" s="30"/>
      <c r="J218" s="4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0.5" customHeight="1">
      <c r="A219" s="9" t="s">
        <v>294</v>
      </c>
      <c r="B219" s="42" t="s">
        <v>295</v>
      </c>
      <c r="C219" s="10" t="s">
        <v>120</v>
      </c>
      <c r="D219" s="10" t="s">
        <v>33</v>
      </c>
      <c r="E219" s="13"/>
      <c r="F219" s="10" t="s">
        <v>15</v>
      </c>
      <c r="G219" s="34" t="s">
        <v>296</v>
      </c>
      <c r="H219" s="12" t="str">
        <f>hyperlink("http://www.helifreak.com/attachment.php?attachmentid=481784&amp;d=1390652849","link")</f>
        <v>link</v>
      </c>
      <c r="I219" s="1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0.5" customHeight="1">
      <c r="A220" s="9" t="s">
        <v>297</v>
      </c>
      <c r="B220" s="10">
        <v>15.0</v>
      </c>
      <c r="C220" s="10" t="s">
        <v>120</v>
      </c>
      <c r="D220" s="10" t="s">
        <v>33</v>
      </c>
      <c r="E220" s="13"/>
      <c r="F220" s="10" t="s">
        <v>22</v>
      </c>
      <c r="G220" s="34" t="s">
        <v>298</v>
      </c>
      <c r="H220" s="12" t="str">
        <f>hyperlink("http://www.helifreak.com/attachment.php?attachmentid=414327&amp;d=1366540609","link")</f>
        <v>link</v>
      </c>
      <c r="I220" s="12" t="str">
        <f>hyperlink("http://www.helifreak.com/attachment.php?attachmentid=414326&amp;d=1366540609","link")</f>
        <v>link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0.5" customHeight="1">
      <c r="A221" s="9" t="s">
        <v>299</v>
      </c>
      <c r="B221" s="10">
        <v>15.0</v>
      </c>
      <c r="C221" s="10" t="s">
        <v>120</v>
      </c>
      <c r="D221" s="10" t="s">
        <v>33</v>
      </c>
      <c r="E221" s="13"/>
      <c r="F221" s="10" t="s">
        <v>22</v>
      </c>
      <c r="G221" s="34" t="s">
        <v>300</v>
      </c>
      <c r="H221" s="12" t="str">
        <f>hyperlink("http://www.helifreak.com/attachment.php?attachmentid=419445&amp;d=1368265239","link")</f>
        <v>link</v>
      </c>
      <c r="I221" s="12" t="str">
        <f>hyperlink("http://www.helifreak.com/attachment.php?attachmentid=419446&amp;d=1368265239","link")</f>
        <v>link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0.5" customHeight="1">
      <c r="A222" s="9" t="s">
        <v>301</v>
      </c>
      <c r="B222" s="10">
        <v>35.0</v>
      </c>
      <c r="C222" s="10" t="s">
        <v>120</v>
      </c>
      <c r="D222" s="10" t="s">
        <v>33</v>
      </c>
      <c r="E222" s="13"/>
      <c r="F222" s="10" t="s">
        <v>22</v>
      </c>
      <c r="G222" s="34" t="s">
        <v>302</v>
      </c>
      <c r="H222" s="12" t="str">
        <f>hyperlink("http://www.helifreak.com/attachment.php?attachmentid=414329&amp;d=1366540609","link")</f>
        <v>link</v>
      </c>
      <c r="I222" s="12" t="str">
        <f>hyperlink("http://www.helifreak.com/attachment.php?attachmentid=414328&amp;d=1366540609","link")</f>
        <v>link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0.5" customHeight="1">
      <c r="A223" s="9" t="s">
        <v>303</v>
      </c>
      <c r="B223" s="10">
        <v>35.0</v>
      </c>
      <c r="C223" s="10" t="s">
        <v>120</v>
      </c>
      <c r="D223" s="10" t="s">
        <v>33</v>
      </c>
      <c r="E223" s="13"/>
      <c r="F223" s="10" t="s">
        <v>22</v>
      </c>
      <c r="G223" s="34" t="s">
        <v>304</v>
      </c>
      <c r="H223" s="12" t="str">
        <f>hyperlink("http://www.helifreak.com/attachment.php?attachmentid=412158&amp;d=1365891284","link")</f>
        <v>link</v>
      </c>
      <c r="I223" s="12" t="str">
        <f>hyperlink("http://www.helifreak.com/attachment.php?attachmentid=412159&amp;d=1365891284","link")</f>
        <v>link</v>
      </c>
      <c r="J223" s="4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0.5" customHeight="1">
      <c r="A224" s="29" t="s">
        <v>305</v>
      </c>
      <c r="B224" s="30"/>
      <c r="C224" s="38"/>
      <c r="D224" s="30"/>
      <c r="E224" s="30"/>
      <c r="F224" s="30"/>
      <c r="G224" s="39"/>
      <c r="H224" s="30"/>
      <c r="I224" s="30"/>
      <c r="J224" s="4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0.5" customHeight="1">
      <c r="A225" s="9" t="s">
        <v>306</v>
      </c>
      <c r="B225" s="10">
        <v>18.0</v>
      </c>
      <c r="C225" s="10" t="s">
        <v>120</v>
      </c>
      <c r="D225" s="10" t="s">
        <v>33</v>
      </c>
      <c r="E225" s="13"/>
      <c r="F225" s="10" t="s">
        <v>15</v>
      </c>
      <c r="G225" s="34" t="s">
        <v>307</v>
      </c>
      <c r="H225" s="12" t="str">
        <f>hyperlink("http://www.helifreak.com/attachment.php?attachmentid=429326&amp;d=1371581915","link")</f>
        <v>link</v>
      </c>
      <c r="I225" s="12" t="str">
        <f>hyperlink("http://www.helifreak.com/attachment.php?attachmentid=429325&amp;d=1371581915","link")</f>
        <v>link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0.5" customHeight="1">
      <c r="A226" s="9" t="s">
        <v>308</v>
      </c>
      <c r="B226" s="10">
        <v>22.0</v>
      </c>
      <c r="C226" s="10" t="s">
        <v>120</v>
      </c>
      <c r="D226" s="10" t="s">
        <v>33</v>
      </c>
      <c r="E226" s="13"/>
      <c r="F226" s="10" t="s">
        <v>15</v>
      </c>
      <c r="G226" s="34" t="s">
        <v>124</v>
      </c>
      <c r="H226" s="12" t="str">
        <f>hyperlink("http://www.helifreak.com/attachment.php?attachmentid=352401&amp;d=1348594711","link")</f>
        <v>link</v>
      </c>
      <c r="I226" s="12" t="str">
        <f>hyperlink("http://www.helifreak.com/attachment.php?attachmentid=352402&amp;d=1348594711","link")</f>
        <v>link</v>
      </c>
      <c r="J226" s="9" t="s">
        <v>309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0.5" customHeight="1">
      <c r="A227" s="29" t="s">
        <v>310</v>
      </c>
      <c r="B227" s="30"/>
      <c r="C227" s="38"/>
      <c r="D227" s="30"/>
      <c r="E227" s="30"/>
      <c r="F227" s="30"/>
      <c r="G227" s="39"/>
      <c r="H227" s="30"/>
      <c r="I227" s="30"/>
      <c r="J227" s="4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0.5" customHeight="1">
      <c r="A228" s="9" t="s">
        <v>311</v>
      </c>
      <c r="B228" s="10">
        <v>10.0</v>
      </c>
      <c r="C228" s="10" t="s">
        <v>120</v>
      </c>
      <c r="D228" s="10" t="s">
        <v>312</v>
      </c>
      <c r="E228" s="13"/>
      <c r="F228" s="10" t="s">
        <v>15</v>
      </c>
      <c r="G228" s="34" t="s">
        <v>201</v>
      </c>
      <c r="H228" s="12" t="str">
        <f>hyperlink("http://www.helifreak.com/attachment.php?attachmentid=357757&amp;d=1350317950","link")</f>
        <v>link</v>
      </c>
      <c r="I228" s="12" t="str">
        <f>hyperlink("http://www.helifreak.com/attachment.php?attachmentid=357756&amp;d=1350317950","link")</f>
        <v>link</v>
      </c>
      <c r="J228" s="4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0.5" customHeight="1">
      <c r="A229" s="9" t="s">
        <v>313</v>
      </c>
      <c r="B229" s="42" t="s">
        <v>295</v>
      </c>
      <c r="C229" s="10" t="s">
        <v>120</v>
      </c>
      <c r="D229" s="10" t="s">
        <v>312</v>
      </c>
      <c r="E229" s="13"/>
      <c r="F229" s="10" t="s">
        <v>15</v>
      </c>
      <c r="G229" s="34" t="s">
        <v>314</v>
      </c>
      <c r="H229" s="12" t="str">
        <f>hyperlink("http://www.helifreak.com/attachment.php?attachmentid=357759&amp;d=1350317978","link")</f>
        <v>link</v>
      </c>
      <c r="I229" s="12" t="str">
        <f>hyperlink("http://www.helifreak.com/attachment.php?attachmentid=357758&amp;d=1350317978","link")</f>
        <v>link</v>
      </c>
      <c r="J229" s="2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0.5" customHeight="1">
      <c r="A230" s="29" t="s">
        <v>315</v>
      </c>
      <c r="B230" s="30"/>
      <c r="C230" s="38"/>
      <c r="D230" s="30"/>
      <c r="E230" s="30"/>
      <c r="F230" s="30"/>
      <c r="G230" s="39"/>
      <c r="H230" s="30"/>
      <c r="I230" s="30"/>
      <c r="J230" s="4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0.5" customHeight="1">
      <c r="A231" s="9" t="s">
        <v>316</v>
      </c>
      <c r="B231" s="10">
        <v>20.0</v>
      </c>
      <c r="C231" s="10" t="s">
        <v>120</v>
      </c>
      <c r="D231" s="10" t="s">
        <v>33</v>
      </c>
      <c r="E231" s="13"/>
      <c r="F231" s="10" t="s">
        <v>22</v>
      </c>
      <c r="G231" s="34" t="s">
        <v>217</v>
      </c>
      <c r="H231" s="12" t="str">
        <f>hyperlink("http://www.helifreak.com/attachment.php?attachmentid=481794&amp;d=1390652907","link")</f>
        <v>link</v>
      </c>
      <c r="I231" s="12" t="str">
        <f>hyperlink("http://www.helifreak.com/attachment.php?attachmentid=481793&amp;d=1390652907","link")</f>
        <v>link</v>
      </c>
      <c r="J231" s="4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0.5" customHeight="1">
      <c r="A232" s="9" t="s">
        <v>317</v>
      </c>
      <c r="B232" s="10">
        <v>40.0</v>
      </c>
      <c r="C232" s="10" t="s">
        <v>13</v>
      </c>
      <c r="D232" s="10" t="s">
        <v>33</v>
      </c>
      <c r="E232" s="13"/>
      <c r="F232" s="10" t="s">
        <v>22</v>
      </c>
      <c r="G232" s="11" t="s">
        <v>81</v>
      </c>
      <c r="H232" s="12" t="str">
        <f>hyperlink("http://lag.lt/screens/misc/lektuveliai/misc_copterz/esc_sunrise_40A_3.jpg","link")</f>
        <v>link</v>
      </c>
      <c r="I232" s="12" t="str">
        <f>hyperlink("http://lag.lt/screens/misc/lektuveliai/misc_copterz/esc_sunrise_40A_2.jpg","link")</f>
        <v>link</v>
      </c>
      <c r="J232" s="9" t="s">
        <v>318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0.5" customHeight="1">
      <c r="A233" s="29" t="s">
        <v>319</v>
      </c>
      <c r="B233" s="30"/>
      <c r="C233" s="38"/>
      <c r="D233" s="30"/>
      <c r="E233" s="30"/>
      <c r="F233" s="30"/>
      <c r="G233" s="39"/>
      <c r="H233" s="30"/>
      <c r="I233" s="30"/>
      <c r="J233" s="4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0.5" customHeight="1">
      <c r="A234" s="9" t="s">
        <v>320</v>
      </c>
      <c r="B234" s="10">
        <v>30.0</v>
      </c>
      <c r="C234" s="10" t="s">
        <v>120</v>
      </c>
      <c r="D234" s="10" t="s">
        <v>33</v>
      </c>
      <c r="E234" s="13"/>
      <c r="F234" s="10" t="s">
        <v>22</v>
      </c>
      <c r="G234" s="34" t="s">
        <v>321</v>
      </c>
      <c r="H234" s="12" t="str">
        <f>hyperlink("http://www.helifreak.com/attachment.php?attachmentid=466608&amp;d=1385049682","link")</f>
        <v>link</v>
      </c>
      <c r="I234" s="12" t="str">
        <f>hyperlink("http://www.helifreak.com/attachment.php?attachmentid=466609&amp;d=1385049682","link")</f>
        <v>link</v>
      </c>
      <c r="J234" s="4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0.5" customHeight="1">
      <c r="A235" s="29" t="s">
        <v>322</v>
      </c>
      <c r="B235" s="30"/>
      <c r="C235" s="38"/>
      <c r="D235" s="30"/>
      <c r="E235" s="30"/>
      <c r="F235" s="30"/>
      <c r="G235" s="39"/>
      <c r="H235" s="30"/>
      <c r="I235" s="30"/>
      <c r="J235" s="4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0.5" customHeight="1">
      <c r="A236" s="9" t="s">
        <v>323</v>
      </c>
      <c r="B236" s="10">
        <v>18.0</v>
      </c>
      <c r="C236" s="10" t="s">
        <v>120</v>
      </c>
      <c r="D236" s="10" t="s">
        <v>33</v>
      </c>
      <c r="E236" s="13"/>
      <c r="F236" s="10" t="s">
        <v>15</v>
      </c>
      <c r="G236" s="34" t="s">
        <v>124</v>
      </c>
      <c r="H236" s="12" t="str">
        <f>hyperlink("http://static.rcgroups.net/forums/attachments/2/9/1/4/1/4/a6658084-13-DJI%20Phantom%2018A%20front.jpg","link")</f>
        <v>link</v>
      </c>
      <c r="I236" s="13"/>
      <c r="J236" s="41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0.5" customHeight="1">
      <c r="A237" s="3"/>
      <c r="B237" s="13"/>
      <c r="C237" s="13"/>
      <c r="D237" s="13"/>
      <c r="E237" s="13"/>
      <c r="F237" s="13"/>
      <c r="G237" s="22"/>
      <c r="H237" s="13"/>
      <c r="I237" s="1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0.5" customHeight="1">
      <c r="A238" s="3"/>
      <c r="B238" s="13"/>
      <c r="C238" s="13"/>
      <c r="D238" s="13"/>
      <c r="E238" s="13"/>
      <c r="F238" s="13"/>
      <c r="G238" s="22"/>
      <c r="H238" s="13"/>
      <c r="I238" s="1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0.5" customHeight="1">
      <c r="A239" s="3"/>
      <c r="B239" s="13"/>
      <c r="C239" s="13"/>
      <c r="D239" s="13"/>
      <c r="E239" s="13"/>
      <c r="F239" s="13"/>
      <c r="G239" s="22"/>
      <c r="H239" s="13"/>
      <c r="I239" s="1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0.5" customHeight="1">
      <c r="A240" s="3"/>
      <c r="B240" s="13"/>
      <c r="C240" s="13"/>
      <c r="D240" s="13"/>
      <c r="E240" s="13"/>
      <c r="F240" s="13"/>
      <c r="G240" s="22"/>
      <c r="H240" s="13"/>
      <c r="I240" s="1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0.5" customHeight="1">
      <c r="A241" s="3"/>
      <c r="B241" s="13"/>
      <c r="C241" s="13"/>
      <c r="D241" s="13"/>
      <c r="E241" s="13"/>
      <c r="F241" s="13"/>
      <c r="G241" s="22"/>
      <c r="H241" s="13"/>
      <c r="I241" s="1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0.5" customHeight="1">
      <c r="A242" s="3"/>
      <c r="B242" s="13"/>
      <c r="C242" s="13"/>
      <c r="D242" s="13"/>
      <c r="E242" s="13"/>
      <c r="F242" s="13"/>
      <c r="G242" s="22"/>
      <c r="H242" s="13"/>
      <c r="I242" s="1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0.5" customHeight="1">
      <c r="A243" s="3"/>
      <c r="B243" s="13"/>
      <c r="C243" s="13"/>
      <c r="D243" s="13"/>
      <c r="E243" s="13"/>
      <c r="F243" s="13"/>
      <c r="G243" s="22"/>
      <c r="H243" s="13"/>
      <c r="I243" s="1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0.5" customHeight="1">
      <c r="A244" s="3"/>
      <c r="B244" s="13"/>
      <c r="C244" s="13"/>
      <c r="D244" s="13"/>
      <c r="E244" s="13"/>
      <c r="F244" s="13"/>
      <c r="G244" s="22"/>
      <c r="H244" s="13"/>
      <c r="I244" s="1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0.5" customHeight="1">
      <c r="A245" s="3"/>
      <c r="B245" s="13"/>
      <c r="C245" s="13"/>
      <c r="D245" s="13"/>
      <c r="E245" s="13"/>
      <c r="F245" s="13"/>
      <c r="G245" s="22"/>
      <c r="H245" s="13"/>
      <c r="I245" s="1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0.5" customHeight="1">
      <c r="A246" s="3"/>
      <c r="B246" s="13"/>
      <c r="C246" s="13"/>
      <c r="D246" s="13"/>
      <c r="E246" s="13"/>
      <c r="F246" s="13"/>
      <c r="G246" s="22"/>
      <c r="H246" s="13"/>
      <c r="I246" s="1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0.5" customHeight="1">
      <c r="A247" s="3"/>
      <c r="B247" s="13"/>
      <c r="C247" s="13"/>
      <c r="D247" s="13"/>
      <c r="E247" s="13"/>
      <c r="F247" s="13"/>
      <c r="G247" s="22"/>
      <c r="H247" s="13"/>
      <c r="I247" s="1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0.5" customHeight="1">
      <c r="A248" s="3"/>
      <c r="B248" s="13"/>
      <c r="C248" s="13"/>
      <c r="D248" s="13"/>
      <c r="E248" s="13"/>
      <c r="F248" s="13"/>
      <c r="G248" s="22"/>
      <c r="H248" s="13"/>
      <c r="I248" s="1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0.5" customHeight="1">
      <c r="A249" s="3"/>
      <c r="B249" s="13"/>
      <c r="C249" s="13"/>
      <c r="D249" s="13"/>
      <c r="E249" s="13"/>
      <c r="F249" s="13"/>
      <c r="G249" s="22"/>
      <c r="H249" s="13"/>
      <c r="I249" s="1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0.5" customHeight="1">
      <c r="A250" s="3"/>
      <c r="B250" s="13"/>
      <c r="C250" s="13"/>
      <c r="D250" s="13"/>
      <c r="E250" s="13"/>
      <c r="F250" s="13"/>
      <c r="G250" s="22"/>
      <c r="H250" s="13"/>
      <c r="I250" s="1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0.5" customHeight="1">
      <c r="A251" s="3"/>
      <c r="B251" s="13"/>
      <c r="C251" s="13"/>
      <c r="D251" s="13"/>
      <c r="E251" s="13"/>
      <c r="F251" s="13"/>
      <c r="G251" s="22"/>
      <c r="H251" s="13"/>
      <c r="I251" s="1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0.5" customHeight="1">
      <c r="A252" s="3"/>
      <c r="B252" s="13"/>
      <c r="C252" s="13"/>
      <c r="D252" s="13"/>
      <c r="E252" s="13"/>
      <c r="F252" s="13"/>
      <c r="G252" s="22"/>
      <c r="H252" s="13"/>
      <c r="I252" s="1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0.5" customHeight="1">
      <c r="A253" s="3"/>
      <c r="B253" s="13"/>
      <c r="C253" s="13"/>
      <c r="D253" s="13"/>
      <c r="E253" s="13"/>
      <c r="F253" s="13"/>
      <c r="G253" s="22"/>
      <c r="H253" s="13"/>
      <c r="I253" s="1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0.5" customHeight="1">
      <c r="A254" s="3"/>
      <c r="B254" s="13"/>
      <c r="C254" s="13"/>
      <c r="D254" s="13"/>
      <c r="E254" s="13"/>
      <c r="F254" s="13"/>
      <c r="G254" s="22"/>
      <c r="H254" s="13"/>
      <c r="I254" s="1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0.5" customHeight="1">
      <c r="A255" s="3"/>
      <c r="B255" s="13"/>
      <c r="C255" s="13"/>
      <c r="D255" s="13"/>
      <c r="E255" s="13"/>
      <c r="F255" s="13"/>
      <c r="G255" s="22"/>
      <c r="H255" s="13"/>
      <c r="I255" s="1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0.5" customHeight="1">
      <c r="A256" s="3"/>
      <c r="B256" s="13"/>
      <c r="C256" s="13"/>
      <c r="D256" s="13"/>
      <c r="E256" s="13"/>
      <c r="F256" s="13"/>
      <c r="G256" s="22"/>
      <c r="H256" s="13"/>
      <c r="I256" s="1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0.5" customHeight="1">
      <c r="A257" s="3"/>
      <c r="B257" s="13"/>
      <c r="C257" s="13"/>
      <c r="D257" s="13"/>
      <c r="E257" s="13"/>
      <c r="F257" s="13"/>
      <c r="G257" s="22"/>
      <c r="H257" s="13"/>
      <c r="I257" s="1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0.5" customHeight="1">
      <c r="A258" s="3"/>
      <c r="B258" s="13"/>
      <c r="C258" s="13"/>
      <c r="D258" s="13"/>
      <c r="E258" s="13"/>
      <c r="F258" s="13"/>
      <c r="G258" s="22"/>
      <c r="H258" s="13"/>
      <c r="I258" s="1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0.5" customHeight="1">
      <c r="A259" s="3"/>
      <c r="B259" s="13"/>
      <c r="C259" s="13"/>
      <c r="D259" s="13"/>
      <c r="E259" s="13"/>
      <c r="F259" s="13"/>
      <c r="G259" s="22"/>
      <c r="H259" s="13"/>
      <c r="I259" s="1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0.5" customHeight="1">
      <c r="A260" s="3"/>
      <c r="B260" s="13"/>
      <c r="C260" s="13"/>
      <c r="D260" s="13"/>
      <c r="E260" s="13"/>
      <c r="F260" s="13"/>
      <c r="G260" s="22"/>
      <c r="H260" s="13"/>
      <c r="I260" s="1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0.5" customHeight="1">
      <c r="A261" s="3"/>
      <c r="B261" s="13"/>
      <c r="C261" s="13"/>
      <c r="D261" s="13"/>
      <c r="E261" s="13"/>
      <c r="F261" s="13"/>
      <c r="G261" s="22"/>
      <c r="H261" s="13"/>
      <c r="I261" s="1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0.5" customHeight="1">
      <c r="A262" s="3"/>
      <c r="B262" s="13"/>
      <c r="C262" s="13"/>
      <c r="D262" s="13"/>
      <c r="E262" s="13"/>
      <c r="F262" s="13"/>
      <c r="G262" s="22"/>
      <c r="H262" s="13"/>
      <c r="I262" s="1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0.5" customHeight="1">
      <c r="A263" s="3"/>
      <c r="B263" s="13"/>
      <c r="C263" s="13"/>
      <c r="D263" s="13"/>
      <c r="E263" s="13"/>
      <c r="F263" s="13"/>
      <c r="G263" s="22"/>
      <c r="H263" s="13"/>
      <c r="I263" s="1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0.5" customHeight="1">
      <c r="A264" s="3"/>
      <c r="B264" s="13"/>
      <c r="C264" s="13"/>
      <c r="D264" s="13"/>
      <c r="E264" s="13"/>
      <c r="F264" s="13"/>
      <c r="G264" s="22"/>
      <c r="H264" s="13"/>
      <c r="I264" s="1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0.5" customHeight="1">
      <c r="A265" s="3"/>
      <c r="B265" s="13"/>
      <c r="C265" s="13"/>
      <c r="D265" s="13"/>
      <c r="E265" s="13"/>
      <c r="F265" s="13"/>
      <c r="G265" s="22"/>
      <c r="H265" s="13"/>
      <c r="I265" s="1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0.5" customHeight="1">
      <c r="A266" s="3"/>
      <c r="B266" s="13"/>
      <c r="C266" s="13"/>
      <c r="D266" s="13"/>
      <c r="E266" s="13"/>
      <c r="F266" s="13"/>
      <c r="G266" s="22"/>
      <c r="H266" s="13"/>
      <c r="I266" s="1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0.5" customHeight="1">
      <c r="A267" s="3"/>
      <c r="B267" s="13"/>
      <c r="C267" s="13"/>
      <c r="D267" s="13"/>
      <c r="E267" s="13"/>
      <c r="F267" s="13"/>
      <c r="G267" s="22"/>
      <c r="H267" s="13"/>
      <c r="I267" s="1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0.5" customHeight="1">
      <c r="A268" s="3"/>
      <c r="B268" s="13"/>
      <c r="C268" s="13"/>
      <c r="D268" s="13"/>
      <c r="E268" s="13"/>
      <c r="F268" s="13"/>
      <c r="G268" s="22"/>
      <c r="H268" s="13"/>
      <c r="I268" s="1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0.5" customHeight="1">
      <c r="A269" s="3"/>
      <c r="B269" s="13"/>
      <c r="C269" s="13"/>
      <c r="D269" s="13"/>
      <c r="E269" s="13"/>
      <c r="F269" s="13"/>
      <c r="G269" s="22"/>
      <c r="H269" s="13"/>
      <c r="I269" s="1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0.5" customHeight="1">
      <c r="A270" s="3"/>
      <c r="B270" s="13"/>
      <c r="C270" s="13"/>
      <c r="D270" s="13"/>
      <c r="E270" s="13"/>
      <c r="F270" s="13"/>
      <c r="G270" s="22"/>
      <c r="H270" s="13"/>
      <c r="I270" s="1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0.5" customHeight="1">
      <c r="A271" s="3"/>
      <c r="B271" s="13"/>
      <c r="C271" s="13"/>
      <c r="D271" s="13"/>
      <c r="E271" s="13"/>
      <c r="F271" s="13"/>
      <c r="G271" s="22"/>
      <c r="H271" s="13"/>
      <c r="I271" s="1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0.5" customHeight="1">
      <c r="A272" s="3"/>
      <c r="B272" s="13"/>
      <c r="C272" s="13"/>
      <c r="D272" s="13"/>
      <c r="E272" s="13"/>
      <c r="F272" s="13"/>
      <c r="G272" s="22"/>
      <c r="H272" s="13"/>
      <c r="I272" s="1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0.5" customHeight="1">
      <c r="A273" s="3"/>
      <c r="B273" s="13"/>
      <c r="C273" s="13"/>
      <c r="D273" s="13"/>
      <c r="E273" s="13"/>
      <c r="F273" s="13"/>
      <c r="G273" s="22"/>
      <c r="H273" s="13"/>
      <c r="I273" s="1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0.5" customHeight="1">
      <c r="A274" s="3"/>
      <c r="B274" s="13"/>
      <c r="C274" s="13"/>
      <c r="D274" s="13"/>
      <c r="E274" s="13"/>
      <c r="F274" s="13"/>
      <c r="G274" s="22"/>
      <c r="H274" s="13"/>
      <c r="I274" s="1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0.5" customHeight="1">
      <c r="A275" s="3"/>
      <c r="B275" s="13"/>
      <c r="C275" s="13"/>
      <c r="D275" s="13"/>
      <c r="E275" s="13"/>
      <c r="F275" s="13"/>
      <c r="G275" s="22"/>
      <c r="H275" s="13"/>
      <c r="I275" s="1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0.5" customHeight="1">
      <c r="A276" s="3"/>
      <c r="B276" s="13"/>
      <c r="C276" s="13"/>
      <c r="D276" s="13"/>
      <c r="E276" s="13"/>
      <c r="F276" s="13"/>
      <c r="G276" s="22"/>
      <c r="H276" s="13"/>
      <c r="I276" s="1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0.5" customHeight="1">
      <c r="A277" s="3"/>
      <c r="B277" s="13"/>
      <c r="C277" s="13"/>
      <c r="D277" s="13"/>
      <c r="E277" s="13"/>
      <c r="F277" s="13"/>
      <c r="G277" s="22"/>
      <c r="H277" s="13"/>
      <c r="I277" s="1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0.5" customHeight="1">
      <c r="A278" s="3"/>
      <c r="B278" s="13"/>
      <c r="C278" s="13"/>
      <c r="D278" s="13"/>
      <c r="E278" s="13"/>
      <c r="F278" s="13"/>
      <c r="G278" s="22"/>
      <c r="H278" s="13"/>
      <c r="I278" s="1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0.5" customHeight="1">
      <c r="A279" s="3"/>
      <c r="B279" s="13"/>
      <c r="C279" s="13"/>
      <c r="D279" s="13"/>
      <c r="E279" s="13"/>
      <c r="F279" s="13"/>
      <c r="G279" s="22"/>
      <c r="H279" s="13"/>
      <c r="I279" s="1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0.5" customHeight="1">
      <c r="A280" s="3"/>
      <c r="B280" s="13"/>
      <c r="C280" s="13"/>
      <c r="D280" s="13"/>
      <c r="E280" s="13"/>
      <c r="F280" s="13"/>
      <c r="G280" s="22"/>
      <c r="H280" s="13"/>
      <c r="I280" s="1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0.5" customHeight="1">
      <c r="A281" s="3"/>
      <c r="B281" s="13"/>
      <c r="C281" s="13"/>
      <c r="D281" s="13"/>
      <c r="E281" s="13"/>
      <c r="F281" s="13"/>
      <c r="G281" s="22"/>
      <c r="H281" s="13"/>
      <c r="I281" s="1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0.5" customHeight="1">
      <c r="A282" s="3"/>
      <c r="B282" s="13"/>
      <c r="C282" s="13"/>
      <c r="D282" s="13"/>
      <c r="E282" s="13"/>
      <c r="F282" s="13"/>
      <c r="G282" s="22"/>
      <c r="H282" s="13"/>
      <c r="I282" s="1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</sheetData>
  <mergeCells count="24">
    <mergeCell ref="K14:L16"/>
    <mergeCell ref="N16:O16"/>
    <mergeCell ref="N17:O17"/>
    <mergeCell ref="N18:O18"/>
    <mergeCell ref="K37:L40"/>
    <mergeCell ref="K41:L43"/>
    <mergeCell ref="K45:L48"/>
    <mergeCell ref="K50:L54"/>
    <mergeCell ref="K55:L59"/>
    <mergeCell ref="L71:L77"/>
    <mergeCell ref="K17:L19"/>
    <mergeCell ref="K20:K22"/>
    <mergeCell ref="L20:L22"/>
    <mergeCell ref="K23:L25"/>
    <mergeCell ref="K26:L30"/>
    <mergeCell ref="K31:L33"/>
    <mergeCell ref="K34:L36"/>
    <mergeCell ref="A22:C22"/>
    <mergeCell ref="A30:J30"/>
    <mergeCell ref="A31:J31"/>
    <mergeCell ref="A32:J32"/>
    <mergeCell ref="K2:L9"/>
    <mergeCell ref="K11:L13"/>
    <mergeCell ref="A13:J13"/>
  </mergeCells>
  <conditionalFormatting sqref="C2:C282">
    <cfRule type="cellIs" dxfId="0" priority="1" operator="equal">
      <formula>"Atmega"</formula>
    </cfRule>
  </conditionalFormatting>
  <conditionalFormatting sqref="J174">
    <cfRule type="cellIs" dxfId="0" priority="2" operator="equal">
      <formula>"Atmega"</formula>
    </cfRule>
  </conditionalFormatting>
  <conditionalFormatting sqref="J199">
    <cfRule type="cellIs" dxfId="0" priority="3" operator="equal">
      <formula>"Atmega"</formula>
    </cfRule>
  </conditionalFormatting>
  <conditionalFormatting sqref="J201">
    <cfRule type="cellIs" dxfId="0" priority="4" operator="equal">
      <formula>"Atmega"</formula>
    </cfRule>
  </conditionalFormatting>
  <conditionalFormatting sqref="J204">
    <cfRule type="cellIs" dxfId="0" priority="5" operator="equal">
      <formula>"Atmega"</formula>
    </cfRule>
  </conditionalFormatting>
  <conditionalFormatting sqref="J206">
    <cfRule type="cellIs" dxfId="0" priority="6" operator="equal">
      <formula>"Atmega"</formula>
    </cfRule>
  </conditionalFormatting>
  <conditionalFormatting sqref="J223">
    <cfRule type="cellIs" dxfId="0" priority="7" operator="equal">
      <formula>"Atmega"</formula>
    </cfRule>
  </conditionalFormatting>
  <conditionalFormatting sqref="J228">
    <cfRule type="cellIs" dxfId="0" priority="8" operator="equal">
      <formula>"Atmega"</formula>
    </cfRule>
  </conditionalFormatting>
  <conditionalFormatting sqref="J231">
    <cfRule type="cellIs" dxfId="0" priority="9" operator="equal">
      <formula>"Atmega"</formula>
    </cfRule>
  </conditionalFormatting>
  <conditionalFormatting sqref="J234">
    <cfRule type="cellIs" dxfId="0" priority="10" operator="equal">
      <formula>"Atmega"</formula>
    </cfRule>
  </conditionalFormatting>
  <conditionalFormatting sqref="J236">
    <cfRule type="cellIs" dxfId="0" priority="11" operator="equal">
      <formula>"Atmega"</formula>
    </cfRule>
  </conditionalFormatting>
  <conditionalFormatting sqref="C2:C282">
    <cfRule type="cellIs" dxfId="1" priority="12" operator="equal">
      <formula>"SiLabs"</formula>
    </cfRule>
  </conditionalFormatting>
  <conditionalFormatting sqref="J174">
    <cfRule type="cellIs" dxfId="1" priority="13" operator="equal">
      <formula>"SiLabs"</formula>
    </cfRule>
  </conditionalFormatting>
  <conditionalFormatting sqref="J199">
    <cfRule type="cellIs" dxfId="1" priority="14" operator="equal">
      <formula>"SiLabs"</formula>
    </cfRule>
  </conditionalFormatting>
  <conditionalFormatting sqref="J201">
    <cfRule type="cellIs" dxfId="1" priority="15" operator="equal">
      <formula>"SiLabs"</formula>
    </cfRule>
  </conditionalFormatting>
  <conditionalFormatting sqref="J204">
    <cfRule type="cellIs" dxfId="1" priority="16" operator="equal">
      <formula>"SiLabs"</formula>
    </cfRule>
  </conditionalFormatting>
  <conditionalFormatting sqref="J206">
    <cfRule type="cellIs" dxfId="1" priority="17" operator="equal">
      <formula>"SiLabs"</formula>
    </cfRule>
  </conditionalFormatting>
  <conditionalFormatting sqref="J223">
    <cfRule type="cellIs" dxfId="1" priority="18" operator="equal">
      <formula>"SiLabs"</formula>
    </cfRule>
  </conditionalFormatting>
  <conditionalFormatting sqref="J228">
    <cfRule type="cellIs" dxfId="1" priority="19" operator="equal">
      <formula>"SiLabs"</formula>
    </cfRule>
  </conditionalFormatting>
  <conditionalFormatting sqref="J231">
    <cfRule type="cellIs" dxfId="1" priority="20" operator="equal">
      <formula>"SiLabs"</formula>
    </cfRule>
  </conditionalFormatting>
  <conditionalFormatting sqref="J234">
    <cfRule type="cellIs" dxfId="1" priority="21" operator="equal">
      <formula>"SiLabs"</formula>
    </cfRule>
  </conditionalFormatting>
  <conditionalFormatting sqref="J236">
    <cfRule type="cellIs" dxfId="1" priority="22" operator="equal">
      <formula>"SiLabs"</formula>
    </cfRule>
  </conditionalFormatting>
  <drawing r:id="rId2"/>
  <legacyDrawing r:id="rId3"/>
</worksheet>
</file>