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A3D5E7-9946-4D8D-85CB-20BCA375E7DC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Attack" sheetId="2" r:id="rId1"/>
    <sheet name="Detection" sheetId="1" r:id="rId2"/>
    <sheet name="Data개수에 따른 성능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D16" i="3"/>
  <c r="D17" i="3"/>
  <c r="D18" i="3"/>
  <c r="D19" i="3"/>
  <c r="D20" i="3"/>
  <c r="D21" i="3"/>
  <c r="C21" i="3"/>
  <c r="C11" i="3"/>
  <c r="C10" i="3"/>
  <c r="D11" i="3"/>
  <c r="D10" i="3"/>
  <c r="D9" i="3"/>
  <c r="C9" i="3"/>
  <c r="D8" i="3"/>
  <c r="C8" i="3"/>
  <c r="D7" i="3"/>
  <c r="C7" i="3"/>
  <c r="D6" i="3"/>
  <c r="C6" i="3"/>
  <c r="H11" i="3"/>
  <c r="H10" i="3"/>
  <c r="H9" i="3"/>
  <c r="H8" i="3"/>
  <c r="H7" i="3"/>
  <c r="G17" i="1" l="1"/>
  <c r="N18" i="1"/>
  <c r="M18" i="1"/>
  <c r="L18" i="1"/>
  <c r="K18" i="1"/>
  <c r="J18" i="1"/>
  <c r="N17" i="1"/>
  <c r="M17" i="1"/>
  <c r="L17" i="1"/>
  <c r="K17" i="1"/>
  <c r="J17" i="1"/>
  <c r="N8" i="1"/>
  <c r="M8" i="1"/>
  <c r="L8" i="1"/>
  <c r="K8" i="1"/>
  <c r="J8" i="1"/>
  <c r="N7" i="1"/>
  <c r="M7" i="1"/>
  <c r="L7" i="1"/>
  <c r="K7" i="1"/>
  <c r="J7" i="1"/>
  <c r="G18" i="1"/>
  <c r="F18" i="1"/>
  <c r="E18" i="1"/>
  <c r="D18" i="1"/>
  <c r="C18" i="1"/>
  <c r="G20" i="1"/>
  <c r="F20" i="1"/>
  <c r="E20" i="1"/>
  <c r="C20" i="1"/>
  <c r="F17" i="1"/>
  <c r="D17" i="1"/>
  <c r="C17" i="1"/>
  <c r="G10" i="1"/>
  <c r="F10" i="1"/>
  <c r="E10" i="1"/>
  <c r="D10" i="1"/>
  <c r="C10" i="1"/>
  <c r="G8" i="1" l="1"/>
  <c r="F8" i="1"/>
  <c r="E8" i="1"/>
  <c r="D8" i="1"/>
  <c r="C8" i="1"/>
</calcChain>
</file>

<file path=xl/sharedStrings.xml><?xml version="1.0" encoding="utf-8"?>
<sst xmlns="http://schemas.openxmlformats.org/spreadsheetml/2006/main" count="64" uniqueCount="22">
  <si>
    <t>FGSM</t>
    <phoneticPr fontId="1" type="noConversion"/>
  </si>
  <si>
    <t>BIM</t>
    <phoneticPr fontId="1" type="noConversion"/>
  </si>
  <si>
    <t>JSMA</t>
    <phoneticPr fontId="1" type="noConversion"/>
  </si>
  <si>
    <t>DeepFool</t>
    <phoneticPr fontId="1" type="noConversion"/>
  </si>
  <si>
    <t>CW</t>
    <phoneticPr fontId="1" type="noConversion"/>
  </si>
  <si>
    <t>Baseline</t>
    <phoneticPr fontId="1" type="noConversion"/>
  </si>
  <si>
    <t>MNIST</t>
    <phoneticPr fontId="1" type="noConversion"/>
  </si>
  <si>
    <t>CIFAR10</t>
    <phoneticPr fontId="1" type="noConversion"/>
  </si>
  <si>
    <t>-</t>
    <phoneticPr fontId="1" type="noConversion"/>
  </si>
  <si>
    <t>제안 기법
(SE kernel)</t>
    <phoneticPr fontId="1" type="noConversion"/>
  </si>
  <si>
    <t>제안 기법 
(SE kernel)</t>
    <phoneticPr fontId="1" type="noConversion"/>
  </si>
  <si>
    <t>제안 기법
(RBF kernel)</t>
    <phoneticPr fontId="1" type="noConversion"/>
  </si>
  <si>
    <t>제안 기법 
(RBF kernel)</t>
    <phoneticPr fontId="1" type="noConversion"/>
  </si>
  <si>
    <t>C&amp;W</t>
    <phoneticPr fontId="1" type="noConversion"/>
  </si>
  <si>
    <t>Acc.</t>
    <phoneticPr fontId="1" type="noConversion"/>
  </si>
  <si>
    <t>size of perturb</t>
    <phoneticPr fontId="1" type="noConversion"/>
  </si>
  <si>
    <t>MNIST</t>
    <phoneticPr fontId="1" type="noConversion"/>
  </si>
  <si>
    <t>CIFAR10</t>
    <phoneticPr fontId="1" type="noConversion"/>
  </si>
  <si>
    <t>1. JSMA</t>
    <phoneticPr fontId="1" type="noConversion"/>
  </si>
  <si>
    <t>Proposed</t>
    <phoneticPr fontId="1" type="noConversion"/>
  </si>
  <si>
    <t>1. FGSM</t>
    <phoneticPr fontId="1" type="noConversion"/>
  </si>
  <si>
    <t>data수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</si>
</sst>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/>
    <xf numFmtId="0" fontId="2" fillId="0" borderId="0" xfId="0" applyFont="1" applyAlignment="1">
      <alignment vertical="center"/>
    </xf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7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MNIST, FGSM</a:t>
            </a:r>
            <a:endParaRPr lang="ko-KR" altLang="en-US" sz="17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547746952191721"/>
          <c:y val="3.8163030195278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10877553349309"/>
          <c:y val="0.17003244995093825"/>
          <c:w val="0.77748414158510559"/>
          <c:h val="0.6273726009342375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'Data개수에 따른 성능'!$D$5</c:f>
              <c:strCache>
                <c:ptCount val="1"/>
                <c:pt idx="0">
                  <c:v>Baseline</c:v>
                </c:pt>
              </c:strCache>
            </c:strRef>
          </c:tx>
          <c:spPr>
            <a:ln w="1524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'Data개수에 따른 성능'!$B$6:$B$11</c:f>
              <c:numCache>
                <c:formatCode>0_);[Red]\(0\)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성능'!$D$6:$D$11</c:f>
              <c:numCache>
                <c:formatCode>General</c:formatCode>
                <c:ptCount val="6"/>
                <c:pt idx="0">
                  <c:v>0.99609999999999999</c:v>
                </c:pt>
                <c:pt idx="1">
                  <c:v>0.97250000000000003</c:v>
                </c:pt>
                <c:pt idx="2">
                  <c:v>0.90029999999999999</c:v>
                </c:pt>
                <c:pt idx="3">
                  <c:v>0.88670000000000004</c:v>
                </c:pt>
                <c:pt idx="4">
                  <c:v>0.76959999999999995</c:v>
                </c:pt>
                <c:pt idx="5">
                  <c:v>0.52229999999999999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E-41A4-A23F-D734C81112DE}"/>
            </c:ext>
          </c:extLst>
        </c:ser>
        <c:ser>
          <c:idx val="0"/>
          <c:order val="1"/>
          <c:tx>
            <c:strRef>
              <c:f>'Data개수에 따른 성능'!$C$5</c:f>
              <c:strCache>
                <c:ptCount val="1"/>
                <c:pt idx="0">
                  <c:v>Proposed</c:v>
                </c:pt>
              </c:strCache>
            </c:strRef>
          </c:tx>
          <c:spPr>
            <a:ln w="1524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'Data개수에 따른 성능'!$B$6:$B$11</c:f>
              <c:numCache>
                <c:formatCode>0_);[Red]\(0\)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성능'!$C$6:$C$11</c:f>
              <c:numCache>
                <c:formatCode>General</c:formatCode>
                <c:ptCount val="6"/>
                <c:pt idx="0">
                  <c:v>0.92859999999999998</c:v>
                </c:pt>
                <c:pt idx="1">
                  <c:v>0.92510000000000003</c:v>
                </c:pt>
                <c:pt idx="2">
                  <c:v>0.89069999999999994</c:v>
                </c:pt>
                <c:pt idx="3">
                  <c:v>0.87290000000000001</c:v>
                </c:pt>
                <c:pt idx="4">
                  <c:v>0.82940000000000003</c:v>
                </c:pt>
                <c:pt idx="5">
                  <c:v>0.79110000000000003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E-41A4-A23F-D734C811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89871"/>
        <c:axId val="1181049391"/>
      </c:scatterChart>
      <c:valAx>
        <c:axId val="1089389871"/>
        <c:scaling>
          <c:orientation val="maxMin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ko-KR" sz="13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adversarial examples used in training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253906345818922"/>
              <c:y val="0.88860020978621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049391"/>
        <c:crosses val="autoZero"/>
        <c:crossBetween val="midCat"/>
      </c:valAx>
      <c:valAx>
        <c:axId val="11810493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48612848627566E-2"/>
              <c:y val="0.3610228843198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9389871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1158044496774"/>
          <c:y val="0.71067406865577154"/>
          <c:w val="0.35786160374812964"/>
          <c:h val="6.731812669724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7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CIFAR10, JSMA</a:t>
            </a:r>
            <a:endParaRPr lang="ko-KR" altLang="en-US" sz="17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800083400789849"/>
          <c:y val="4.2131282923608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10877553349309"/>
          <c:y val="0.17003244995093825"/>
          <c:w val="0.77748414158510559"/>
          <c:h val="0.6273726009342375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'Data개수에 따른 성능'!$D$15</c:f>
              <c:strCache>
                <c:ptCount val="1"/>
                <c:pt idx="0">
                  <c:v>Baseline</c:v>
                </c:pt>
              </c:strCache>
            </c:strRef>
          </c:tx>
          <c:spPr>
            <a:ln w="1524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'Data개수에 따른 성능'!$B$16:$B$21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성능'!$D$16:$D$21</c:f>
              <c:numCache>
                <c:formatCode>General</c:formatCode>
                <c:ptCount val="6"/>
                <c:pt idx="0">
                  <c:v>0.95810000000000006</c:v>
                </c:pt>
                <c:pt idx="1">
                  <c:v>0.95150000000000001</c:v>
                </c:pt>
                <c:pt idx="2">
                  <c:v>0.87749999999999995</c:v>
                </c:pt>
                <c:pt idx="3">
                  <c:v>0.71499999999999997</c:v>
                </c:pt>
                <c:pt idx="4">
                  <c:v>0.69209999999999994</c:v>
                </c:pt>
                <c:pt idx="5">
                  <c:v>0.54579999999999995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7F7-B6A1-C623A1F93D5B}"/>
            </c:ext>
          </c:extLst>
        </c:ser>
        <c:ser>
          <c:idx val="0"/>
          <c:order val="1"/>
          <c:tx>
            <c:strRef>
              <c:f>'Data개수에 따른 성능'!$C$15</c:f>
              <c:strCache>
                <c:ptCount val="1"/>
                <c:pt idx="0">
                  <c:v>Proposed</c:v>
                </c:pt>
              </c:strCache>
            </c:strRef>
          </c:tx>
          <c:spPr>
            <a:ln w="1524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'Data개수에 따른 성능'!$B$16:$B$21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성능'!$C$16:$C$21</c:f>
              <c:numCache>
                <c:formatCode>General</c:formatCode>
                <c:ptCount val="6"/>
                <c:pt idx="0">
                  <c:v>0.9486</c:v>
                </c:pt>
                <c:pt idx="1">
                  <c:v>0.94730000000000003</c:v>
                </c:pt>
                <c:pt idx="2">
                  <c:v>0.94409999999999994</c:v>
                </c:pt>
                <c:pt idx="3">
                  <c:v>0.93220000000000003</c:v>
                </c:pt>
                <c:pt idx="4">
                  <c:v>0.92290000000000005</c:v>
                </c:pt>
                <c:pt idx="5">
                  <c:v>0.86349999999999993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7F7-B6A1-C623A1F9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89871"/>
        <c:axId val="1181049391"/>
      </c:scatterChart>
      <c:valAx>
        <c:axId val="1089389871"/>
        <c:scaling>
          <c:orientation val="maxMin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ko-KR" sz="13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adversarial examples used in training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253906345818922"/>
              <c:y val="0.88860020978621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049391"/>
        <c:crosses val="autoZero"/>
        <c:crossBetween val="midCat"/>
      </c:valAx>
      <c:valAx>
        <c:axId val="11810493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48612848627566E-2"/>
              <c:y val="0.3610228843198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9389871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193686069615"/>
          <c:y val="0.71861057411243157"/>
          <c:w val="0.35786160374812964"/>
          <c:h val="6.731812669724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180974</xdr:rowOff>
    </xdr:from>
    <xdr:to>
      <xdr:col>15</xdr:col>
      <xdr:colOff>552450</xdr:colOff>
      <xdr:row>17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696CE6-8E2B-4359-9B3D-A2D0E0A6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200025</xdr:rowOff>
    </xdr:from>
    <xdr:to>
      <xdr:col>23</xdr:col>
      <xdr:colOff>295275</xdr:colOff>
      <xdr:row>17</xdr:row>
      <xdr:rowOff>47626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BE681A1-2472-45BF-9FD5-532540873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95B7-63BB-4400-8F67-9CD25CA1978B}">
  <dimension ref="D5:N8"/>
  <sheetViews>
    <sheetView workbookViewId="0">
      <selection activeCell="F25" sqref="F25"/>
    </sheetView>
  </sheetViews>
  <sheetFormatPr defaultRowHeight="16.5" x14ac:dyDescent="0.3"/>
  <cols>
    <col min="5" max="5" width="14.25" bestFit="1" customWidth="1"/>
    <col min="6" max="6" width="7.5" bestFit="1" customWidth="1"/>
    <col min="7" max="7" width="14.25" bestFit="1" customWidth="1"/>
    <col min="8" max="8" width="6.5" bestFit="1" customWidth="1"/>
    <col min="9" max="9" width="14.25" bestFit="1" customWidth="1"/>
    <col min="10" max="10" width="6.5" bestFit="1" customWidth="1"/>
    <col min="11" max="11" width="14.25" bestFit="1" customWidth="1"/>
    <col min="12" max="12" width="6.5" bestFit="1" customWidth="1"/>
    <col min="13" max="13" width="14.25" bestFit="1" customWidth="1"/>
    <col min="14" max="14" width="6.5" bestFit="1" customWidth="1"/>
  </cols>
  <sheetData>
    <row r="5" spans="4:14" x14ac:dyDescent="0.3">
      <c r="D5" s="2"/>
      <c r="E5" s="16" t="s">
        <v>0</v>
      </c>
      <c r="F5" s="16"/>
      <c r="G5" s="16" t="s">
        <v>1</v>
      </c>
      <c r="H5" s="16"/>
      <c r="I5" s="16" t="s">
        <v>3</v>
      </c>
      <c r="J5" s="16"/>
      <c r="K5" s="16" t="s">
        <v>2</v>
      </c>
      <c r="L5" s="16"/>
      <c r="M5" s="16" t="s">
        <v>13</v>
      </c>
      <c r="N5" s="16"/>
    </row>
    <row r="6" spans="4:14" x14ac:dyDescent="0.3">
      <c r="D6" s="2"/>
      <c r="E6" s="2" t="s">
        <v>15</v>
      </c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15</v>
      </c>
      <c r="L6" s="2" t="s">
        <v>14</v>
      </c>
      <c r="M6" s="2" t="s">
        <v>15</v>
      </c>
      <c r="N6" s="2" t="s">
        <v>14</v>
      </c>
    </row>
    <row r="7" spans="4:14" x14ac:dyDescent="0.3">
      <c r="D7" s="2" t="s">
        <v>16</v>
      </c>
      <c r="E7" s="2">
        <v>6.47</v>
      </c>
      <c r="F7" s="13">
        <v>8.2000000000000003E-2</v>
      </c>
      <c r="G7" s="2">
        <v>5.66</v>
      </c>
      <c r="H7" s="13">
        <v>6.0000000000000001E-3</v>
      </c>
      <c r="I7" s="2">
        <v>1.86</v>
      </c>
      <c r="J7" s="13">
        <v>6.3E-3</v>
      </c>
      <c r="K7" s="2">
        <v>5.1100000000000003</v>
      </c>
      <c r="L7" s="13">
        <v>1.2999999999999999E-3</v>
      </c>
      <c r="M7" s="2">
        <v>1.43</v>
      </c>
      <c r="N7" s="13">
        <v>6.3E-3</v>
      </c>
    </row>
    <row r="8" spans="4:14" x14ac:dyDescent="0.3">
      <c r="D8" s="2" t="s">
        <v>17</v>
      </c>
      <c r="E8" s="2">
        <v>1.94</v>
      </c>
      <c r="F8" s="13">
        <v>0.14410000000000001</v>
      </c>
      <c r="G8" s="2">
        <v>0.97</v>
      </c>
      <c r="H8" s="13">
        <v>5.8500000000000003E-2</v>
      </c>
      <c r="I8" s="2">
        <v>0.11</v>
      </c>
      <c r="J8" s="13">
        <v>5.9499999999999997E-2</v>
      </c>
      <c r="K8" s="2">
        <v>3.88</v>
      </c>
      <c r="L8" s="13">
        <v>1.03E-2</v>
      </c>
      <c r="M8" s="2">
        <v>0.08</v>
      </c>
      <c r="N8" s="13">
        <v>1.0699999999999999E-2</v>
      </c>
    </row>
  </sheetData>
  <mergeCells count="5">
    <mergeCell ref="E5:F5"/>
    <mergeCell ref="G5:H5"/>
    <mergeCell ref="I5:J5"/>
    <mergeCell ref="K5:L5"/>
    <mergeCell ref="M5:N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20"/>
  <sheetViews>
    <sheetView workbookViewId="0">
      <selection activeCell="C26" sqref="C26"/>
    </sheetView>
  </sheetViews>
  <sheetFormatPr defaultRowHeight="16.5" x14ac:dyDescent="0.3"/>
  <cols>
    <col min="2" max="2" width="12.75" customWidth="1"/>
    <col min="3" max="8" width="10.625" customWidth="1"/>
    <col min="9" max="9" width="13.75" customWidth="1"/>
    <col min="10" max="14" width="10.625" customWidth="1"/>
  </cols>
  <sheetData>
    <row r="4" spans="2:14" x14ac:dyDescent="0.3">
      <c r="B4" s="17" t="s">
        <v>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x14ac:dyDescent="0.3">
      <c r="B6" s="4">
        <v>300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I6" s="5">
        <v>500</v>
      </c>
      <c r="J6" s="5" t="s">
        <v>0</v>
      </c>
      <c r="K6" s="5" t="s">
        <v>1</v>
      </c>
      <c r="L6" s="5" t="s">
        <v>2</v>
      </c>
      <c r="M6" s="5" t="s">
        <v>3</v>
      </c>
      <c r="N6" s="5" t="s">
        <v>4</v>
      </c>
    </row>
    <row r="7" spans="2:14" ht="33" x14ac:dyDescent="0.3">
      <c r="B7" s="7" t="s">
        <v>10</v>
      </c>
      <c r="C7" s="8">
        <v>92.86</v>
      </c>
      <c r="D7" s="8">
        <v>69.3</v>
      </c>
      <c r="E7" s="10">
        <v>97.94</v>
      </c>
      <c r="F7" s="10">
        <v>99.64</v>
      </c>
      <c r="G7" s="10">
        <v>99.67</v>
      </c>
      <c r="I7" s="9" t="s">
        <v>9</v>
      </c>
      <c r="J7" s="8">
        <f>ROUND(AVERAGE(93.356),2)</f>
        <v>93.36</v>
      </c>
      <c r="K7" s="8">
        <f>ROUND(AVERAGE(64.586,63.595,64.592),2)</f>
        <v>64.260000000000005</v>
      </c>
      <c r="L7" s="10">
        <f>ROUND(AVERAGE(98.164),2)</f>
        <v>98.16</v>
      </c>
      <c r="M7" s="10">
        <f>ROUND(AVERAGE(99.512),2)</f>
        <v>99.51</v>
      </c>
      <c r="N7" s="10">
        <f>ROUND(AVERAGE(99.6605),2)</f>
        <v>99.66</v>
      </c>
    </row>
    <row r="8" spans="2:14" x14ac:dyDescent="0.3">
      <c r="B8" s="1" t="s">
        <v>5</v>
      </c>
      <c r="C8" s="10">
        <f>ROUND(AVERAGE(0.9979,0.9982,0.9888,0.9972,0.9984)*100,2)</f>
        <v>99.61</v>
      </c>
      <c r="D8" s="10">
        <f>ROUND(AVERAGE(0.9907,0.9897,0.9933,0.9934,0.9965)*100,2)</f>
        <v>99.27</v>
      </c>
      <c r="E8" s="8">
        <f>ROUND(AVERAGE(0.8902,0.8637,0.8105,0.6912,0.8937)*100,2)</f>
        <v>82.99</v>
      </c>
      <c r="F8" s="8">
        <f>ROUND(AVERAGE(0.5102,0.8027,0.509,0.7583,0.7474)*100,2)</f>
        <v>66.55</v>
      </c>
      <c r="G8" s="8">
        <f>ROUND(AVERAGE(0.5001,0.6931,0.6036,0.7125,0.5698)*100,2)</f>
        <v>61.58</v>
      </c>
      <c r="I8" s="6" t="s">
        <v>5</v>
      </c>
      <c r="J8" s="10">
        <f>ROUND(AVERAGE(0.9995,0.9995,0.9984,0.9993,0.9995)*100,2)</f>
        <v>99.92</v>
      </c>
      <c r="K8" s="10">
        <f>ROUND(AVERAGE(0.9979,0.9942,0.9996,0.9985,0.9989)*100,2)</f>
        <v>99.78</v>
      </c>
      <c r="L8" s="8">
        <f>ROUND(AVERAGE(0.9027,0.9457,0.8902,0.9044,0.9631)*100,2)</f>
        <v>92.12</v>
      </c>
      <c r="M8" s="8">
        <f>ROUND(AVERAGE(0.8731,0.8773,0.7475,0.8419,0.8037)*100,2)</f>
        <v>82.87</v>
      </c>
      <c r="N8" s="8">
        <f>ROUND(AVERAGE(0.8376,0.8401,0.7781,0.7543,0.766)*100,2)</f>
        <v>79.52</v>
      </c>
    </row>
    <row r="10" spans="2:14" ht="33" x14ac:dyDescent="0.3">
      <c r="B10" s="7" t="s">
        <v>12</v>
      </c>
      <c r="C10" s="8">
        <f>ROUND(AVERAGE(92.69,92.812,92.829),2)</f>
        <v>92.78</v>
      </c>
      <c r="D10" s="8">
        <f>ROUND(AVERAGE(66.438,66.464,66.459),2)</f>
        <v>66.45</v>
      </c>
      <c r="E10" s="11">
        <f>ROUND(AVERAGE(97.423,97.408,97.382),2)</f>
        <v>97.4</v>
      </c>
      <c r="F10" s="11">
        <f>ROUND(AVERAGE(99.32,99.2,99.185),2)</f>
        <v>99.24</v>
      </c>
      <c r="G10" s="11">
        <f>ROUND(AVERAGE(99.73,99.73,99.73),2)</f>
        <v>99.73</v>
      </c>
    </row>
    <row r="14" spans="2:14" x14ac:dyDescent="0.3">
      <c r="B14" s="17" t="s">
        <v>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x14ac:dyDescent="0.3">
      <c r="B16" s="4">
        <v>300</v>
      </c>
      <c r="C16" s="4" t="s">
        <v>0</v>
      </c>
      <c r="D16" s="4" t="s">
        <v>1</v>
      </c>
      <c r="E16" s="4" t="s">
        <v>2</v>
      </c>
      <c r="F16" s="4" t="s">
        <v>3</v>
      </c>
      <c r="G16" s="4" t="s">
        <v>4</v>
      </c>
      <c r="I16" s="5">
        <v>500</v>
      </c>
      <c r="J16" s="5" t="s">
        <v>0</v>
      </c>
      <c r="K16" s="5" t="s">
        <v>1</v>
      </c>
      <c r="L16" s="5" t="s">
        <v>2</v>
      </c>
      <c r="M16" s="5" t="s">
        <v>3</v>
      </c>
      <c r="N16" s="5" t="s">
        <v>4</v>
      </c>
    </row>
    <row r="17" spans="2:14" ht="33" x14ac:dyDescent="0.3">
      <c r="B17" s="7" t="s">
        <v>9</v>
      </c>
      <c r="C17" s="10">
        <f>ROUND(AVERAGE(76.764,76.999,76.999),2)</f>
        <v>76.92</v>
      </c>
      <c r="D17" s="10">
        <f>ROUND(AVERAGE(50.424,50.424,50.424),2)</f>
        <v>50.42</v>
      </c>
      <c r="E17" s="11">
        <v>94.86</v>
      </c>
      <c r="F17" s="10">
        <f>ROUND(AVERAGE(97.936,97.941,97.93),2)</f>
        <v>97.94</v>
      </c>
      <c r="G17" s="10">
        <f>ROUND(AVERAGE(97.947,97.922,97.93),2)</f>
        <v>97.93</v>
      </c>
      <c r="I17" s="9" t="s">
        <v>9</v>
      </c>
      <c r="J17" s="8">
        <f>ROUND(AVERAGE(77.793),2)</f>
        <v>77.790000000000006</v>
      </c>
      <c r="K17" s="10">
        <f>ROUND(AVERAGE(59.9178),2)</f>
        <v>59.92</v>
      </c>
      <c r="L17" s="11">
        <f>ROUND(AVERAGE(94.9305),2)</f>
        <v>94.93</v>
      </c>
      <c r="M17" s="10">
        <f>ROUND(AVERAGE(98.1599),2)</f>
        <v>98.16</v>
      </c>
      <c r="N17" s="10">
        <f>ROUND(AVERAGE(97.9979),2)</f>
        <v>98</v>
      </c>
    </row>
    <row r="18" spans="2:14" x14ac:dyDescent="0.3">
      <c r="B18" s="1" t="s">
        <v>5</v>
      </c>
      <c r="C18" s="11">
        <f>ROUND(AVERAGE(0.5185,0.701,0.5001,0.731,0.6602)*100,2)</f>
        <v>62.22</v>
      </c>
      <c r="D18" s="11">
        <f>ROUND(AVERAGE(0.5001,0.5015,0.5,0.5048,0.5001)*100,2)</f>
        <v>50.13</v>
      </c>
      <c r="E18" s="10">
        <f>ROUND(AVERAGE(0.9713,0.9618,0.9421,0.9789,0.9365)*100,2)</f>
        <v>95.81</v>
      </c>
      <c r="F18" s="8">
        <f>ROUND(AVERAGE(0.5,0.5,0.5,0.5,0.4999)*100,2)</f>
        <v>50</v>
      </c>
      <c r="G18" s="8">
        <f>ROUND(AVERAGE(0.5,0.5001,0.5,0.5,0.5002)*100,2)</f>
        <v>50.01</v>
      </c>
      <c r="I18" s="6" t="s">
        <v>5</v>
      </c>
      <c r="J18" s="10">
        <f>ROUND(AVERAGE(0.9812,0.971,0.9508,0.9889,0.8842)*100,2)</f>
        <v>95.52</v>
      </c>
      <c r="K18" s="11">
        <f>ROUND(AVERAGE(0.5002,0.5,0.5,0.5005,0.5)*100,2)</f>
        <v>50.01</v>
      </c>
      <c r="L18" s="10">
        <f>ROUND(AVERAGE(0.983,0.97,0.9827,0.986,0.9822)*100,2)</f>
        <v>98.08</v>
      </c>
      <c r="M18" s="8">
        <f>ROUND(AVERAGE(0.5001,0.4999,0.5,0.4999,0.5)*100,2)</f>
        <v>50</v>
      </c>
      <c r="N18" s="8">
        <f>ROUND(AVERAGE(0.5,0.5,0.5,0.5,0.4998)*100,2)</f>
        <v>50</v>
      </c>
    </row>
    <row r="20" spans="2:14" ht="33" x14ac:dyDescent="0.3">
      <c r="B20" s="7" t="s">
        <v>11</v>
      </c>
      <c r="C20" s="8">
        <f>ROUND(AVERAGE(76.777,76.783,76.72),2)</f>
        <v>76.760000000000005</v>
      </c>
      <c r="D20" s="12" t="s">
        <v>8</v>
      </c>
      <c r="E20" s="11">
        <f>ROUND(AVERAGE(94.672,94.666,94.666),2)</f>
        <v>94.67</v>
      </c>
      <c r="F20" s="11">
        <f>ROUND(AVERAGE(98.032,98.071,98.077),2)</f>
        <v>98.06</v>
      </c>
      <c r="G20" s="11">
        <f>ROUND(AVERAGE(98.091,98.082,98.074),2)</f>
        <v>98.08</v>
      </c>
    </row>
  </sheetData>
  <mergeCells count="2">
    <mergeCell ref="B4:N5"/>
    <mergeCell ref="B14:N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A27-56C5-4469-813B-59C4C02E1A58}">
  <dimension ref="B3:H21"/>
  <sheetViews>
    <sheetView tabSelected="1" workbookViewId="0">
      <selection activeCell="T21" sqref="T21"/>
    </sheetView>
  </sheetViews>
  <sheetFormatPr defaultRowHeight="16.5" x14ac:dyDescent="0.3"/>
  <sheetData>
    <row r="3" spans="2:8" x14ac:dyDescent="0.3">
      <c r="B3" s="16" t="s">
        <v>6</v>
      </c>
      <c r="C3" s="16"/>
      <c r="D3" s="16"/>
      <c r="F3" s="16" t="s">
        <v>6</v>
      </c>
      <c r="G3" s="16"/>
      <c r="H3" s="16"/>
    </row>
    <row r="4" spans="2:8" x14ac:dyDescent="0.3">
      <c r="B4" s="16" t="s">
        <v>20</v>
      </c>
      <c r="C4" s="16"/>
      <c r="D4" s="16"/>
      <c r="F4" s="16" t="s">
        <v>20</v>
      </c>
      <c r="G4" s="16"/>
      <c r="H4" s="16"/>
    </row>
    <row r="5" spans="2:8" x14ac:dyDescent="0.3">
      <c r="B5" s="2" t="s">
        <v>21</v>
      </c>
      <c r="C5" s="2" t="s">
        <v>19</v>
      </c>
      <c r="D5" s="2" t="s">
        <v>5</v>
      </c>
      <c r="F5" s="2" t="s">
        <v>21</v>
      </c>
      <c r="G5" s="2" t="s">
        <v>19</v>
      </c>
      <c r="H5" s="2" t="s">
        <v>5</v>
      </c>
    </row>
    <row r="6" spans="2:8" x14ac:dyDescent="0.3">
      <c r="B6" s="15">
        <v>300</v>
      </c>
      <c r="C6" s="2">
        <f>92.86/100</f>
        <v>0.92859999999999998</v>
      </c>
      <c r="D6" s="10">
        <f>99.61/100</f>
        <v>0.99609999999999999</v>
      </c>
      <c r="F6" s="15">
        <v>300</v>
      </c>
      <c r="G6" s="2">
        <v>92.86</v>
      </c>
      <c r="H6" s="10">
        <v>99.61</v>
      </c>
    </row>
    <row r="7" spans="2:8" x14ac:dyDescent="0.3">
      <c r="B7" s="15">
        <v>200</v>
      </c>
      <c r="C7" s="2">
        <f>92.51/100</f>
        <v>0.92510000000000003</v>
      </c>
      <c r="D7" s="10">
        <f>ROUND(AVERAGE(0.9744,0.9781,0.9835,0.979,0.9475)*100,2)/100</f>
        <v>0.97250000000000003</v>
      </c>
      <c r="F7" s="15">
        <v>200</v>
      </c>
      <c r="G7" s="2">
        <v>92.51</v>
      </c>
      <c r="H7" s="10">
        <f>ROUND(AVERAGE(0.9744,0.9781,0.9835,0.979,0.9475)*100,2)</f>
        <v>97.25</v>
      </c>
    </row>
    <row r="8" spans="2:8" x14ac:dyDescent="0.3">
      <c r="B8" s="15">
        <v>100</v>
      </c>
      <c r="C8" s="2">
        <f>89.07/100</f>
        <v>0.89069999999999994</v>
      </c>
      <c r="D8" s="10">
        <f>ROUND(AVERAGE(0.9278,0.8417,0.9352,0.9285,0.8682)*100,2)/100</f>
        <v>0.90029999999999999</v>
      </c>
      <c r="F8" s="15">
        <v>100</v>
      </c>
      <c r="G8" s="2">
        <v>89.07</v>
      </c>
      <c r="H8" s="10">
        <f>ROUND(AVERAGE(0.9278,0.8417,0.9352,0.9285,0.8682)*100,2)</f>
        <v>90.03</v>
      </c>
    </row>
    <row r="9" spans="2:8" x14ac:dyDescent="0.3">
      <c r="B9" s="15">
        <v>50</v>
      </c>
      <c r="C9" s="2">
        <f>87.29/100</f>
        <v>0.87290000000000001</v>
      </c>
      <c r="D9" s="10">
        <f>ROUND(AVERAGE(0.9053,0.8322,0.9258,0.9057,0.8644)*100,2)/100</f>
        <v>0.88670000000000004</v>
      </c>
      <c r="F9" s="15">
        <v>50</v>
      </c>
      <c r="G9" s="2">
        <v>87.29</v>
      </c>
      <c r="H9" s="10">
        <f>ROUND(AVERAGE(0.9053,0.8322,0.9258,0.9057,0.8644)*100,2)</f>
        <v>88.67</v>
      </c>
    </row>
    <row r="10" spans="2:8" x14ac:dyDescent="0.3">
      <c r="B10" s="15">
        <v>30</v>
      </c>
      <c r="C10" s="3">
        <f>82.94/100</f>
        <v>0.82940000000000003</v>
      </c>
      <c r="D10" s="11">
        <f>ROUND(AVERAGE(0.7458,0.7861,0.7679,0.8797,0.6684)*100,2)/100</f>
        <v>0.76959999999999995</v>
      </c>
      <c r="F10" s="15">
        <v>30</v>
      </c>
      <c r="G10" s="3">
        <v>82.94</v>
      </c>
      <c r="H10" s="11">
        <f>ROUND(AVERAGE(0.7458,0.7861,0.7679,0.8797,0.6684)*100,2)</f>
        <v>76.959999999999994</v>
      </c>
    </row>
    <row r="11" spans="2:8" x14ac:dyDescent="0.3">
      <c r="B11" s="15">
        <v>10</v>
      </c>
      <c r="C11" s="3">
        <f>79.11/100</f>
        <v>0.79110000000000003</v>
      </c>
      <c r="D11" s="11">
        <f>ROUND(AVERAGE(0.5,0.505,0.5002,0.5165,0.5898)*100,2)/100</f>
        <v>0.52229999999999999</v>
      </c>
      <c r="F11" s="15">
        <v>10</v>
      </c>
      <c r="G11" s="3">
        <v>79.11</v>
      </c>
      <c r="H11" s="11">
        <f>ROUND(AVERAGE(0.5,0.505,0.5002,0.5165,0.5898)*100,2)</f>
        <v>52.23</v>
      </c>
    </row>
    <row r="13" spans="2:8" x14ac:dyDescent="0.3">
      <c r="B13" s="16" t="s">
        <v>17</v>
      </c>
      <c r="C13" s="16"/>
      <c r="D13" s="16"/>
      <c r="E13" s="18"/>
      <c r="F13" s="18"/>
      <c r="G13" s="18"/>
    </row>
    <row r="14" spans="2:8" x14ac:dyDescent="0.3">
      <c r="B14" s="16" t="s">
        <v>18</v>
      </c>
      <c r="C14" s="16"/>
      <c r="D14" s="16"/>
    </row>
    <row r="15" spans="2:8" x14ac:dyDescent="0.3">
      <c r="B15" s="2"/>
      <c r="C15" s="2" t="s">
        <v>19</v>
      </c>
      <c r="D15" s="2" t="s">
        <v>5</v>
      </c>
      <c r="G15" s="14"/>
    </row>
    <row r="16" spans="2:8" x14ac:dyDescent="0.3">
      <c r="B16" s="2">
        <v>300</v>
      </c>
      <c r="C16" s="2">
        <f>94.86/100</f>
        <v>0.9486</v>
      </c>
      <c r="D16" s="10">
        <f>95.81/100</f>
        <v>0.95810000000000006</v>
      </c>
    </row>
    <row r="17" spans="2:4" x14ac:dyDescent="0.3">
      <c r="B17" s="2">
        <v>200</v>
      </c>
      <c r="C17" s="2">
        <f>ROUND(AVERAGE(94.732,94.737,94.732),2)/100</f>
        <v>0.94730000000000003</v>
      </c>
      <c r="D17" s="10">
        <f>ROUND(AVERAGE(0.9618,0.9213,0.9774,0.9515,0.9455)*100,2)/100</f>
        <v>0.95150000000000001</v>
      </c>
    </row>
    <row r="18" spans="2:4" x14ac:dyDescent="0.3">
      <c r="B18" s="2">
        <v>100</v>
      </c>
      <c r="C18" s="3">
        <f>ROUND(AVERAGE(94.386,94.419,94.425),2)/100</f>
        <v>0.94409999999999994</v>
      </c>
      <c r="D18" s="11">
        <f>ROUND(AVERAGE(0.86,0.8642,0.884,0.8882,0.8912)*100,2)/100</f>
        <v>0.87749999999999995</v>
      </c>
    </row>
    <row r="19" spans="2:4" x14ac:dyDescent="0.3">
      <c r="B19" s="2">
        <v>50</v>
      </c>
      <c r="C19" s="3">
        <f>ROUND(AVERAGE(93.229,93.229,93.201),2)/100</f>
        <v>0.93220000000000003</v>
      </c>
      <c r="D19" s="11">
        <f>ROUND(AVERAGE(0.7977,0.7004,0.739,0.6154,0.7226)*100,2)/100</f>
        <v>0.71499999999999997</v>
      </c>
    </row>
    <row r="20" spans="2:4" x14ac:dyDescent="0.3">
      <c r="B20" s="2">
        <v>30</v>
      </c>
      <c r="C20" s="3">
        <f>ROUND(AVERAGE(92.25,92.322,92.311),2)/100</f>
        <v>0.92290000000000005</v>
      </c>
      <c r="D20" s="11">
        <f>ROUND(AVERAGE(0.7248,0.5819,0.7163,0.7111,0.7263)*100,2)/100</f>
        <v>0.69209999999999994</v>
      </c>
    </row>
    <row r="21" spans="2:4" x14ac:dyDescent="0.3">
      <c r="B21" s="2">
        <v>10</v>
      </c>
      <c r="C21" s="3">
        <f>ROUND(AVERAGE(86.347,86.347,86.347),2)/100</f>
        <v>0.86349999999999993</v>
      </c>
      <c r="D21" s="11">
        <f>ROUND(AVERAGE(0.5872,0.5071,0.5,0.5,0.6348)*100,2)/100</f>
        <v>0.54579999999999995</v>
      </c>
    </row>
  </sheetData>
  <mergeCells count="7">
    <mergeCell ref="B13:D13"/>
    <mergeCell ref="B14:D14"/>
    <mergeCell ref="E13:G13"/>
    <mergeCell ref="B3:D3"/>
    <mergeCell ref="B4:D4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Attack</vt:lpstr>
      <vt:lpstr>Detection</vt:lpstr>
      <vt:lpstr>Data개수에 따른 성능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2019-02-20T13:17:47Z</dcterms:modified>
</cp:coreProperties>
</file>