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C:\Users\SnoopyYam\Documents\Templates\Retirement &amp; Savings Calculators\"/>
    </mc:Choice>
  </mc:AlternateContent>
  <xr:revisionPtr revIDLastSave="0" documentId="13_ncr:1_{F1DD55A3-1CA3-41D0-B30E-088719AF7600}" xr6:coauthVersionLast="47" xr6:coauthVersionMax="47" xr10:uidLastSave="{00000000-0000-0000-0000-000000000000}"/>
  <bookViews>
    <workbookView xWindow="-110" yWindow="-110" windowWidth="25820" windowHeight="13900" xr2:uid="{00000000-000D-0000-FFFF-FFFF00000000}"/>
  </bookViews>
  <sheets>
    <sheet name="401k" sheetId="1" r:id="rId1"/>
    <sheet name="Balance" sheetId="3" r:id="rId2"/>
    <sheet name="Help" sheetId="7" r:id="rId3"/>
  </sheets>
  <definedNames>
    <definedName name="nper" localSheetId="2">'401k'!$E$18</definedName>
    <definedName name="nper">'401k'!$E$18</definedName>
    <definedName name="_xlnm.Print_Area" localSheetId="0">OFFSET('401k'!$A$1,0,0,ROW('401k'!$A$32)+1+'401k'!$H$5,8)</definedName>
    <definedName name="_xlnm.Print_Area" localSheetId="1">Balance!$A$1:$N$38</definedName>
    <definedName name="_xlnm.Print_Titles" localSheetId="0">'401k'!$32:$32</definedName>
    <definedName name="randrate" localSheetId="2">'401k'!$H$22</definedName>
    <definedName name="randrate">'401k'!$H$21</definedName>
    <definedName name="solver_adj" localSheetId="0" hidden="1">'401k'!$E$17,'401k'!$E$11,'401k'!$E$8</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'401k'!#REF!</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valuevx">42.314159</definedName>
    <definedName name="vertex42_copyright" hidden="1">"© 2008-2018 Vertex42 LLC"</definedName>
    <definedName name="vertex42_id" hidden="1">"401k-calculator.xlsx"</definedName>
    <definedName name="vertex42_title" hidden="1">"401k Savings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1" l="1"/>
  <c r="H21" i="1"/>
  <c r="G7" i="3" l="1"/>
  <c r="I13" i="3"/>
  <c r="I14" i="3"/>
  <c r="I15" i="3"/>
  <c r="I16" i="3"/>
  <c r="H13" i="3"/>
  <c r="H14" i="3"/>
  <c r="H15" i="3"/>
  <c r="H16" i="3"/>
  <c r="G8" i="3"/>
  <c r="G9" i="3"/>
  <c r="J9" i="3" s="1"/>
  <c r="G10" i="3"/>
  <c r="J10" i="3" s="1"/>
  <c r="G11" i="3"/>
  <c r="J11" i="3" s="1"/>
  <c r="G12" i="3"/>
  <c r="G13" i="3"/>
  <c r="G14" i="3"/>
  <c r="G15" i="3"/>
  <c r="G16" i="3"/>
  <c r="J8" i="3"/>
  <c r="J12" i="3"/>
  <c r="J13" i="3"/>
  <c r="J14" i="3"/>
  <c r="J15" i="3"/>
  <c r="J16" i="3"/>
  <c r="J7" i="3"/>
  <c r="N13" i="3"/>
  <c r="N14" i="3"/>
  <c r="N15" i="3"/>
  <c r="N16" i="3"/>
  <c r="M13" i="3"/>
  <c r="M14" i="3"/>
  <c r="M15" i="3"/>
  <c r="M16" i="3"/>
  <c r="L13" i="3"/>
  <c r="L16" i="3"/>
  <c r="L15" i="3"/>
  <c r="L14" i="3"/>
  <c r="G6" i="3"/>
  <c r="J6" i="3" s="1"/>
  <c r="D6" i="3"/>
  <c r="H6" i="3" s="1"/>
  <c r="D7" i="3"/>
  <c r="N7" i="3" s="1"/>
  <c r="D8" i="3"/>
  <c r="N8" i="3" s="1"/>
  <c r="D9" i="3"/>
  <c r="N9" i="3" s="1"/>
  <c r="D10" i="3"/>
  <c r="N10" i="3" s="1"/>
  <c r="D11" i="3"/>
  <c r="N11" i="3" s="1"/>
  <c r="D12" i="3"/>
  <c r="N12" i="3" s="1"/>
  <c r="E18" i="3"/>
  <c r="H5" i="1"/>
  <c r="A34" i="1" s="1"/>
  <c r="B34" i="1" s="1"/>
  <c r="D34" i="1"/>
  <c r="H33" i="1"/>
  <c r="G8" i="1" l="1"/>
  <c r="C34" i="1"/>
  <c r="A35" i="1"/>
  <c r="E34" i="1"/>
  <c r="F34" i="1" s="1"/>
  <c r="I6" i="3"/>
  <c r="L6" i="3" s="1"/>
  <c r="H8" i="3"/>
  <c r="I8" i="3" s="1"/>
  <c r="L8" i="3" s="1"/>
  <c r="H7" i="3"/>
  <c r="I7" i="3" s="1"/>
  <c r="L7" i="3" s="1"/>
  <c r="M7" i="3" s="1"/>
  <c r="H12" i="3"/>
  <c r="I12" i="3" s="1"/>
  <c r="L12" i="3" s="1"/>
  <c r="H11" i="3"/>
  <c r="I11" i="3" s="1"/>
  <c r="H10" i="3"/>
  <c r="I10" i="3" s="1"/>
  <c r="L10" i="3" s="1"/>
  <c r="H9" i="3"/>
  <c r="I9" i="3" s="1"/>
  <c r="L9" i="3" s="1"/>
  <c r="M9" i="3" l="1"/>
  <c r="G34" i="1"/>
  <c r="H34" i="1" s="1"/>
  <c r="E15" i="1"/>
  <c r="J34" i="1"/>
  <c r="K34" i="1"/>
  <c r="A36" i="1"/>
  <c r="D35" i="1"/>
  <c r="E35" i="1" s="1"/>
  <c r="C35" i="1"/>
  <c r="B35" i="1"/>
  <c r="M10" i="3"/>
  <c r="L11" i="3"/>
  <c r="M11" i="3" s="1"/>
  <c r="E19" i="3"/>
  <c r="M12" i="3"/>
  <c r="M8" i="3"/>
  <c r="J35" i="1" l="1"/>
  <c r="F35" i="1"/>
  <c r="A37" i="1"/>
  <c r="B36" i="1"/>
  <c r="D36" i="1"/>
  <c r="E36" i="1" s="1"/>
  <c r="C36" i="1"/>
  <c r="J36" i="1" l="1"/>
  <c r="F36" i="1"/>
  <c r="K36" i="1" s="1"/>
  <c r="A38" i="1"/>
  <c r="D37" i="1"/>
  <c r="E37" i="1" s="1"/>
  <c r="J37" i="1" s="1"/>
  <c r="C37" i="1"/>
  <c r="B37" i="1"/>
  <c r="K35" i="1"/>
  <c r="G35" i="1"/>
  <c r="H35" i="1" s="1"/>
  <c r="G36" i="1" s="1"/>
  <c r="H36" i="1" s="1"/>
  <c r="F37" i="1" l="1"/>
  <c r="A39" i="1"/>
  <c r="C38" i="1"/>
  <c r="D38" i="1"/>
  <c r="E38" i="1" s="1"/>
  <c r="B38" i="1"/>
  <c r="J38" i="1" l="1"/>
  <c r="F38" i="1"/>
  <c r="A40" i="1"/>
  <c r="D39" i="1"/>
  <c r="E39" i="1" s="1"/>
  <c r="J39" i="1" s="1"/>
  <c r="C39" i="1"/>
  <c r="B39" i="1"/>
  <c r="K37" i="1"/>
  <c r="G37" i="1"/>
  <c r="H37" i="1" s="1"/>
  <c r="G38" i="1" l="1"/>
  <c r="H38" i="1" s="1"/>
  <c r="K38" i="1"/>
  <c r="F39" i="1"/>
  <c r="A41" i="1"/>
  <c r="D40" i="1"/>
  <c r="E40" i="1" s="1"/>
  <c r="B40" i="1"/>
  <c r="C40" i="1"/>
  <c r="G39" i="1" l="1"/>
  <c r="H39" i="1" s="1"/>
  <c r="G40" i="1" s="1"/>
  <c r="H40" i="1" s="1"/>
  <c r="J40" i="1"/>
  <c r="F40" i="1"/>
  <c r="K40" i="1" s="1"/>
  <c r="A42" i="1"/>
  <c r="D41" i="1"/>
  <c r="C41" i="1"/>
  <c r="E41" i="1"/>
  <c r="F41" i="1" s="1"/>
  <c r="B41" i="1"/>
  <c r="K39" i="1"/>
  <c r="K41" i="1" l="1"/>
  <c r="G41" i="1"/>
  <c r="H41" i="1" s="1"/>
  <c r="J41" i="1"/>
  <c r="A43" i="1"/>
  <c r="C42" i="1"/>
  <c r="D42" i="1"/>
  <c r="E42" i="1" s="1"/>
  <c r="B42" i="1"/>
  <c r="J42" i="1" l="1"/>
  <c r="F42" i="1"/>
  <c r="K42" i="1" s="1"/>
  <c r="A44" i="1"/>
  <c r="D43" i="1"/>
  <c r="E43" i="1" s="1"/>
  <c r="F43" i="1" s="1"/>
  <c r="C43" i="1"/>
  <c r="B43" i="1"/>
  <c r="J43" i="1" l="1"/>
  <c r="K43" i="1"/>
  <c r="G42" i="1"/>
  <c r="H42" i="1" s="1"/>
  <c r="G43" i="1" s="1"/>
  <c r="H43" i="1" s="1"/>
  <c r="A45" i="1"/>
  <c r="B44" i="1"/>
  <c r="D44" i="1"/>
  <c r="E44" i="1" s="1"/>
  <c r="C44" i="1"/>
  <c r="F44" i="1" l="1"/>
  <c r="G44" i="1" s="1"/>
  <c r="H44" i="1" s="1"/>
  <c r="J44" i="1"/>
  <c r="A46" i="1"/>
  <c r="D45" i="1"/>
  <c r="E45" i="1" s="1"/>
  <c r="C45" i="1"/>
  <c r="B45" i="1"/>
  <c r="F45" i="1" l="1"/>
  <c r="G45" i="1" s="1"/>
  <c r="H45" i="1" s="1"/>
  <c r="J45" i="1"/>
  <c r="K44" i="1"/>
  <c r="A47" i="1"/>
  <c r="C46" i="1"/>
  <c r="D46" i="1"/>
  <c r="E46" i="1" s="1"/>
  <c r="B46" i="1"/>
  <c r="K45" i="1" l="1"/>
  <c r="F46" i="1"/>
  <c r="K46" i="1" s="1"/>
  <c r="J46" i="1"/>
  <c r="A48" i="1"/>
  <c r="D47" i="1"/>
  <c r="E47" i="1" s="1"/>
  <c r="J47" i="1" s="1"/>
  <c r="C47" i="1"/>
  <c r="B47" i="1"/>
  <c r="G46" i="1" l="1"/>
  <c r="H46" i="1" s="1"/>
  <c r="F47" i="1"/>
  <c r="A49" i="1"/>
  <c r="D48" i="1"/>
  <c r="E48" i="1" s="1"/>
  <c r="B48" i="1"/>
  <c r="C48" i="1"/>
  <c r="G47" i="1" l="1"/>
  <c r="H47" i="1" s="1"/>
  <c r="K47" i="1"/>
  <c r="F48" i="1"/>
  <c r="K48" i="1" s="1"/>
  <c r="J48" i="1"/>
  <c r="A50" i="1"/>
  <c r="D49" i="1"/>
  <c r="E49" i="1" s="1"/>
  <c r="F49" i="1" s="1"/>
  <c r="K49" i="1" s="1"/>
  <c r="C49" i="1"/>
  <c r="B49" i="1"/>
  <c r="G48" i="1" l="1"/>
  <c r="H48" i="1" s="1"/>
  <c r="G49" i="1" s="1"/>
  <c r="H49" i="1" s="1"/>
  <c r="J49" i="1"/>
  <c r="A51" i="1"/>
  <c r="C50" i="1"/>
  <c r="D50" i="1"/>
  <c r="E50" i="1" s="1"/>
  <c r="B50" i="1"/>
  <c r="J50" i="1" l="1"/>
  <c r="F50" i="1"/>
  <c r="G50" i="1" s="1"/>
  <c r="H50" i="1" s="1"/>
  <c r="A52" i="1"/>
  <c r="D51" i="1"/>
  <c r="E51" i="1" s="1"/>
  <c r="F51" i="1" s="1"/>
  <c r="C51" i="1"/>
  <c r="B51" i="1"/>
  <c r="J51" i="1" l="1"/>
  <c r="G51" i="1"/>
  <c r="H51" i="1" s="1"/>
  <c r="K50" i="1"/>
  <c r="K51" i="1"/>
  <c r="A53" i="1"/>
  <c r="B52" i="1"/>
  <c r="D52" i="1"/>
  <c r="E52" i="1" s="1"/>
  <c r="C52" i="1"/>
  <c r="J52" i="1" l="1"/>
  <c r="F52" i="1"/>
  <c r="G52" i="1" s="1"/>
  <c r="H52" i="1" s="1"/>
  <c r="K52" i="1"/>
  <c r="A54" i="1"/>
  <c r="D53" i="1"/>
  <c r="E53" i="1" s="1"/>
  <c r="C53" i="1"/>
  <c r="B53" i="1"/>
  <c r="F53" i="1" l="1"/>
  <c r="G53" i="1" s="1"/>
  <c r="H53" i="1" s="1"/>
  <c r="J53" i="1"/>
  <c r="A55" i="1"/>
  <c r="C54" i="1"/>
  <c r="D54" i="1"/>
  <c r="E54" i="1" s="1"/>
  <c r="B54" i="1"/>
  <c r="K53" i="1" l="1"/>
  <c r="J54" i="1"/>
  <c r="F54" i="1"/>
  <c r="K54" i="1"/>
  <c r="G54" i="1"/>
  <c r="H54" i="1" s="1"/>
  <c r="A56" i="1"/>
  <c r="D55" i="1"/>
  <c r="C55" i="1"/>
  <c r="E55" i="1"/>
  <c r="F55" i="1" s="1"/>
  <c r="B55" i="1"/>
  <c r="J55" i="1" l="1"/>
  <c r="K55" i="1"/>
  <c r="G55" i="1"/>
  <c r="H55" i="1" s="1"/>
  <c r="A57" i="1"/>
  <c r="D56" i="1"/>
  <c r="E56" i="1" s="1"/>
  <c r="B56" i="1"/>
  <c r="C56" i="1"/>
  <c r="J56" i="1" l="1"/>
  <c r="F56" i="1"/>
  <c r="G56" i="1" s="1"/>
  <c r="H56" i="1" s="1"/>
  <c r="A58" i="1"/>
  <c r="D57" i="1"/>
  <c r="E57" i="1" s="1"/>
  <c r="C57" i="1"/>
  <c r="B57" i="1"/>
  <c r="K56" i="1" l="1"/>
  <c r="F57" i="1"/>
  <c r="K57" i="1" s="1"/>
  <c r="J57" i="1"/>
  <c r="G57" i="1"/>
  <c r="H57" i="1" s="1"/>
  <c r="A59" i="1"/>
  <c r="C58" i="1"/>
  <c r="D58" i="1"/>
  <c r="E58" i="1" s="1"/>
  <c r="B58" i="1"/>
  <c r="J58" i="1" l="1"/>
  <c r="F58" i="1"/>
  <c r="G58" i="1" s="1"/>
  <c r="H58" i="1" s="1"/>
  <c r="A60" i="1"/>
  <c r="D59" i="1"/>
  <c r="E59" i="1" s="1"/>
  <c r="J59" i="1" s="1"/>
  <c r="C59" i="1"/>
  <c r="B59" i="1"/>
  <c r="K58" i="1" l="1"/>
  <c r="F59" i="1"/>
  <c r="A61" i="1"/>
  <c r="B60" i="1"/>
  <c r="D60" i="1"/>
  <c r="E60" i="1" s="1"/>
  <c r="C60" i="1"/>
  <c r="J60" i="1" l="1"/>
  <c r="F60" i="1"/>
  <c r="K60" i="1" s="1"/>
  <c r="A62" i="1"/>
  <c r="D61" i="1"/>
  <c r="E61" i="1" s="1"/>
  <c r="C61" i="1"/>
  <c r="B61" i="1"/>
  <c r="G59" i="1"/>
  <c r="H59" i="1" s="1"/>
  <c r="G60" i="1" s="1"/>
  <c r="H60" i="1" s="1"/>
  <c r="K59" i="1"/>
  <c r="F61" i="1" l="1"/>
  <c r="K61" i="1" s="1"/>
  <c r="J61" i="1"/>
  <c r="A63" i="1"/>
  <c r="C62" i="1"/>
  <c r="D62" i="1"/>
  <c r="E62" i="1" s="1"/>
  <c r="B62" i="1"/>
  <c r="G61" i="1" l="1"/>
  <c r="H61" i="1" s="1"/>
  <c r="J62" i="1"/>
  <c r="F62" i="1"/>
  <c r="A64" i="1"/>
  <c r="D63" i="1"/>
  <c r="H9" i="1" s="1"/>
  <c r="C63" i="1"/>
  <c r="H25" i="1" s="1"/>
  <c r="B63" i="1"/>
  <c r="E63" i="1" l="1"/>
  <c r="F63" i="1" s="1"/>
  <c r="G62" i="1"/>
  <c r="H62" i="1" s="1"/>
  <c r="K62" i="1"/>
  <c r="E64" i="1"/>
  <c r="A65" i="1"/>
  <c r="D64" i="1"/>
  <c r="F64" i="1"/>
  <c r="J64" i="1"/>
  <c r="B64" i="1"/>
  <c r="C64" i="1"/>
  <c r="H64" i="1"/>
  <c r="K64" i="1"/>
  <c r="G64" i="1"/>
  <c r="H13" i="1" l="1"/>
  <c r="K63" i="1"/>
  <c r="G63" i="1"/>
  <c r="H63" i="1" s="1"/>
  <c r="H8" i="1" s="1"/>
  <c r="H12" i="1"/>
  <c r="J63" i="1"/>
  <c r="A66" i="1"/>
  <c r="F65" i="1"/>
  <c r="D65" i="1"/>
  <c r="C65" i="1"/>
  <c r="K65" i="1"/>
  <c r="G65" i="1"/>
  <c r="H65" i="1"/>
  <c r="E65" i="1"/>
  <c r="J65" i="1"/>
  <c r="B65" i="1"/>
  <c r="H14" i="1" l="1"/>
  <c r="A67" i="1"/>
  <c r="E66" i="1"/>
  <c r="F66" i="1"/>
  <c r="C66" i="1"/>
  <c r="J66" i="1"/>
  <c r="D66" i="1"/>
  <c r="H66" i="1"/>
  <c r="K66" i="1"/>
  <c r="G66" i="1"/>
  <c r="B66" i="1"/>
  <c r="A68" i="1" l="1"/>
  <c r="D67" i="1"/>
  <c r="F67" i="1"/>
  <c r="K67" i="1"/>
  <c r="G67" i="1"/>
  <c r="E67" i="1"/>
  <c r="H67" i="1"/>
  <c r="C67" i="1"/>
  <c r="J67" i="1"/>
  <c r="B67" i="1"/>
  <c r="E68" i="1" l="1"/>
  <c r="A69" i="1"/>
  <c r="J68" i="1"/>
  <c r="B68" i="1"/>
  <c r="D68" i="1"/>
  <c r="C68" i="1"/>
  <c r="F68" i="1"/>
  <c r="H68" i="1"/>
  <c r="K68" i="1"/>
  <c r="G68" i="1"/>
  <c r="A70" i="1" l="1"/>
  <c r="F69" i="1"/>
  <c r="D69" i="1"/>
  <c r="C69" i="1"/>
  <c r="E69" i="1"/>
  <c r="K69" i="1"/>
  <c r="H69" i="1"/>
  <c r="J69" i="1"/>
  <c r="G69" i="1"/>
  <c r="B69" i="1"/>
  <c r="A71" i="1" l="1"/>
  <c r="E70" i="1"/>
  <c r="C70" i="1"/>
  <c r="D70" i="1"/>
  <c r="J70" i="1"/>
  <c r="F70" i="1"/>
  <c r="H70" i="1"/>
  <c r="B70" i="1"/>
  <c r="K70" i="1"/>
  <c r="G70" i="1"/>
  <c r="A72" i="1" l="1"/>
  <c r="D71" i="1"/>
  <c r="F71" i="1"/>
  <c r="K71" i="1"/>
  <c r="H71" i="1"/>
  <c r="C71" i="1"/>
  <c r="E71" i="1"/>
  <c r="J71" i="1"/>
  <c r="G71" i="1"/>
  <c r="B71" i="1"/>
  <c r="E72" i="1" l="1"/>
  <c r="A73" i="1"/>
  <c r="D72" i="1"/>
  <c r="F72" i="1"/>
  <c r="J72" i="1"/>
  <c r="B72" i="1"/>
  <c r="C72" i="1"/>
  <c r="H72" i="1"/>
  <c r="G72" i="1"/>
  <c r="K72" i="1"/>
  <c r="A74" i="1" l="1"/>
  <c r="F73" i="1"/>
  <c r="D73" i="1"/>
  <c r="C73" i="1"/>
  <c r="K73" i="1"/>
  <c r="H73" i="1"/>
  <c r="E73" i="1"/>
  <c r="J73" i="1"/>
  <c r="G73" i="1"/>
  <c r="B73" i="1"/>
  <c r="A75" i="1" l="1"/>
  <c r="E74" i="1"/>
  <c r="F74" i="1"/>
  <c r="C74" i="1"/>
  <c r="J74" i="1"/>
  <c r="D74" i="1"/>
  <c r="H74" i="1"/>
  <c r="K74" i="1"/>
  <c r="G74" i="1"/>
  <c r="B74" i="1"/>
  <c r="A76" i="1" l="1"/>
  <c r="D75" i="1"/>
  <c r="F75" i="1"/>
  <c r="K75" i="1"/>
  <c r="E75" i="1"/>
  <c r="H75" i="1"/>
  <c r="C75" i="1"/>
  <c r="J75" i="1"/>
  <c r="G75" i="1"/>
  <c r="B75" i="1"/>
  <c r="E76" i="1" l="1"/>
  <c r="A77" i="1"/>
  <c r="J76" i="1"/>
  <c r="B76" i="1"/>
  <c r="D76" i="1"/>
  <c r="C76" i="1"/>
  <c r="F76" i="1"/>
  <c r="H76" i="1"/>
  <c r="K76" i="1"/>
  <c r="G76" i="1"/>
  <c r="A78" i="1" l="1"/>
  <c r="F77" i="1"/>
  <c r="D77" i="1"/>
  <c r="C77" i="1"/>
  <c r="E77" i="1"/>
  <c r="K77" i="1"/>
  <c r="H77" i="1"/>
  <c r="J77" i="1"/>
  <c r="B77" i="1"/>
  <c r="G77" i="1"/>
  <c r="A79" i="1" l="1"/>
  <c r="E78" i="1"/>
  <c r="C78" i="1"/>
  <c r="D78" i="1"/>
  <c r="J78" i="1"/>
  <c r="F78" i="1"/>
  <c r="H78" i="1"/>
  <c r="B78" i="1"/>
  <c r="K78" i="1"/>
  <c r="G78" i="1"/>
  <c r="A80" i="1" l="1"/>
  <c r="D79" i="1"/>
  <c r="F79" i="1"/>
  <c r="K79" i="1"/>
  <c r="H79" i="1"/>
  <c r="C79" i="1"/>
  <c r="E79" i="1"/>
  <c r="J79" i="1"/>
  <c r="G79" i="1"/>
  <c r="B79" i="1"/>
  <c r="E80" i="1" l="1"/>
  <c r="A81" i="1"/>
  <c r="D80" i="1"/>
  <c r="F80" i="1"/>
  <c r="J80" i="1"/>
  <c r="B80" i="1"/>
  <c r="C80" i="1"/>
  <c r="H80" i="1"/>
  <c r="G80" i="1"/>
  <c r="K80" i="1"/>
  <c r="A82" i="1" l="1"/>
  <c r="F81" i="1"/>
  <c r="D81" i="1"/>
  <c r="C81" i="1"/>
  <c r="K81" i="1"/>
  <c r="H81" i="1"/>
  <c r="E81" i="1"/>
  <c r="J81" i="1"/>
  <c r="B81" i="1"/>
  <c r="G81" i="1"/>
  <c r="A83" i="1" l="1"/>
  <c r="E82" i="1"/>
  <c r="F82" i="1"/>
  <c r="C82" i="1"/>
  <c r="J82" i="1"/>
  <c r="D82" i="1"/>
  <c r="H82" i="1"/>
  <c r="K82" i="1"/>
  <c r="B82" i="1"/>
  <c r="G82" i="1"/>
  <c r="A84" i="1" l="1"/>
  <c r="D83" i="1"/>
  <c r="F83" i="1"/>
  <c r="K83" i="1"/>
  <c r="E83" i="1"/>
  <c r="H83" i="1"/>
  <c r="C83" i="1"/>
  <c r="J83" i="1"/>
  <c r="G83" i="1"/>
  <c r="B83" i="1"/>
  <c r="E84" i="1" l="1"/>
  <c r="A85" i="1"/>
  <c r="J84" i="1"/>
  <c r="B84" i="1"/>
  <c r="D84" i="1"/>
  <c r="C84" i="1"/>
  <c r="F84" i="1"/>
  <c r="H84" i="1"/>
  <c r="K84" i="1"/>
  <c r="G84" i="1"/>
  <c r="A86" i="1" l="1"/>
  <c r="F85" i="1"/>
  <c r="D85" i="1"/>
  <c r="C85" i="1"/>
  <c r="E85" i="1"/>
  <c r="K85" i="1"/>
  <c r="H85" i="1"/>
  <c r="J85" i="1"/>
  <c r="G85" i="1"/>
  <c r="B85" i="1"/>
  <c r="A87" i="1" l="1"/>
  <c r="E86" i="1"/>
  <c r="C86" i="1"/>
  <c r="D86" i="1"/>
  <c r="J86" i="1"/>
  <c r="F86" i="1"/>
  <c r="H86" i="1"/>
  <c r="B86" i="1"/>
  <c r="K86" i="1"/>
  <c r="G86" i="1"/>
  <c r="A88" i="1" l="1"/>
  <c r="D87" i="1"/>
  <c r="F87" i="1"/>
  <c r="K87" i="1"/>
  <c r="H87" i="1"/>
  <c r="C87" i="1"/>
  <c r="E87" i="1"/>
  <c r="J87" i="1"/>
  <c r="G87" i="1"/>
  <c r="B87" i="1"/>
  <c r="E88" i="1" l="1"/>
  <c r="A89" i="1"/>
  <c r="D88" i="1"/>
  <c r="F88" i="1"/>
  <c r="J88" i="1"/>
  <c r="B88" i="1"/>
  <c r="C88" i="1"/>
  <c r="H88" i="1"/>
  <c r="G88" i="1"/>
  <c r="K88" i="1"/>
  <c r="A90" i="1" l="1"/>
  <c r="F89" i="1"/>
  <c r="D89" i="1"/>
  <c r="C89" i="1"/>
  <c r="K89" i="1"/>
  <c r="H89" i="1"/>
  <c r="E89" i="1"/>
  <c r="J89" i="1"/>
  <c r="G89" i="1"/>
  <c r="B89" i="1"/>
  <c r="A91" i="1" l="1"/>
  <c r="E90" i="1"/>
  <c r="F90" i="1"/>
  <c r="C90" i="1"/>
  <c r="J90" i="1"/>
  <c r="D90" i="1"/>
  <c r="H90" i="1"/>
  <c r="K90" i="1"/>
  <c r="B90" i="1"/>
  <c r="G90" i="1"/>
  <c r="A92" i="1" l="1"/>
  <c r="D91" i="1"/>
  <c r="F91" i="1"/>
  <c r="K91" i="1"/>
  <c r="E91" i="1"/>
  <c r="H91" i="1"/>
  <c r="C91" i="1"/>
  <c r="J91" i="1"/>
  <c r="G91" i="1"/>
  <c r="B91" i="1"/>
  <c r="E92" i="1" l="1"/>
  <c r="A93" i="1"/>
  <c r="J92" i="1"/>
  <c r="B92" i="1"/>
  <c r="D92" i="1"/>
  <c r="C92" i="1"/>
  <c r="F92" i="1"/>
  <c r="H92" i="1"/>
  <c r="K92" i="1"/>
  <c r="G92" i="1"/>
  <c r="F93" i="1" l="1"/>
  <c r="D93" i="1"/>
  <c r="C93" i="1"/>
  <c r="E93" i="1"/>
  <c r="K93" i="1"/>
  <c r="H93" i="1"/>
  <c r="J93" i="1"/>
  <c r="B93" i="1"/>
  <c r="G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Maria</author>
    <author>Vertex42</author>
  </authors>
  <commentList>
    <comment ref="D5" authorId="0" shapeId="0" xr:uid="{00000000-0006-0000-0000-000001000000}">
      <text>
        <r>
          <rPr>
            <b/>
            <sz val="8"/>
            <color indexed="81"/>
            <rFont val="Tahoma"/>
            <family val="2"/>
          </rPr>
          <t>Current Age:</t>
        </r>
        <r>
          <rPr>
            <sz val="8"/>
            <color indexed="81"/>
            <rFont val="Tahoma"/>
            <family val="2"/>
          </rPr>
          <t xml:space="preserve">
This is used to calculate the number of years to invest.</t>
        </r>
      </text>
    </comment>
    <comment ref="G5" authorId="1" shapeId="0" xr:uid="{00000000-0006-0000-0000-000002000000}">
      <text>
        <r>
          <rPr>
            <b/>
            <sz val="8"/>
            <color indexed="81"/>
            <rFont val="Tahoma"/>
            <family val="2"/>
          </rPr>
          <t>Years to Invest:</t>
        </r>
        <r>
          <rPr>
            <sz val="8"/>
            <color indexed="81"/>
            <rFont val="Tahoma"/>
            <family val="2"/>
          </rPr>
          <t xml:space="preserve">
Number of years to make contributions to your 401(k). The calculator is currently set up to calculate this value based on your current age and age at retirement, but you can override the formula here to enter a specific value.</t>
        </r>
      </text>
    </comment>
    <comment ref="D6" authorId="0" shapeId="0" xr:uid="{00000000-0006-0000-0000-000003000000}">
      <text>
        <r>
          <rPr>
            <b/>
            <sz val="8"/>
            <color indexed="81"/>
            <rFont val="Tahoma"/>
            <family val="2"/>
          </rPr>
          <t>Age at Retirement:</t>
        </r>
        <r>
          <rPr>
            <sz val="8"/>
            <color indexed="81"/>
            <rFont val="Tahoma"/>
            <family val="2"/>
          </rPr>
          <t xml:space="preserve">
This is used to estimate the number of years to invest.</t>
        </r>
      </text>
    </comment>
    <comment ref="D12" authorId="0" shapeId="0" xr:uid="{00000000-0006-0000-0000-000004000000}">
      <text>
        <r>
          <rPr>
            <b/>
            <sz val="8"/>
            <color indexed="81"/>
            <rFont val="Tahoma"/>
            <family val="2"/>
          </rPr>
          <t>Percent Contribution:</t>
        </r>
        <r>
          <rPr>
            <sz val="8"/>
            <color indexed="81"/>
            <rFont val="Tahoma"/>
            <family val="2"/>
          </rPr>
          <t xml:space="preserve">
The amount that you will contribute is based on the percentage of your salary. It is usually withheld from your paycheck and deposited into your 401(k) automatically</t>
        </r>
        <r>
          <rPr>
            <sz val="8"/>
            <color indexed="81"/>
            <rFont val="Tahoma"/>
            <family val="2"/>
          </rPr>
          <t>. Many companies limit the maximum amount that you can contribute (often 15% max).</t>
        </r>
        <r>
          <rPr>
            <sz val="8"/>
            <color indexed="81"/>
            <rFont val="Tahoma"/>
            <family val="2"/>
          </rPr>
          <t xml:space="preserve">
</t>
        </r>
      </text>
    </comment>
    <comment ref="D13" authorId="2" shapeId="0" xr:uid="{4BDA6600-3C82-4B2E-82E9-B30161BB58DE}">
      <text>
        <r>
          <rPr>
            <b/>
            <sz val="9"/>
            <color indexed="81"/>
            <rFont val="Tahoma"/>
            <family val="2"/>
          </rPr>
          <t>Employer Match:</t>
        </r>
        <r>
          <rPr>
            <sz val="9"/>
            <color indexed="81"/>
            <rFont val="Tahoma"/>
            <family val="2"/>
          </rPr>
          <t xml:space="preserve">
This is the amount your employer contributes, specified as a percentage of your contribution.
For example, if you contributed $1000 and your company matches 50%, then your company would contribute $500.</t>
        </r>
      </text>
    </comment>
    <comment ref="D14" authorId="2" shapeId="0" xr:uid="{C39B9B2A-068C-4441-97DC-305B9AE18134}">
      <text>
        <r>
          <rPr>
            <b/>
            <sz val="9"/>
            <color indexed="81"/>
            <rFont val="Tahoma"/>
            <family val="2"/>
          </rPr>
          <t>Maximum Employee % Contribution (for Employer Match)</t>
        </r>
        <r>
          <rPr>
            <sz val="9"/>
            <color indexed="81"/>
            <rFont val="Tahoma"/>
            <family val="2"/>
          </rPr>
          <t xml:space="preserve">
There is usually a limit to how much of your contribution your company will match. The maximum employer contribution is often stated as "50% match up to 6% of your salary." For this spreadsheet, this should be interpreted as "</t>
        </r>
        <r>
          <rPr>
            <b/>
            <sz val="9"/>
            <color indexed="81"/>
            <rFont val="Tahoma"/>
            <family val="2"/>
          </rPr>
          <t>50% match up to an employee contribution of 6%.</t>
        </r>
        <r>
          <rPr>
            <sz val="9"/>
            <color indexed="81"/>
            <rFont val="Tahoma"/>
            <family val="2"/>
          </rPr>
          <t>" This means that the company stops matching the rest of your contribution if you contribute more than 6% of your salary.</t>
        </r>
      </text>
    </comment>
    <comment ref="E15" authorId="0" shapeId="0" xr:uid="{00000000-0006-0000-0000-000007000000}">
      <text>
        <r>
          <rPr>
            <b/>
            <sz val="8"/>
            <color indexed="81"/>
            <rFont val="Tahoma"/>
            <family val="2"/>
          </rPr>
          <t>Contribution Limit Warning:</t>
        </r>
        <r>
          <rPr>
            <sz val="8"/>
            <color indexed="81"/>
            <rFont val="Tahoma"/>
            <family val="2"/>
          </rPr>
          <t xml:space="preserve">
The calculator allows you to make contributions over the IRS limit, but this cell will warn you whether your first annual contribution is over the limit.</t>
        </r>
      </text>
    </comment>
    <comment ref="D17" authorId="1" shapeId="0" xr:uid="{00000000-0006-0000-0000-000008000000}">
      <text>
        <r>
          <rPr>
            <b/>
            <sz val="8"/>
            <color indexed="81"/>
            <rFont val="Tahoma"/>
            <family val="2"/>
          </rPr>
          <t>Annual Rate of Return:</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unless the "Use Random Rates" box is checked.</t>
        </r>
      </text>
    </comment>
    <comment ref="D18" authorId="0" shapeId="0" xr:uid="{00000000-0006-0000-0000-000009000000}">
      <text>
        <r>
          <rPr>
            <b/>
            <sz val="8"/>
            <color indexed="81"/>
            <rFont val="Tahoma"/>
            <family val="2"/>
          </rPr>
          <t>Payments Per Year:</t>
        </r>
        <r>
          <rPr>
            <sz val="8"/>
            <color indexed="81"/>
            <rFont val="Tahoma"/>
            <family val="2"/>
          </rPr>
          <t xml:space="preserve">
The number of contributions made per year.
Usually based on how often you receive your paycheck.
12 = Monthly
24 = Semi-Monthly (twice per month)
26 = Bi-Weekly (once every two weeks)
52 = Weekly
13 = Every 4 weeks
4 = Quarterly (four times per year)
2 = Semi-annually
1 = Annually</t>
        </r>
      </text>
    </comment>
    <comment ref="G22" authorId="0" shapeId="0" xr:uid="{00000000-0006-0000-0000-00000A000000}">
      <text>
        <r>
          <rPr>
            <b/>
            <sz val="8"/>
            <color indexed="81"/>
            <rFont val="Tahoma"/>
            <family val="2"/>
          </rPr>
          <t>Random Rates:</t>
        </r>
        <r>
          <rPr>
            <sz val="8"/>
            <color indexed="81"/>
            <rFont val="Tahoma"/>
            <family val="2"/>
          </rPr>
          <t xml:space="preserve">
If you choose the "On" option, the rate column will calculate the random rate between the Min and Max rates that you specify below. To recalculate the spreadsheet, press F9.</t>
        </r>
      </text>
    </comment>
    <comment ref="G25" authorId="0" shapeId="0" xr:uid="{00000000-0006-0000-0000-00000B000000}">
      <text>
        <r>
          <rPr>
            <b/>
            <sz val="8"/>
            <color indexed="81"/>
            <rFont val="Tahoma"/>
            <family val="2"/>
          </rPr>
          <t>Average Rate:</t>
        </r>
        <r>
          <rPr>
            <sz val="8"/>
            <color indexed="81"/>
            <rFont val="Tahoma"/>
            <family val="2"/>
          </rPr>
          <t xml:space="preserve">
The average rate is calculated as the average of the </t>
        </r>
        <r>
          <rPr>
            <b/>
            <sz val="8"/>
            <color indexed="81"/>
            <rFont val="Tahoma"/>
            <family val="2"/>
          </rPr>
          <t>Rate</t>
        </r>
        <r>
          <rPr>
            <sz val="8"/>
            <color indexed="81"/>
            <rFont val="Tahoma"/>
            <family val="2"/>
          </rPr>
          <t xml:space="preserve"> column for the specified number of years until retirement. This doesn't have any relationship to Internal Rate of Return.</t>
        </r>
      </text>
    </comment>
    <comment ref="C32" authorId="0" shapeId="0" xr:uid="{00000000-0006-0000-0000-00000C000000}">
      <text>
        <r>
          <rPr>
            <b/>
            <sz val="8"/>
            <color indexed="81"/>
            <rFont val="Tahoma"/>
            <family val="2"/>
          </rPr>
          <t>Expected Annual Return:</t>
        </r>
        <r>
          <rPr>
            <sz val="8"/>
            <color indexed="81"/>
            <rFont val="Tahoma"/>
            <family val="2"/>
          </rPr>
          <t xml:space="preserve">
To vary the rate over time, delete the formulas in this column and either add your own formulas or enter the rates manually.
</t>
        </r>
        <r>
          <rPr>
            <b/>
            <sz val="8"/>
            <color indexed="81"/>
            <rFont val="Tahoma"/>
            <family val="2"/>
          </rPr>
          <t>Random Rate Formula:</t>
        </r>
        <r>
          <rPr>
            <sz val="8"/>
            <color indexed="81"/>
            <rFont val="Tahoma"/>
            <family val="2"/>
          </rPr>
          <t xml:space="preserve">
Random rate between -2% and 10%
  =min+RAND()*(max-min)
  where min=-0.02 and max=0.10
</t>
        </r>
      </text>
    </comment>
    <comment ref="D32" authorId="0" shapeId="0" xr:uid="{00000000-0006-0000-0000-00000D000000}">
      <text>
        <r>
          <rPr>
            <b/>
            <sz val="8"/>
            <color indexed="81"/>
            <rFont val="Tahoma"/>
            <family val="2"/>
          </rPr>
          <t>Salary:</t>
        </r>
        <r>
          <rPr>
            <sz val="8"/>
            <color indexed="81"/>
            <rFont val="Tahoma"/>
            <family val="2"/>
          </rPr>
          <t xml:space="preserve">
The contributions for each year are based on the salary in this column. </t>
        </r>
      </text>
    </comment>
    <comment ref="E32" authorId="0" shapeId="0" xr:uid="{00000000-0006-0000-0000-00000E000000}">
      <text>
        <r>
          <rPr>
            <b/>
            <sz val="8"/>
            <color indexed="81"/>
            <rFont val="Tahoma"/>
            <family val="2"/>
          </rPr>
          <t>Your Annual Contribution:</t>
        </r>
        <r>
          <rPr>
            <sz val="8"/>
            <color indexed="81"/>
            <rFont val="Tahoma"/>
            <family val="2"/>
          </rPr>
          <t xml:space="preserve">
This calculator does not take into account whether your contributions are pre-tax or after tax (i.e. a Roth 401k).</t>
        </r>
      </text>
    </comment>
    <comment ref="F32" authorId="0" shapeId="0" xr:uid="{00000000-0006-0000-0000-00000F000000}">
      <text>
        <r>
          <rPr>
            <b/>
            <sz val="8"/>
            <color indexed="81"/>
            <rFont val="Tahoma"/>
            <family val="2"/>
          </rPr>
          <t>Annual Employer Contribution</t>
        </r>
        <r>
          <rPr>
            <sz val="8"/>
            <color indexed="81"/>
            <rFont val="Tahoma"/>
            <family val="2"/>
          </rPr>
          <t xml:space="preserve">
The amount your employer matches during the year.</t>
        </r>
      </text>
    </comment>
    <comment ref="G32" authorId="0" shapeId="0" xr:uid="{00000000-0006-0000-0000-000010000000}">
      <text>
        <r>
          <rPr>
            <b/>
            <sz val="8"/>
            <color indexed="81"/>
            <rFont val="Tahoma"/>
            <family val="2"/>
          </rPr>
          <t>Estimated Annual Interest:</t>
        </r>
        <r>
          <rPr>
            <sz val="8"/>
            <color indexed="81"/>
            <rFont val="Tahoma"/>
            <family val="2"/>
          </rPr>
          <t xml:space="preserve">
The interest is calculated using the FV formula to account for the fact that the contributions are made in equal payments each time you receive your paycheck. This actually has a pretty minimal effect compared to fluctuations in annual rates of return.</t>
        </r>
      </text>
    </comment>
    <comment ref="H32" authorId="0" shapeId="0" xr:uid="{00000000-0006-0000-0000-000011000000}">
      <text>
        <r>
          <rPr>
            <sz val="8"/>
            <color indexed="81"/>
            <rFont val="Tahoma"/>
            <family val="2"/>
          </rPr>
          <t xml:space="preserve">Balance at the </t>
        </r>
        <r>
          <rPr>
            <b/>
            <sz val="8"/>
            <color indexed="81"/>
            <rFont val="Tahoma"/>
            <family val="2"/>
          </rPr>
          <t>end of the year</t>
        </r>
        <r>
          <rPr>
            <sz val="8"/>
            <color indexed="81"/>
            <rFont val="Tahoma"/>
            <family val="2"/>
          </rPr>
          <t>.</t>
        </r>
      </text>
    </comment>
    <comment ref="J32" authorId="0" shapeId="0" xr:uid="{00000000-0006-0000-0000-000012000000}">
      <text>
        <r>
          <rPr>
            <sz val="8"/>
            <color indexed="81"/>
            <rFont val="Tahoma"/>
            <family val="2"/>
          </rPr>
          <t>This column is used to create the "My Contribution" line in the graph.</t>
        </r>
      </text>
    </comment>
    <comment ref="K32" authorId="0" shapeId="0" xr:uid="{00000000-0006-0000-0000-000013000000}">
      <text>
        <r>
          <rPr>
            <sz val="8"/>
            <color indexed="81"/>
            <rFont val="Tahoma"/>
            <family val="2"/>
          </rPr>
          <t>This column is used to create the "Total Contribution" line on the graph.</t>
        </r>
      </text>
    </comment>
    <comment ref="E33" authorId="0" shapeId="0" xr:uid="{00000000-0006-0000-0000-000014000000}">
      <text>
        <r>
          <rPr>
            <b/>
            <sz val="8"/>
            <color indexed="81"/>
            <rFont val="Tahoma"/>
            <family val="2"/>
          </rPr>
          <t>Annual Contributions To-Date:</t>
        </r>
        <r>
          <rPr>
            <sz val="8"/>
            <color indexed="81"/>
            <rFont val="Tahoma"/>
            <family val="2"/>
          </rPr>
          <t xml:space="preserve">
If you have a starting 401(k) balance, look on your last statement to determine how much you have contributed to date, and enter that value here.</t>
        </r>
      </text>
    </comment>
    <comment ref="F33" authorId="0" shapeId="0" xr:uid="{00000000-0006-0000-0000-000015000000}">
      <text>
        <r>
          <rPr>
            <b/>
            <sz val="8"/>
            <color indexed="81"/>
            <rFont val="Tahoma"/>
            <family val="2"/>
          </rPr>
          <t>Employer Contributions To-Date:</t>
        </r>
        <r>
          <rPr>
            <sz val="8"/>
            <color indexed="81"/>
            <rFont val="Tahoma"/>
            <family val="2"/>
          </rPr>
          <t xml:space="preserve">
If you have a starting 401(k) balance, look on your last statement to determine how much </t>
        </r>
        <r>
          <rPr>
            <b/>
            <sz val="8"/>
            <color indexed="81"/>
            <rFont val="Tahoma"/>
            <family val="2"/>
          </rPr>
          <t xml:space="preserve">your employer </t>
        </r>
        <r>
          <rPr>
            <sz val="8"/>
            <color indexed="81"/>
            <rFont val="Tahoma"/>
            <family val="2"/>
          </rPr>
          <t>has contributed to date, and enter that value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J5" authorId="0" shapeId="0" xr:uid="{00000000-0006-0000-0100-000001000000}">
      <text>
        <r>
          <rPr>
            <sz val="8"/>
            <color indexed="81"/>
            <rFont val="Tahoma"/>
            <family val="2"/>
          </rPr>
          <t xml:space="preserve">The </t>
        </r>
        <r>
          <rPr>
            <b/>
            <sz val="8"/>
            <color indexed="81"/>
            <rFont val="Tahoma"/>
            <family val="2"/>
          </rPr>
          <t>Personal Gain(Loss)</t>
        </r>
        <r>
          <rPr>
            <sz val="8"/>
            <color indexed="81"/>
            <rFont val="Tahoma"/>
            <family val="2"/>
          </rPr>
          <t xml:space="preserve"> compares the current value to the total [My Contribution].
In the graph, this number is the difference between the VALUE line and the [Your Contributions] bar.</t>
        </r>
      </text>
    </comment>
    <comment ref="L5" authorId="0" shapeId="0" xr:uid="{00000000-0006-0000-0100-000002000000}">
      <text>
        <r>
          <rPr>
            <sz val="8"/>
            <color indexed="81"/>
            <rFont val="Tahoma"/>
            <family val="2"/>
          </rPr>
          <t xml:space="preserve">The </t>
        </r>
        <r>
          <rPr>
            <b/>
            <sz val="8"/>
            <color indexed="81"/>
            <rFont val="Tahoma"/>
            <family val="2"/>
          </rPr>
          <t>Total Gain(Loss)</t>
        </r>
        <r>
          <rPr>
            <sz val="8"/>
            <color indexed="81"/>
            <rFont val="Tahoma"/>
            <family val="2"/>
          </rPr>
          <t xml:space="preserve"> compares the current value to the total contribution, so this represents the gain(loss) due to the market performance and/or interest.</t>
        </r>
      </text>
    </comment>
    <comment ref="N5" authorId="0" shapeId="0" xr:uid="{00000000-0006-0000-0100-000003000000}">
      <text>
        <r>
          <rPr>
            <sz val="8"/>
            <color indexed="81"/>
            <rFont val="Tahoma"/>
            <family val="2"/>
          </rPr>
          <t>Percentage Change in Value, not counting the current contribution. This can help tell you how the fund has performed during the past month, not counting the most recent contribution.</t>
        </r>
      </text>
    </comment>
    <comment ref="A6" authorId="1" shapeId="0" xr:uid="{00000000-0006-0000-0100-000004000000}">
      <text>
        <r>
          <rPr>
            <sz val="8"/>
            <color indexed="81"/>
            <rFont val="Tahoma"/>
            <family val="2"/>
          </rPr>
          <t>Enter the date, total contributions, and balance based on your beginning statement.</t>
        </r>
      </text>
    </comment>
    <comment ref="E18" authorId="1" shapeId="0" xr:uid="{00000000-0006-0000-0100-000005000000}">
      <text>
        <r>
          <rPr>
            <b/>
            <sz val="8"/>
            <color indexed="81"/>
            <rFont val="Tahoma"/>
            <family val="2"/>
          </rPr>
          <t>Personal Return on Investment:</t>
        </r>
        <r>
          <rPr>
            <sz val="8"/>
            <color indexed="81"/>
            <rFont val="Tahoma"/>
            <family val="2"/>
          </rPr>
          <t xml:space="preserve">
This is defined as Net Profit / Investment. A 0% ROI would mean that you gained nothing. A 100% ROI would mean that you doubled your money.
In the graph, it represents how much higher the VALUE line is from the [Your Contributions] value.</t>
        </r>
      </text>
    </comment>
    <comment ref="E19" authorId="0" shapeId="0" xr:uid="{00000000-0006-0000-0100-000006000000}">
      <text>
        <r>
          <rPr>
            <sz val="8"/>
            <color indexed="81"/>
            <rFont val="Tahoma"/>
            <family val="2"/>
          </rPr>
          <t>This is calculated as ([Current Value] - [Total Contribution]) / [Total Contribution]. In the graph, it represents how much higher the VALUE line is from the top of the combined bar chart.</t>
        </r>
      </text>
    </comment>
  </commentList>
</comments>
</file>

<file path=xl/sharedStrings.xml><?xml version="1.0" encoding="utf-8"?>
<sst xmlns="http://schemas.openxmlformats.org/spreadsheetml/2006/main" count="90" uniqueCount="82">
  <si>
    <t>Interest</t>
  </si>
  <si>
    <t>Balance</t>
  </si>
  <si>
    <t>Current Age</t>
  </si>
  <si>
    <t>Age at Retirement</t>
  </si>
  <si>
    <t>Year</t>
  </si>
  <si>
    <t>Age</t>
  </si>
  <si>
    <t>Rate</t>
  </si>
  <si>
    <t>Salary</t>
  </si>
  <si>
    <t>Annual Increase in Salary</t>
  </si>
  <si>
    <t>Date</t>
  </si>
  <si>
    <t>Value (Balance)</t>
  </si>
  <si>
    <t>Cumulative Contribution</t>
  </si>
  <si>
    <t>Years to Invest</t>
  </si>
  <si>
    <t>Annual Rate of Return</t>
  </si>
  <si>
    <t>Max</t>
  </si>
  <si>
    <t>Average</t>
  </si>
  <si>
    <t>Current 401(k) Balance</t>
  </si>
  <si>
    <t>Total Contributions</t>
  </si>
  <si>
    <t>Your Contributions</t>
  </si>
  <si>
    <t>Employer Contributions</t>
  </si>
  <si>
    <t xml:space="preserve">it helps to set the y-axis on the chart to some </t>
  </si>
  <si>
    <t xml:space="preserve">maximum $ amount. Right-click on the $ axis, select </t>
  </si>
  <si>
    <t xml:space="preserve">Format Axis, go to the Scale tab, uncheck the box </t>
  </si>
  <si>
    <t>next to Maximum, and set the max value.</t>
  </si>
  <si>
    <t>Total Gain (Loss)</t>
  </si>
  <si>
    <t>Begin:</t>
  </si>
  <si>
    <t>S</t>
  </si>
  <si>
    <t>T</t>
  </si>
  <si>
    <t>A</t>
  </si>
  <si>
    <t>E</t>
  </si>
  <si>
    <t>M</t>
  </si>
  <si>
    <t>N</t>
  </si>
  <si>
    <t>Payments Per Year</t>
  </si>
  <si>
    <t>(Press F9 to Recalculate)</t>
  </si>
  <si>
    <t>% of Salary to Contribute</t>
  </si>
  <si>
    <t>Balance and Salary</t>
  </si>
  <si>
    <t>Contributions</t>
  </si>
  <si>
    <t>Return</t>
  </si>
  <si>
    <t>401(k) Plan Assumptions</t>
  </si>
  <si>
    <t>Summary of Results</t>
  </si>
  <si>
    <t>Future Value</t>
  </si>
  <si>
    <t>Ending Salary</t>
  </si>
  <si>
    <t>When making comparisons using the graph,</t>
  </si>
  <si>
    <t>Min</t>
  </si>
  <si>
    <t>Taxes and IRS Contribution Limits are</t>
  </si>
  <si>
    <t>Set Chart Y-Axis to a Fixed Value</t>
  </si>
  <si>
    <t>NOT factored into the calculations. You must</t>
  </si>
  <si>
    <t>Insert new rows above this one</t>
  </si>
  <si>
    <t>Tracking 401(k) Rate of Return</t>
  </si>
  <si>
    <t>401(k) Savings Calculator</t>
  </si>
  <si>
    <t>[42]</t>
  </si>
  <si>
    <t>Current Annual Salary</t>
  </si>
  <si>
    <t>check to ensure that you are not contributing</t>
  </si>
  <si>
    <t>Fund Performance</t>
  </si>
  <si>
    <t>Change in Gain(Loss)</t>
  </si>
  <si>
    <t>% Change</t>
  </si>
  <si>
    <t xml:space="preserve">Personal ROI: </t>
  </si>
  <si>
    <t xml:space="preserve">Portfolio ROI: </t>
  </si>
  <si>
    <t>Personal Gain(Loss)</t>
  </si>
  <si>
    <t>Using This Worksheet</t>
  </si>
  <si>
    <t>Only edit the cells with the gray background (B6:E16).</t>
  </si>
  <si>
    <t>HELP</t>
  </si>
  <si>
    <t>General help information for how to use each calculator is provided on the right side of each worksheet. Specific help information for cells is provided via cell comments.</t>
  </si>
  <si>
    <t>About This Template</t>
  </si>
  <si>
    <t>Balance Worksheet Instructions</t>
  </si>
  <si>
    <r>
      <rPr>
        <b/>
        <sz val="11"/>
        <color rgb="FF000000"/>
        <rFont val="Tahoma"/>
        <family val="2"/>
      </rPr>
      <t>1.</t>
    </r>
    <r>
      <rPr>
        <sz val="11"/>
        <color rgb="FF000000"/>
        <rFont val="Tahoma"/>
        <family val="2"/>
      </rPr>
      <t xml:space="preserve"> Enter your beginning statement balance and totals in cells B6-E6</t>
    </r>
  </si>
  <si>
    <r>
      <rPr>
        <b/>
        <sz val="11"/>
        <color rgb="FF000000"/>
        <rFont val="Tahoma"/>
        <family val="2"/>
      </rPr>
      <t>2.</t>
    </r>
    <r>
      <rPr>
        <sz val="11"/>
        <color rgb="FF000000"/>
        <rFont val="Tahoma"/>
        <family val="2"/>
      </rPr>
      <t xml:space="preserve"> At the end of each month, enter your statement date, contributions, and balance in columns B-E (the cells with the gray backgrounds)</t>
    </r>
  </si>
  <si>
    <r>
      <rPr>
        <b/>
        <sz val="11"/>
        <color rgb="FF000000"/>
        <rFont val="Tahoma"/>
        <family val="2"/>
      </rPr>
      <t xml:space="preserve">3. </t>
    </r>
    <r>
      <rPr>
        <sz val="11"/>
        <color rgb="FF000000"/>
        <rFont val="Tahoma"/>
        <family val="2"/>
      </rPr>
      <t xml:space="preserve">To </t>
    </r>
    <r>
      <rPr>
        <b/>
        <sz val="11"/>
        <color rgb="FF000000"/>
        <rFont val="Tahoma"/>
        <family val="2"/>
      </rPr>
      <t>insert</t>
    </r>
    <r>
      <rPr>
        <sz val="11"/>
        <color rgb="FF000000"/>
        <rFont val="Tahoma"/>
        <family val="2"/>
      </rPr>
      <t xml:space="preserve"> a new row, copy an existing row and insert it above the row labeled "Insert new rows above this one".</t>
    </r>
  </si>
  <si>
    <r>
      <rPr>
        <b/>
        <sz val="11"/>
        <color rgb="FF000000"/>
        <rFont val="Tahoma"/>
        <family val="2"/>
      </rPr>
      <t>Example:</t>
    </r>
    <r>
      <rPr>
        <sz val="11"/>
        <color rgb="FF000000"/>
        <rFont val="Tahoma"/>
        <family val="2"/>
      </rPr>
      <t xml:space="preserve"> Right-click on Row15, select copy, then right-click on Row15 again and select Insert Copied Cells</t>
    </r>
  </si>
  <si>
    <r>
      <rPr>
        <b/>
        <sz val="8"/>
        <rFont val="Tahoma"/>
        <family val="2"/>
      </rPr>
      <t>Note:</t>
    </r>
    <r>
      <rPr>
        <sz val="8"/>
        <rFont val="Tahoma"/>
        <family val="2"/>
      </rPr>
      <t xml:space="preserve"> For illustrative and educational purposes only.</t>
    </r>
  </si>
  <si>
    <t>Off</t>
  </si>
  <si>
    <t>Random Rates</t>
  </si>
  <si>
    <t>more than the 401(k) Limit.</t>
  </si>
  <si>
    <t>Employer Match</t>
  </si>
  <si>
    <t>Max Employee % Contribution</t>
  </si>
  <si>
    <r>
      <t xml:space="preserve">Annual </t>
    </r>
    <r>
      <rPr>
        <sz val="10"/>
        <rFont val="Tahoma"/>
        <family val="2"/>
        <scheme val="minor"/>
      </rPr>
      <t>Contribution</t>
    </r>
  </si>
  <si>
    <r>
      <t xml:space="preserve">Employer </t>
    </r>
    <r>
      <rPr>
        <sz val="10"/>
        <rFont val="Tahoma"/>
        <family val="2"/>
        <scheme val="minor"/>
      </rPr>
      <t>Contribution</t>
    </r>
  </si>
  <si>
    <r>
      <t xml:space="preserve">My </t>
    </r>
    <r>
      <rPr>
        <sz val="10"/>
        <rFont val="Tahoma"/>
        <family val="2"/>
        <scheme val="minor"/>
      </rPr>
      <t>Contribution</t>
    </r>
  </si>
  <si>
    <r>
      <t xml:space="preserve">Total </t>
    </r>
    <r>
      <rPr>
        <sz val="10"/>
        <rFont val="Tahoma"/>
        <family val="2"/>
        <scheme val="minor"/>
      </rPr>
      <t>Contribution</t>
    </r>
  </si>
  <si>
    <r>
      <t xml:space="preserve">My </t>
    </r>
    <r>
      <rPr>
        <sz val="7"/>
        <rFont val="Tahoma"/>
        <family val="2"/>
        <scheme val="minor"/>
      </rPr>
      <t>Contribution</t>
    </r>
  </si>
  <si>
    <r>
      <t>Employer</t>
    </r>
    <r>
      <rPr>
        <sz val="7"/>
        <rFont val="Tahoma"/>
        <family val="2"/>
        <scheme val="minor"/>
      </rPr>
      <t xml:space="preserve"> Contribution</t>
    </r>
  </si>
  <si>
    <r>
      <t>Total</t>
    </r>
    <r>
      <rPr>
        <sz val="7"/>
        <rFont val="Tahoma"/>
        <family val="2"/>
        <scheme val="minor"/>
      </rPr>
      <t xml:space="preserve"> Contribution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</si>
</sst>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0.0%"/>
    <numFmt numFmtId="165" formatCode="_(&quot;$&quot;* #,##0_);_(&quot;$&quot;* \(#,##0\);_(&quot;$&quot;* &quot;-&quot;??_);_(@_)"/>
    <numFmt numFmtId="166" formatCode="&quot;$&quot;* #,##0.00;&quot;$&quot;* \-#,##0.00;&quot;$&quot;* &quot;-&quot;??;@"/>
    <numFmt numFmtId="167" formatCode="[$-409]d\-mmm\-yy;@"/>
  </numFmts>
  <fonts count="47" x14ac:knownFonts="1">
    <font>
      <sz val="10"/>
      <name val="Tahoma"/>
      <family val="2"/>
    </font>
    <font>
      <sz val="10"/>
      <name val="Arial"/>
      <family val="2"/>
    </font>
    <font>
      <sz val="8"/>
      <name val="Arial"/>
      <family val="2"/>
    </font>
    <font>
      <u/>
      <sz val="8"/>
      <color indexed="12"/>
      <name val="Tahoma"/>
      <family val="2"/>
    </font>
    <font>
      <b/>
      <sz val="10"/>
      <name val="Tahoma"/>
      <family val="2"/>
    </font>
    <font>
      <sz val="10"/>
      <name val="Tahoma"/>
      <family val="2"/>
    </font>
    <font>
      <sz val="8"/>
      <name val="Tahoma"/>
      <family val="2"/>
    </font>
    <font>
      <sz val="8"/>
      <color indexed="81"/>
      <name val="Tahoma"/>
      <family val="2"/>
    </font>
    <font>
      <b/>
      <sz val="8"/>
      <color indexed="81"/>
      <name val="Tahoma"/>
      <family val="2"/>
    </font>
    <font>
      <b/>
      <sz val="8"/>
      <name val="Tahoma"/>
      <family val="2"/>
    </font>
    <font>
      <sz val="10"/>
      <color indexed="9"/>
      <name val="Tahoma"/>
      <family val="2"/>
    </font>
    <font>
      <sz val="8"/>
      <name val="Arial"/>
      <family val="2"/>
    </font>
    <font>
      <b/>
      <sz val="10"/>
      <color theme="4" tint="-0.249977111117893"/>
      <name val="Tahoma"/>
      <family val="2"/>
    </font>
    <font>
      <sz val="10"/>
      <color rgb="FF000000"/>
      <name val="Tahoma"/>
      <family val="2"/>
    </font>
    <font>
      <sz val="18"/>
      <color theme="4" tint="-0.249977111117893"/>
      <name val="Arial"/>
      <family val="2"/>
    </font>
    <font>
      <sz val="18"/>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b/>
      <sz val="12"/>
      <name val="Arial"/>
      <family val="2"/>
    </font>
    <font>
      <sz val="10"/>
      <name val="Tahoma"/>
      <family val="2"/>
      <scheme val="minor"/>
    </font>
    <font>
      <sz val="11"/>
      <color rgb="FF000000"/>
      <name val="Tahoma"/>
      <family val="2"/>
    </font>
    <font>
      <b/>
      <sz val="11"/>
      <color rgb="FF000000"/>
      <name val="Tahoma"/>
      <family val="2"/>
    </font>
    <font>
      <b/>
      <sz val="11"/>
      <color rgb="FF000000"/>
      <name val="Arial"/>
      <family val="2"/>
    </font>
    <font>
      <u/>
      <sz val="10"/>
      <color indexed="12"/>
      <name val="Arial"/>
      <family val="2"/>
    </font>
    <font>
      <sz val="9"/>
      <color indexed="81"/>
      <name val="Tahoma"/>
      <family val="2"/>
    </font>
    <font>
      <b/>
      <sz val="9"/>
      <color indexed="81"/>
      <name val="Tahoma"/>
      <family val="2"/>
    </font>
    <font>
      <b/>
      <sz val="18"/>
      <color theme="0"/>
      <name val="Arial"/>
      <family val="2"/>
      <scheme val="major"/>
    </font>
    <font>
      <b/>
      <sz val="11"/>
      <color indexed="9"/>
      <name val="Arial"/>
      <family val="2"/>
      <scheme val="major"/>
    </font>
    <font>
      <sz val="11"/>
      <name val="Tahoma"/>
      <family val="2"/>
      <scheme val="minor"/>
    </font>
    <font>
      <b/>
      <sz val="12"/>
      <color indexed="9"/>
      <name val="Tahoma"/>
      <family val="2"/>
      <scheme val="minor"/>
    </font>
    <font>
      <b/>
      <i/>
      <sz val="10"/>
      <color indexed="23"/>
      <name val="Tahoma"/>
      <family val="2"/>
      <scheme val="minor"/>
    </font>
    <font>
      <sz val="10"/>
      <color theme="4" tint="-0.499984740745262"/>
      <name val="Tahoma"/>
      <family val="2"/>
      <scheme val="minor"/>
    </font>
    <font>
      <sz val="10"/>
      <color indexed="10"/>
      <name val="Tahoma"/>
      <family val="2"/>
      <scheme val="minor"/>
    </font>
    <font>
      <sz val="6"/>
      <color theme="0" tint="-4.9989318521683403E-2"/>
      <name val="Tahoma"/>
      <family val="2"/>
      <scheme val="minor"/>
    </font>
    <font>
      <sz val="9"/>
      <name val="Tahoma"/>
      <family val="2"/>
      <scheme val="minor"/>
    </font>
    <font>
      <sz val="8"/>
      <name val="Tahoma"/>
      <family val="2"/>
      <scheme val="minor"/>
    </font>
    <font>
      <sz val="10"/>
      <color indexed="9"/>
      <name val="Tahoma"/>
      <family val="2"/>
      <scheme val="minor"/>
    </font>
    <font>
      <b/>
      <sz val="10"/>
      <name val="Tahoma"/>
      <family val="2"/>
      <scheme val="minor"/>
    </font>
    <font>
      <i/>
      <sz val="8"/>
      <name val="Tahoma"/>
      <family val="2"/>
      <scheme val="minor"/>
    </font>
    <font>
      <sz val="10"/>
      <name val="Arial"/>
      <family val="2"/>
      <scheme val="major"/>
    </font>
    <font>
      <i/>
      <sz val="10"/>
      <name val="Arial"/>
      <family val="2"/>
      <scheme val="major"/>
    </font>
    <font>
      <b/>
      <sz val="11"/>
      <name val="Arial"/>
      <family val="2"/>
      <scheme val="major"/>
    </font>
    <font>
      <b/>
      <sz val="8"/>
      <name val="Tahoma"/>
      <family val="2"/>
      <scheme val="minor"/>
    </font>
    <font>
      <sz val="7"/>
      <name val="Tahoma"/>
      <family val="2"/>
      <scheme val="minor"/>
    </font>
    <font>
      <b/>
      <sz val="9"/>
      <name val="Tahoma"/>
      <family val="2"/>
      <scheme val="minor"/>
    </font>
  </fonts>
  <fills count="12">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6"/>
        <bgColor indexed="64"/>
      </patternFill>
    </fill>
    <fill>
      <patternFill patternType="solid">
        <fgColor indexed="9"/>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0" tint="-4.9989318521683403E-2"/>
        <bgColor indexed="64"/>
      </patternFill>
    </fill>
  </fills>
  <borders count="12">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style="thin">
        <color indexed="55"/>
      </left>
      <right style="thin">
        <color indexed="55"/>
      </right>
      <top/>
      <bottom style="thin">
        <color indexed="55"/>
      </bottom>
      <diagonal/>
    </border>
    <border>
      <left style="thin">
        <color indexed="64"/>
      </left>
      <right style="thin">
        <color indexed="64"/>
      </right>
      <top/>
      <bottom style="thin">
        <color indexed="64"/>
      </bottom>
      <diagonal/>
    </border>
    <border>
      <left/>
      <right/>
      <top/>
      <bottom style="medium">
        <color theme="4" tint="0.39994506668294322"/>
      </bottom>
      <diagonal/>
    </border>
    <border>
      <left/>
      <right/>
      <top/>
      <bottom style="medium">
        <color theme="4"/>
      </bottom>
      <diagonal/>
    </border>
    <border>
      <left/>
      <right/>
      <top/>
      <bottom style="medium">
        <color theme="8" tint="0.39994506668294322"/>
      </bottom>
      <diagonal/>
    </border>
    <border>
      <left/>
      <right/>
      <top/>
      <bottom style="medium">
        <color theme="8" tint="-0.24994659260841701"/>
      </bottom>
      <diagonal/>
    </border>
    <border>
      <left/>
      <right/>
      <top/>
      <bottom style="thin">
        <color theme="4"/>
      </bottom>
      <diagonal/>
    </border>
    <border>
      <left/>
      <right style="thin">
        <color theme="4"/>
      </right>
      <top/>
      <bottom style="thin">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5" fillId="0" borderId="0" applyNumberFormat="0" applyFill="0" applyBorder="0" applyAlignment="0" applyProtection="0">
      <alignment vertical="top"/>
      <protection locked="0"/>
    </xf>
    <xf numFmtId="9" fontId="1" fillId="0" borderId="0" applyFont="0" applyFill="0" applyBorder="0" applyAlignment="0" applyProtection="0"/>
  </cellStyleXfs>
  <cellXfs count="106">
    <xf numFmtId="0" fontId="0" fillId="0" borderId="0" xfId="0"/>
    <xf numFmtId="0" fontId="5" fillId="0" borderId="0" xfId="0" applyFont="1"/>
    <xf numFmtId="0" fontId="3" fillId="0" borderId="0" xfId="3" applyFont="1" applyFill="1" applyAlignment="1" applyProtection="1">
      <alignment horizontal="left"/>
    </xf>
    <xf numFmtId="0" fontId="0" fillId="0" borderId="0" xfId="0" applyProtection="1"/>
    <xf numFmtId="0" fontId="0" fillId="0" borderId="0" xfId="0" applyFont="1" applyProtection="1"/>
    <xf numFmtId="0" fontId="0" fillId="0" borderId="0" xfId="0" applyFont="1" applyFill="1" applyProtection="1"/>
    <xf numFmtId="0" fontId="25" fillId="0" borderId="0" xfId="3" applyFill="1" applyAlignment="1" applyProtection="1">
      <alignment horizontal="left"/>
    </xf>
    <xf numFmtId="0" fontId="4" fillId="0" borderId="0" xfId="0" applyFont="1" applyProtection="1"/>
    <xf numFmtId="0" fontId="10" fillId="0" borderId="0" xfId="0" applyFont="1" applyProtection="1"/>
    <xf numFmtId="0" fontId="11" fillId="0" borderId="0" xfId="0" applyFont="1" applyFill="1" applyBorder="1" applyAlignment="1">
      <alignment horizontal="right"/>
    </xf>
    <xf numFmtId="0" fontId="0" fillId="0" borderId="0" xfId="0" applyFill="1"/>
    <xf numFmtId="0" fontId="12" fillId="0" borderId="9" xfId="0" applyFont="1" applyBorder="1" applyProtection="1"/>
    <xf numFmtId="0" fontId="0" fillId="0" borderId="9" xfId="0" applyFont="1" applyBorder="1" applyProtection="1"/>
    <xf numFmtId="0" fontId="14" fillId="11" borderId="0" xfId="0" applyFont="1" applyFill="1" applyBorder="1" applyAlignment="1">
      <alignment vertical="center"/>
    </xf>
    <xf numFmtId="0" fontId="15" fillId="11" borderId="0" xfId="0" applyFont="1" applyFill="1" applyBorder="1" applyAlignment="1">
      <alignment vertical="center"/>
    </xf>
    <xf numFmtId="0" fontId="16" fillId="0" borderId="0" xfId="0" applyNumberFormat="1" applyFont="1" applyBorder="1" applyAlignment="1">
      <alignment horizontal="right"/>
    </xf>
    <xf numFmtId="0" fontId="17" fillId="0" borderId="9" xfId="0" applyFont="1" applyBorder="1"/>
    <xf numFmtId="0" fontId="18" fillId="0" borderId="9" xfId="0" applyFont="1" applyBorder="1" applyAlignment="1">
      <alignment vertical="top"/>
    </xf>
    <xf numFmtId="0" fontId="19" fillId="0" borderId="0" xfId="0" applyFont="1" applyAlignment="1">
      <alignment horizontal="left" vertical="top" wrapText="1" readingOrder="1"/>
    </xf>
    <xf numFmtId="0" fontId="20" fillId="0" borderId="0" xfId="0" applyFont="1"/>
    <xf numFmtId="0" fontId="21" fillId="0" borderId="0" xfId="0" applyFont="1"/>
    <xf numFmtId="0" fontId="3" fillId="0" borderId="0" xfId="3" applyFont="1" applyBorder="1" applyAlignment="1" applyProtection="1">
      <alignment horizontal="left"/>
    </xf>
    <xf numFmtId="0" fontId="22" fillId="0" borderId="0" xfId="0" applyFont="1" applyAlignment="1">
      <alignment horizontal="left" vertical="center" wrapText="1" readingOrder="1"/>
    </xf>
    <xf numFmtId="0" fontId="24" fillId="0" borderId="0" xfId="0" applyFont="1" applyAlignment="1">
      <alignment horizontal="left" vertical="top" wrapText="1" readingOrder="1"/>
    </xf>
    <xf numFmtId="0" fontId="6" fillId="0" borderId="0" xfId="0" applyFont="1"/>
    <xf numFmtId="0" fontId="13" fillId="0" borderId="0" xfId="0" applyFont="1" applyAlignment="1">
      <alignment horizontal="left" vertical="center" readingOrder="1"/>
    </xf>
    <xf numFmtId="0" fontId="1" fillId="11"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 fillId="0" borderId="0" xfId="0" applyFont="1" applyAlignment="1"/>
    <xf numFmtId="0" fontId="1" fillId="0" borderId="0" xfId="0" applyFont="1" applyAlignment="1">
      <alignment vertical="top"/>
    </xf>
    <xf numFmtId="0" fontId="1" fillId="0" borderId="10" xfId="0" applyFont="1" applyBorder="1" applyAlignment="1">
      <alignment vertical="top"/>
    </xf>
    <xf numFmtId="0" fontId="28" fillId="8" borderId="0" xfId="0" applyFont="1" applyFill="1" applyBorder="1" applyAlignment="1" applyProtection="1">
      <alignment vertical="center"/>
    </xf>
    <xf numFmtId="0" fontId="29" fillId="8" borderId="5" xfId="0" applyFont="1" applyFill="1" applyBorder="1" applyAlignment="1" applyProtection="1">
      <alignment horizontal="centerContinuous" vertical="center"/>
    </xf>
    <xf numFmtId="0" fontId="29" fillId="9" borderId="7" xfId="0" applyFont="1" applyFill="1" applyBorder="1" applyAlignment="1" applyProtection="1">
      <alignment horizontal="centerContinuous" vertical="center"/>
    </xf>
    <xf numFmtId="0" fontId="21" fillId="6" borderId="0" xfId="0" applyFont="1" applyFill="1" applyProtection="1"/>
    <xf numFmtId="0" fontId="21" fillId="6" borderId="0" xfId="0" applyFont="1" applyFill="1" applyAlignment="1" applyProtection="1">
      <alignment horizontal="right" vertical="center" indent="1"/>
    </xf>
    <xf numFmtId="0" fontId="30" fillId="0" borderId="3" xfId="0" applyFont="1" applyFill="1" applyBorder="1" applyAlignment="1" applyProtection="1">
      <alignment horizontal="center"/>
      <protection locked="0"/>
    </xf>
    <xf numFmtId="0" fontId="21" fillId="10" borderId="0" xfId="0" applyFont="1" applyFill="1" applyProtection="1"/>
    <xf numFmtId="0" fontId="21" fillId="10" borderId="0" xfId="0" applyFont="1" applyFill="1" applyAlignment="1" applyProtection="1">
      <alignment horizontal="right" indent="1"/>
    </xf>
    <xf numFmtId="0" fontId="30" fillId="10" borderId="0" xfId="4" applyNumberFormat="1" applyFont="1" applyFill="1" applyBorder="1" applyAlignment="1" applyProtection="1">
      <alignment horizontal="center"/>
    </xf>
    <xf numFmtId="0" fontId="30" fillId="0" borderId="1" xfId="0" applyFont="1" applyFill="1" applyBorder="1" applyAlignment="1" applyProtection="1">
      <alignment horizontal="center"/>
      <protection locked="0"/>
    </xf>
    <xf numFmtId="0" fontId="31" fillId="6" borderId="0" xfId="0" applyFont="1" applyFill="1" applyBorder="1" applyAlignment="1" applyProtection="1">
      <alignment horizontal="left" vertical="center" indent="1"/>
    </xf>
    <xf numFmtId="0" fontId="31" fillId="6" borderId="6" xfId="0" applyFont="1" applyFill="1" applyBorder="1" applyAlignment="1" applyProtection="1">
      <alignment horizontal="left" vertical="center" indent="1"/>
    </xf>
    <xf numFmtId="0" fontId="32" fillId="6" borderId="6" xfId="0" applyFont="1" applyFill="1" applyBorder="1" applyAlignment="1" applyProtection="1">
      <alignment horizontal="right" vertical="center" indent="1"/>
    </xf>
    <xf numFmtId="0" fontId="21" fillId="10" borderId="0" xfId="0" applyFont="1" applyFill="1" applyBorder="1" applyProtection="1"/>
    <xf numFmtId="0" fontId="21" fillId="10" borderId="8" xfId="0" applyFont="1" applyFill="1" applyBorder="1" applyProtection="1"/>
    <xf numFmtId="0" fontId="32" fillId="10" borderId="8" xfId="0" applyFont="1" applyFill="1" applyBorder="1" applyAlignment="1" applyProtection="1">
      <alignment horizontal="right" vertical="center" indent="1"/>
    </xf>
    <xf numFmtId="165" fontId="30" fillId="0" borderId="3" xfId="2" applyNumberFormat="1" applyFont="1" applyFill="1" applyBorder="1" applyAlignment="1" applyProtection="1">
      <alignment horizontal="right" vertical="center"/>
      <protection locked="0"/>
    </xf>
    <xf numFmtId="165" fontId="30" fillId="10" borderId="0" xfId="2" applyNumberFormat="1" applyFont="1" applyFill="1" applyBorder="1" applyAlignment="1" applyProtection="1">
      <alignment horizontal="right" vertical="center"/>
    </xf>
    <xf numFmtId="165" fontId="30" fillId="0" borderId="1" xfId="2" applyNumberFormat="1" applyFont="1" applyFill="1" applyBorder="1" applyAlignment="1" applyProtection="1">
      <alignment horizontal="right" vertical="center"/>
      <protection locked="0"/>
    </xf>
    <xf numFmtId="164" fontId="30" fillId="0" borderId="1" xfId="4" applyNumberFormat="1" applyFont="1" applyFill="1" applyBorder="1" applyAlignment="1" applyProtection="1">
      <alignment horizontal="right"/>
      <protection locked="0"/>
    </xf>
    <xf numFmtId="10" fontId="30" fillId="0" borderId="3" xfId="4" applyNumberFormat="1" applyFont="1" applyFill="1" applyBorder="1" applyAlignment="1" applyProtection="1">
      <alignment horizontal="right"/>
      <protection locked="0"/>
    </xf>
    <xf numFmtId="0" fontId="33" fillId="6" borderId="0" xfId="0" applyFont="1" applyFill="1" applyAlignment="1" applyProtection="1">
      <alignment horizontal="right" vertical="center" indent="1"/>
    </xf>
    <xf numFmtId="8" fontId="21" fillId="10" borderId="0" xfId="0" applyNumberFormat="1" applyFont="1" applyFill="1" applyAlignment="1" applyProtection="1">
      <alignment horizontal="center"/>
    </xf>
    <xf numFmtId="0" fontId="34" fillId="6" borderId="0" xfId="0" applyFont="1" applyFill="1" applyAlignment="1" applyProtection="1">
      <alignment horizontal="right"/>
    </xf>
    <xf numFmtId="8" fontId="21" fillId="0" borderId="0" xfId="0" applyNumberFormat="1" applyFont="1" applyFill="1" applyAlignment="1" applyProtection="1">
      <alignment horizontal="center"/>
    </xf>
    <xf numFmtId="0" fontId="21" fillId="0" borderId="0" xfId="0" applyFont="1" applyProtection="1"/>
    <xf numFmtId="0" fontId="21" fillId="0" borderId="0" xfId="0" applyFont="1" applyFill="1" applyProtection="1"/>
    <xf numFmtId="4" fontId="35" fillId="0" borderId="0" xfId="0" applyNumberFormat="1" applyFont="1" applyFill="1" applyAlignment="1" applyProtection="1">
      <alignment horizontal="right"/>
    </xf>
    <xf numFmtId="0" fontId="21" fillId="0" borderId="11" xfId="0" applyFont="1" applyBorder="1" applyAlignment="1" applyProtection="1">
      <alignment horizontal="right" vertical="center" indent="1"/>
    </xf>
    <xf numFmtId="8" fontId="37" fillId="0" borderId="0" xfId="0" applyNumberFormat="1" applyFont="1" applyFill="1" applyAlignment="1" applyProtection="1">
      <alignment horizontal="right"/>
    </xf>
    <xf numFmtId="0" fontId="38" fillId="0" borderId="0" xfId="0" applyFont="1" applyProtection="1"/>
    <xf numFmtId="0" fontId="37" fillId="6" borderId="0" xfId="0" applyFont="1" applyFill="1" applyAlignment="1" applyProtection="1">
      <alignment horizontal="center"/>
    </xf>
    <xf numFmtId="44" fontId="37" fillId="6" borderId="0" xfId="2" applyFont="1" applyFill="1" applyAlignment="1" applyProtection="1">
      <alignment horizontal="center"/>
    </xf>
    <xf numFmtId="44" fontId="37" fillId="5" borderId="4" xfId="2" applyFont="1" applyFill="1" applyBorder="1" applyAlignment="1" applyProtection="1">
      <alignment horizontal="center"/>
      <protection locked="0"/>
    </xf>
    <xf numFmtId="166" fontId="37" fillId="6" borderId="0" xfId="2" applyNumberFormat="1" applyFont="1" applyFill="1" applyBorder="1" applyAlignment="1" applyProtection="1">
      <alignment horizontal="center"/>
    </xf>
    <xf numFmtId="44" fontId="37" fillId="6" borderId="0" xfId="0" applyNumberFormat="1" applyFont="1" applyFill="1" applyAlignment="1" applyProtection="1">
      <alignment horizontal="center"/>
    </xf>
    <xf numFmtId="0" fontId="37" fillId="0" borderId="0" xfId="0" applyFont="1" applyAlignment="1" applyProtection="1">
      <alignment horizontal="center"/>
    </xf>
    <xf numFmtId="10" fontId="37" fillId="0" borderId="0" xfId="4" applyNumberFormat="1" applyFont="1" applyAlignment="1" applyProtection="1">
      <alignment horizontal="center"/>
    </xf>
    <xf numFmtId="3" fontId="40" fillId="0" borderId="0" xfId="1" applyNumberFormat="1" applyFont="1" applyAlignment="1" applyProtection="1">
      <alignment horizontal="right"/>
    </xf>
    <xf numFmtId="3" fontId="37" fillId="0" borderId="0" xfId="1" applyNumberFormat="1" applyFont="1" applyAlignment="1" applyProtection="1">
      <alignment horizontal="right"/>
    </xf>
    <xf numFmtId="4" fontId="37" fillId="0" borderId="0" xfId="1" applyNumberFormat="1" applyFont="1" applyAlignment="1" applyProtection="1">
      <alignment horizontal="right"/>
    </xf>
    <xf numFmtId="4" fontId="36" fillId="0" borderId="0" xfId="0" applyNumberFormat="1" applyFont="1" applyFill="1" applyAlignment="1" applyProtection="1">
      <alignment horizontal="right" vertical="center"/>
    </xf>
    <xf numFmtId="10" fontId="30" fillId="0" borderId="1" xfId="4" applyNumberFormat="1" applyFont="1" applyFill="1" applyBorder="1" applyAlignment="1" applyProtection="1">
      <alignment horizontal="right" vertical="center"/>
      <protection locked="0"/>
    </xf>
    <xf numFmtId="10" fontId="30" fillId="4" borderId="1" xfId="4" applyNumberFormat="1" applyFont="1" applyFill="1" applyBorder="1" applyAlignment="1" applyProtection="1">
      <alignment horizontal="right" vertical="center"/>
    </xf>
    <xf numFmtId="0" fontId="39" fillId="7" borderId="6" xfId="0" applyFont="1" applyFill="1" applyBorder="1" applyAlignment="1" applyProtection="1">
      <alignment horizontal="center" vertical="center" wrapText="1"/>
    </xf>
    <xf numFmtId="0" fontId="39" fillId="7" borderId="6" xfId="0" applyFont="1" applyFill="1" applyBorder="1" applyAlignment="1" applyProtection="1">
      <alignment horizontal="right" vertical="center" wrapText="1"/>
    </xf>
    <xf numFmtId="0" fontId="21" fillId="0" borderId="0" xfId="0" applyFont="1" applyAlignment="1" applyProtection="1">
      <alignment vertical="center"/>
    </xf>
    <xf numFmtId="0" fontId="28" fillId="8" borderId="0" xfId="0" applyFont="1" applyFill="1" applyBorder="1" applyAlignment="1">
      <alignment vertical="center"/>
    </xf>
    <xf numFmtId="0" fontId="41" fillId="0" borderId="0" xfId="0" applyFont="1"/>
    <xf numFmtId="0" fontId="42" fillId="0" borderId="0" xfId="0" applyFont="1"/>
    <xf numFmtId="0" fontId="43" fillId="0" borderId="0" xfId="0" applyFont="1"/>
    <xf numFmtId="0" fontId="39" fillId="7" borderId="0" xfId="0" applyFont="1" applyFill="1" applyBorder="1" applyAlignment="1">
      <alignment horizontal="center" wrapText="1"/>
    </xf>
    <xf numFmtId="0" fontId="21" fillId="0" borderId="0" xfId="0" applyFont="1" applyBorder="1"/>
    <xf numFmtId="0" fontId="44" fillId="7" borderId="0" xfId="0" applyFont="1" applyFill="1" applyBorder="1" applyAlignment="1">
      <alignment horizontal="center" wrapText="1"/>
    </xf>
    <xf numFmtId="0" fontId="46" fillId="7" borderId="0" xfId="0" applyFont="1" applyFill="1" applyBorder="1" applyAlignment="1">
      <alignment horizontal="center" wrapText="1"/>
    </xf>
    <xf numFmtId="167" fontId="21" fillId="2" borderId="2" xfId="0" applyNumberFormat="1" applyFont="1" applyFill="1" applyBorder="1" applyAlignment="1">
      <alignment horizontal="center"/>
    </xf>
    <xf numFmtId="2" fontId="21" fillId="2" borderId="2" xfId="0" applyNumberFormat="1" applyFont="1" applyFill="1" applyBorder="1" applyAlignment="1">
      <alignment horizontal="right"/>
    </xf>
    <xf numFmtId="0" fontId="37" fillId="0" borderId="0" xfId="0" applyFont="1" applyBorder="1"/>
    <xf numFmtId="2" fontId="37" fillId="0" borderId="2" xfId="0" applyNumberFormat="1" applyFont="1" applyBorder="1"/>
    <xf numFmtId="40" fontId="37" fillId="0" borderId="2" xfId="0" applyNumberFormat="1" applyFont="1" applyBorder="1"/>
    <xf numFmtId="40" fontId="37" fillId="0" borderId="0" xfId="0" applyNumberFormat="1" applyFont="1" applyBorder="1"/>
    <xf numFmtId="0" fontId="21" fillId="0" borderId="0" xfId="0" applyFont="1" applyAlignment="1">
      <alignment horizontal="center"/>
    </xf>
    <xf numFmtId="167" fontId="21" fillId="2" borderId="0" xfId="0" applyNumberFormat="1" applyFont="1" applyFill="1" applyBorder="1" applyAlignment="1">
      <alignment horizontal="center"/>
    </xf>
    <xf numFmtId="2" fontId="21" fillId="2" borderId="0" xfId="0" applyNumberFormat="1" applyFont="1" applyFill="1" applyBorder="1" applyAlignment="1">
      <alignment horizontal="right"/>
    </xf>
    <xf numFmtId="2" fontId="37" fillId="0" borderId="0" xfId="0" applyNumberFormat="1" applyFont="1" applyBorder="1"/>
    <xf numFmtId="40" fontId="37" fillId="0" borderId="0" xfId="0" applyNumberFormat="1" applyFont="1" applyBorder="1" applyAlignment="1">
      <alignment horizontal="right"/>
    </xf>
    <xf numFmtId="164" fontId="37" fillId="0" borderId="0" xfId="4" applyNumberFormat="1" applyFont="1" applyBorder="1" applyAlignment="1">
      <alignment horizontal="right"/>
    </xf>
    <xf numFmtId="2" fontId="37" fillId="0" borderId="0" xfId="0" applyNumberFormat="1" applyFont="1" applyBorder="1" applyAlignment="1">
      <alignment horizontal="right"/>
    </xf>
    <xf numFmtId="0" fontId="45" fillId="6" borderId="0" xfId="0" applyFont="1" applyFill="1"/>
    <xf numFmtId="0" fontId="21" fillId="6" borderId="0" xfId="0" applyFont="1" applyFill="1"/>
    <xf numFmtId="0" fontId="39" fillId="6" borderId="0" xfId="0" applyFont="1" applyFill="1" applyAlignment="1">
      <alignment horizontal="right"/>
    </xf>
    <xf numFmtId="164" fontId="39" fillId="3" borderId="0" xfId="4" applyNumberFormat="1" applyFont="1" applyFill="1" applyBorder="1"/>
    <xf numFmtId="0" fontId="25" fillId="0" borderId="0" xfId="3" applyAlignment="1" applyProtection="1"/>
  </cellXfs>
  <cellStyles count="5">
    <cellStyle name="Comma" xfId="1" builtinId="3"/>
    <cellStyle name="Currency" xfId="2" builtinId="4"/>
    <cellStyle name="Hyperlink" xfId="3" builtinId="8" customBuiltin="1"/>
    <cellStyle name="Normal" xfId="0" builtinId="0"/>
    <cellStyle name="Percent" xfId="4" builtinId="5"/>
  </cellStyles>
  <dxfs count="6">
    <dxf>
      <font>
        <condense val="0"/>
        <extend val="0"/>
        <color indexed="22"/>
      </font>
    </dxf>
    <dxf>
      <font>
        <condense val="0"/>
        <extend val="0"/>
        <color indexed="12"/>
      </font>
    </dxf>
    <dxf>
      <fill>
        <patternFill>
          <bgColor indexed="22"/>
        </patternFill>
      </fill>
    </dxf>
    <dxf>
      <font>
        <condense val="0"/>
        <extend val="0"/>
        <color indexed="22"/>
      </font>
    </dxf>
    <dxf>
      <font>
        <condense val="0"/>
        <extend val="0"/>
        <color indexed="55"/>
      </font>
      <fill>
        <patternFill>
          <bgColor indexed="22"/>
        </patternFill>
      </fill>
    </dxf>
    <dxf>
      <font>
        <condense val="0"/>
        <extend val="0"/>
        <color indexed="55"/>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53690004307205"/>
          <c:y val="7.6555023923444973E-2"/>
          <c:w val="0.81707479252967907"/>
          <c:h val="0.75598086124401909"/>
        </c:manualLayout>
      </c:layout>
      <c:scatterChart>
        <c:scatterStyle val="lineMarker"/>
        <c:varyColors val="0"/>
        <c:ser>
          <c:idx val="0"/>
          <c:order val="0"/>
          <c:tx>
            <c:strRef>
              <c:f>'401k'!$H$32</c:f>
              <c:strCache>
                <c:ptCount val="1"/>
                <c:pt idx="0">
                  <c:v>Balance</c:v>
                </c:pt>
              </c:strCache>
            </c:strRef>
          </c:tx>
          <c:spPr>
            <a:ln w="25400">
              <a:solidFill>
                <a:srgbClr val="000080"/>
              </a:solidFill>
              <a:prstDash val="solid"/>
            </a:ln>
          </c:spPr>
          <c:marker>
            <c:symbol val="none"/>
          </c:marker>
          <c:xVal>
            <c:numRef>
              <c:f>'401k'!$B$34:$B$93</c:f>
              <c:numCache>
                <c:formatCode>General</c:formatCode>
                <c:ptCount val="60"/>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xVal>
          <c:yVal>
            <c:numRef>
              <c:f>'401k'!$H$34:$H$93</c:f>
              <c:numCache>
                <c:formatCode>#,##0.00</c:formatCode>
                <c:ptCount val="60"/>
                <c:pt idx="0">
                  <c:v>6681.7629519872407</c:v>
                </c:pt>
                <c:pt idx="1">
                  <c:v>13909.277681290067</c:v>
                </c:pt>
                <c:pt idx="2">
                  <c:v>21718.877668535257</c:v>
                </c:pt>
                <c:pt idx="3">
                  <c:v>30149.190818035688</c:v>
                </c:pt>
                <c:pt idx="4">
                  <c:v>39241.282041904858</c:v>
                </c:pt>
                <c:pt idx="5">
                  <c:v>49038.804659829235</c:v>
                </c:pt>
                <c:pt idx="6">
                  <c:v>59588.161158656549</c:v>
                </c:pt>
                <c:pt idx="7">
                  <c:v>70938.673889529222</c:v>
                </c:pt>
                <c:pt idx="8">
                  <c:v>83142.766315933797</c:v>
                </c:pt>
                <c:pt idx="9">
                  <c:v>96256.155463877687</c:v>
                </c:pt>
                <c:pt idx="10">
                  <c:v>110338.05626557871</c:v>
                </c:pt>
                <c:pt idx="11">
                  <c:v>125451.39853070557</c:v>
                </c:pt>
                <c:pt idx="12">
                  <c:v>141663.05732449036</c:v>
                </c:pt>
                <c:pt idx="13">
                  <c:v>159044.09758011106</c:v>
                </c:pt>
                <c:pt idx="14">
                  <c:v>177670.03382378342</c:v>
                </c:pt>
                <c:pt idx="15">
                  <c:v>197621.10594519245</c:v>
                </c:pt>
                <c:pt idx="16">
                  <c:v>218982.57200342612</c:v>
                </c:pt>
                <c:pt idx="17">
                  <c:v>241845.01911965522</c:v>
                </c:pt>
                <c:pt idx="18">
                  <c:v>266304.69357265305</c:v>
                </c:pt>
                <c:pt idx="19">
                  <c:v>292463.85128209717</c:v>
                </c:pt>
                <c:pt idx="20">
                  <c:v>320431.12993769086</c:v>
                </c:pt>
                <c:pt idx="21">
                  <c:v>350321.94410974724</c:v>
                </c:pt>
                <c:pt idx="22">
                  <c:v>382258.90475926903</c:v>
                </c:pt>
                <c:pt idx="23">
                  <c:v>416372.2646530302</c:v>
                </c:pt>
                <c:pt idx="24">
                  <c:v>452800.39128203446</c:v>
                </c:pt>
                <c:pt idx="25">
                  <c:v>491690.2689803213</c:v>
                </c:pt>
                <c:pt idx="26">
                  <c:v>533198.03204576892</c:v>
                </c:pt>
                <c:pt idx="27">
                  <c:v>577489.53077567683</c:v>
                </c:pt>
                <c:pt idx="28">
                  <c:v>624740.93244790193</c:v>
                </c:pt>
                <c:pt idx="29">
                  <c:v>675139.35940358695</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yVal>
          <c:smooth val="0"/>
          <c:extLst>
            <c:ext xmlns:c16="http://schemas.microsoft.com/office/drawing/2014/chart" uri="{C3380CC4-5D6E-409C-BE32-E72D297353CC}">
              <c16:uniqueId val="{00000000-5B7A-413A-A552-E58862FA0865}"/>
            </c:ext>
          </c:extLst>
        </c:ser>
        <c:ser>
          <c:idx val="1"/>
          <c:order val="1"/>
          <c:tx>
            <c:v>My Contribution</c:v>
          </c:tx>
          <c:spPr>
            <a:ln w="28575">
              <a:solidFill>
                <a:srgbClr val="FF0000"/>
              </a:solidFill>
              <a:prstDash val="solid"/>
            </a:ln>
          </c:spPr>
          <c:marker>
            <c:symbol val="none"/>
          </c:marker>
          <c:xVal>
            <c:numRef>
              <c:f>'401k'!$B$34:$B$93</c:f>
              <c:numCache>
                <c:formatCode>General</c:formatCode>
                <c:ptCount val="60"/>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xVal>
          <c:yVal>
            <c:numRef>
              <c:f>'401k'!$J$34:$J$93</c:f>
              <c:numCache>
                <c:formatCode>#,##0</c:formatCode>
                <c:ptCount val="60"/>
                <c:pt idx="0">
                  <c:v>5000</c:v>
                </c:pt>
                <c:pt idx="1">
                  <c:v>10100</c:v>
                </c:pt>
                <c:pt idx="2">
                  <c:v>15302</c:v>
                </c:pt>
                <c:pt idx="3">
                  <c:v>20608.04</c:v>
                </c:pt>
                <c:pt idx="4">
                  <c:v>26020.200800000002</c:v>
                </c:pt>
                <c:pt idx="5">
                  <c:v>31540.604816000003</c:v>
                </c:pt>
                <c:pt idx="6">
                  <c:v>37171.416912320004</c:v>
                </c:pt>
                <c:pt idx="7">
                  <c:v>42914.845250566403</c:v>
                </c:pt>
                <c:pt idx="8">
                  <c:v>48773.142155577734</c:v>
                </c:pt>
                <c:pt idx="9">
                  <c:v>54748.60499868929</c:v>
                </c:pt>
                <c:pt idx="10">
                  <c:v>60843.577098663081</c:v>
                </c:pt>
                <c:pt idx="11">
                  <c:v>67060.448640636343</c:v>
                </c:pt>
                <c:pt idx="12">
                  <c:v>73401.657613449075</c:v>
                </c:pt>
                <c:pt idx="13">
                  <c:v>79869.690765718056</c:v>
                </c:pt>
                <c:pt idx="14">
                  <c:v>86467.084581032424</c:v>
                </c:pt>
                <c:pt idx="15">
                  <c:v>93196.426272653072</c:v>
                </c:pt>
                <c:pt idx="16">
                  <c:v>100060.35479810613</c:v>
                </c:pt>
                <c:pt idx="17">
                  <c:v>107061.56189406825</c:v>
                </c:pt>
                <c:pt idx="18">
                  <c:v>114202.79313194961</c:v>
                </c:pt>
                <c:pt idx="19">
                  <c:v>121486.84899458861</c:v>
                </c:pt>
                <c:pt idx="20">
                  <c:v>128916.58597448039</c:v>
                </c:pt>
                <c:pt idx="21">
                  <c:v>136494.91769397</c:v>
                </c:pt>
                <c:pt idx="22">
                  <c:v>144224.8160478494</c:v>
                </c:pt>
                <c:pt idx="23">
                  <c:v>152109.31236880639</c:v>
                </c:pt>
                <c:pt idx="24">
                  <c:v>160151.49861618254</c:v>
                </c:pt>
                <c:pt idx="25">
                  <c:v>168354.52858850619</c:v>
                </c:pt>
                <c:pt idx="26">
                  <c:v>176721.61916027631</c:v>
                </c:pt>
                <c:pt idx="27">
                  <c:v>185256.05154348185</c:v>
                </c:pt>
                <c:pt idx="28">
                  <c:v>193961.17257435148</c:v>
                </c:pt>
                <c:pt idx="29">
                  <c:v>202840.39602583851</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yVal>
          <c:smooth val="0"/>
          <c:extLst>
            <c:ext xmlns:c16="http://schemas.microsoft.com/office/drawing/2014/chart" uri="{C3380CC4-5D6E-409C-BE32-E72D297353CC}">
              <c16:uniqueId val="{00000001-5B7A-413A-A552-E58862FA0865}"/>
            </c:ext>
          </c:extLst>
        </c:ser>
        <c:ser>
          <c:idx val="2"/>
          <c:order val="2"/>
          <c:tx>
            <c:v>Total Contribution</c:v>
          </c:tx>
          <c:spPr>
            <a:ln w="22225">
              <a:solidFill>
                <a:srgbClr val="0000FF"/>
              </a:solidFill>
              <a:prstDash val="solid"/>
            </a:ln>
          </c:spPr>
          <c:marker>
            <c:symbol val="none"/>
          </c:marker>
          <c:xVal>
            <c:numRef>
              <c:f>'401k'!$B$34:$B$93</c:f>
              <c:numCache>
                <c:formatCode>General</c:formatCode>
                <c:ptCount val="60"/>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xVal>
          <c:yVal>
            <c:numRef>
              <c:f>'401k'!$K$34:$K$93</c:f>
              <c:numCache>
                <c:formatCode>#,##0</c:formatCode>
                <c:ptCount val="60"/>
                <c:pt idx="0">
                  <c:v>6500</c:v>
                </c:pt>
                <c:pt idx="1">
                  <c:v>13130</c:v>
                </c:pt>
                <c:pt idx="2">
                  <c:v>19892.599999999999</c:v>
                </c:pt>
                <c:pt idx="3">
                  <c:v>26790.451999999997</c:v>
                </c:pt>
                <c:pt idx="4">
                  <c:v>33826.261039999998</c:v>
                </c:pt>
                <c:pt idx="5">
                  <c:v>41002.7862608</c:v>
                </c:pt>
                <c:pt idx="6">
                  <c:v>48322.841986015999</c:v>
                </c:pt>
                <c:pt idx="7">
                  <c:v>55789.298825736318</c:v>
                </c:pt>
                <c:pt idx="8">
                  <c:v>63405.084802251047</c:v>
                </c:pt>
                <c:pt idx="9">
                  <c:v>71173.186498296069</c:v>
                </c:pt>
                <c:pt idx="10">
                  <c:v>79096.650228261991</c:v>
                </c:pt>
                <c:pt idx="11">
                  <c:v>87178.583232827237</c:v>
                </c:pt>
                <c:pt idx="12">
                  <c:v>95422.154897483793</c:v>
                </c:pt>
                <c:pt idx="13">
                  <c:v>103830.59799543348</c:v>
                </c:pt>
                <c:pt idx="14">
                  <c:v>112407.20995534216</c:v>
                </c:pt>
                <c:pt idx="15">
                  <c:v>121155.354154449</c:v>
                </c:pt>
                <c:pt idx="16">
                  <c:v>130078.46123753799</c:v>
                </c:pt>
                <c:pt idx="17">
                  <c:v>139180.03046228876</c:v>
                </c:pt>
                <c:pt idx="18">
                  <c:v>148463.63107153456</c:v>
                </c:pt>
                <c:pt idx="19">
                  <c:v>157932.90369296525</c:v>
                </c:pt>
                <c:pt idx="20">
                  <c:v>167591.56176682457</c:v>
                </c:pt>
                <c:pt idx="21">
                  <c:v>177443.39300216109</c:v>
                </c:pt>
                <c:pt idx="22">
                  <c:v>187492.2608622043</c:v>
                </c:pt>
                <c:pt idx="23">
                  <c:v>197742.10607944839</c:v>
                </c:pt>
                <c:pt idx="24">
                  <c:v>208196.94820103736</c:v>
                </c:pt>
                <c:pt idx="25">
                  <c:v>218860.88716505811</c:v>
                </c:pt>
                <c:pt idx="26">
                  <c:v>229738.10490835927</c:v>
                </c:pt>
                <c:pt idx="27">
                  <c:v>240832.86700652647</c:v>
                </c:pt>
                <c:pt idx="28">
                  <c:v>252149.52434665701</c:v>
                </c:pt>
                <c:pt idx="29">
                  <c:v>263692.51483359013</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yVal>
          <c:smooth val="0"/>
          <c:extLst>
            <c:ext xmlns:c16="http://schemas.microsoft.com/office/drawing/2014/chart" uri="{C3380CC4-5D6E-409C-BE32-E72D297353CC}">
              <c16:uniqueId val="{00000002-5B7A-413A-A552-E58862FA0865}"/>
            </c:ext>
          </c:extLst>
        </c:ser>
        <c:dLbls>
          <c:showLegendKey val="0"/>
          <c:showVal val="0"/>
          <c:showCatName val="0"/>
          <c:showSerName val="0"/>
          <c:showPercent val="0"/>
          <c:showBubbleSize val="0"/>
        </c:dLbls>
        <c:axId val="170181760"/>
        <c:axId val="170183680"/>
      </c:scatterChart>
      <c:valAx>
        <c:axId val="170181760"/>
        <c:scaling>
          <c:orientation val="minMax"/>
          <c:min val="20"/>
        </c:scaling>
        <c:delete val="0"/>
        <c:axPos val="b"/>
        <c:title>
          <c:tx>
            <c:rich>
              <a:bodyPr/>
              <a:lstStyle/>
              <a:p>
                <a:pPr>
                  <a:defRPr sz="1000" b="1" i="0" u="none" strike="noStrike" baseline="0">
                    <a:solidFill>
                      <a:srgbClr val="000000"/>
                    </a:solidFill>
                    <a:latin typeface="Arial"/>
                    <a:ea typeface="Arial"/>
                    <a:cs typeface="Arial"/>
                  </a:defRPr>
                </a:pPr>
                <a:r>
                  <a:rPr lang="en-US"/>
                  <a:t>Age</a:t>
                </a:r>
              </a:p>
            </c:rich>
          </c:tx>
          <c:layout>
            <c:manualLayout>
              <c:xMode val="edge"/>
              <c:yMode val="edge"/>
              <c:x val="0.54268400399359273"/>
              <c:y val="0.87081339712918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0183680"/>
        <c:crosses val="autoZero"/>
        <c:crossBetween val="midCat"/>
      </c:valAx>
      <c:valAx>
        <c:axId val="170183680"/>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0181760"/>
        <c:crosses val="autoZero"/>
        <c:crossBetween val="midCat"/>
      </c:valAx>
      <c:spPr>
        <a:noFill/>
        <a:ln w="25400">
          <a:noFill/>
        </a:ln>
      </c:spPr>
    </c:plotArea>
    <c:legend>
      <c:legendPos val="r"/>
      <c:layout>
        <c:manualLayout>
          <c:xMode val="edge"/>
          <c:yMode val="edge"/>
          <c:x val="0.172764570559758"/>
          <c:y val="7.1770334928229665E-2"/>
          <c:w val="0.30691117828851128"/>
          <c:h val="0.30622009569377989"/>
        </c:manualLayout>
      </c:layout>
      <c:overlay val="0"/>
      <c:spPr>
        <a:noFill/>
        <a:ln w="3175">
          <a:solidFill>
            <a:srgbClr val="B2B2B2"/>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651620769811189E-2"/>
          <c:y val="5.5363415338815385E-2"/>
          <c:w val="0.87535471305848933"/>
          <c:h val="0.83737165699958271"/>
        </c:manualLayout>
      </c:layout>
      <c:barChart>
        <c:barDir val="col"/>
        <c:grouping val="stacked"/>
        <c:varyColors val="0"/>
        <c:ser>
          <c:idx val="0"/>
          <c:order val="0"/>
          <c:tx>
            <c:v>Your Contributions</c:v>
          </c:tx>
          <c:spPr>
            <a:solidFill>
              <a:srgbClr val="F3F0E4"/>
            </a:solidFill>
            <a:ln w="12700">
              <a:solidFill>
                <a:srgbClr val="000000"/>
              </a:solidFill>
              <a:prstDash val="solid"/>
            </a:ln>
          </c:spPr>
          <c:invertIfNegative val="0"/>
          <c:cat>
            <c:numRef>
              <c:f>Balance!$B$6:$B$17</c:f>
              <c:numCache>
                <c:formatCode>[$-409]d\-mmm\-yy;@</c:formatCode>
                <c:ptCount val="12"/>
                <c:pt idx="0">
                  <c:v>39813</c:v>
                </c:pt>
                <c:pt idx="1">
                  <c:v>39844</c:v>
                </c:pt>
                <c:pt idx="2">
                  <c:v>39872</c:v>
                </c:pt>
                <c:pt idx="3">
                  <c:v>39903</c:v>
                </c:pt>
                <c:pt idx="4">
                  <c:v>39933</c:v>
                </c:pt>
                <c:pt idx="5">
                  <c:v>39964</c:v>
                </c:pt>
                <c:pt idx="6">
                  <c:v>39994</c:v>
                </c:pt>
              </c:numCache>
            </c:numRef>
          </c:cat>
          <c:val>
            <c:numRef>
              <c:f>Balance!$G$6:$G$17</c:f>
              <c:numCache>
                <c:formatCode>0.00</c:formatCode>
                <c:ptCount val="12"/>
                <c:pt idx="0">
                  <c:v>826</c:v>
                </c:pt>
                <c:pt idx="1">
                  <c:v>960</c:v>
                </c:pt>
                <c:pt idx="2">
                  <c:v>1094</c:v>
                </c:pt>
                <c:pt idx="3">
                  <c:v>1228</c:v>
                </c:pt>
                <c:pt idx="4">
                  <c:v>1362</c:v>
                </c:pt>
                <c:pt idx="5">
                  <c:v>1562</c:v>
                </c:pt>
                <c:pt idx="6">
                  <c:v>1696</c:v>
                </c:pt>
                <c:pt idx="7">
                  <c:v>#N/A</c:v>
                </c:pt>
                <c:pt idx="8">
                  <c:v>#N/A</c:v>
                </c:pt>
                <c:pt idx="9">
                  <c:v>#N/A</c:v>
                </c:pt>
                <c:pt idx="10">
                  <c:v>#N/A</c:v>
                </c:pt>
              </c:numCache>
            </c:numRef>
          </c:val>
          <c:extLst>
            <c:ext xmlns:c16="http://schemas.microsoft.com/office/drawing/2014/chart" uri="{C3380CC4-5D6E-409C-BE32-E72D297353CC}">
              <c16:uniqueId val="{00000000-45F3-4529-97EB-1FA0FA64F470}"/>
            </c:ext>
          </c:extLst>
        </c:ser>
        <c:ser>
          <c:idx val="1"/>
          <c:order val="1"/>
          <c:tx>
            <c:v>Company Match</c:v>
          </c:tx>
          <c:spPr>
            <a:solidFill>
              <a:srgbClr val="D6F4D9"/>
            </a:solidFill>
            <a:ln w="12700">
              <a:solidFill>
                <a:srgbClr val="000000"/>
              </a:solidFill>
              <a:prstDash val="solid"/>
            </a:ln>
          </c:spPr>
          <c:invertIfNegative val="0"/>
          <c:cat>
            <c:numRef>
              <c:f>Balance!$B$6:$B$17</c:f>
              <c:numCache>
                <c:formatCode>[$-409]d\-mmm\-yy;@</c:formatCode>
                <c:ptCount val="12"/>
                <c:pt idx="0">
                  <c:v>39813</c:v>
                </c:pt>
                <c:pt idx="1">
                  <c:v>39844</c:v>
                </c:pt>
                <c:pt idx="2">
                  <c:v>39872</c:v>
                </c:pt>
                <c:pt idx="3">
                  <c:v>39903</c:v>
                </c:pt>
                <c:pt idx="4">
                  <c:v>39933</c:v>
                </c:pt>
                <c:pt idx="5">
                  <c:v>39964</c:v>
                </c:pt>
                <c:pt idx="6">
                  <c:v>39994</c:v>
                </c:pt>
              </c:numCache>
            </c:numRef>
          </c:cat>
          <c:val>
            <c:numRef>
              <c:f>Balance!$H$6:$H$17</c:f>
              <c:numCache>
                <c:formatCode>0.00</c:formatCode>
                <c:ptCount val="12"/>
                <c:pt idx="0">
                  <c:v>413</c:v>
                </c:pt>
                <c:pt idx="1">
                  <c:v>480</c:v>
                </c:pt>
                <c:pt idx="2">
                  <c:v>547</c:v>
                </c:pt>
                <c:pt idx="3">
                  <c:v>614</c:v>
                </c:pt>
                <c:pt idx="4">
                  <c:v>681</c:v>
                </c:pt>
                <c:pt idx="5">
                  <c:v>781</c:v>
                </c:pt>
                <c:pt idx="6">
                  <c:v>848</c:v>
                </c:pt>
                <c:pt idx="7">
                  <c:v>#N/A</c:v>
                </c:pt>
                <c:pt idx="8">
                  <c:v>#N/A</c:v>
                </c:pt>
                <c:pt idx="9">
                  <c:v>#N/A</c:v>
                </c:pt>
                <c:pt idx="10">
                  <c:v>#N/A</c:v>
                </c:pt>
              </c:numCache>
            </c:numRef>
          </c:val>
          <c:extLst>
            <c:ext xmlns:c16="http://schemas.microsoft.com/office/drawing/2014/chart" uri="{C3380CC4-5D6E-409C-BE32-E72D297353CC}">
              <c16:uniqueId val="{00000001-45F3-4529-97EB-1FA0FA64F470}"/>
            </c:ext>
          </c:extLst>
        </c:ser>
        <c:dLbls>
          <c:showLegendKey val="0"/>
          <c:showVal val="0"/>
          <c:showCatName val="0"/>
          <c:showSerName val="0"/>
          <c:showPercent val="0"/>
          <c:showBubbleSize val="0"/>
        </c:dLbls>
        <c:gapWidth val="150"/>
        <c:overlap val="100"/>
        <c:axId val="170857984"/>
        <c:axId val="171193088"/>
      </c:barChart>
      <c:lineChart>
        <c:grouping val="standard"/>
        <c:varyColors val="0"/>
        <c:ser>
          <c:idx val="2"/>
          <c:order val="2"/>
          <c:tx>
            <c:v>VALUE</c:v>
          </c:tx>
          <c:spPr>
            <a:ln w="25400">
              <a:solidFill>
                <a:srgbClr val="006500"/>
              </a:solidFill>
              <a:prstDash val="solid"/>
            </a:ln>
          </c:spPr>
          <c:marker>
            <c:symbol val="circle"/>
            <c:size val="7"/>
            <c:spPr>
              <a:solidFill>
                <a:srgbClr val="006500"/>
              </a:solidFill>
              <a:ln>
                <a:solidFill>
                  <a:srgbClr val="006500"/>
                </a:solidFill>
                <a:prstDash val="solid"/>
              </a:ln>
            </c:spPr>
          </c:marker>
          <c:cat>
            <c:numRef>
              <c:f>Balance!$B$6:$B$17</c:f>
              <c:numCache>
                <c:formatCode>[$-409]d\-mmm\-yy;@</c:formatCode>
                <c:ptCount val="12"/>
                <c:pt idx="0">
                  <c:v>39813</c:v>
                </c:pt>
                <c:pt idx="1">
                  <c:v>39844</c:v>
                </c:pt>
                <c:pt idx="2">
                  <c:v>39872</c:v>
                </c:pt>
                <c:pt idx="3">
                  <c:v>39903</c:v>
                </c:pt>
                <c:pt idx="4">
                  <c:v>39933</c:v>
                </c:pt>
                <c:pt idx="5">
                  <c:v>39964</c:v>
                </c:pt>
                <c:pt idx="6">
                  <c:v>39994</c:v>
                </c:pt>
              </c:numCache>
            </c:numRef>
          </c:cat>
          <c:val>
            <c:numRef>
              <c:f>Balance!$E$6:$E$17</c:f>
              <c:numCache>
                <c:formatCode>0.00</c:formatCode>
                <c:ptCount val="12"/>
                <c:pt idx="0">
                  <c:v>1250</c:v>
                </c:pt>
                <c:pt idx="1">
                  <c:v>1545.64</c:v>
                </c:pt>
                <c:pt idx="2">
                  <c:v>1694.69</c:v>
                </c:pt>
                <c:pt idx="3">
                  <c:v>1866.77</c:v>
                </c:pt>
                <c:pt idx="4">
                  <c:v>2052.84</c:v>
                </c:pt>
                <c:pt idx="5">
                  <c:v>2359.15</c:v>
                </c:pt>
                <c:pt idx="6">
                  <c:v>2475.13</c:v>
                </c:pt>
              </c:numCache>
            </c:numRef>
          </c:val>
          <c:smooth val="0"/>
          <c:extLst>
            <c:ext xmlns:c16="http://schemas.microsoft.com/office/drawing/2014/chart" uri="{C3380CC4-5D6E-409C-BE32-E72D297353CC}">
              <c16:uniqueId val="{00000002-45F3-4529-97EB-1FA0FA64F470}"/>
            </c:ext>
          </c:extLst>
        </c:ser>
        <c:dLbls>
          <c:showLegendKey val="0"/>
          <c:showVal val="0"/>
          <c:showCatName val="0"/>
          <c:showSerName val="0"/>
          <c:showPercent val="0"/>
          <c:showBubbleSize val="0"/>
        </c:dLbls>
        <c:marker val="1"/>
        <c:smooth val="0"/>
        <c:axId val="170857984"/>
        <c:axId val="171193088"/>
      </c:lineChart>
      <c:dateAx>
        <c:axId val="170857984"/>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1193088"/>
        <c:crosses val="autoZero"/>
        <c:auto val="1"/>
        <c:lblOffset val="100"/>
        <c:baseTimeUnit val="months"/>
        <c:majorUnit val="1"/>
        <c:majorTimeUnit val="months"/>
        <c:minorUnit val="1"/>
        <c:minorTimeUnit val="months"/>
      </c:dateAx>
      <c:valAx>
        <c:axId val="171193088"/>
        <c:scaling>
          <c:orientation val="minMax"/>
          <c:min val="0"/>
        </c:scaling>
        <c:delete val="0"/>
        <c:axPos val="l"/>
        <c:majorGridlines>
          <c:spPr>
            <a:ln w="3175">
              <a:solidFill>
                <a:srgbClr val="EAEAEA"/>
              </a:solidFill>
              <a:prstDash val="solid"/>
            </a:ln>
          </c:spPr>
        </c:majorGridlines>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0857984"/>
        <c:crosses val="autoZero"/>
        <c:crossBetween val="between"/>
      </c:valAx>
      <c:spPr>
        <a:noFill/>
        <a:ln w="25400">
          <a:noFill/>
        </a:ln>
      </c:spPr>
    </c:plotArea>
    <c:legend>
      <c:legendPos val="r"/>
      <c:layout>
        <c:manualLayout>
          <c:xMode val="edge"/>
          <c:yMode val="edge"/>
          <c:x val="0.11189809438773569"/>
          <c:y val="5.5363415338815385E-2"/>
          <c:w val="0.20821544145566009"/>
          <c:h val="0.22145366135526154"/>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6</xdr:col>
      <xdr:colOff>228600</xdr:colOff>
      <xdr:row>30</xdr:row>
      <xdr:rowOff>95250</xdr:rowOff>
    </xdr:to>
    <xdr:graphicFrame macro="">
      <xdr:nvGraphicFramePr>
        <xdr:cNvPr id="1028" name="Chart 4">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20</xdr:row>
      <xdr:rowOff>0</xdr:rowOff>
    </xdr:from>
    <xdr:to>
      <xdr:col>12</xdr:col>
      <xdr:colOff>95250</xdr:colOff>
      <xdr:row>37</xdr:row>
      <xdr:rowOff>0</xdr:rowOff>
    </xdr:to>
    <xdr:graphicFrame macro="">
      <xdr:nvGraphicFramePr>
        <xdr:cNvPr id="3075" name="Chart 3">
          <a:extLst>
            <a:ext uri="{FF2B5EF4-FFF2-40B4-BE49-F238E27FC236}">
              <a16:creationId xmlns:a16="http://schemas.microsoft.com/office/drawing/2014/main" id="{00000000-0008-0000-01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 Classic Blue/Green">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6CBB59"/>
      </a:accent5>
      <a:accent6>
        <a:srgbClr val="7860B4"/>
      </a:accent6>
      <a:hlink>
        <a:srgbClr val="4C92AE"/>
      </a:hlink>
      <a:folHlink>
        <a:srgbClr val="969696"/>
      </a:folHlink>
    </a:clrScheme>
    <a:fontScheme name="ArialTahoma">
      <a:majorFont>
        <a:latin typeface="Arial"/>
        <a:ea typeface=""/>
        <a:cs typeface=""/>
      </a:majorFont>
      <a:minorFont>
        <a:latin typeface="Tahom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M93"/>
  <sheetViews>
    <sheetView showGridLines="0" tabSelected="1" workbookViewId="0">
      <selection activeCell="A2" sqref="A2:XFD2"/>
    </sheetView>
  </sheetViews>
  <sheetFormatPr defaultColWidth="9.1796875" defaultRowHeight="12.5" x14ac:dyDescent="0.25"/>
  <cols>
    <col min="1" max="1" width="7.54296875" style="4" customWidth="1"/>
    <col min="2" max="2" width="7.7265625" style="4" customWidth="1"/>
    <col min="3" max="3" width="9.453125" style="4" customWidth="1"/>
    <col min="4" max="4" width="9.81640625" style="4" customWidth="1"/>
    <col min="5" max="5" width="16.1796875" style="4" customWidth="1"/>
    <col min="6" max="7" width="15" style="4" customWidth="1"/>
    <col min="8" max="8" width="17" style="4" customWidth="1"/>
    <col min="9" max="9" width="4.1796875" style="4" customWidth="1"/>
    <col min="10" max="10" width="11.7265625" style="4" customWidth="1"/>
    <col min="11" max="11" width="10.81640625" style="4" bestFit="1" customWidth="1"/>
    <col min="12" max="16384" width="9.1796875" style="4"/>
  </cols>
  <sheetData>
    <row r="1" spans="1:13" ht="31.5" customHeight="1" x14ac:dyDescent="0.25">
      <c r="A1" s="33" t="s">
        <v>49</v>
      </c>
      <c r="B1" s="33"/>
      <c r="C1" s="33"/>
      <c r="D1" s="33"/>
      <c r="E1" s="33"/>
      <c r="F1" s="33"/>
      <c r="G1" s="33"/>
      <c r="H1" s="33"/>
      <c r="J1" s="3"/>
    </row>
    <row r="2" spans="1:13" x14ac:dyDescent="0.25">
      <c r="A2" s="2"/>
      <c r="B2" s="5"/>
      <c r="C2" s="5"/>
      <c r="D2" s="5"/>
      <c r="E2" s="5"/>
      <c r="F2" s="5"/>
      <c r="G2" s="5"/>
      <c r="H2" s="9"/>
      <c r="I2" s="3"/>
    </row>
    <row r="3" spans="1:13" x14ac:dyDescent="0.25">
      <c r="A3" s="6"/>
      <c r="B3" s="5"/>
      <c r="C3" s="5"/>
      <c r="D3" s="5"/>
      <c r="E3" s="5"/>
      <c r="F3" s="5"/>
      <c r="G3" s="5"/>
      <c r="H3" s="5"/>
      <c r="I3" s="3"/>
      <c r="J3" s="11" t="s">
        <v>59</v>
      </c>
      <c r="K3" s="12"/>
      <c r="L3" s="12"/>
      <c r="M3" s="12"/>
    </row>
    <row r="4" spans="1:13" ht="19.5" customHeight="1" thickBot="1" x14ac:dyDescent="0.3">
      <c r="A4" s="34" t="s">
        <v>38</v>
      </c>
      <c r="B4" s="34"/>
      <c r="C4" s="34"/>
      <c r="D4" s="34"/>
      <c r="E4" s="34"/>
      <c r="F4" s="35" t="s">
        <v>39</v>
      </c>
      <c r="G4" s="35"/>
      <c r="H4" s="35"/>
      <c r="J4" s="3" t="s">
        <v>44</v>
      </c>
    </row>
    <row r="5" spans="1:13" ht="15" customHeight="1" x14ac:dyDescent="0.3">
      <c r="A5" s="36"/>
      <c r="B5" s="37"/>
      <c r="C5" s="37"/>
      <c r="D5" s="37" t="s">
        <v>2</v>
      </c>
      <c r="E5" s="38">
        <v>35</v>
      </c>
      <c r="F5" s="39"/>
      <c r="G5" s="40" t="s">
        <v>12</v>
      </c>
      <c r="H5" s="41">
        <f>IF(E6-E5&lt;=0,0,E6-E5)</f>
        <v>30</v>
      </c>
      <c r="J5" s="3" t="s">
        <v>46</v>
      </c>
    </row>
    <row r="6" spans="1:13" ht="15" customHeight="1" x14ac:dyDescent="0.3">
      <c r="A6" s="36"/>
      <c r="B6" s="37"/>
      <c r="C6" s="37"/>
      <c r="D6" s="37" t="s">
        <v>3</v>
      </c>
      <c r="E6" s="42">
        <v>65</v>
      </c>
      <c r="F6" s="39"/>
      <c r="G6" s="39"/>
      <c r="H6" s="39"/>
      <c r="J6" s="3" t="s">
        <v>52</v>
      </c>
    </row>
    <row r="7" spans="1:13" ht="15" customHeight="1" thickBot="1" x14ac:dyDescent="0.3">
      <c r="A7" s="43"/>
      <c r="B7" s="44"/>
      <c r="C7" s="44"/>
      <c r="D7" s="44"/>
      <c r="E7" s="45" t="s">
        <v>35</v>
      </c>
      <c r="F7" s="46"/>
      <c r="G7" s="47"/>
      <c r="H7" s="48" t="s">
        <v>40</v>
      </c>
      <c r="J7" s="3" t="s">
        <v>72</v>
      </c>
    </row>
    <row r="8" spans="1:13" ht="15" customHeight="1" x14ac:dyDescent="0.25">
      <c r="A8" s="36"/>
      <c r="B8" s="37"/>
      <c r="C8" s="37"/>
      <c r="D8" s="37" t="s">
        <v>16</v>
      </c>
      <c r="E8" s="49">
        <v>0</v>
      </c>
      <c r="F8" s="39"/>
      <c r="G8" s="40" t="str">
        <f>"Estimated Value After "&amp;H5&amp;" Years"</f>
        <v>Estimated Value After 30 Years</v>
      </c>
      <c r="H8" s="50">
        <f ca="1">OFFSET(H32,H5+1,0,1,1)</f>
        <v>675139.35940358695</v>
      </c>
      <c r="J8" s="3"/>
    </row>
    <row r="9" spans="1:13" ht="15" customHeight="1" x14ac:dyDescent="0.25">
      <c r="A9" s="36"/>
      <c r="B9" s="37"/>
      <c r="C9" s="37"/>
      <c r="D9" s="37" t="s">
        <v>51</v>
      </c>
      <c r="E9" s="51">
        <v>50000</v>
      </c>
      <c r="F9" s="39"/>
      <c r="G9" s="40" t="s">
        <v>41</v>
      </c>
      <c r="H9" s="50">
        <f ca="1">OFFSET(D32,H5+1,0,1,1)</f>
        <v>88792.234514870332</v>
      </c>
    </row>
    <row r="10" spans="1:13" ht="15" customHeight="1" x14ac:dyDescent="0.3">
      <c r="A10" s="36"/>
      <c r="B10" s="37"/>
      <c r="C10" s="37"/>
      <c r="D10" s="37" t="s">
        <v>8</v>
      </c>
      <c r="E10" s="52">
        <v>0.02</v>
      </c>
      <c r="F10" s="39"/>
      <c r="G10" s="39"/>
      <c r="H10" s="39"/>
      <c r="J10" s="7" t="s">
        <v>45</v>
      </c>
    </row>
    <row r="11" spans="1:13" ht="15" customHeight="1" thickBot="1" x14ac:dyDescent="0.3">
      <c r="A11" s="43"/>
      <c r="B11" s="44"/>
      <c r="C11" s="44"/>
      <c r="D11" s="44"/>
      <c r="E11" s="45" t="s">
        <v>36</v>
      </c>
      <c r="F11" s="46"/>
      <c r="G11" s="47"/>
      <c r="H11" s="48" t="s">
        <v>17</v>
      </c>
      <c r="J11" s="3" t="s">
        <v>42</v>
      </c>
    </row>
    <row r="12" spans="1:13" ht="15" customHeight="1" x14ac:dyDescent="0.3">
      <c r="A12" s="36"/>
      <c r="B12" s="37"/>
      <c r="C12" s="37"/>
      <c r="D12" s="37" t="s">
        <v>34</v>
      </c>
      <c r="E12" s="53">
        <v>0.1</v>
      </c>
      <c r="F12" s="39"/>
      <c r="G12" s="40" t="s">
        <v>18</v>
      </c>
      <c r="H12" s="50">
        <f ca="1">IF(H5&gt;0,SUM(OFFSET(E32,2,0,H5,1)),0)</f>
        <v>202840.39602583851</v>
      </c>
      <c r="J12" s="3" t="s">
        <v>20</v>
      </c>
    </row>
    <row r="13" spans="1:13" ht="15" customHeight="1" x14ac:dyDescent="0.3">
      <c r="A13" s="36"/>
      <c r="B13" s="37"/>
      <c r="C13" s="37"/>
      <c r="D13" s="54" t="s">
        <v>73</v>
      </c>
      <c r="E13" s="52">
        <v>0.5</v>
      </c>
      <c r="F13" s="39"/>
      <c r="G13" s="40" t="s">
        <v>19</v>
      </c>
      <c r="H13" s="50">
        <f ca="1">IF(H5&gt;0,SUM(OFFSET(F32,2,0,H5,1)),0)</f>
        <v>60852.11880775154</v>
      </c>
      <c r="J13" s="3" t="s">
        <v>21</v>
      </c>
    </row>
    <row r="14" spans="1:13" ht="15" customHeight="1" x14ac:dyDescent="0.3">
      <c r="A14" s="36"/>
      <c r="B14" s="37"/>
      <c r="C14" s="37"/>
      <c r="D14" s="54" t="s">
        <v>74</v>
      </c>
      <c r="E14" s="52">
        <v>0.06</v>
      </c>
      <c r="F14" s="55"/>
      <c r="G14" s="40" t="s">
        <v>17</v>
      </c>
      <c r="H14" s="50">
        <f ca="1">H13+H12</f>
        <v>263692.51483359002</v>
      </c>
      <c r="J14" s="3" t="s">
        <v>22</v>
      </c>
    </row>
    <row r="15" spans="1:13" ht="15" customHeight="1" x14ac:dyDescent="0.25">
      <c r="A15" s="36"/>
      <c r="B15" s="37"/>
      <c r="C15" s="37"/>
      <c r="D15" s="37"/>
      <c r="E15" s="56" t="str">
        <f>IF(H5&gt;0,IF(E34&gt;16500,"Warning: Annual Contribution Over $16,500 Limit"," . ")," . ")</f>
        <v xml:space="preserve"> . </v>
      </c>
      <c r="F15" s="39"/>
      <c r="G15" s="55"/>
      <c r="H15" s="40"/>
      <c r="J15" s="3" t="s">
        <v>23</v>
      </c>
    </row>
    <row r="16" spans="1:13" ht="15" customHeight="1" thickBot="1" x14ac:dyDescent="0.3">
      <c r="A16" s="43"/>
      <c r="B16" s="44"/>
      <c r="C16" s="44"/>
      <c r="D16" s="44"/>
      <c r="E16" s="45" t="s">
        <v>37</v>
      </c>
      <c r="F16" s="39"/>
      <c r="G16" s="39"/>
      <c r="H16" s="39"/>
      <c r="J16" s="3"/>
    </row>
    <row r="17" spans="1:11" ht="15" customHeight="1" x14ac:dyDescent="0.3">
      <c r="A17" s="36"/>
      <c r="B17" s="37"/>
      <c r="C17" s="37"/>
      <c r="D17" s="37" t="s">
        <v>13</v>
      </c>
      <c r="E17" s="53">
        <v>0.06</v>
      </c>
      <c r="F17" s="39"/>
      <c r="G17" s="39"/>
      <c r="H17" s="39"/>
    </row>
    <row r="18" spans="1:11" ht="15" customHeight="1" x14ac:dyDescent="0.3">
      <c r="A18" s="36"/>
      <c r="B18" s="36"/>
      <c r="C18" s="36"/>
      <c r="D18" s="37" t="s">
        <v>32</v>
      </c>
      <c r="E18" s="42">
        <v>12</v>
      </c>
      <c r="F18" s="39"/>
      <c r="G18" s="39"/>
      <c r="H18" s="39"/>
    </row>
    <row r="19" spans="1:11" x14ac:dyDescent="0.25">
      <c r="A19" s="36"/>
      <c r="B19" s="36"/>
      <c r="C19" s="36"/>
      <c r="D19" s="36"/>
      <c r="E19" s="36"/>
      <c r="F19" s="39"/>
      <c r="G19" s="55"/>
      <c r="H19" s="39"/>
    </row>
    <row r="20" spans="1:11" x14ac:dyDescent="0.25">
      <c r="G20" s="57"/>
      <c r="H20" s="58"/>
    </row>
    <row r="21" spans="1:11" x14ac:dyDescent="0.25">
      <c r="G21" s="59"/>
      <c r="H21" s="60" t="b">
        <f>(H22="On")</f>
        <v>0</v>
      </c>
      <c r="I21" s="3"/>
    </row>
    <row r="22" spans="1:11" ht="15" customHeight="1" x14ac:dyDescent="0.25">
      <c r="C22" s="8" t="s">
        <v>50</v>
      </c>
      <c r="G22" s="74" t="s">
        <v>71</v>
      </c>
      <c r="H22" s="61" t="s">
        <v>70</v>
      </c>
      <c r="I22" s="3"/>
      <c r="J22" s="4" t="str">
        <f>IF(H22="On","Press F9 to recalculate.",".")</f>
        <v>.</v>
      </c>
    </row>
    <row r="23" spans="1:11" ht="15" customHeight="1" x14ac:dyDescent="0.25">
      <c r="G23" s="74" t="s">
        <v>43</v>
      </c>
      <c r="H23" s="75">
        <v>-0.04</v>
      </c>
      <c r="I23" s="3"/>
    </row>
    <row r="24" spans="1:11" ht="15" customHeight="1" x14ac:dyDescent="0.25">
      <c r="G24" s="74" t="s">
        <v>14</v>
      </c>
      <c r="H24" s="75">
        <v>0.1</v>
      </c>
    </row>
    <row r="25" spans="1:11" ht="15" customHeight="1" x14ac:dyDescent="0.25">
      <c r="G25" s="74" t="s">
        <v>15</v>
      </c>
      <c r="H25" s="76">
        <f ca="1">IF(H5&gt;0,AVERAGE(OFFSET(C32,2,0,H5,1)),0)</f>
        <v>6.0000000000000039E-2</v>
      </c>
    </row>
    <row r="26" spans="1:11" x14ac:dyDescent="0.25">
      <c r="G26" s="57"/>
      <c r="H26" s="62" t="s">
        <v>33</v>
      </c>
    </row>
    <row r="27" spans="1:11" x14ac:dyDescent="0.25">
      <c r="G27" s="57"/>
      <c r="H27" s="58"/>
    </row>
    <row r="28" spans="1:11" x14ac:dyDescent="0.25">
      <c r="G28" s="57"/>
      <c r="H28" s="58"/>
    </row>
    <row r="29" spans="1:11" x14ac:dyDescent="0.25">
      <c r="G29" s="57"/>
      <c r="H29" s="58"/>
    </row>
    <row r="30" spans="1:11" x14ac:dyDescent="0.25">
      <c r="G30" s="57"/>
      <c r="H30" s="58"/>
    </row>
    <row r="31" spans="1:11" x14ac:dyDescent="0.25">
      <c r="G31" s="57"/>
      <c r="H31" s="63" t="s">
        <v>50</v>
      </c>
    </row>
    <row r="32" spans="1:11" ht="38" thickBot="1" x14ac:dyDescent="0.3">
      <c r="A32" s="77" t="s">
        <v>4</v>
      </c>
      <c r="B32" s="77" t="s">
        <v>5</v>
      </c>
      <c r="C32" s="77" t="s">
        <v>6</v>
      </c>
      <c r="D32" s="77" t="s">
        <v>7</v>
      </c>
      <c r="E32" s="77" t="s">
        <v>75</v>
      </c>
      <c r="F32" s="77" t="s">
        <v>76</v>
      </c>
      <c r="G32" s="78" t="s">
        <v>0</v>
      </c>
      <c r="H32" s="78" t="s">
        <v>1</v>
      </c>
      <c r="I32" s="79"/>
      <c r="J32" s="77" t="s">
        <v>77</v>
      </c>
      <c r="K32" s="77" t="s">
        <v>78</v>
      </c>
    </row>
    <row r="33" spans="1:11" ht="15" customHeight="1" x14ac:dyDescent="0.25">
      <c r="A33" s="64"/>
      <c r="B33" s="64"/>
      <c r="C33" s="64"/>
      <c r="D33" s="65"/>
      <c r="E33" s="66"/>
      <c r="F33" s="66"/>
      <c r="G33" s="64"/>
      <c r="H33" s="67">
        <f>$E$8</f>
        <v>0</v>
      </c>
      <c r="I33" s="58"/>
      <c r="J33" s="68"/>
      <c r="K33" s="68"/>
    </row>
    <row r="34" spans="1:11" x14ac:dyDescent="0.25">
      <c r="A34" s="69">
        <f>IF(A33&lt;$H$5,A33+1,NA())</f>
        <v>1</v>
      </c>
      <c r="B34" s="69">
        <f>IF(ISERROR(A34),NA(),$E$5+A34-1)</f>
        <v>35</v>
      </c>
      <c r="C34" s="70">
        <f t="shared" ref="C34:C65" ca="1" si="0">IF(ISERROR(A34),NA(),IF(randrate,$H$23+RAND()*($H$24-$H$23),$E$17))</f>
        <v>0.06</v>
      </c>
      <c r="D34" s="71">
        <f>E9</f>
        <v>50000</v>
      </c>
      <c r="E34" s="72">
        <f>IF(ISERROR(A34),NA(),IF(A34&lt;=$H$5,$E$12*D34,0))</f>
        <v>5000</v>
      </c>
      <c r="F34" s="72">
        <f>IF(ISERROR(A34),NA(),IF(A34&lt;=$H$5,MIN($E$13*E34,$E$14*$E$13*D34),0))</f>
        <v>1500</v>
      </c>
      <c r="G34" s="73">
        <f t="shared" ref="G34:G65" ca="1" si="1">IF(ISERROR(A34),NA(),FV(C34/nper,nper,-(E34+F34)/nper,-H33)-(H33+E34+F34))</f>
        <v>181.76295198724074</v>
      </c>
      <c r="H34" s="73">
        <f ca="1">IF(ISERROR(A34),NA(),H33+E34+F34+G34)</f>
        <v>6681.7629519872407</v>
      </c>
      <c r="I34" s="58"/>
      <c r="J34" s="72">
        <f>IF(ISERROR(A34),NA(),SUM(E$33:E34))</f>
        <v>5000</v>
      </c>
      <c r="K34" s="72">
        <f>IF(ISERROR(A34),NA(),SUM(E$33:F34))</f>
        <v>6500</v>
      </c>
    </row>
    <row r="35" spans="1:11" x14ac:dyDescent="0.25">
      <c r="A35" s="69">
        <f>IF(A34&lt;$H$5,A34+1,NA())</f>
        <v>2</v>
      </c>
      <c r="B35" s="69">
        <f t="shared" ref="B35:B93" si="2">IF(ISERROR(A35),NA(),$E$5+A35-1)</f>
        <v>36</v>
      </c>
      <c r="C35" s="70">
        <f t="shared" ca="1" si="0"/>
        <v>0.06</v>
      </c>
      <c r="D35" s="72">
        <f>IF(ISERROR(A35),NA(),IF(A35&lt;=$H$5,(1+$E$10)*D34,0))</f>
        <v>51000</v>
      </c>
      <c r="E35" s="72">
        <f t="shared" ref="E35:E93" si="3">IF(ISERROR(A35),NA(),IF(A35&lt;=$H$5,$E$12*D35,0))</f>
        <v>5100</v>
      </c>
      <c r="F35" s="72">
        <f t="shared" ref="F35:F93" si="4">IF(ISERROR(A35),NA(),IF(A35&lt;=$H$5,MIN($E$13*E35,$E$14*$E$13*D35),0))</f>
        <v>1530</v>
      </c>
      <c r="G35" s="73">
        <f t="shared" ca="1" si="1"/>
        <v>597.5147293028258</v>
      </c>
      <c r="H35" s="73">
        <f t="shared" ref="H35:H93" ca="1" si="5">IF(ISERROR(A35),NA(),H34+E35+F35+G35)</f>
        <v>13909.277681290067</v>
      </c>
      <c r="I35" s="58"/>
      <c r="J35" s="72">
        <f>IF(ISERROR(A35),NA(),SUM(E$33:E35))</f>
        <v>10100</v>
      </c>
      <c r="K35" s="72">
        <f>IF(ISERROR(A35),NA(),SUM(E$33:F35))</f>
        <v>13130</v>
      </c>
    </row>
    <row r="36" spans="1:11" x14ac:dyDescent="0.25">
      <c r="A36" s="69">
        <f t="shared" ref="A36:A93" si="6">IF(A35&lt;$H$5,A35+1,NA())</f>
        <v>3</v>
      </c>
      <c r="B36" s="69">
        <f t="shared" si="2"/>
        <v>37</v>
      </c>
      <c r="C36" s="70">
        <f t="shared" ca="1" si="0"/>
        <v>0.06</v>
      </c>
      <c r="D36" s="72">
        <f t="shared" ref="D36:D93" si="7">IF(ISERROR(A36),NA(),IF(A36&lt;=$H$5,(1+$E$10)*D35,0))</f>
        <v>52020</v>
      </c>
      <c r="E36" s="72">
        <f t="shared" si="3"/>
        <v>5202</v>
      </c>
      <c r="F36" s="72">
        <f t="shared" si="4"/>
        <v>1560.6</v>
      </c>
      <c r="G36" s="73">
        <f t="shared" ca="1" si="1"/>
        <v>1046.9999872451917</v>
      </c>
      <c r="H36" s="73">
        <f t="shared" ca="1" si="5"/>
        <v>21718.877668535257</v>
      </c>
      <c r="I36" s="58"/>
      <c r="J36" s="72">
        <f>IF(ISERROR(A36),NA(),SUM(E$33:E36))</f>
        <v>15302</v>
      </c>
      <c r="K36" s="72">
        <f>IF(ISERROR(A36),NA(),SUM(E$33:F36))</f>
        <v>19892.599999999999</v>
      </c>
    </row>
    <row r="37" spans="1:11" x14ac:dyDescent="0.25">
      <c r="A37" s="69">
        <f t="shared" si="6"/>
        <v>4</v>
      </c>
      <c r="B37" s="69">
        <f t="shared" si="2"/>
        <v>38</v>
      </c>
      <c r="C37" s="70">
        <f t="shared" ca="1" si="0"/>
        <v>0.06</v>
      </c>
      <c r="D37" s="72">
        <f t="shared" si="7"/>
        <v>53060.4</v>
      </c>
      <c r="E37" s="72">
        <f t="shared" si="3"/>
        <v>5306.0400000000009</v>
      </c>
      <c r="F37" s="72">
        <f t="shared" si="4"/>
        <v>1591.8119999999999</v>
      </c>
      <c r="G37" s="73">
        <f t="shared" ca="1" si="1"/>
        <v>1532.4611495004319</v>
      </c>
      <c r="H37" s="73">
        <f t="shared" ca="1" si="5"/>
        <v>30149.190818035688</v>
      </c>
      <c r="I37" s="58"/>
      <c r="J37" s="72">
        <f>IF(ISERROR(A37),NA(),SUM(E$33:E37))</f>
        <v>20608.04</v>
      </c>
      <c r="K37" s="72">
        <f>IF(ISERROR(A37),NA(),SUM(E$33:F37))</f>
        <v>26790.451999999997</v>
      </c>
    </row>
    <row r="38" spans="1:11" x14ac:dyDescent="0.25">
      <c r="A38" s="69">
        <f t="shared" si="6"/>
        <v>5</v>
      </c>
      <c r="B38" s="69">
        <f t="shared" si="2"/>
        <v>39</v>
      </c>
      <c r="C38" s="70">
        <f t="shared" ca="1" si="0"/>
        <v>0.06</v>
      </c>
      <c r="D38" s="72">
        <f t="shared" si="7"/>
        <v>54121.608</v>
      </c>
      <c r="E38" s="72">
        <f t="shared" si="3"/>
        <v>5412.1608000000006</v>
      </c>
      <c r="F38" s="72">
        <f t="shared" si="4"/>
        <v>1623.64824</v>
      </c>
      <c r="G38" s="73">
        <f t="shared" ca="1" si="1"/>
        <v>2056.2821838691671</v>
      </c>
      <c r="H38" s="73">
        <f t="shared" ca="1" si="5"/>
        <v>39241.282041904858</v>
      </c>
      <c r="I38" s="58"/>
      <c r="J38" s="72">
        <f>IF(ISERROR(A38),NA(),SUM(E$33:E38))</f>
        <v>26020.200800000002</v>
      </c>
      <c r="K38" s="72">
        <f>IF(ISERROR(A38),NA(),SUM(E$33:F38))</f>
        <v>33826.261039999998</v>
      </c>
    </row>
    <row r="39" spans="1:11" x14ac:dyDescent="0.25">
      <c r="A39" s="69">
        <f t="shared" si="6"/>
        <v>6</v>
      </c>
      <c r="B39" s="69">
        <f t="shared" si="2"/>
        <v>40</v>
      </c>
      <c r="C39" s="70">
        <f t="shared" ca="1" si="0"/>
        <v>0.06</v>
      </c>
      <c r="D39" s="72">
        <f t="shared" si="7"/>
        <v>55204.040160000004</v>
      </c>
      <c r="E39" s="72">
        <f t="shared" si="3"/>
        <v>5520.4040160000004</v>
      </c>
      <c r="F39" s="72">
        <f t="shared" si="4"/>
        <v>1656.1212048</v>
      </c>
      <c r="G39" s="73">
        <f t="shared" ca="1" si="1"/>
        <v>2620.9973971243744</v>
      </c>
      <c r="H39" s="73">
        <f t="shared" ca="1" si="5"/>
        <v>49038.804659829235</v>
      </c>
      <c r="I39" s="58"/>
      <c r="J39" s="72">
        <f>IF(ISERROR(A39),NA(),SUM(E$33:E39))</f>
        <v>31540.604816000003</v>
      </c>
      <c r="K39" s="72">
        <f>IF(ISERROR(A39),NA(),SUM(E$33:F39))</f>
        <v>41002.7862608</v>
      </c>
    </row>
    <row r="40" spans="1:11" x14ac:dyDescent="0.25">
      <c r="A40" s="69">
        <f t="shared" si="6"/>
        <v>7</v>
      </c>
      <c r="B40" s="69">
        <f t="shared" si="2"/>
        <v>41</v>
      </c>
      <c r="C40" s="70">
        <f t="shared" ca="1" si="0"/>
        <v>0.06</v>
      </c>
      <c r="D40" s="72">
        <f t="shared" si="7"/>
        <v>56308.120963200003</v>
      </c>
      <c r="E40" s="72">
        <f t="shared" si="3"/>
        <v>5630.8120963200008</v>
      </c>
      <c r="F40" s="72">
        <f t="shared" si="4"/>
        <v>1689.243628896</v>
      </c>
      <c r="G40" s="73">
        <f t="shared" ca="1" si="1"/>
        <v>3229.3007736113141</v>
      </c>
      <c r="H40" s="73">
        <f t="shared" ca="1" si="5"/>
        <v>59588.161158656549</v>
      </c>
      <c r="I40" s="58"/>
      <c r="J40" s="72">
        <f>IF(ISERROR(A40),NA(),SUM(E$33:E40))</f>
        <v>37171.416912320004</v>
      </c>
      <c r="K40" s="72">
        <f>IF(ISERROR(A40),NA(),SUM(E$33:F40))</f>
        <v>48322.841986015999</v>
      </c>
    </row>
    <row r="41" spans="1:11" x14ac:dyDescent="0.25">
      <c r="A41" s="69">
        <f t="shared" si="6"/>
        <v>8</v>
      </c>
      <c r="B41" s="69">
        <f t="shared" si="2"/>
        <v>42</v>
      </c>
      <c r="C41" s="70">
        <f t="shared" ca="1" si="0"/>
        <v>0.06</v>
      </c>
      <c r="D41" s="72">
        <f t="shared" si="7"/>
        <v>57434.283382464004</v>
      </c>
      <c r="E41" s="72">
        <f t="shared" si="3"/>
        <v>5743.4283382464009</v>
      </c>
      <c r="F41" s="72">
        <f t="shared" si="4"/>
        <v>1723.02850147392</v>
      </c>
      <c r="G41" s="73">
        <f t="shared" ca="1" si="1"/>
        <v>3884.0558911523549</v>
      </c>
      <c r="H41" s="73">
        <f t="shared" ca="1" si="5"/>
        <v>70938.673889529222</v>
      </c>
      <c r="I41" s="58"/>
      <c r="J41" s="72">
        <f>IF(ISERROR(A41),NA(),SUM(E$33:E41))</f>
        <v>42914.845250566403</v>
      </c>
      <c r="K41" s="72">
        <f>IF(ISERROR(A41),NA(),SUM(E$33:F41))</f>
        <v>55789.298825736318</v>
      </c>
    </row>
    <row r="42" spans="1:11" x14ac:dyDescent="0.25">
      <c r="A42" s="69">
        <f t="shared" si="6"/>
        <v>9</v>
      </c>
      <c r="B42" s="69">
        <f t="shared" si="2"/>
        <v>43</v>
      </c>
      <c r="C42" s="70">
        <f t="shared" ca="1" si="0"/>
        <v>0.06</v>
      </c>
      <c r="D42" s="72">
        <f t="shared" si="7"/>
        <v>58582.969050113286</v>
      </c>
      <c r="E42" s="72">
        <f t="shared" si="3"/>
        <v>5858.2969050113288</v>
      </c>
      <c r="F42" s="72">
        <f t="shared" si="4"/>
        <v>1757.4890715033985</v>
      </c>
      <c r="G42" s="73">
        <f t="shared" ca="1" si="1"/>
        <v>4588.3064498898457</v>
      </c>
      <c r="H42" s="73">
        <f t="shared" ca="1" si="5"/>
        <v>83142.766315933797</v>
      </c>
      <c r="I42" s="58"/>
      <c r="J42" s="72">
        <f>IF(ISERROR(A42),NA(),SUM(E$33:E42))</f>
        <v>48773.142155577734</v>
      </c>
      <c r="K42" s="72">
        <f>IF(ISERROR(A42),NA(),SUM(E$33:F42))</f>
        <v>63405.084802251047</v>
      </c>
    </row>
    <row r="43" spans="1:11" x14ac:dyDescent="0.25">
      <c r="A43" s="69">
        <f t="shared" si="6"/>
        <v>10</v>
      </c>
      <c r="B43" s="69">
        <f t="shared" si="2"/>
        <v>44</v>
      </c>
      <c r="C43" s="70">
        <f t="shared" ca="1" si="0"/>
        <v>0.06</v>
      </c>
      <c r="D43" s="72">
        <f t="shared" si="7"/>
        <v>59754.628431115554</v>
      </c>
      <c r="E43" s="72">
        <f t="shared" si="3"/>
        <v>5975.4628431115561</v>
      </c>
      <c r="F43" s="72">
        <f t="shared" si="4"/>
        <v>1792.6388529334665</v>
      </c>
      <c r="G43" s="73">
        <f t="shared" ca="1" si="1"/>
        <v>5345.2874518988683</v>
      </c>
      <c r="H43" s="73">
        <f t="shared" ca="1" si="5"/>
        <v>96256.155463877687</v>
      </c>
      <c r="I43" s="58"/>
      <c r="J43" s="72">
        <f>IF(ISERROR(A43),NA(),SUM(E$33:E43))</f>
        <v>54748.60499868929</v>
      </c>
      <c r="K43" s="72">
        <f>IF(ISERROR(A43),NA(),SUM(E$33:F43))</f>
        <v>71173.186498296069</v>
      </c>
    </row>
    <row r="44" spans="1:11" x14ac:dyDescent="0.25">
      <c r="A44" s="69">
        <f t="shared" si="6"/>
        <v>11</v>
      </c>
      <c r="B44" s="69">
        <f t="shared" si="2"/>
        <v>45</v>
      </c>
      <c r="C44" s="70">
        <f t="shared" ca="1" si="0"/>
        <v>0.06</v>
      </c>
      <c r="D44" s="72">
        <f t="shared" si="7"/>
        <v>60949.720999737867</v>
      </c>
      <c r="E44" s="72">
        <f t="shared" si="3"/>
        <v>6094.9720999737874</v>
      </c>
      <c r="F44" s="72">
        <f t="shared" si="4"/>
        <v>1828.491629992136</v>
      </c>
      <c r="G44" s="73">
        <f t="shared" ca="1" si="1"/>
        <v>6158.4370717350976</v>
      </c>
      <c r="H44" s="73">
        <f t="shared" ca="1" si="5"/>
        <v>110338.05626557871</v>
      </c>
      <c r="I44" s="58"/>
      <c r="J44" s="72">
        <f>IF(ISERROR(A44),NA(),SUM(E$33:E44))</f>
        <v>60843.577098663081</v>
      </c>
      <c r="K44" s="72">
        <f>IF(ISERROR(A44),NA(),SUM(E$33:F44))</f>
        <v>79096.650228261991</v>
      </c>
    </row>
    <row r="45" spans="1:11" x14ac:dyDescent="0.25">
      <c r="A45" s="69">
        <f t="shared" si="6"/>
        <v>12</v>
      </c>
      <c r="B45" s="69">
        <f t="shared" si="2"/>
        <v>46</v>
      </c>
      <c r="C45" s="70">
        <f t="shared" ca="1" si="0"/>
        <v>0.06</v>
      </c>
      <c r="D45" s="72">
        <f t="shared" si="7"/>
        <v>62168.715419732624</v>
      </c>
      <c r="E45" s="72">
        <f t="shared" si="3"/>
        <v>6216.8715419732625</v>
      </c>
      <c r="F45" s="72">
        <f t="shared" si="4"/>
        <v>1865.0614625919786</v>
      </c>
      <c r="G45" s="73">
        <f t="shared" ca="1" si="1"/>
        <v>7031.409260561617</v>
      </c>
      <c r="H45" s="73">
        <f t="shared" ca="1" si="5"/>
        <v>125451.39853070557</v>
      </c>
      <c r="I45" s="58"/>
      <c r="J45" s="72">
        <f>IF(ISERROR(A45),NA(),SUM(E$33:E45))</f>
        <v>67060.448640636343</v>
      </c>
      <c r="K45" s="72">
        <f>IF(ISERROR(A45),NA(),SUM(E$33:F45))</f>
        <v>87178.583232827237</v>
      </c>
    </row>
    <row r="46" spans="1:11" x14ac:dyDescent="0.25">
      <c r="A46" s="69">
        <f t="shared" si="6"/>
        <v>13</v>
      </c>
      <c r="B46" s="69">
        <f t="shared" si="2"/>
        <v>47</v>
      </c>
      <c r="C46" s="70">
        <f t="shared" ca="1" si="0"/>
        <v>0.06</v>
      </c>
      <c r="D46" s="72">
        <f t="shared" si="7"/>
        <v>63412.089728127277</v>
      </c>
      <c r="E46" s="72">
        <f t="shared" si="3"/>
        <v>6341.2089728127285</v>
      </c>
      <c r="F46" s="72">
        <f t="shared" si="4"/>
        <v>1902.3626918438183</v>
      </c>
      <c r="G46" s="73">
        <f t="shared" ca="1" si="1"/>
        <v>7968.0871291282529</v>
      </c>
      <c r="H46" s="73">
        <f t="shared" ca="1" si="5"/>
        <v>141663.05732449036</v>
      </c>
      <c r="I46" s="58"/>
      <c r="J46" s="72">
        <f>IF(ISERROR(A46),NA(),SUM(E$33:E46))</f>
        <v>73401.657613449075</v>
      </c>
      <c r="K46" s="72">
        <f>IF(ISERROR(A46),NA(),SUM(E$33:F46))</f>
        <v>95422.154897483793</v>
      </c>
    </row>
    <row r="47" spans="1:11" x14ac:dyDescent="0.25">
      <c r="A47" s="69">
        <f t="shared" si="6"/>
        <v>14</v>
      </c>
      <c r="B47" s="69">
        <f t="shared" si="2"/>
        <v>48</v>
      </c>
      <c r="C47" s="70">
        <f t="shared" ca="1" si="0"/>
        <v>0.06</v>
      </c>
      <c r="D47" s="72">
        <f t="shared" si="7"/>
        <v>64680.331522689827</v>
      </c>
      <c r="E47" s="72">
        <f t="shared" si="3"/>
        <v>6468.033152268983</v>
      </c>
      <c r="F47" s="72">
        <f t="shared" si="4"/>
        <v>1940.4099456806948</v>
      </c>
      <c r="G47" s="73">
        <f t="shared" ca="1" si="1"/>
        <v>8972.5971576709999</v>
      </c>
      <c r="H47" s="73">
        <f t="shared" ca="1" si="5"/>
        <v>159044.09758011106</v>
      </c>
      <c r="I47" s="58"/>
      <c r="J47" s="72">
        <f>IF(ISERROR(A47),NA(),SUM(E$33:E47))</f>
        <v>79869.690765718056</v>
      </c>
      <c r="K47" s="72">
        <f>IF(ISERROR(A47),NA(),SUM(E$33:F47))</f>
        <v>103830.59799543348</v>
      </c>
    </row>
    <row r="48" spans="1:11" x14ac:dyDescent="0.25">
      <c r="A48" s="69">
        <f t="shared" si="6"/>
        <v>15</v>
      </c>
      <c r="B48" s="69">
        <f t="shared" si="2"/>
        <v>49</v>
      </c>
      <c r="C48" s="70">
        <f t="shared" ca="1" si="0"/>
        <v>0.06</v>
      </c>
      <c r="D48" s="72">
        <f t="shared" si="7"/>
        <v>65973.938153143623</v>
      </c>
      <c r="E48" s="72">
        <f t="shared" si="3"/>
        <v>6597.3938153143627</v>
      </c>
      <c r="F48" s="72">
        <f t="shared" si="4"/>
        <v>1979.2181445943086</v>
      </c>
      <c r="G48" s="73">
        <f t="shared" ca="1" si="1"/>
        <v>10049.324283763679</v>
      </c>
      <c r="H48" s="73">
        <f t="shared" ca="1" si="5"/>
        <v>177670.03382378342</v>
      </c>
      <c r="I48" s="58"/>
      <c r="J48" s="72">
        <f>IF(ISERROR(A48),NA(),SUM(E$33:E48))</f>
        <v>86467.084581032424</v>
      </c>
      <c r="K48" s="72">
        <f>IF(ISERROR(A48),NA(),SUM(E$33:F48))</f>
        <v>112407.20995534216</v>
      </c>
    </row>
    <row r="49" spans="1:11" x14ac:dyDescent="0.25">
      <c r="A49" s="69">
        <f t="shared" si="6"/>
        <v>16</v>
      </c>
      <c r="B49" s="69">
        <f t="shared" si="2"/>
        <v>50</v>
      </c>
      <c r="C49" s="70">
        <f t="shared" ca="1" si="0"/>
        <v>0.06</v>
      </c>
      <c r="D49" s="72">
        <f t="shared" si="7"/>
        <v>67293.416916206494</v>
      </c>
      <c r="E49" s="72">
        <f t="shared" si="3"/>
        <v>6729.3416916206497</v>
      </c>
      <c r="F49" s="72">
        <f t="shared" si="4"/>
        <v>2018.8025074861948</v>
      </c>
      <c r="G49" s="73">
        <f t="shared" ca="1" si="1"/>
        <v>11202.927922302188</v>
      </c>
      <c r="H49" s="73">
        <f t="shared" ca="1" si="5"/>
        <v>197621.10594519245</v>
      </c>
      <c r="I49" s="58"/>
      <c r="J49" s="72">
        <f>IF(ISERROR(A49),NA(),SUM(E$33:E49))</f>
        <v>93196.426272653072</v>
      </c>
      <c r="K49" s="72">
        <f>IF(ISERROR(A49),NA(),SUM(E$33:F49))</f>
        <v>121155.354154449</v>
      </c>
    </row>
    <row r="50" spans="1:11" x14ac:dyDescent="0.25">
      <c r="A50" s="69">
        <f t="shared" si="6"/>
        <v>17</v>
      </c>
      <c r="B50" s="69">
        <f t="shared" si="2"/>
        <v>51</v>
      </c>
      <c r="C50" s="70">
        <f t="shared" ca="1" si="0"/>
        <v>0.06</v>
      </c>
      <c r="D50" s="72">
        <f t="shared" si="7"/>
        <v>68639.285254530623</v>
      </c>
      <c r="E50" s="72">
        <f t="shared" si="3"/>
        <v>6863.9285254530623</v>
      </c>
      <c r="F50" s="72">
        <f t="shared" si="4"/>
        <v>2059.1785576359184</v>
      </c>
      <c r="G50" s="73">
        <f t="shared" ca="1" si="1"/>
        <v>12438.358975144685</v>
      </c>
      <c r="H50" s="73">
        <f t="shared" ca="1" si="5"/>
        <v>218982.57200342612</v>
      </c>
      <c r="I50" s="58"/>
      <c r="J50" s="72">
        <f>IF(ISERROR(A50),NA(),SUM(E$33:E50))</f>
        <v>100060.35479810613</v>
      </c>
      <c r="K50" s="72">
        <f>IF(ISERROR(A50),NA(),SUM(E$33:F50))</f>
        <v>130078.46123753799</v>
      </c>
    </row>
    <row r="51" spans="1:11" x14ac:dyDescent="0.25">
      <c r="A51" s="69">
        <f t="shared" si="6"/>
        <v>18</v>
      </c>
      <c r="B51" s="69">
        <f t="shared" si="2"/>
        <v>52</v>
      </c>
      <c r="C51" s="70">
        <f t="shared" ca="1" si="0"/>
        <v>0.06</v>
      </c>
      <c r="D51" s="72">
        <f t="shared" si="7"/>
        <v>70012.07095962124</v>
      </c>
      <c r="E51" s="72">
        <f t="shared" si="3"/>
        <v>7001.2070959621242</v>
      </c>
      <c r="F51" s="72">
        <f t="shared" si="4"/>
        <v>2100.3621287886372</v>
      </c>
      <c r="G51" s="73">
        <f t="shared" ca="1" si="1"/>
        <v>13760.877891478332</v>
      </c>
      <c r="H51" s="73">
        <f t="shared" ca="1" si="5"/>
        <v>241845.01911965522</v>
      </c>
      <c r="I51" s="58"/>
      <c r="J51" s="72">
        <f>IF(ISERROR(A51),NA(),SUM(E$33:E51))</f>
        <v>107061.56189406825</v>
      </c>
      <c r="K51" s="72">
        <f>IF(ISERROR(A51),NA(),SUM(E$33:F51))</f>
        <v>139180.03046228876</v>
      </c>
    </row>
    <row r="52" spans="1:11" x14ac:dyDescent="0.25">
      <c r="A52" s="69">
        <f t="shared" si="6"/>
        <v>19</v>
      </c>
      <c r="B52" s="69">
        <f t="shared" si="2"/>
        <v>53</v>
      </c>
      <c r="C52" s="70">
        <f t="shared" ca="1" si="0"/>
        <v>0.06</v>
      </c>
      <c r="D52" s="72">
        <f t="shared" si="7"/>
        <v>71412.312378813673</v>
      </c>
      <c r="E52" s="72">
        <f t="shared" si="3"/>
        <v>7141.2312378813676</v>
      </c>
      <c r="F52" s="72">
        <f t="shared" si="4"/>
        <v>2142.3693713644102</v>
      </c>
      <c r="G52" s="73">
        <f t="shared" ca="1" si="1"/>
        <v>15176.073843752034</v>
      </c>
      <c r="H52" s="73">
        <f t="shared" ca="1" si="5"/>
        <v>266304.69357265305</v>
      </c>
      <c r="I52" s="58"/>
      <c r="J52" s="72">
        <f>IF(ISERROR(A52),NA(),SUM(E$33:E52))</f>
        <v>114202.79313194961</v>
      </c>
      <c r="K52" s="72">
        <f>IF(ISERROR(A52),NA(),SUM(E$33:F52))</f>
        <v>148463.63107153456</v>
      </c>
    </row>
    <row r="53" spans="1:11" x14ac:dyDescent="0.25">
      <c r="A53" s="69">
        <f t="shared" si="6"/>
        <v>20</v>
      </c>
      <c r="B53" s="69">
        <f t="shared" si="2"/>
        <v>54</v>
      </c>
      <c r="C53" s="70">
        <f t="shared" ca="1" si="0"/>
        <v>0.06</v>
      </c>
      <c r="D53" s="72">
        <f t="shared" si="7"/>
        <v>72840.558626389946</v>
      </c>
      <c r="E53" s="72">
        <f t="shared" si="3"/>
        <v>7284.0558626389948</v>
      </c>
      <c r="F53" s="72">
        <f t="shared" si="4"/>
        <v>2185.2167587916983</v>
      </c>
      <c r="G53" s="73">
        <f t="shared" ca="1" si="1"/>
        <v>16689.885088013427</v>
      </c>
      <c r="H53" s="73">
        <f t="shared" ca="1" si="5"/>
        <v>292463.85128209717</v>
      </c>
      <c r="I53" s="58"/>
      <c r="J53" s="72">
        <f>IF(ISERROR(A53),NA(),SUM(E$33:E53))</f>
        <v>121486.84899458861</v>
      </c>
      <c r="K53" s="72">
        <f>IF(ISERROR(A53),NA(),SUM(E$33:F53))</f>
        <v>157932.90369296525</v>
      </c>
    </row>
    <row r="54" spans="1:11" x14ac:dyDescent="0.25">
      <c r="A54" s="69">
        <f t="shared" si="6"/>
        <v>21</v>
      </c>
      <c r="B54" s="69">
        <f t="shared" si="2"/>
        <v>55</v>
      </c>
      <c r="C54" s="70">
        <f t="shared" ca="1" si="0"/>
        <v>0.06</v>
      </c>
      <c r="D54" s="72">
        <f t="shared" si="7"/>
        <v>74297.369798917745</v>
      </c>
      <c r="E54" s="72">
        <f t="shared" si="3"/>
        <v>7429.7369798917753</v>
      </c>
      <c r="F54" s="72">
        <f t="shared" si="4"/>
        <v>2228.9210939675322</v>
      </c>
      <c r="G54" s="73">
        <f t="shared" ca="1" si="1"/>
        <v>18308.620581734402</v>
      </c>
      <c r="H54" s="73">
        <f t="shared" ca="1" si="5"/>
        <v>320431.12993769086</v>
      </c>
      <c r="I54" s="58"/>
      <c r="J54" s="72">
        <f>IF(ISERROR(A54),NA(),SUM(E$33:E54))</f>
        <v>128916.58597448039</v>
      </c>
      <c r="K54" s="72">
        <f>IF(ISERROR(A54),NA(),SUM(E$33:F54))</f>
        <v>167591.56176682457</v>
      </c>
    </row>
    <row r="55" spans="1:11" x14ac:dyDescent="0.25">
      <c r="A55" s="69">
        <f t="shared" si="6"/>
        <v>22</v>
      </c>
      <c r="B55" s="69">
        <f t="shared" si="2"/>
        <v>56</v>
      </c>
      <c r="C55" s="70">
        <f t="shared" ca="1" si="0"/>
        <v>0.06</v>
      </c>
      <c r="D55" s="72">
        <f t="shared" si="7"/>
        <v>75783.317194896095</v>
      </c>
      <c r="E55" s="72">
        <f t="shared" si="3"/>
        <v>7578.3317194896099</v>
      </c>
      <c r="F55" s="72">
        <f t="shared" si="4"/>
        <v>2273.4995158468828</v>
      </c>
      <c r="G55" s="73">
        <f t="shared" ca="1" si="1"/>
        <v>20038.982936719898</v>
      </c>
      <c r="H55" s="73">
        <f t="shared" ca="1" si="5"/>
        <v>350321.94410974724</v>
      </c>
      <c r="I55" s="58"/>
      <c r="J55" s="72">
        <f>IF(ISERROR(A55),NA(),SUM(E$33:E55))</f>
        <v>136494.91769397</v>
      </c>
      <c r="K55" s="72">
        <f>IF(ISERROR(A55),NA(),SUM(E$33:F55))</f>
        <v>177443.39300216109</v>
      </c>
    </row>
    <row r="56" spans="1:11" x14ac:dyDescent="0.25">
      <c r="A56" s="69">
        <f t="shared" si="6"/>
        <v>23</v>
      </c>
      <c r="B56" s="69">
        <f t="shared" si="2"/>
        <v>57</v>
      </c>
      <c r="C56" s="70">
        <f t="shared" ca="1" si="0"/>
        <v>0.06</v>
      </c>
      <c r="D56" s="72">
        <f t="shared" si="7"/>
        <v>77298.983538794026</v>
      </c>
      <c r="E56" s="72">
        <f t="shared" si="3"/>
        <v>7729.8983538794027</v>
      </c>
      <c r="F56" s="72">
        <f t="shared" si="4"/>
        <v>2318.9695061638208</v>
      </c>
      <c r="G56" s="73">
        <f t="shared" ca="1" si="1"/>
        <v>21888.092789478542</v>
      </c>
      <c r="H56" s="73">
        <f t="shared" ca="1" si="5"/>
        <v>382258.90475926903</v>
      </c>
      <c r="I56" s="58"/>
      <c r="J56" s="72">
        <f>IF(ISERROR(A56),NA(),SUM(E$33:E56))</f>
        <v>144224.8160478494</v>
      </c>
      <c r="K56" s="72">
        <f>IF(ISERROR(A56),NA(),SUM(E$33:F56))</f>
        <v>187492.2608622043</v>
      </c>
    </row>
    <row r="57" spans="1:11" x14ac:dyDescent="0.25">
      <c r="A57" s="69">
        <f t="shared" si="6"/>
        <v>24</v>
      </c>
      <c r="B57" s="69">
        <f t="shared" si="2"/>
        <v>58</v>
      </c>
      <c r="C57" s="70">
        <f t="shared" ca="1" si="0"/>
        <v>0.06</v>
      </c>
      <c r="D57" s="72">
        <f t="shared" si="7"/>
        <v>78844.963209569905</v>
      </c>
      <c r="E57" s="72">
        <f t="shared" si="3"/>
        <v>7884.4963209569905</v>
      </c>
      <c r="F57" s="72">
        <f t="shared" si="4"/>
        <v>2365.348896287097</v>
      </c>
      <c r="G57" s="73">
        <f t="shared" ca="1" si="1"/>
        <v>23863.514676517108</v>
      </c>
      <c r="H57" s="73">
        <f t="shared" ca="1" si="5"/>
        <v>416372.2646530302</v>
      </c>
      <c r="I57" s="58"/>
      <c r="J57" s="72">
        <f>IF(ISERROR(A57),NA(),SUM(E$33:E57))</f>
        <v>152109.31236880639</v>
      </c>
      <c r="K57" s="72">
        <f>IF(ISERROR(A57),NA(),SUM(E$33:F57))</f>
        <v>197742.10607944839</v>
      </c>
    </row>
    <row r="58" spans="1:11" x14ac:dyDescent="0.25">
      <c r="A58" s="69">
        <f t="shared" si="6"/>
        <v>25</v>
      </c>
      <c r="B58" s="69">
        <f t="shared" si="2"/>
        <v>59</v>
      </c>
      <c r="C58" s="70">
        <f t="shared" ca="1" si="0"/>
        <v>0.06</v>
      </c>
      <c r="D58" s="72">
        <f t="shared" si="7"/>
        <v>80421.862473761299</v>
      </c>
      <c r="E58" s="72">
        <f t="shared" si="3"/>
        <v>8042.1862473761303</v>
      </c>
      <c r="F58" s="72">
        <f t="shared" si="4"/>
        <v>2412.6558742128391</v>
      </c>
      <c r="G58" s="73">
        <f t="shared" ca="1" si="1"/>
        <v>25973.284507415257</v>
      </c>
      <c r="H58" s="73">
        <f t="shared" ca="1" si="5"/>
        <v>452800.39128203446</v>
      </c>
      <c r="I58" s="58"/>
      <c r="J58" s="72">
        <f>IF(ISERROR(A58),NA(),SUM(E$33:E58))</f>
        <v>160151.49861618254</v>
      </c>
      <c r="K58" s="72">
        <f>IF(ISERROR(A58),NA(),SUM(E$33:F58))</f>
        <v>208196.94820103736</v>
      </c>
    </row>
    <row r="59" spans="1:11" x14ac:dyDescent="0.25">
      <c r="A59" s="69">
        <f t="shared" si="6"/>
        <v>26</v>
      </c>
      <c r="B59" s="69">
        <f t="shared" si="2"/>
        <v>60</v>
      </c>
      <c r="C59" s="70">
        <f t="shared" ca="1" si="0"/>
        <v>0.06</v>
      </c>
      <c r="D59" s="72">
        <f t="shared" si="7"/>
        <v>82030.299723236531</v>
      </c>
      <c r="E59" s="72">
        <f t="shared" si="3"/>
        <v>8203.0299723236531</v>
      </c>
      <c r="F59" s="72">
        <f t="shared" si="4"/>
        <v>2460.9089916970956</v>
      </c>
      <c r="G59" s="73">
        <f t="shared" ca="1" si="1"/>
        <v>28225.938734266092</v>
      </c>
      <c r="H59" s="73">
        <f t="shared" ca="1" si="5"/>
        <v>491690.2689803213</v>
      </c>
      <c r="I59" s="58"/>
      <c r="J59" s="72">
        <f>IF(ISERROR(A59),NA(),SUM(E$33:E59))</f>
        <v>168354.52858850619</v>
      </c>
      <c r="K59" s="72">
        <f>IF(ISERROR(A59),NA(),SUM(E$33:F59))</f>
        <v>218860.88716505811</v>
      </c>
    </row>
    <row r="60" spans="1:11" x14ac:dyDescent="0.25">
      <c r="A60" s="69">
        <f t="shared" si="6"/>
        <v>27</v>
      </c>
      <c r="B60" s="69">
        <f t="shared" si="2"/>
        <v>61</v>
      </c>
      <c r="C60" s="70">
        <f t="shared" ca="1" si="0"/>
        <v>0.06</v>
      </c>
      <c r="D60" s="72">
        <f t="shared" si="7"/>
        <v>83670.905717701258</v>
      </c>
      <c r="E60" s="72">
        <f t="shared" si="3"/>
        <v>8367.0905717701262</v>
      </c>
      <c r="F60" s="72">
        <f t="shared" si="4"/>
        <v>2510.1271715310377</v>
      </c>
      <c r="G60" s="73">
        <f t="shared" ca="1" si="1"/>
        <v>30630.545322146441</v>
      </c>
      <c r="H60" s="73">
        <f t="shared" ca="1" si="5"/>
        <v>533198.03204576892</v>
      </c>
      <c r="I60" s="58"/>
      <c r="J60" s="72">
        <f>IF(ISERROR(A60),NA(),SUM(E$33:E60))</f>
        <v>176721.61916027631</v>
      </c>
      <c r="K60" s="72">
        <f>IF(ISERROR(A60),NA(),SUM(E$33:F60))</f>
        <v>229738.10490835927</v>
      </c>
    </row>
    <row r="61" spans="1:11" x14ac:dyDescent="0.25">
      <c r="A61" s="69">
        <f t="shared" si="6"/>
        <v>28</v>
      </c>
      <c r="B61" s="69">
        <f t="shared" si="2"/>
        <v>62</v>
      </c>
      <c r="C61" s="70">
        <f t="shared" ca="1" si="0"/>
        <v>0.06</v>
      </c>
      <c r="D61" s="72">
        <f t="shared" si="7"/>
        <v>85344.323832055292</v>
      </c>
      <c r="E61" s="72">
        <f t="shared" si="3"/>
        <v>8534.4323832055288</v>
      </c>
      <c r="F61" s="72">
        <f t="shared" si="4"/>
        <v>2560.3297149616587</v>
      </c>
      <c r="G61" s="73">
        <f t="shared" ca="1" si="1"/>
        <v>33196.7366317407</v>
      </c>
      <c r="H61" s="73">
        <f t="shared" ca="1" si="5"/>
        <v>577489.53077567683</v>
      </c>
      <c r="I61" s="58"/>
      <c r="J61" s="72">
        <f>IF(ISERROR(A61),NA(),SUM(E$33:E61))</f>
        <v>185256.05154348185</v>
      </c>
      <c r="K61" s="72">
        <f>IF(ISERROR(A61),NA(),SUM(E$33:F61))</f>
        <v>240832.86700652647</v>
      </c>
    </row>
    <row r="62" spans="1:11" x14ac:dyDescent="0.25">
      <c r="A62" s="69">
        <f t="shared" si="6"/>
        <v>29</v>
      </c>
      <c r="B62" s="69">
        <f t="shared" si="2"/>
        <v>63</v>
      </c>
      <c r="C62" s="70">
        <f t="shared" ca="1" si="0"/>
        <v>0.06</v>
      </c>
      <c r="D62" s="72">
        <f t="shared" si="7"/>
        <v>87051.210308696405</v>
      </c>
      <c r="E62" s="72">
        <f t="shared" si="3"/>
        <v>8705.1210308696409</v>
      </c>
      <c r="F62" s="72">
        <f t="shared" si="4"/>
        <v>2611.5363092608923</v>
      </c>
      <c r="G62" s="73">
        <f t="shared" ca="1" si="1"/>
        <v>35934.74433209456</v>
      </c>
      <c r="H62" s="73">
        <f t="shared" ca="1" si="5"/>
        <v>624740.93244790193</v>
      </c>
      <c r="I62" s="58"/>
      <c r="J62" s="72">
        <f>IF(ISERROR(A62),NA(),SUM(E$33:E62))</f>
        <v>193961.17257435148</v>
      </c>
      <c r="K62" s="72">
        <f>IF(ISERROR(A62),NA(),SUM(E$33:F62))</f>
        <v>252149.52434665701</v>
      </c>
    </row>
    <row r="63" spans="1:11" x14ac:dyDescent="0.25">
      <c r="A63" s="69">
        <f t="shared" si="6"/>
        <v>30</v>
      </c>
      <c r="B63" s="69">
        <f t="shared" si="2"/>
        <v>64</v>
      </c>
      <c r="C63" s="70">
        <f t="shared" ca="1" si="0"/>
        <v>0.06</v>
      </c>
      <c r="D63" s="72">
        <f t="shared" si="7"/>
        <v>88792.234514870332</v>
      </c>
      <c r="E63" s="72">
        <f t="shared" si="3"/>
        <v>8879.2234514870343</v>
      </c>
      <c r="F63" s="72">
        <f t="shared" si="4"/>
        <v>2663.7670354461097</v>
      </c>
      <c r="G63" s="73">
        <f t="shared" ca="1" si="1"/>
        <v>38855.436468751868</v>
      </c>
      <c r="H63" s="73">
        <f t="shared" ca="1" si="5"/>
        <v>675139.35940358695</v>
      </c>
      <c r="I63" s="58"/>
      <c r="J63" s="72">
        <f>IF(ISERROR(A63),NA(),SUM(E$33:E63))</f>
        <v>202840.39602583851</v>
      </c>
      <c r="K63" s="72">
        <f>IF(ISERROR(A63),NA(),SUM(E$33:F63))</f>
        <v>263692.51483359013</v>
      </c>
    </row>
    <row r="64" spans="1:11" x14ac:dyDescent="0.25">
      <c r="A64" s="69" t="e">
        <f t="shared" si="6"/>
        <v>#N/A</v>
      </c>
      <c r="B64" s="69" t="e">
        <f t="shared" si="2"/>
        <v>#N/A</v>
      </c>
      <c r="C64" s="70" t="e">
        <f t="shared" ca="1" si="0"/>
        <v>#N/A</v>
      </c>
      <c r="D64" s="72" t="e">
        <f t="shared" si="7"/>
        <v>#N/A</v>
      </c>
      <c r="E64" s="72" t="e">
        <f t="shared" si="3"/>
        <v>#N/A</v>
      </c>
      <c r="F64" s="72" t="e">
        <f t="shared" si="4"/>
        <v>#N/A</v>
      </c>
      <c r="G64" s="73" t="e">
        <f t="shared" si="1"/>
        <v>#N/A</v>
      </c>
      <c r="H64" s="73" t="e">
        <f t="shared" si="5"/>
        <v>#N/A</v>
      </c>
      <c r="I64" s="58"/>
      <c r="J64" s="72" t="e">
        <f>IF(ISERROR(A64),NA(),SUM(E$33:E64))</f>
        <v>#N/A</v>
      </c>
      <c r="K64" s="72" t="e">
        <f>IF(ISERROR(A64),NA(),SUM(E$33:F64))</f>
        <v>#N/A</v>
      </c>
    </row>
    <row r="65" spans="1:11" x14ac:dyDescent="0.25">
      <c r="A65" s="69" t="e">
        <f t="shared" si="6"/>
        <v>#N/A</v>
      </c>
      <c r="B65" s="69" t="e">
        <f t="shared" si="2"/>
        <v>#N/A</v>
      </c>
      <c r="C65" s="70" t="e">
        <f t="shared" ca="1" si="0"/>
        <v>#N/A</v>
      </c>
      <c r="D65" s="72" t="e">
        <f t="shared" si="7"/>
        <v>#N/A</v>
      </c>
      <c r="E65" s="72" t="e">
        <f t="shared" si="3"/>
        <v>#N/A</v>
      </c>
      <c r="F65" s="72" t="e">
        <f t="shared" si="4"/>
        <v>#N/A</v>
      </c>
      <c r="G65" s="73" t="e">
        <f t="shared" si="1"/>
        <v>#N/A</v>
      </c>
      <c r="H65" s="73" t="e">
        <f t="shared" si="5"/>
        <v>#N/A</v>
      </c>
      <c r="I65" s="58"/>
      <c r="J65" s="72" t="e">
        <f>IF(ISERROR(A65),NA(),SUM(E$33:E65))</f>
        <v>#N/A</v>
      </c>
      <c r="K65" s="72" t="e">
        <f>IF(ISERROR(A65),NA(),SUM(E$33:F65))</f>
        <v>#N/A</v>
      </c>
    </row>
    <row r="66" spans="1:11" x14ac:dyDescent="0.25">
      <c r="A66" s="69" t="e">
        <f t="shared" si="6"/>
        <v>#N/A</v>
      </c>
      <c r="B66" s="69" t="e">
        <f t="shared" si="2"/>
        <v>#N/A</v>
      </c>
      <c r="C66" s="70" t="e">
        <f t="shared" ref="C66:C93" ca="1" si="8">IF(ISERROR(A66),NA(),IF(randrate,$H$23+RAND()*($H$24-$H$23),$E$17))</f>
        <v>#N/A</v>
      </c>
      <c r="D66" s="72" t="e">
        <f t="shared" si="7"/>
        <v>#N/A</v>
      </c>
      <c r="E66" s="72" t="e">
        <f t="shared" si="3"/>
        <v>#N/A</v>
      </c>
      <c r="F66" s="72" t="e">
        <f t="shared" si="4"/>
        <v>#N/A</v>
      </c>
      <c r="G66" s="73" t="e">
        <f t="shared" ref="G66:G93" si="9">IF(ISERROR(A66),NA(),FV(C66/nper,nper,-(E66+F66)/nper,-H65)-(H65+E66+F66))</f>
        <v>#N/A</v>
      </c>
      <c r="H66" s="73" t="e">
        <f t="shared" si="5"/>
        <v>#N/A</v>
      </c>
      <c r="I66" s="58"/>
      <c r="J66" s="72" t="e">
        <f>IF(ISERROR(A66),NA(),SUM(E$33:E66))</f>
        <v>#N/A</v>
      </c>
      <c r="K66" s="72" t="e">
        <f>IF(ISERROR(A66),NA(),SUM(E$33:F66))</f>
        <v>#N/A</v>
      </c>
    </row>
    <row r="67" spans="1:11" x14ac:dyDescent="0.25">
      <c r="A67" s="69" t="e">
        <f t="shared" si="6"/>
        <v>#N/A</v>
      </c>
      <c r="B67" s="69" t="e">
        <f t="shared" si="2"/>
        <v>#N/A</v>
      </c>
      <c r="C67" s="70" t="e">
        <f t="shared" ca="1" si="8"/>
        <v>#N/A</v>
      </c>
      <c r="D67" s="72" t="e">
        <f t="shared" si="7"/>
        <v>#N/A</v>
      </c>
      <c r="E67" s="72" t="e">
        <f t="shared" si="3"/>
        <v>#N/A</v>
      </c>
      <c r="F67" s="72" t="e">
        <f t="shared" si="4"/>
        <v>#N/A</v>
      </c>
      <c r="G67" s="73" t="e">
        <f t="shared" si="9"/>
        <v>#N/A</v>
      </c>
      <c r="H67" s="73" t="e">
        <f t="shared" si="5"/>
        <v>#N/A</v>
      </c>
      <c r="I67" s="58"/>
      <c r="J67" s="72" t="e">
        <f>IF(ISERROR(A67),NA(),SUM(E$33:E67))</f>
        <v>#N/A</v>
      </c>
      <c r="K67" s="72" t="e">
        <f>IF(ISERROR(A67),NA(),SUM(E$33:F67))</f>
        <v>#N/A</v>
      </c>
    </row>
    <row r="68" spans="1:11" x14ac:dyDescent="0.25">
      <c r="A68" s="69" t="e">
        <f t="shared" si="6"/>
        <v>#N/A</v>
      </c>
      <c r="B68" s="69" t="e">
        <f t="shared" si="2"/>
        <v>#N/A</v>
      </c>
      <c r="C68" s="70" t="e">
        <f t="shared" ca="1" si="8"/>
        <v>#N/A</v>
      </c>
      <c r="D68" s="72" t="e">
        <f t="shared" si="7"/>
        <v>#N/A</v>
      </c>
      <c r="E68" s="72" t="e">
        <f t="shared" si="3"/>
        <v>#N/A</v>
      </c>
      <c r="F68" s="72" t="e">
        <f t="shared" si="4"/>
        <v>#N/A</v>
      </c>
      <c r="G68" s="73" t="e">
        <f t="shared" si="9"/>
        <v>#N/A</v>
      </c>
      <c r="H68" s="73" t="e">
        <f t="shared" si="5"/>
        <v>#N/A</v>
      </c>
      <c r="I68" s="58"/>
      <c r="J68" s="72" t="e">
        <f>IF(ISERROR(A68),NA(),SUM(E$33:E68))</f>
        <v>#N/A</v>
      </c>
      <c r="K68" s="72" t="e">
        <f>IF(ISERROR(A68),NA(),SUM(E$33:F68))</f>
        <v>#N/A</v>
      </c>
    </row>
    <row r="69" spans="1:11" x14ac:dyDescent="0.25">
      <c r="A69" s="69" t="e">
        <f t="shared" si="6"/>
        <v>#N/A</v>
      </c>
      <c r="B69" s="69" t="e">
        <f t="shared" si="2"/>
        <v>#N/A</v>
      </c>
      <c r="C69" s="70" t="e">
        <f t="shared" ca="1" si="8"/>
        <v>#N/A</v>
      </c>
      <c r="D69" s="72" t="e">
        <f t="shared" si="7"/>
        <v>#N/A</v>
      </c>
      <c r="E69" s="72" t="e">
        <f t="shared" si="3"/>
        <v>#N/A</v>
      </c>
      <c r="F69" s="72" t="e">
        <f t="shared" si="4"/>
        <v>#N/A</v>
      </c>
      <c r="G69" s="73" t="e">
        <f t="shared" si="9"/>
        <v>#N/A</v>
      </c>
      <c r="H69" s="73" t="e">
        <f t="shared" si="5"/>
        <v>#N/A</v>
      </c>
      <c r="I69" s="58"/>
      <c r="J69" s="72" t="e">
        <f>IF(ISERROR(A69),NA(),SUM(E$33:E69))</f>
        <v>#N/A</v>
      </c>
      <c r="K69" s="72" t="e">
        <f>IF(ISERROR(A69),NA(),SUM(E$33:F69))</f>
        <v>#N/A</v>
      </c>
    </row>
    <row r="70" spans="1:11" x14ac:dyDescent="0.25">
      <c r="A70" s="69" t="e">
        <f t="shared" si="6"/>
        <v>#N/A</v>
      </c>
      <c r="B70" s="69" t="e">
        <f t="shared" si="2"/>
        <v>#N/A</v>
      </c>
      <c r="C70" s="70" t="e">
        <f t="shared" ca="1" si="8"/>
        <v>#N/A</v>
      </c>
      <c r="D70" s="72" t="e">
        <f t="shared" si="7"/>
        <v>#N/A</v>
      </c>
      <c r="E70" s="72" t="e">
        <f t="shared" si="3"/>
        <v>#N/A</v>
      </c>
      <c r="F70" s="72" t="e">
        <f t="shared" si="4"/>
        <v>#N/A</v>
      </c>
      <c r="G70" s="73" t="e">
        <f t="shared" si="9"/>
        <v>#N/A</v>
      </c>
      <c r="H70" s="73" t="e">
        <f t="shared" si="5"/>
        <v>#N/A</v>
      </c>
      <c r="I70" s="58"/>
      <c r="J70" s="72" t="e">
        <f>IF(ISERROR(A70),NA(),SUM(E$33:E70))</f>
        <v>#N/A</v>
      </c>
      <c r="K70" s="72" t="e">
        <f>IF(ISERROR(A70),NA(),SUM(E$33:F70))</f>
        <v>#N/A</v>
      </c>
    </row>
    <row r="71" spans="1:11" x14ac:dyDescent="0.25">
      <c r="A71" s="69" t="e">
        <f t="shared" si="6"/>
        <v>#N/A</v>
      </c>
      <c r="B71" s="69" t="e">
        <f t="shared" si="2"/>
        <v>#N/A</v>
      </c>
      <c r="C71" s="70" t="e">
        <f t="shared" ca="1" si="8"/>
        <v>#N/A</v>
      </c>
      <c r="D71" s="72" t="e">
        <f t="shared" si="7"/>
        <v>#N/A</v>
      </c>
      <c r="E71" s="72" t="e">
        <f t="shared" si="3"/>
        <v>#N/A</v>
      </c>
      <c r="F71" s="72" t="e">
        <f t="shared" si="4"/>
        <v>#N/A</v>
      </c>
      <c r="G71" s="73" t="e">
        <f t="shared" si="9"/>
        <v>#N/A</v>
      </c>
      <c r="H71" s="73" t="e">
        <f t="shared" si="5"/>
        <v>#N/A</v>
      </c>
      <c r="I71" s="58"/>
      <c r="J71" s="72" t="e">
        <f>IF(ISERROR(A71),NA(),SUM(E$33:E71))</f>
        <v>#N/A</v>
      </c>
      <c r="K71" s="72" t="e">
        <f>IF(ISERROR(A71),NA(),SUM(E$33:F71))</f>
        <v>#N/A</v>
      </c>
    </row>
    <row r="72" spans="1:11" x14ac:dyDescent="0.25">
      <c r="A72" s="69" t="e">
        <f t="shared" si="6"/>
        <v>#N/A</v>
      </c>
      <c r="B72" s="69" t="e">
        <f t="shared" si="2"/>
        <v>#N/A</v>
      </c>
      <c r="C72" s="70" t="e">
        <f t="shared" ca="1" si="8"/>
        <v>#N/A</v>
      </c>
      <c r="D72" s="72" t="e">
        <f t="shared" si="7"/>
        <v>#N/A</v>
      </c>
      <c r="E72" s="72" t="e">
        <f t="shared" si="3"/>
        <v>#N/A</v>
      </c>
      <c r="F72" s="72" t="e">
        <f t="shared" si="4"/>
        <v>#N/A</v>
      </c>
      <c r="G72" s="73" t="e">
        <f t="shared" si="9"/>
        <v>#N/A</v>
      </c>
      <c r="H72" s="73" t="e">
        <f t="shared" si="5"/>
        <v>#N/A</v>
      </c>
      <c r="I72" s="58"/>
      <c r="J72" s="72" t="e">
        <f>IF(ISERROR(A72),NA(),SUM(E$33:E72))</f>
        <v>#N/A</v>
      </c>
      <c r="K72" s="72" t="e">
        <f>IF(ISERROR(A72),NA(),SUM(E$33:F72))</f>
        <v>#N/A</v>
      </c>
    </row>
    <row r="73" spans="1:11" x14ac:dyDescent="0.25">
      <c r="A73" s="69" t="e">
        <f t="shared" si="6"/>
        <v>#N/A</v>
      </c>
      <c r="B73" s="69" t="e">
        <f t="shared" si="2"/>
        <v>#N/A</v>
      </c>
      <c r="C73" s="70" t="e">
        <f t="shared" ca="1" si="8"/>
        <v>#N/A</v>
      </c>
      <c r="D73" s="72" t="e">
        <f t="shared" si="7"/>
        <v>#N/A</v>
      </c>
      <c r="E73" s="72" t="e">
        <f t="shared" si="3"/>
        <v>#N/A</v>
      </c>
      <c r="F73" s="72" t="e">
        <f t="shared" si="4"/>
        <v>#N/A</v>
      </c>
      <c r="G73" s="73" t="e">
        <f t="shared" si="9"/>
        <v>#N/A</v>
      </c>
      <c r="H73" s="73" t="e">
        <f t="shared" si="5"/>
        <v>#N/A</v>
      </c>
      <c r="I73" s="58"/>
      <c r="J73" s="72" t="e">
        <f>IF(ISERROR(A73),NA(),SUM(E$33:E73))</f>
        <v>#N/A</v>
      </c>
      <c r="K73" s="72" t="e">
        <f>IF(ISERROR(A73),NA(),SUM(E$33:F73))</f>
        <v>#N/A</v>
      </c>
    </row>
    <row r="74" spans="1:11" x14ac:dyDescent="0.25">
      <c r="A74" s="69" t="e">
        <f t="shared" si="6"/>
        <v>#N/A</v>
      </c>
      <c r="B74" s="69" t="e">
        <f t="shared" si="2"/>
        <v>#N/A</v>
      </c>
      <c r="C74" s="70" t="e">
        <f t="shared" ca="1" si="8"/>
        <v>#N/A</v>
      </c>
      <c r="D74" s="72" t="e">
        <f t="shared" si="7"/>
        <v>#N/A</v>
      </c>
      <c r="E74" s="72" t="e">
        <f t="shared" si="3"/>
        <v>#N/A</v>
      </c>
      <c r="F74" s="72" t="e">
        <f t="shared" si="4"/>
        <v>#N/A</v>
      </c>
      <c r="G74" s="73" t="e">
        <f t="shared" si="9"/>
        <v>#N/A</v>
      </c>
      <c r="H74" s="73" t="e">
        <f t="shared" si="5"/>
        <v>#N/A</v>
      </c>
      <c r="I74" s="58"/>
      <c r="J74" s="72" t="e">
        <f>IF(ISERROR(A74),NA(),SUM(E$33:E74))</f>
        <v>#N/A</v>
      </c>
      <c r="K74" s="72" t="e">
        <f>IF(ISERROR(A74),NA(),SUM(E$33:F74))</f>
        <v>#N/A</v>
      </c>
    </row>
    <row r="75" spans="1:11" x14ac:dyDescent="0.25">
      <c r="A75" s="69" t="e">
        <f t="shared" si="6"/>
        <v>#N/A</v>
      </c>
      <c r="B75" s="69" t="e">
        <f t="shared" si="2"/>
        <v>#N/A</v>
      </c>
      <c r="C75" s="70" t="e">
        <f t="shared" ca="1" si="8"/>
        <v>#N/A</v>
      </c>
      <c r="D75" s="72" t="e">
        <f t="shared" si="7"/>
        <v>#N/A</v>
      </c>
      <c r="E75" s="72" t="e">
        <f t="shared" si="3"/>
        <v>#N/A</v>
      </c>
      <c r="F75" s="72" t="e">
        <f t="shared" si="4"/>
        <v>#N/A</v>
      </c>
      <c r="G75" s="73" t="e">
        <f t="shared" si="9"/>
        <v>#N/A</v>
      </c>
      <c r="H75" s="73" t="e">
        <f t="shared" si="5"/>
        <v>#N/A</v>
      </c>
      <c r="I75" s="58"/>
      <c r="J75" s="72" t="e">
        <f>IF(ISERROR(A75),NA(),SUM(E$33:E75))</f>
        <v>#N/A</v>
      </c>
      <c r="K75" s="72" t="e">
        <f>IF(ISERROR(A75),NA(),SUM(E$33:F75))</f>
        <v>#N/A</v>
      </c>
    </row>
    <row r="76" spans="1:11" x14ac:dyDescent="0.25">
      <c r="A76" s="69" t="e">
        <f t="shared" si="6"/>
        <v>#N/A</v>
      </c>
      <c r="B76" s="69" t="e">
        <f t="shared" si="2"/>
        <v>#N/A</v>
      </c>
      <c r="C76" s="70" t="e">
        <f t="shared" ca="1" si="8"/>
        <v>#N/A</v>
      </c>
      <c r="D76" s="72" t="e">
        <f t="shared" si="7"/>
        <v>#N/A</v>
      </c>
      <c r="E76" s="72" t="e">
        <f t="shared" si="3"/>
        <v>#N/A</v>
      </c>
      <c r="F76" s="72" t="e">
        <f t="shared" si="4"/>
        <v>#N/A</v>
      </c>
      <c r="G76" s="73" t="e">
        <f t="shared" si="9"/>
        <v>#N/A</v>
      </c>
      <c r="H76" s="73" t="e">
        <f t="shared" si="5"/>
        <v>#N/A</v>
      </c>
      <c r="I76" s="58"/>
      <c r="J76" s="72" t="e">
        <f>IF(ISERROR(A76),NA(),SUM(E$33:E76))</f>
        <v>#N/A</v>
      </c>
      <c r="K76" s="72" t="e">
        <f>IF(ISERROR(A76),NA(),SUM(E$33:F76))</f>
        <v>#N/A</v>
      </c>
    </row>
    <row r="77" spans="1:11" x14ac:dyDescent="0.25">
      <c r="A77" s="69" t="e">
        <f t="shared" si="6"/>
        <v>#N/A</v>
      </c>
      <c r="B77" s="69" t="e">
        <f t="shared" si="2"/>
        <v>#N/A</v>
      </c>
      <c r="C77" s="70" t="e">
        <f t="shared" ca="1" si="8"/>
        <v>#N/A</v>
      </c>
      <c r="D77" s="72" t="e">
        <f t="shared" si="7"/>
        <v>#N/A</v>
      </c>
      <c r="E77" s="72" t="e">
        <f t="shared" si="3"/>
        <v>#N/A</v>
      </c>
      <c r="F77" s="72" t="e">
        <f t="shared" si="4"/>
        <v>#N/A</v>
      </c>
      <c r="G77" s="73" t="e">
        <f t="shared" si="9"/>
        <v>#N/A</v>
      </c>
      <c r="H77" s="73" t="e">
        <f t="shared" si="5"/>
        <v>#N/A</v>
      </c>
      <c r="I77" s="58"/>
      <c r="J77" s="72" t="e">
        <f>IF(ISERROR(A77),NA(),SUM(E$33:E77))</f>
        <v>#N/A</v>
      </c>
      <c r="K77" s="72" t="e">
        <f>IF(ISERROR(A77),NA(),SUM(E$33:F77))</f>
        <v>#N/A</v>
      </c>
    </row>
    <row r="78" spans="1:11" x14ac:dyDescent="0.25">
      <c r="A78" s="69" t="e">
        <f t="shared" si="6"/>
        <v>#N/A</v>
      </c>
      <c r="B78" s="69" t="e">
        <f t="shared" si="2"/>
        <v>#N/A</v>
      </c>
      <c r="C78" s="70" t="e">
        <f t="shared" ca="1" si="8"/>
        <v>#N/A</v>
      </c>
      <c r="D78" s="72" t="e">
        <f t="shared" si="7"/>
        <v>#N/A</v>
      </c>
      <c r="E78" s="72" t="e">
        <f t="shared" si="3"/>
        <v>#N/A</v>
      </c>
      <c r="F78" s="72" t="e">
        <f t="shared" si="4"/>
        <v>#N/A</v>
      </c>
      <c r="G78" s="73" t="e">
        <f t="shared" si="9"/>
        <v>#N/A</v>
      </c>
      <c r="H78" s="73" t="e">
        <f t="shared" si="5"/>
        <v>#N/A</v>
      </c>
      <c r="I78" s="58"/>
      <c r="J78" s="72" t="e">
        <f>IF(ISERROR(A78),NA(),SUM(E$33:E78))</f>
        <v>#N/A</v>
      </c>
      <c r="K78" s="72" t="e">
        <f>IF(ISERROR(A78),NA(),SUM(E$33:F78))</f>
        <v>#N/A</v>
      </c>
    </row>
    <row r="79" spans="1:11" x14ac:dyDescent="0.25">
      <c r="A79" s="69" t="e">
        <f t="shared" si="6"/>
        <v>#N/A</v>
      </c>
      <c r="B79" s="69" t="e">
        <f t="shared" si="2"/>
        <v>#N/A</v>
      </c>
      <c r="C79" s="70" t="e">
        <f t="shared" ca="1" si="8"/>
        <v>#N/A</v>
      </c>
      <c r="D79" s="72" t="e">
        <f t="shared" si="7"/>
        <v>#N/A</v>
      </c>
      <c r="E79" s="72" t="e">
        <f t="shared" si="3"/>
        <v>#N/A</v>
      </c>
      <c r="F79" s="72" t="e">
        <f t="shared" si="4"/>
        <v>#N/A</v>
      </c>
      <c r="G79" s="73" t="e">
        <f t="shared" si="9"/>
        <v>#N/A</v>
      </c>
      <c r="H79" s="73" t="e">
        <f t="shared" si="5"/>
        <v>#N/A</v>
      </c>
      <c r="I79" s="58"/>
      <c r="J79" s="72" t="e">
        <f>IF(ISERROR(A79),NA(),SUM(E$33:E79))</f>
        <v>#N/A</v>
      </c>
      <c r="K79" s="72" t="e">
        <f>IF(ISERROR(A79),NA(),SUM(E$33:F79))</f>
        <v>#N/A</v>
      </c>
    </row>
    <row r="80" spans="1:11" x14ac:dyDescent="0.25">
      <c r="A80" s="69" t="e">
        <f t="shared" si="6"/>
        <v>#N/A</v>
      </c>
      <c r="B80" s="69" t="e">
        <f t="shared" si="2"/>
        <v>#N/A</v>
      </c>
      <c r="C80" s="70" t="e">
        <f t="shared" ca="1" si="8"/>
        <v>#N/A</v>
      </c>
      <c r="D80" s="72" t="e">
        <f t="shared" si="7"/>
        <v>#N/A</v>
      </c>
      <c r="E80" s="72" t="e">
        <f t="shared" si="3"/>
        <v>#N/A</v>
      </c>
      <c r="F80" s="72" t="e">
        <f t="shared" si="4"/>
        <v>#N/A</v>
      </c>
      <c r="G80" s="73" t="e">
        <f t="shared" si="9"/>
        <v>#N/A</v>
      </c>
      <c r="H80" s="73" t="e">
        <f t="shared" si="5"/>
        <v>#N/A</v>
      </c>
      <c r="I80" s="58"/>
      <c r="J80" s="72" t="e">
        <f>IF(ISERROR(A80),NA(),SUM(E$33:E80))</f>
        <v>#N/A</v>
      </c>
      <c r="K80" s="72" t="e">
        <f>IF(ISERROR(A80),NA(),SUM(E$33:F80))</f>
        <v>#N/A</v>
      </c>
    </row>
    <row r="81" spans="1:11" x14ac:dyDescent="0.25">
      <c r="A81" s="69" t="e">
        <f t="shared" si="6"/>
        <v>#N/A</v>
      </c>
      <c r="B81" s="69" t="e">
        <f t="shared" si="2"/>
        <v>#N/A</v>
      </c>
      <c r="C81" s="70" t="e">
        <f t="shared" ca="1" si="8"/>
        <v>#N/A</v>
      </c>
      <c r="D81" s="72" t="e">
        <f t="shared" si="7"/>
        <v>#N/A</v>
      </c>
      <c r="E81" s="72" t="e">
        <f t="shared" si="3"/>
        <v>#N/A</v>
      </c>
      <c r="F81" s="72" t="e">
        <f t="shared" si="4"/>
        <v>#N/A</v>
      </c>
      <c r="G81" s="73" t="e">
        <f t="shared" si="9"/>
        <v>#N/A</v>
      </c>
      <c r="H81" s="73" t="e">
        <f t="shared" si="5"/>
        <v>#N/A</v>
      </c>
      <c r="I81" s="58"/>
      <c r="J81" s="72" t="e">
        <f>IF(ISERROR(A81),NA(),SUM(E$33:E81))</f>
        <v>#N/A</v>
      </c>
      <c r="K81" s="72" t="e">
        <f>IF(ISERROR(A81),NA(),SUM(E$33:F81))</f>
        <v>#N/A</v>
      </c>
    </row>
    <row r="82" spans="1:11" x14ac:dyDescent="0.25">
      <c r="A82" s="69" t="e">
        <f t="shared" si="6"/>
        <v>#N/A</v>
      </c>
      <c r="B82" s="69" t="e">
        <f t="shared" si="2"/>
        <v>#N/A</v>
      </c>
      <c r="C82" s="70" t="e">
        <f t="shared" ca="1" si="8"/>
        <v>#N/A</v>
      </c>
      <c r="D82" s="72" t="e">
        <f t="shared" si="7"/>
        <v>#N/A</v>
      </c>
      <c r="E82" s="72" t="e">
        <f t="shared" si="3"/>
        <v>#N/A</v>
      </c>
      <c r="F82" s="72" t="e">
        <f t="shared" si="4"/>
        <v>#N/A</v>
      </c>
      <c r="G82" s="73" t="e">
        <f t="shared" si="9"/>
        <v>#N/A</v>
      </c>
      <c r="H82" s="73" t="e">
        <f t="shared" si="5"/>
        <v>#N/A</v>
      </c>
      <c r="I82" s="58"/>
      <c r="J82" s="72" t="e">
        <f>IF(ISERROR(A82),NA(),SUM(E$33:E82))</f>
        <v>#N/A</v>
      </c>
      <c r="K82" s="72" t="e">
        <f>IF(ISERROR(A82),NA(),SUM(E$33:F82))</f>
        <v>#N/A</v>
      </c>
    </row>
    <row r="83" spans="1:11" x14ac:dyDescent="0.25">
      <c r="A83" s="69" t="e">
        <f t="shared" si="6"/>
        <v>#N/A</v>
      </c>
      <c r="B83" s="69" t="e">
        <f t="shared" si="2"/>
        <v>#N/A</v>
      </c>
      <c r="C83" s="70" t="e">
        <f t="shared" ca="1" si="8"/>
        <v>#N/A</v>
      </c>
      <c r="D83" s="72" t="e">
        <f t="shared" si="7"/>
        <v>#N/A</v>
      </c>
      <c r="E83" s="72" t="e">
        <f t="shared" si="3"/>
        <v>#N/A</v>
      </c>
      <c r="F83" s="72" t="e">
        <f t="shared" si="4"/>
        <v>#N/A</v>
      </c>
      <c r="G83" s="73" t="e">
        <f t="shared" si="9"/>
        <v>#N/A</v>
      </c>
      <c r="H83" s="73" t="e">
        <f t="shared" si="5"/>
        <v>#N/A</v>
      </c>
      <c r="I83" s="58"/>
      <c r="J83" s="72" t="e">
        <f>IF(ISERROR(A83),NA(),SUM(E$33:E83))</f>
        <v>#N/A</v>
      </c>
      <c r="K83" s="72" t="e">
        <f>IF(ISERROR(A83),NA(),SUM(E$33:F83))</f>
        <v>#N/A</v>
      </c>
    </row>
    <row r="84" spans="1:11" x14ac:dyDescent="0.25">
      <c r="A84" s="69" t="e">
        <f t="shared" si="6"/>
        <v>#N/A</v>
      </c>
      <c r="B84" s="69" t="e">
        <f t="shared" si="2"/>
        <v>#N/A</v>
      </c>
      <c r="C84" s="70" t="e">
        <f t="shared" ca="1" si="8"/>
        <v>#N/A</v>
      </c>
      <c r="D84" s="72" t="e">
        <f t="shared" si="7"/>
        <v>#N/A</v>
      </c>
      <c r="E84" s="72" t="e">
        <f t="shared" si="3"/>
        <v>#N/A</v>
      </c>
      <c r="F84" s="72" t="e">
        <f t="shared" si="4"/>
        <v>#N/A</v>
      </c>
      <c r="G84" s="73" t="e">
        <f t="shared" si="9"/>
        <v>#N/A</v>
      </c>
      <c r="H84" s="73" t="e">
        <f t="shared" si="5"/>
        <v>#N/A</v>
      </c>
      <c r="I84" s="58"/>
      <c r="J84" s="72" t="e">
        <f>IF(ISERROR(A84),NA(),SUM(E$33:E84))</f>
        <v>#N/A</v>
      </c>
      <c r="K84" s="72" t="e">
        <f>IF(ISERROR(A84),NA(),SUM(E$33:F84))</f>
        <v>#N/A</v>
      </c>
    </row>
    <row r="85" spans="1:11" x14ac:dyDescent="0.25">
      <c r="A85" s="69" t="e">
        <f t="shared" si="6"/>
        <v>#N/A</v>
      </c>
      <c r="B85" s="69" t="e">
        <f t="shared" si="2"/>
        <v>#N/A</v>
      </c>
      <c r="C85" s="70" t="e">
        <f t="shared" ca="1" si="8"/>
        <v>#N/A</v>
      </c>
      <c r="D85" s="72" t="e">
        <f t="shared" si="7"/>
        <v>#N/A</v>
      </c>
      <c r="E85" s="72" t="e">
        <f t="shared" si="3"/>
        <v>#N/A</v>
      </c>
      <c r="F85" s="72" t="e">
        <f t="shared" si="4"/>
        <v>#N/A</v>
      </c>
      <c r="G85" s="73" t="e">
        <f t="shared" si="9"/>
        <v>#N/A</v>
      </c>
      <c r="H85" s="73" t="e">
        <f t="shared" si="5"/>
        <v>#N/A</v>
      </c>
      <c r="I85" s="58"/>
      <c r="J85" s="72" t="e">
        <f>IF(ISERROR(A85),NA(),SUM(E$33:E85))</f>
        <v>#N/A</v>
      </c>
      <c r="K85" s="72" t="e">
        <f>IF(ISERROR(A85),NA(),SUM(E$33:F85))</f>
        <v>#N/A</v>
      </c>
    </row>
    <row r="86" spans="1:11" x14ac:dyDescent="0.25">
      <c r="A86" s="69" t="e">
        <f t="shared" si="6"/>
        <v>#N/A</v>
      </c>
      <c r="B86" s="69" t="e">
        <f t="shared" si="2"/>
        <v>#N/A</v>
      </c>
      <c r="C86" s="70" t="e">
        <f t="shared" ca="1" si="8"/>
        <v>#N/A</v>
      </c>
      <c r="D86" s="72" t="e">
        <f t="shared" si="7"/>
        <v>#N/A</v>
      </c>
      <c r="E86" s="72" t="e">
        <f t="shared" si="3"/>
        <v>#N/A</v>
      </c>
      <c r="F86" s="72" t="e">
        <f t="shared" si="4"/>
        <v>#N/A</v>
      </c>
      <c r="G86" s="73" t="e">
        <f t="shared" si="9"/>
        <v>#N/A</v>
      </c>
      <c r="H86" s="73" t="e">
        <f t="shared" si="5"/>
        <v>#N/A</v>
      </c>
      <c r="I86" s="58"/>
      <c r="J86" s="72" t="e">
        <f>IF(ISERROR(A86),NA(),SUM(E$33:E86))</f>
        <v>#N/A</v>
      </c>
      <c r="K86" s="72" t="e">
        <f>IF(ISERROR(A86),NA(),SUM(E$33:F86))</f>
        <v>#N/A</v>
      </c>
    </row>
    <row r="87" spans="1:11" x14ac:dyDescent="0.25">
      <c r="A87" s="69" t="e">
        <f t="shared" si="6"/>
        <v>#N/A</v>
      </c>
      <c r="B87" s="69" t="e">
        <f t="shared" si="2"/>
        <v>#N/A</v>
      </c>
      <c r="C87" s="70" t="e">
        <f t="shared" ca="1" si="8"/>
        <v>#N/A</v>
      </c>
      <c r="D87" s="72" t="e">
        <f t="shared" si="7"/>
        <v>#N/A</v>
      </c>
      <c r="E87" s="72" t="e">
        <f t="shared" si="3"/>
        <v>#N/A</v>
      </c>
      <c r="F87" s="72" t="e">
        <f t="shared" si="4"/>
        <v>#N/A</v>
      </c>
      <c r="G87" s="73" t="e">
        <f t="shared" si="9"/>
        <v>#N/A</v>
      </c>
      <c r="H87" s="73" t="e">
        <f t="shared" si="5"/>
        <v>#N/A</v>
      </c>
      <c r="I87" s="58"/>
      <c r="J87" s="72" t="e">
        <f>IF(ISERROR(A87),NA(),SUM(E$33:E87))</f>
        <v>#N/A</v>
      </c>
      <c r="K87" s="72" t="e">
        <f>IF(ISERROR(A87),NA(),SUM(E$33:F87))</f>
        <v>#N/A</v>
      </c>
    </row>
    <row r="88" spans="1:11" x14ac:dyDescent="0.25">
      <c r="A88" s="69" t="e">
        <f t="shared" si="6"/>
        <v>#N/A</v>
      </c>
      <c r="B88" s="69" t="e">
        <f t="shared" si="2"/>
        <v>#N/A</v>
      </c>
      <c r="C88" s="70" t="e">
        <f t="shared" ca="1" si="8"/>
        <v>#N/A</v>
      </c>
      <c r="D88" s="72" t="e">
        <f t="shared" si="7"/>
        <v>#N/A</v>
      </c>
      <c r="E88" s="72" t="e">
        <f t="shared" si="3"/>
        <v>#N/A</v>
      </c>
      <c r="F88" s="72" t="e">
        <f t="shared" si="4"/>
        <v>#N/A</v>
      </c>
      <c r="G88" s="73" t="e">
        <f t="shared" si="9"/>
        <v>#N/A</v>
      </c>
      <c r="H88" s="73" t="e">
        <f t="shared" si="5"/>
        <v>#N/A</v>
      </c>
      <c r="I88" s="58"/>
      <c r="J88" s="72" t="e">
        <f>IF(ISERROR(A88),NA(),SUM(E$33:E88))</f>
        <v>#N/A</v>
      </c>
      <c r="K88" s="72" t="e">
        <f>IF(ISERROR(A88),NA(),SUM(E$33:F88))</f>
        <v>#N/A</v>
      </c>
    </row>
    <row r="89" spans="1:11" x14ac:dyDescent="0.25">
      <c r="A89" s="69" t="e">
        <f t="shared" si="6"/>
        <v>#N/A</v>
      </c>
      <c r="B89" s="69" t="e">
        <f t="shared" si="2"/>
        <v>#N/A</v>
      </c>
      <c r="C89" s="70" t="e">
        <f t="shared" ca="1" si="8"/>
        <v>#N/A</v>
      </c>
      <c r="D89" s="72" t="e">
        <f t="shared" si="7"/>
        <v>#N/A</v>
      </c>
      <c r="E89" s="72" t="e">
        <f t="shared" si="3"/>
        <v>#N/A</v>
      </c>
      <c r="F89" s="72" t="e">
        <f t="shared" si="4"/>
        <v>#N/A</v>
      </c>
      <c r="G89" s="73" t="e">
        <f t="shared" si="9"/>
        <v>#N/A</v>
      </c>
      <c r="H89" s="73" t="e">
        <f t="shared" si="5"/>
        <v>#N/A</v>
      </c>
      <c r="I89" s="58"/>
      <c r="J89" s="72" t="e">
        <f>IF(ISERROR(A89),NA(),SUM(E$33:E89))</f>
        <v>#N/A</v>
      </c>
      <c r="K89" s="72" t="e">
        <f>IF(ISERROR(A89),NA(),SUM(E$33:F89))</f>
        <v>#N/A</v>
      </c>
    </row>
    <row r="90" spans="1:11" x14ac:dyDescent="0.25">
      <c r="A90" s="69" t="e">
        <f t="shared" si="6"/>
        <v>#N/A</v>
      </c>
      <c r="B90" s="69" t="e">
        <f t="shared" si="2"/>
        <v>#N/A</v>
      </c>
      <c r="C90" s="70" t="e">
        <f t="shared" ca="1" si="8"/>
        <v>#N/A</v>
      </c>
      <c r="D90" s="72" t="e">
        <f t="shared" si="7"/>
        <v>#N/A</v>
      </c>
      <c r="E90" s="72" t="e">
        <f t="shared" si="3"/>
        <v>#N/A</v>
      </c>
      <c r="F90" s="72" t="e">
        <f t="shared" si="4"/>
        <v>#N/A</v>
      </c>
      <c r="G90" s="73" t="e">
        <f t="shared" si="9"/>
        <v>#N/A</v>
      </c>
      <c r="H90" s="73" t="e">
        <f t="shared" si="5"/>
        <v>#N/A</v>
      </c>
      <c r="I90" s="58"/>
      <c r="J90" s="72" t="e">
        <f>IF(ISERROR(A90),NA(),SUM(E$33:E90))</f>
        <v>#N/A</v>
      </c>
      <c r="K90" s="72" t="e">
        <f>IF(ISERROR(A90),NA(),SUM(E$33:F90))</f>
        <v>#N/A</v>
      </c>
    </row>
    <row r="91" spans="1:11" x14ac:dyDescent="0.25">
      <c r="A91" s="69" t="e">
        <f t="shared" si="6"/>
        <v>#N/A</v>
      </c>
      <c r="B91" s="69" t="e">
        <f t="shared" si="2"/>
        <v>#N/A</v>
      </c>
      <c r="C91" s="70" t="e">
        <f t="shared" ca="1" si="8"/>
        <v>#N/A</v>
      </c>
      <c r="D91" s="72" t="e">
        <f t="shared" si="7"/>
        <v>#N/A</v>
      </c>
      <c r="E91" s="72" t="e">
        <f t="shared" si="3"/>
        <v>#N/A</v>
      </c>
      <c r="F91" s="72" t="e">
        <f t="shared" si="4"/>
        <v>#N/A</v>
      </c>
      <c r="G91" s="73" t="e">
        <f t="shared" si="9"/>
        <v>#N/A</v>
      </c>
      <c r="H91" s="73" t="e">
        <f t="shared" si="5"/>
        <v>#N/A</v>
      </c>
      <c r="I91" s="58"/>
      <c r="J91" s="72" t="e">
        <f>IF(ISERROR(A91),NA(),SUM(E$33:E91))</f>
        <v>#N/A</v>
      </c>
      <c r="K91" s="72" t="e">
        <f>IF(ISERROR(A91),NA(),SUM(E$33:F91))</f>
        <v>#N/A</v>
      </c>
    </row>
    <row r="92" spans="1:11" x14ac:dyDescent="0.25">
      <c r="A92" s="69" t="e">
        <f t="shared" si="6"/>
        <v>#N/A</v>
      </c>
      <c r="B92" s="69" t="e">
        <f t="shared" si="2"/>
        <v>#N/A</v>
      </c>
      <c r="C92" s="70" t="e">
        <f t="shared" ca="1" si="8"/>
        <v>#N/A</v>
      </c>
      <c r="D92" s="72" t="e">
        <f t="shared" si="7"/>
        <v>#N/A</v>
      </c>
      <c r="E92" s="72" t="e">
        <f t="shared" si="3"/>
        <v>#N/A</v>
      </c>
      <c r="F92" s="72" t="e">
        <f t="shared" si="4"/>
        <v>#N/A</v>
      </c>
      <c r="G92" s="73" t="e">
        <f t="shared" si="9"/>
        <v>#N/A</v>
      </c>
      <c r="H92" s="73" t="e">
        <f t="shared" si="5"/>
        <v>#N/A</v>
      </c>
      <c r="I92" s="58"/>
      <c r="J92" s="72" t="e">
        <f>IF(ISERROR(A92),NA(),SUM(E$33:E92))</f>
        <v>#N/A</v>
      </c>
      <c r="K92" s="72" t="e">
        <f>IF(ISERROR(A92),NA(),SUM(E$33:F92))</f>
        <v>#N/A</v>
      </c>
    </row>
    <row r="93" spans="1:11" x14ac:dyDescent="0.25">
      <c r="A93" s="69" t="e">
        <f t="shared" si="6"/>
        <v>#N/A</v>
      </c>
      <c r="B93" s="69" t="e">
        <f t="shared" si="2"/>
        <v>#N/A</v>
      </c>
      <c r="C93" s="70" t="e">
        <f t="shared" ca="1" si="8"/>
        <v>#N/A</v>
      </c>
      <c r="D93" s="72" t="e">
        <f t="shared" si="7"/>
        <v>#N/A</v>
      </c>
      <c r="E93" s="72" t="e">
        <f t="shared" si="3"/>
        <v>#N/A</v>
      </c>
      <c r="F93" s="72" t="e">
        <f t="shared" si="4"/>
        <v>#N/A</v>
      </c>
      <c r="G93" s="73" t="e">
        <f t="shared" si="9"/>
        <v>#N/A</v>
      </c>
      <c r="H93" s="73" t="e">
        <f t="shared" si="5"/>
        <v>#N/A</v>
      </c>
      <c r="I93" s="58"/>
      <c r="J93" s="72" t="e">
        <f>IF(ISERROR(A93),NA(),SUM(E$33:E93))</f>
        <v>#N/A</v>
      </c>
      <c r="K93" s="72" t="e">
        <f>IF(ISERROR(A93),NA(),SUM(E$33:F93))</f>
        <v>#N/A</v>
      </c>
    </row>
  </sheetData>
  <phoneticPr fontId="2" type="noConversion"/>
  <conditionalFormatting sqref="H23:H24">
    <cfRule type="expression" dxfId="5" priority="1" stopIfTrue="1">
      <formula>NOT(randrate)</formula>
    </cfRule>
  </conditionalFormatting>
  <conditionalFormatting sqref="E17">
    <cfRule type="expression" dxfId="4" priority="2" stopIfTrue="1">
      <formula>randrate</formula>
    </cfRule>
  </conditionalFormatting>
  <conditionalFormatting sqref="J34:K93 A34:H93">
    <cfRule type="expression" dxfId="3" priority="3" stopIfTrue="1">
      <formula>ISERROR(A34)</formula>
    </cfRule>
    <cfRule type="expression" dxfId="2" priority="4" stopIfTrue="1">
      <formula>MOD(ROW(),2)=1</formula>
    </cfRule>
  </conditionalFormatting>
  <dataValidations count="2">
    <dataValidation type="list" allowBlank="1" showInputMessage="1" showErrorMessage="1" sqref="E18" xr:uid="{00000000-0002-0000-0000-000000000000}">
      <formula1>"12,24,26,52,13,4,2,1"</formula1>
    </dataValidation>
    <dataValidation type="list" allowBlank="1" showInputMessage="1" showErrorMessage="1" sqref="H22" xr:uid="{00000000-0002-0000-0000-000001000000}">
      <formula1>"On,Off"</formula1>
    </dataValidation>
  </dataValidations>
  <printOptions horizontalCentered="1"/>
  <pageMargins left="0.5" right="0.5" top="0.5" bottom="0.5" header="0.5" footer="0.25"/>
  <pageSetup fitToHeight="0" orientation="portrait" r:id="rId1"/>
  <headerFooter differentFirst="1" scaleWithDoc="0">
    <firstFooter>&amp;R&amp;"Arial,Regular"&amp;8Page &amp;P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P23"/>
  <sheetViews>
    <sheetView showGridLines="0" workbookViewId="0">
      <selection activeCell="R4" sqref="P4:R7"/>
    </sheetView>
  </sheetViews>
  <sheetFormatPr defaultRowHeight="12.5" x14ac:dyDescent="0.25"/>
  <cols>
    <col min="1" max="1" width="6.81640625" customWidth="1"/>
    <col min="2" max="2" width="10.26953125" customWidth="1"/>
    <col min="3" max="4" width="11.453125" customWidth="1"/>
    <col min="5" max="5" width="10.54296875" customWidth="1"/>
    <col min="6" max="6" width="1.81640625" customWidth="1"/>
    <col min="7" max="7" width="8.81640625" customWidth="1"/>
    <col min="8" max="8" width="8.7265625" customWidth="1"/>
    <col min="9" max="10" width="9.54296875" customWidth="1"/>
    <col min="11" max="11" width="2.26953125" customWidth="1"/>
    <col min="12" max="12" width="10.7265625" customWidth="1"/>
    <col min="13" max="13" width="9.81640625" customWidth="1"/>
    <col min="14" max="14" width="8.453125" customWidth="1"/>
    <col min="15" max="15" width="2.81640625" customWidth="1"/>
    <col min="16" max="16" width="36.453125" customWidth="1"/>
  </cols>
  <sheetData>
    <row r="1" spans="1:16" ht="30" customHeight="1" x14ac:dyDescent="0.25">
      <c r="A1" s="80" t="s">
        <v>48</v>
      </c>
      <c r="B1" s="80"/>
      <c r="C1" s="80"/>
      <c r="D1" s="80"/>
      <c r="E1" s="80"/>
      <c r="F1" s="80"/>
      <c r="G1" s="80"/>
      <c r="H1" s="80"/>
      <c r="I1" s="80"/>
      <c r="J1" s="80"/>
      <c r="K1" s="80"/>
      <c r="L1" s="80"/>
      <c r="M1" s="80"/>
      <c r="N1" s="80"/>
      <c r="P1" s="24" t="s">
        <v>69</v>
      </c>
    </row>
    <row r="2" spans="1:16" x14ac:dyDescent="0.25">
      <c r="A2" s="2"/>
      <c r="B2" s="10"/>
      <c r="C2" s="10"/>
      <c r="D2" s="10"/>
      <c r="E2" s="10"/>
      <c r="F2" s="10"/>
      <c r="G2" s="10"/>
      <c r="H2" s="10"/>
      <c r="I2" s="10"/>
      <c r="J2" s="10"/>
      <c r="K2" s="10"/>
      <c r="L2" s="10"/>
      <c r="M2" s="10"/>
      <c r="N2" s="9"/>
    </row>
    <row r="4" spans="1:16" ht="14" x14ac:dyDescent="0.3">
      <c r="A4" s="81"/>
      <c r="B4" s="82"/>
      <c r="C4" s="81"/>
      <c r="D4" s="81"/>
      <c r="E4" s="81"/>
      <c r="F4" s="81"/>
      <c r="G4" s="83" t="s">
        <v>11</v>
      </c>
      <c r="H4" s="81"/>
      <c r="I4" s="81"/>
      <c r="J4" s="83"/>
      <c r="K4" s="81"/>
      <c r="L4" s="83" t="s">
        <v>53</v>
      </c>
      <c r="M4" s="83"/>
      <c r="N4" s="81"/>
      <c r="P4" s="11"/>
    </row>
    <row r="5" spans="1:16" ht="25" x14ac:dyDescent="0.25">
      <c r="A5" s="20"/>
      <c r="B5" s="84" t="s">
        <v>9</v>
      </c>
      <c r="C5" s="84" t="s">
        <v>77</v>
      </c>
      <c r="D5" s="84" t="s">
        <v>76</v>
      </c>
      <c r="E5" s="84" t="s">
        <v>10</v>
      </c>
      <c r="F5" s="85"/>
      <c r="G5" s="86" t="s">
        <v>79</v>
      </c>
      <c r="H5" s="86" t="s">
        <v>80</v>
      </c>
      <c r="I5" s="86" t="s">
        <v>81</v>
      </c>
      <c r="J5" s="86" t="s">
        <v>58</v>
      </c>
      <c r="K5" s="85"/>
      <c r="L5" s="86" t="s">
        <v>24</v>
      </c>
      <c r="M5" s="86" t="s">
        <v>54</v>
      </c>
      <c r="N5" s="87" t="s">
        <v>55</v>
      </c>
      <c r="P5" s="25"/>
    </row>
    <row r="6" spans="1:16" x14ac:dyDescent="0.25">
      <c r="A6" s="20" t="s">
        <v>25</v>
      </c>
      <c r="B6" s="88">
        <v>39813</v>
      </c>
      <c r="C6" s="89">
        <v>826</v>
      </c>
      <c r="D6" s="89">
        <f>0.5*C6</f>
        <v>413</v>
      </c>
      <c r="E6" s="89">
        <v>1250</v>
      </c>
      <c r="F6" s="90"/>
      <c r="G6" s="91">
        <f>SUM(C$6:C6)</f>
        <v>826</v>
      </c>
      <c r="H6" s="91">
        <f>SUM(D$6:D6)</f>
        <v>413</v>
      </c>
      <c r="I6" s="91">
        <f>G6+H6</f>
        <v>1239</v>
      </c>
      <c r="J6" s="92">
        <f>E6-G6</f>
        <v>424</v>
      </c>
      <c r="K6" s="85"/>
      <c r="L6" s="92">
        <f>E6-I6</f>
        <v>11</v>
      </c>
      <c r="M6" s="93"/>
      <c r="N6" s="93"/>
      <c r="P6" s="105"/>
    </row>
    <row r="7" spans="1:16" x14ac:dyDescent="0.25">
      <c r="A7" s="94" t="s">
        <v>26</v>
      </c>
      <c r="B7" s="95">
        <v>39844</v>
      </c>
      <c r="C7" s="96">
        <v>134</v>
      </c>
      <c r="D7" s="96">
        <f t="shared" ref="D7:D12" si="0">C7*0.5</f>
        <v>67</v>
      </c>
      <c r="E7" s="96">
        <v>1545.64</v>
      </c>
      <c r="F7" s="90"/>
      <c r="G7" s="97">
        <f>IF(B7="",NA(),SUM(C$6:C7))</f>
        <v>960</v>
      </c>
      <c r="H7" s="97">
        <f>IF(B7="",NA(),SUM(D$6:D7))</f>
        <v>480</v>
      </c>
      <c r="I7" s="97">
        <f>IF(B7="",NA(),G7+H7)</f>
        <v>1440</v>
      </c>
      <c r="J7" s="98">
        <f>IF(B7=""," - ",E7-G7)</f>
        <v>585.6400000000001</v>
      </c>
      <c r="K7" s="85"/>
      <c r="L7" s="98">
        <f t="shared" ref="L7:L13" si="1">IF(B7=""," - ",E7-I7)</f>
        <v>105.6400000000001</v>
      </c>
      <c r="M7" s="98">
        <f t="shared" ref="M7:M16" ca="1" si="2">IF(B7=""," - ",L7-OFFSET(L7,-1,0,1,1))</f>
        <v>94.6400000000001</v>
      </c>
      <c r="N7" s="99">
        <f ca="1">IF(B7=""," - ",((E7-D7-C7)-OFFSET(E7,-1,0,1,1))/OFFSET(E7,-1,0,1,1))</f>
        <v>7.5712000000000085E-2</v>
      </c>
      <c r="P7" s="1"/>
    </row>
    <row r="8" spans="1:16" x14ac:dyDescent="0.25">
      <c r="A8" s="94" t="s">
        <v>27</v>
      </c>
      <c r="B8" s="95">
        <v>39872</v>
      </c>
      <c r="C8" s="96">
        <v>134</v>
      </c>
      <c r="D8" s="96">
        <f t="shared" si="0"/>
        <v>67</v>
      </c>
      <c r="E8" s="96">
        <v>1694.69</v>
      </c>
      <c r="F8" s="20"/>
      <c r="G8" s="97">
        <f>IF(B8="",NA(),SUM(C$6:C8))</f>
        <v>1094</v>
      </c>
      <c r="H8" s="97">
        <f>IF(B8="",NA(),SUM(D$6:D8))</f>
        <v>547</v>
      </c>
      <c r="I8" s="97">
        <f t="shared" ref="I8:I16" si="3">IF(B8="",NA(),G8+H8)</f>
        <v>1641</v>
      </c>
      <c r="J8" s="98">
        <f t="shared" ref="J8:J16" si="4">IF(B8=""," - ",E8-G8)</f>
        <v>600.69000000000005</v>
      </c>
      <c r="K8" s="20"/>
      <c r="L8" s="98">
        <f t="shared" si="1"/>
        <v>53.690000000000055</v>
      </c>
      <c r="M8" s="98">
        <f t="shared" ca="1" si="2"/>
        <v>-51.950000000000045</v>
      </c>
      <c r="N8" s="99">
        <f t="shared" ref="N8:N16" ca="1" si="5">IF(B8=""," - ",((E8-D8-C8)-OFFSET(E8,-1,0,1,1))/OFFSET(E8,-1,0,1,1))</f>
        <v>-3.3610672601640773E-2</v>
      </c>
      <c r="P8" s="1"/>
    </row>
    <row r="9" spans="1:16" x14ac:dyDescent="0.25">
      <c r="A9" s="94" t="s">
        <v>28</v>
      </c>
      <c r="B9" s="95">
        <v>39903</v>
      </c>
      <c r="C9" s="96">
        <v>134</v>
      </c>
      <c r="D9" s="96">
        <f t="shared" si="0"/>
        <v>67</v>
      </c>
      <c r="E9" s="96">
        <v>1866.77</v>
      </c>
      <c r="F9" s="20"/>
      <c r="G9" s="97">
        <f>IF(B9="",NA(),SUM(C$6:C9))</f>
        <v>1228</v>
      </c>
      <c r="H9" s="97">
        <f>IF(B9="",NA(),SUM(D$6:D9))</f>
        <v>614</v>
      </c>
      <c r="I9" s="97">
        <f t="shared" si="3"/>
        <v>1842</v>
      </c>
      <c r="J9" s="98">
        <f t="shared" si="4"/>
        <v>638.77</v>
      </c>
      <c r="K9" s="20"/>
      <c r="L9" s="98">
        <f t="shared" si="1"/>
        <v>24.769999999999982</v>
      </c>
      <c r="M9" s="98">
        <f t="shared" ca="1" si="2"/>
        <v>-28.920000000000073</v>
      </c>
      <c r="N9" s="99">
        <f t="shared" ca="1" si="5"/>
        <v>-1.7065067947530269E-2</v>
      </c>
      <c r="P9" s="1"/>
    </row>
    <row r="10" spans="1:16" x14ac:dyDescent="0.25">
      <c r="A10" s="94" t="s">
        <v>27</v>
      </c>
      <c r="B10" s="95">
        <v>39933</v>
      </c>
      <c r="C10" s="96">
        <v>134</v>
      </c>
      <c r="D10" s="96">
        <f t="shared" si="0"/>
        <v>67</v>
      </c>
      <c r="E10" s="96">
        <v>2052.84</v>
      </c>
      <c r="F10" s="20"/>
      <c r="G10" s="97">
        <f>IF(B10="",NA(),SUM(C$6:C10))</f>
        <v>1362</v>
      </c>
      <c r="H10" s="97">
        <f>IF(B10="",NA(),SUM(D$6:D10))</f>
        <v>681</v>
      </c>
      <c r="I10" s="97">
        <f t="shared" si="3"/>
        <v>2043</v>
      </c>
      <c r="J10" s="98">
        <f t="shared" si="4"/>
        <v>690.84000000000015</v>
      </c>
      <c r="K10" s="20"/>
      <c r="L10" s="98">
        <f t="shared" si="1"/>
        <v>9.8400000000001455</v>
      </c>
      <c r="M10" s="98">
        <f t="shared" ca="1" si="2"/>
        <v>-14.929999999999836</v>
      </c>
      <c r="N10" s="99">
        <f t="shared" ca="1" si="5"/>
        <v>-7.9977715519318586E-3</v>
      </c>
      <c r="P10" s="1"/>
    </row>
    <row r="11" spans="1:16" x14ac:dyDescent="0.25">
      <c r="A11" s="94" t="s">
        <v>29</v>
      </c>
      <c r="B11" s="95">
        <v>39964</v>
      </c>
      <c r="C11" s="96">
        <v>200</v>
      </c>
      <c r="D11" s="96">
        <f t="shared" si="0"/>
        <v>100</v>
      </c>
      <c r="E11" s="96">
        <v>2359.15</v>
      </c>
      <c r="F11" s="20"/>
      <c r="G11" s="97">
        <f>IF(B11="",NA(),SUM(C$6:C11))</f>
        <v>1562</v>
      </c>
      <c r="H11" s="97">
        <f>IF(B11="",NA(),SUM(D$6:D11))</f>
        <v>781</v>
      </c>
      <c r="I11" s="97">
        <f t="shared" si="3"/>
        <v>2343</v>
      </c>
      <c r="J11" s="98">
        <f t="shared" si="4"/>
        <v>797.15000000000009</v>
      </c>
      <c r="K11" s="20"/>
      <c r="L11" s="98">
        <f t="shared" si="1"/>
        <v>16.150000000000091</v>
      </c>
      <c r="M11" s="98">
        <f t="shared" ca="1" si="2"/>
        <v>6.3099999999999454</v>
      </c>
      <c r="N11" s="99">
        <f t="shared" ca="1" si="5"/>
        <v>3.0737904561485285E-3</v>
      </c>
      <c r="P11" s="1"/>
    </row>
    <row r="12" spans="1:16" x14ac:dyDescent="0.25">
      <c r="A12" s="94" t="s">
        <v>30</v>
      </c>
      <c r="B12" s="95">
        <v>39994</v>
      </c>
      <c r="C12" s="96">
        <v>134</v>
      </c>
      <c r="D12" s="96">
        <f t="shared" si="0"/>
        <v>67</v>
      </c>
      <c r="E12" s="96">
        <v>2475.13</v>
      </c>
      <c r="F12" s="20"/>
      <c r="G12" s="97">
        <f>IF(B12="",NA(),SUM(C$6:C12))</f>
        <v>1696</v>
      </c>
      <c r="H12" s="97">
        <f>IF(B12="",NA(),SUM(D$6:D12))</f>
        <v>848</v>
      </c>
      <c r="I12" s="97">
        <f t="shared" si="3"/>
        <v>2544</v>
      </c>
      <c r="J12" s="98">
        <f t="shared" si="4"/>
        <v>779.13000000000011</v>
      </c>
      <c r="K12" s="20"/>
      <c r="L12" s="98">
        <f t="shared" si="1"/>
        <v>-68.869999999999891</v>
      </c>
      <c r="M12" s="98">
        <f t="shared" ca="1" si="2"/>
        <v>-85.019999999999982</v>
      </c>
      <c r="N12" s="99">
        <f t="shared" ca="1" si="5"/>
        <v>-3.6038403662336002E-2</v>
      </c>
      <c r="P12" s="1"/>
    </row>
    <row r="13" spans="1:16" x14ac:dyDescent="0.25">
      <c r="A13" s="94" t="s">
        <v>29</v>
      </c>
      <c r="B13" s="95"/>
      <c r="C13" s="96"/>
      <c r="D13" s="96"/>
      <c r="E13" s="96"/>
      <c r="F13" s="20"/>
      <c r="G13" s="100" t="e">
        <f>IF(B13="",NA(),SUM(C$6:C13))</f>
        <v>#N/A</v>
      </c>
      <c r="H13" s="100" t="e">
        <f>IF(B13="",NA(),SUM(D$6:D13))</f>
        <v>#N/A</v>
      </c>
      <c r="I13" s="100" t="e">
        <f t="shared" si="3"/>
        <v>#N/A</v>
      </c>
      <c r="J13" s="98" t="str">
        <f t="shared" si="4"/>
        <v xml:space="preserve"> - </v>
      </c>
      <c r="K13" s="20"/>
      <c r="L13" s="98" t="str">
        <f t="shared" si="1"/>
        <v xml:space="preserve"> - </v>
      </c>
      <c r="M13" s="98" t="str">
        <f t="shared" ca="1" si="2"/>
        <v xml:space="preserve"> - </v>
      </c>
      <c r="N13" s="99" t="str">
        <f t="shared" ca="1" si="5"/>
        <v xml:space="preserve"> - </v>
      </c>
      <c r="P13" s="1"/>
    </row>
    <row r="14" spans="1:16" x14ac:dyDescent="0.25">
      <c r="A14" s="94" t="s">
        <v>31</v>
      </c>
      <c r="B14" s="95"/>
      <c r="C14" s="96"/>
      <c r="D14" s="96"/>
      <c r="E14" s="96"/>
      <c r="F14" s="20"/>
      <c r="G14" s="100" t="e">
        <f>IF(B14="",NA(),SUM(C$6:C14))</f>
        <v>#N/A</v>
      </c>
      <c r="H14" s="100" t="e">
        <f>IF(B14="",NA(),SUM(D$6:D14))</f>
        <v>#N/A</v>
      </c>
      <c r="I14" s="100" t="e">
        <f t="shared" si="3"/>
        <v>#N/A</v>
      </c>
      <c r="J14" s="98" t="str">
        <f t="shared" si="4"/>
        <v xml:space="preserve"> - </v>
      </c>
      <c r="K14" s="20"/>
      <c r="L14" s="98" t="str">
        <f>IF(B14=""," - ",E14-I14)</f>
        <v xml:space="preserve"> - </v>
      </c>
      <c r="M14" s="98" t="str">
        <f t="shared" ca="1" si="2"/>
        <v xml:space="preserve"> - </v>
      </c>
      <c r="N14" s="99" t="str">
        <f t="shared" ca="1" si="5"/>
        <v xml:space="preserve"> - </v>
      </c>
      <c r="P14" s="1"/>
    </row>
    <row r="15" spans="1:16" x14ac:dyDescent="0.25">
      <c r="A15" s="94" t="s">
        <v>27</v>
      </c>
      <c r="B15" s="95"/>
      <c r="C15" s="96"/>
      <c r="D15" s="96"/>
      <c r="E15" s="96"/>
      <c r="F15" s="20"/>
      <c r="G15" s="100" t="e">
        <f>IF(B15="",NA(),SUM(C$6:C15))</f>
        <v>#N/A</v>
      </c>
      <c r="H15" s="100" t="e">
        <f>IF(B15="",NA(),SUM(D$6:D15))</f>
        <v>#N/A</v>
      </c>
      <c r="I15" s="100" t="e">
        <f t="shared" si="3"/>
        <v>#N/A</v>
      </c>
      <c r="J15" s="98" t="str">
        <f t="shared" si="4"/>
        <v xml:space="preserve"> - </v>
      </c>
      <c r="K15" s="20"/>
      <c r="L15" s="98" t="str">
        <f>IF(B15=""," - ",E15-I15)</f>
        <v xml:space="preserve"> - </v>
      </c>
      <c r="M15" s="98" t="str">
        <f t="shared" ca="1" si="2"/>
        <v xml:space="preserve"> - </v>
      </c>
      <c r="N15" s="99" t="str">
        <f t="shared" ca="1" si="5"/>
        <v xml:space="preserve"> - </v>
      </c>
      <c r="P15" s="1"/>
    </row>
    <row r="16" spans="1:16" x14ac:dyDescent="0.25">
      <c r="A16" s="94" t="s">
        <v>26</v>
      </c>
      <c r="B16" s="95"/>
      <c r="C16" s="96"/>
      <c r="D16" s="96"/>
      <c r="E16" s="96"/>
      <c r="F16" s="20"/>
      <c r="G16" s="100" t="e">
        <f>IF(B16="",NA(),SUM(C$6:C16))</f>
        <v>#N/A</v>
      </c>
      <c r="H16" s="100" t="e">
        <f>IF(B16="",NA(),SUM(D$6:D16))</f>
        <v>#N/A</v>
      </c>
      <c r="I16" s="100" t="e">
        <f t="shared" si="3"/>
        <v>#N/A</v>
      </c>
      <c r="J16" s="98" t="str">
        <f t="shared" si="4"/>
        <v xml:space="preserve"> - </v>
      </c>
      <c r="K16" s="20"/>
      <c r="L16" s="98" t="str">
        <f>IF(B16=""," - ",E16-I16)</f>
        <v xml:space="preserve"> - </v>
      </c>
      <c r="M16" s="98" t="str">
        <f t="shared" ca="1" si="2"/>
        <v xml:space="preserve"> - </v>
      </c>
      <c r="N16" s="99" t="str">
        <f t="shared" ca="1" si="5"/>
        <v xml:space="preserve"> - </v>
      </c>
      <c r="P16" s="1"/>
    </row>
    <row r="17" spans="1:16" x14ac:dyDescent="0.25">
      <c r="A17" s="101" t="s">
        <v>47</v>
      </c>
      <c r="B17" s="102"/>
      <c r="C17" s="102"/>
      <c r="D17" s="102"/>
      <c r="E17" s="102"/>
      <c r="F17" s="102"/>
      <c r="G17" s="102"/>
      <c r="H17" s="102"/>
      <c r="I17" s="102"/>
      <c r="J17" s="102"/>
      <c r="K17" s="102"/>
      <c r="L17" s="102"/>
      <c r="M17" s="102"/>
      <c r="N17" s="102"/>
      <c r="P17" s="1"/>
    </row>
    <row r="18" spans="1:16" x14ac:dyDescent="0.25">
      <c r="A18" s="102"/>
      <c r="B18" s="102"/>
      <c r="C18" s="102"/>
      <c r="D18" s="103" t="s">
        <v>56</v>
      </c>
      <c r="E18" s="104">
        <f>(VLOOKUP(9.99E+100,$E$5:$E$17,1)-VLOOKUP(9.99E+100,$G$5:$G$17,1))/VLOOKUP(9.99E+100,$G$5:$G$17,1)</f>
        <v>0.45939268867924532</v>
      </c>
      <c r="F18" s="102"/>
      <c r="G18" s="102"/>
      <c r="H18" s="102"/>
      <c r="I18" s="102"/>
      <c r="J18" s="102"/>
      <c r="K18" s="102"/>
      <c r="L18" s="102"/>
      <c r="M18" s="102"/>
      <c r="N18" s="102"/>
      <c r="P18" s="1"/>
    </row>
    <row r="19" spans="1:16" x14ac:dyDescent="0.25">
      <c r="A19" s="102"/>
      <c r="B19" s="102"/>
      <c r="C19" s="102"/>
      <c r="D19" s="103" t="s">
        <v>57</v>
      </c>
      <c r="E19" s="104">
        <f>(VLOOKUP(9.99E+100,$E$5:$E$17,1)-VLOOKUP(9.99E+100,$I$5:$I$17,1))/VLOOKUP(9.99E+100,$I$5:$I$17,1)</f>
        <v>-2.7071540880503103E-2</v>
      </c>
      <c r="F19" s="102"/>
      <c r="G19" s="102"/>
      <c r="H19" s="102"/>
      <c r="I19" s="102"/>
      <c r="J19" s="102"/>
      <c r="K19" s="102"/>
      <c r="L19" s="102"/>
      <c r="M19" s="102"/>
      <c r="N19" s="102"/>
      <c r="P19" s="1"/>
    </row>
    <row r="20" spans="1:16" x14ac:dyDescent="0.25">
      <c r="P20" s="1"/>
    </row>
    <row r="21" spans="1:16" x14ac:dyDescent="0.25">
      <c r="P21" s="1"/>
    </row>
    <row r="22" spans="1:16" x14ac:dyDescent="0.25">
      <c r="P22" s="1"/>
    </row>
    <row r="23" spans="1:16" x14ac:dyDescent="0.25">
      <c r="P23" s="1"/>
    </row>
  </sheetData>
  <phoneticPr fontId="6" type="noConversion"/>
  <conditionalFormatting sqref="L6:N16 J6:J16">
    <cfRule type="cellIs" dxfId="1" priority="1" stopIfTrue="1" operator="greaterThan">
      <formula>0</formula>
    </cfRule>
  </conditionalFormatting>
  <conditionalFormatting sqref="G6:I16">
    <cfRule type="expression" dxfId="0" priority="2" stopIfTrue="1">
      <formula>ISNA(G6)</formula>
    </cfRule>
  </conditionalFormatting>
  <printOptions horizontalCentered="1"/>
  <pageMargins left="0.5" right="0.5" top="0.5" bottom="0.5" header="0.5" footer="0.25"/>
  <pageSetup scale="82" fitToHeight="0" orientation="portrait" r:id="rId1"/>
  <headerFooter alignWithMargins="0"/>
  <ignoredErrors>
    <ignoredError sqref="G7:G16" formulaRange="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showGridLines="0" topLeftCell="A5" workbookViewId="0">
      <selection activeCell="A17" sqref="A17:XFD30"/>
    </sheetView>
  </sheetViews>
  <sheetFormatPr defaultColWidth="9.1796875" defaultRowHeight="12.5" x14ac:dyDescent="0.25"/>
  <cols>
    <col min="1" max="1" width="10.26953125" style="28" customWidth="1"/>
    <col min="2" max="2" width="78.54296875" style="28" customWidth="1"/>
    <col min="3" max="3" width="5.26953125" style="28" customWidth="1"/>
    <col min="4" max="4" width="10.26953125" style="28" customWidth="1"/>
    <col min="5" max="16384" width="9.1796875" style="28"/>
  </cols>
  <sheetData>
    <row r="1" spans="1:5" ht="31.5" customHeight="1" x14ac:dyDescent="0.25">
      <c r="A1" s="13" t="s">
        <v>61</v>
      </c>
      <c r="B1" s="14"/>
      <c r="C1" s="26"/>
      <c r="D1" s="27"/>
    </row>
    <row r="2" spans="1:5" s="30" customFormat="1" x14ac:dyDescent="0.25">
      <c r="A2" s="21"/>
      <c r="B2" s="29"/>
      <c r="C2" s="15"/>
    </row>
    <row r="3" spans="1:5" x14ac:dyDescent="0.25">
      <c r="B3" s="31"/>
    </row>
    <row r="4" spans="1:5" ht="14" x14ac:dyDescent="0.3">
      <c r="A4" s="16" t="s">
        <v>63</v>
      </c>
      <c r="B4" s="17"/>
      <c r="C4" s="32"/>
    </row>
    <row r="5" spans="1:5" ht="28" x14ac:dyDescent="0.25">
      <c r="B5" s="18" t="s">
        <v>62</v>
      </c>
    </row>
    <row r="6" spans="1:5" ht="14" x14ac:dyDescent="0.25">
      <c r="B6" s="18"/>
    </row>
    <row r="7" spans="1:5" ht="14" x14ac:dyDescent="0.3">
      <c r="A7" s="16" t="s">
        <v>64</v>
      </c>
      <c r="B7" s="17"/>
      <c r="C7" s="32"/>
    </row>
    <row r="8" spans="1:5" ht="14" x14ac:dyDescent="0.25">
      <c r="B8" s="23" t="s">
        <v>60</v>
      </c>
    </row>
    <row r="9" spans="1:5" ht="14" x14ac:dyDescent="0.25">
      <c r="B9" s="18"/>
    </row>
    <row r="10" spans="1:5" ht="14" x14ac:dyDescent="0.25">
      <c r="B10" s="22" t="s">
        <v>65</v>
      </c>
    </row>
    <row r="11" spans="1:5" ht="14" x14ac:dyDescent="0.25">
      <c r="B11" s="22"/>
    </row>
    <row r="12" spans="1:5" ht="28" x14ac:dyDescent="0.25">
      <c r="B12" s="22" t="s">
        <v>66</v>
      </c>
    </row>
    <row r="13" spans="1:5" ht="14" x14ac:dyDescent="0.25">
      <c r="B13" s="22"/>
    </row>
    <row r="14" spans="1:5" ht="28" x14ac:dyDescent="0.35">
      <c r="B14" s="22" t="s">
        <v>67</v>
      </c>
      <c r="E14" s="19"/>
    </row>
    <row r="15" spans="1:5" ht="15.5" x14ac:dyDescent="0.35">
      <c r="B15" s="22"/>
      <c r="E15" s="19"/>
    </row>
    <row r="16" spans="1:5" ht="28" x14ac:dyDescent="0.35">
      <c r="B16" s="22" t="s">
        <v>68</v>
      </c>
      <c r="E16"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401k</vt:lpstr>
      <vt:lpstr>Balance</vt:lpstr>
      <vt:lpstr>Help</vt:lpstr>
      <vt:lpstr>Help!nper</vt:lpstr>
      <vt:lpstr>nper</vt:lpstr>
      <vt:lpstr>Balance!Print_Area</vt:lpstr>
      <vt:lpstr>'401k'!Print_Titles</vt:lpstr>
      <vt:lpstr>Help!randrate</vt:lpstr>
      <vt:lpstr>randrate</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401k Savings Calculator</dc:title>
  <dc:creator>Vertex42.com</dc:creator>
  <dc:description>(c) 2008-2018 Vertex42 LLC. All Rights Reserved.</dc:description>
  <cp:lastModifiedBy>SnoopyYam</cp:lastModifiedBy>
  <cp:lastPrinted>2015-02-24T19:46:35Z</cp:lastPrinted>
  <dcterms:created xsi:type="dcterms:W3CDTF">2005-04-02T20:59:36Z</dcterms:created>
  <dcterms:modified xsi:type="dcterms:W3CDTF">2022-04-15T05:20:03Z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2008-2018 Vertex42 LLC</vt:lpwstr>
  </property>
  <property fmtid="{D5CDD505-2E9C-101B-9397-08002B2CF9AE}" pid="3" name="Version">
    <vt:lpwstr>1.4.3</vt:lpwstr>
  </property>
</Properties>
</file>