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ch\Desktop\Pending\50 excel dashboard-20230426T015902Z-001\50 excel dashboard\"/>
    </mc:Choice>
  </mc:AlternateContent>
  <xr:revisionPtr revIDLastSave="0" documentId="13_ncr:1_{F8DCE95C-7374-4458-A99F-05878BD0137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List" sheetId="8" r:id="rId1"/>
    <sheet name="SocialData" sheetId="5" r:id="rId2"/>
    <sheet name="Data" sheetId="6" r:id="rId3"/>
    <sheet name="Calcs" sheetId="7" r:id="rId4"/>
    <sheet name="Dash" sheetId="4" r:id="rId5"/>
  </sheets>
  <definedNames>
    <definedName name="_xlnm._FilterDatabase" localSheetId="2" hidden="1">Data!$A$1:$R$52</definedName>
    <definedName name="Country">List!$A$2:$A$21</definedName>
    <definedName name="Region">List!$B$2:$B$6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4" l="1"/>
  <c r="E39" i="4" s="1"/>
  <c r="F32" i="4"/>
  <c r="F39" i="4" s="1"/>
  <c r="G32" i="4"/>
  <c r="G39" i="4" s="1"/>
  <c r="D32" i="4"/>
  <c r="D39" i="4" s="1"/>
  <c r="O11" i="4"/>
  <c r="P11" i="4"/>
  <c r="Q11" i="4"/>
  <c r="N11" i="4"/>
  <c r="I88" i="7"/>
  <c r="I91" i="7" s="1"/>
  <c r="X53" i="7"/>
  <c r="V53" i="7"/>
  <c r="X60" i="7"/>
  <c r="V60" i="7"/>
  <c r="M32" i="4" l="1"/>
  <c r="M39" i="4" s="1"/>
  <c r="O32" i="4"/>
  <c r="O39" i="4" s="1"/>
  <c r="N32" i="4"/>
  <c r="N39" i="4" s="1"/>
  <c r="P32" i="4"/>
  <c r="P39" i="4" s="1"/>
  <c r="I90" i="7"/>
  <c r="I89" i="7"/>
  <c r="B88" i="7"/>
  <c r="B84" i="7"/>
  <c r="B85" i="7"/>
  <c r="B86" i="7"/>
  <c r="B83" i="7"/>
  <c r="B62" i="7" l="1"/>
  <c r="B63" i="7"/>
  <c r="B64" i="7"/>
  <c r="B65" i="7"/>
  <c r="B66" i="7"/>
  <c r="B67" i="7"/>
  <c r="B68" i="7"/>
  <c r="B69" i="7"/>
  <c r="B70" i="7"/>
  <c r="B61" i="7"/>
  <c r="B2" i="4"/>
  <c r="O72" i="7"/>
  <c r="H74" i="7"/>
  <c r="H73" i="7"/>
  <c r="B74" i="7"/>
  <c r="B73" i="7"/>
  <c r="B54" i="7"/>
  <c r="H58" i="7"/>
  <c r="H57" i="7"/>
  <c r="H56" i="7"/>
  <c r="H55" i="7"/>
  <c r="H54" i="7"/>
  <c r="B55" i="7"/>
  <c r="B56" i="7"/>
  <c r="B57" i="7"/>
  <c r="B58" i="7"/>
  <c r="D83" i="7"/>
  <c r="E83" i="7"/>
  <c r="F83" i="7"/>
  <c r="G83" i="7"/>
  <c r="H83" i="7"/>
  <c r="I83" i="7"/>
  <c r="J83" i="7"/>
  <c r="K83" i="7"/>
  <c r="L83" i="7"/>
  <c r="D84" i="7"/>
  <c r="E84" i="7"/>
  <c r="F84" i="7"/>
  <c r="G84" i="7"/>
  <c r="H84" i="7"/>
  <c r="I84" i="7"/>
  <c r="J84" i="7"/>
  <c r="K84" i="7"/>
  <c r="L84" i="7"/>
  <c r="D85" i="7"/>
  <c r="E85" i="7"/>
  <c r="F85" i="7"/>
  <c r="G85" i="7"/>
  <c r="H85" i="7"/>
  <c r="I85" i="7"/>
  <c r="J85" i="7"/>
  <c r="K85" i="7"/>
  <c r="L85" i="7"/>
  <c r="D86" i="7"/>
  <c r="E86" i="7"/>
  <c r="F86" i="7"/>
  <c r="G86" i="7"/>
  <c r="H86" i="7"/>
  <c r="I86" i="7"/>
  <c r="J86" i="7"/>
  <c r="K86" i="7"/>
  <c r="L86" i="7"/>
  <c r="D94" i="7" l="1"/>
  <c r="N34" i="4" s="1"/>
  <c r="E94" i="7"/>
  <c r="O34" i="4" s="1"/>
  <c r="F94" i="7"/>
  <c r="P34" i="4" s="1"/>
  <c r="D95" i="7"/>
  <c r="N35" i="4" s="1"/>
  <c r="E95" i="7"/>
  <c r="O35" i="4" s="1"/>
  <c r="F95" i="7"/>
  <c r="P35" i="4" s="1"/>
  <c r="D96" i="7"/>
  <c r="N36" i="4" s="1"/>
  <c r="E96" i="7"/>
  <c r="O36" i="4" s="1"/>
  <c r="F96" i="7"/>
  <c r="P36" i="4" s="1"/>
  <c r="D97" i="7"/>
  <c r="N37" i="4" s="1"/>
  <c r="E97" i="7"/>
  <c r="O37" i="4" s="1"/>
  <c r="F97" i="7"/>
  <c r="P37" i="4" s="1"/>
  <c r="C97" i="7"/>
  <c r="M37" i="4" s="1"/>
  <c r="C96" i="7"/>
  <c r="M36" i="4" s="1"/>
  <c r="C95" i="7"/>
  <c r="M35" i="4" s="1"/>
  <c r="C94" i="7"/>
  <c r="M34" i="4" s="1"/>
  <c r="D89" i="7"/>
  <c r="E89" i="7"/>
  <c r="O41" i="4" s="1"/>
  <c r="F89" i="7"/>
  <c r="P41" i="4" s="1"/>
  <c r="D90" i="7"/>
  <c r="E90" i="7"/>
  <c r="O42" i="4" s="1"/>
  <c r="F90" i="7"/>
  <c r="P42" i="4" s="1"/>
  <c r="D91" i="7"/>
  <c r="E91" i="7"/>
  <c r="O43" i="4" s="1"/>
  <c r="F91" i="7"/>
  <c r="P43" i="4" s="1"/>
  <c r="D92" i="7"/>
  <c r="E92" i="7"/>
  <c r="O44" i="4" s="1"/>
  <c r="F92" i="7"/>
  <c r="P44" i="4" s="1"/>
  <c r="D93" i="7"/>
  <c r="E93" i="7"/>
  <c r="O45" i="4" s="1"/>
  <c r="F93" i="7"/>
  <c r="P45" i="4" s="1"/>
  <c r="C89" i="7"/>
  <c r="M41" i="4" s="1"/>
  <c r="C90" i="7"/>
  <c r="M42" i="4" s="1"/>
  <c r="C91" i="7"/>
  <c r="M43" i="4" s="1"/>
  <c r="C92" i="7"/>
  <c r="M44" i="4" s="1"/>
  <c r="C93" i="7"/>
  <c r="M45" i="4" s="1"/>
  <c r="N45" i="4" l="1"/>
  <c r="N43" i="4"/>
  <c r="N41" i="4"/>
  <c r="N44" i="4"/>
  <c r="N42" i="4"/>
  <c r="I51" i="6"/>
  <c r="J51" i="6" s="1"/>
  <c r="K51" i="6" s="1"/>
  <c r="I50" i="6"/>
  <c r="J50" i="6" s="1"/>
  <c r="K50" i="6" s="1"/>
  <c r="I49" i="6"/>
  <c r="J49" i="6" s="1"/>
  <c r="K49" i="6" s="1"/>
  <c r="I48" i="6"/>
  <c r="J48" i="6" s="1"/>
  <c r="K48" i="6" s="1"/>
  <c r="I47" i="6"/>
  <c r="J47" i="6" s="1"/>
  <c r="K47" i="6" s="1"/>
  <c r="I46" i="6"/>
  <c r="J46" i="6" s="1"/>
  <c r="K46" i="6" s="1"/>
  <c r="I45" i="6"/>
  <c r="J45" i="6" s="1"/>
  <c r="K45" i="6" s="1"/>
  <c r="I44" i="6"/>
  <c r="J44" i="6" s="1"/>
  <c r="K44" i="6" s="1"/>
  <c r="I43" i="6"/>
  <c r="J43" i="6" s="1"/>
  <c r="K43" i="6" s="1"/>
  <c r="I42" i="6"/>
  <c r="J42" i="6" s="1"/>
  <c r="K42" i="6" s="1"/>
  <c r="I41" i="6"/>
  <c r="J41" i="6" s="1"/>
  <c r="K41" i="6" s="1"/>
  <c r="I40" i="6"/>
  <c r="J40" i="6" s="1"/>
  <c r="K40" i="6" s="1"/>
  <c r="I39" i="6"/>
  <c r="J39" i="6" s="1"/>
  <c r="K39" i="6" s="1"/>
  <c r="I38" i="6"/>
  <c r="J38" i="6" s="1"/>
  <c r="K38" i="6" s="1"/>
  <c r="I37" i="6"/>
  <c r="J37" i="6" s="1"/>
  <c r="K37" i="6" s="1"/>
  <c r="I36" i="6"/>
  <c r="J36" i="6" s="1"/>
  <c r="K36" i="6" s="1"/>
  <c r="I35" i="6"/>
  <c r="J35" i="6" s="1"/>
  <c r="K35" i="6" s="1"/>
  <c r="I34" i="6"/>
  <c r="J34" i="6" s="1"/>
  <c r="K34" i="6" s="1"/>
  <c r="I33" i="6"/>
  <c r="J33" i="6" s="1"/>
  <c r="K33" i="6" s="1"/>
  <c r="I32" i="6"/>
  <c r="J32" i="6" s="1"/>
  <c r="K32" i="6" s="1"/>
  <c r="I31" i="6"/>
  <c r="J31" i="6" s="1"/>
  <c r="K31" i="6" s="1"/>
  <c r="I30" i="6"/>
  <c r="J30" i="6" s="1"/>
  <c r="K30" i="6" s="1"/>
  <c r="I29" i="6"/>
  <c r="J29" i="6" s="1"/>
  <c r="K29" i="6" s="1"/>
  <c r="I27" i="6"/>
  <c r="J27" i="6" s="1"/>
  <c r="K27" i="6" s="1"/>
  <c r="I26" i="6"/>
  <c r="J26" i="6" s="1"/>
  <c r="K26" i="6" s="1"/>
  <c r="I25" i="6"/>
  <c r="J25" i="6" s="1"/>
  <c r="K25" i="6" s="1"/>
  <c r="I24" i="6"/>
  <c r="J24" i="6" s="1"/>
  <c r="K24" i="6" s="1"/>
  <c r="I23" i="6"/>
  <c r="J23" i="6" s="1"/>
  <c r="K23" i="6" s="1"/>
  <c r="I22" i="6"/>
  <c r="J22" i="6" s="1"/>
  <c r="K22" i="6" s="1"/>
  <c r="I21" i="6"/>
  <c r="J21" i="6" s="1"/>
  <c r="K21" i="6" s="1"/>
  <c r="I20" i="6"/>
  <c r="J20" i="6" s="1"/>
  <c r="K20" i="6" s="1"/>
  <c r="I19" i="6"/>
  <c r="J19" i="6" s="1"/>
  <c r="K19" i="6" s="1"/>
  <c r="I18" i="6"/>
  <c r="J18" i="6" s="1"/>
  <c r="K18" i="6" s="1"/>
  <c r="I17" i="6"/>
  <c r="J17" i="6" s="1"/>
  <c r="K17" i="6" s="1"/>
  <c r="K16" i="6"/>
  <c r="I15" i="6"/>
  <c r="J15" i="6" s="1"/>
  <c r="K15" i="6" s="1"/>
  <c r="I13" i="6"/>
  <c r="J13" i="6" s="1"/>
  <c r="K13" i="6" s="1"/>
  <c r="I12" i="6"/>
  <c r="J12" i="6" s="1"/>
  <c r="K12" i="6" s="1"/>
  <c r="I11" i="6"/>
  <c r="J11" i="6" s="1"/>
  <c r="K11" i="6" s="1"/>
  <c r="I10" i="6"/>
  <c r="J10" i="6" s="1"/>
  <c r="K10" i="6" s="1"/>
  <c r="I9" i="6"/>
  <c r="J9" i="6" s="1"/>
  <c r="K9" i="6" s="1"/>
  <c r="I8" i="6"/>
  <c r="J8" i="6" s="1"/>
  <c r="K8" i="6" s="1"/>
  <c r="I7" i="6"/>
  <c r="J7" i="6" s="1"/>
  <c r="K7" i="6" s="1"/>
  <c r="I6" i="6"/>
  <c r="J6" i="6" s="1"/>
  <c r="K6" i="6" s="1"/>
  <c r="I5" i="6"/>
  <c r="J5" i="6" s="1"/>
  <c r="K5" i="6" s="1"/>
  <c r="I4" i="6"/>
  <c r="J4" i="6" s="1"/>
  <c r="K4" i="6" s="1"/>
  <c r="I3" i="6"/>
  <c r="J3" i="6" s="1"/>
  <c r="K3" i="6" s="1"/>
  <c r="F49" i="6"/>
  <c r="G49" i="6" s="1"/>
  <c r="F48" i="6"/>
  <c r="G48" i="6" s="1"/>
  <c r="F47" i="6"/>
  <c r="G47" i="6" s="1"/>
  <c r="F46" i="6"/>
  <c r="G46" i="6" s="1"/>
  <c r="F39" i="6"/>
  <c r="G39" i="6" s="1"/>
  <c r="F38" i="6"/>
  <c r="G38" i="6" s="1"/>
  <c r="F30" i="6"/>
  <c r="G30" i="6" s="1"/>
  <c r="F29" i="6"/>
  <c r="G29" i="6" s="1"/>
  <c r="F28" i="6"/>
  <c r="G28" i="6" s="1"/>
  <c r="F27" i="6"/>
  <c r="G27" i="6" s="1"/>
  <c r="F26" i="6"/>
  <c r="G26" i="6" s="1"/>
  <c r="F21" i="6"/>
  <c r="F20" i="6"/>
  <c r="G20" i="6" s="1"/>
  <c r="F19" i="6"/>
  <c r="G19" i="6" s="1"/>
  <c r="F18" i="6"/>
  <c r="G18" i="6" s="1"/>
  <c r="F17" i="6"/>
  <c r="G17" i="6" s="1"/>
  <c r="F11" i="6"/>
  <c r="G11" i="6" s="1"/>
  <c r="F10" i="6"/>
  <c r="G10" i="6" s="1"/>
  <c r="F9" i="6"/>
  <c r="G9" i="6" s="1"/>
  <c r="F4" i="6"/>
  <c r="G4" i="6" s="1"/>
  <c r="F5" i="6"/>
  <c r="G5" i="6" s="1"/>
  <c r="F6" i="6"/>
  <c r="G6" i="6" s="1"/>
  <c r="F7" i="6"/>
  <c r="G7" i="6" s="1"/>
  <c r="F8" i="6"/>
  <c r="G8" i="6" s="1"/>
  <c r="F12" i="6"/>
  <c r="G12" i="6" s="1"/>
  <c r="F13" i="6"/>
  <c r="G13" i="6" s="1"/>
  <c r="F15" i="6"/>
  <c r="F3" i="6"/>
  <c r="G3" i="6" s="1"/>
  <c r="F22" i="6"/>
  <c r="G22" i="6" s="1"/>
  <c r="F24" i="6"/>
  <c r="G24" i="6" s="1"/>
  <c r="F25" i="6"/>
  <c r="G25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42" i="6"/>
  <c r="G42" i="6" s="1"/>
  <c r="F43" i="6"/>
  <c r="G43" i="6" s="1"/>
  <c r="F44" i="6"/>
  <c r="G44" i="6" s="1"/>
  <c r="F50" i="6"/>
  <c r="G50" i="6" s="1"/>
  <c r="F51" i="6"/>
  <c r="G51" i="6" s="1"/>
  <c r="Q14" i="6" l="1"/>
  <c r="Q28" i="6"/>
  <c r="Q2" i="6"/>
  <c r="Q3" i="6"/>
  <c r="Q5" i="6"/>
  <c r="Q7" i="6"/>
  <c r="Q9" i="6"/>
  <c r="Q11" i="6"/>
  <c r="Q13" i="6"/>
  <c r="Q16" i="6"/>
  <c r="Q18" i="6"/>
  <c r="Q20" i="6"/>
  <c r="Q22" i="6"/>
  <c r="Q24" i="6"/>
  <c r="Q26" i="6"/>
  <c r="Q29" i="6"/>
  <c r="Q31" i="6"/>
  <c r="Q33" i="6"/>
  <c r="Q35" i="6"/>
  <c r="Q37" i="6"/>
  <c r="Q39" i="6"/>
  <c r="Q41" i="6"/>
  <c r="Q43" i="6"/>
  <c r="Q45" i="6"/>
  <c r="Q47" i="6"/>
  <c r="Q49" i="6"/>
  <c r="Q51" i="6"/>
  <c r="Q4" i="6"/>
  <c r="Q6" i="6"/>
  <c r="Q8" i="6"/>
  <c r="Q10" i="6"/>
  <c r="Q12" i="6"/>
  <c r="Q15" i="6"/>
  <c r="Q17" i="6"/>
  <c r="Q19" i="6"/>
  <c r="Q21" i="6"/>
  <c r="Q23" i="6"/>
  <c r="Q25" i="6"/>
  <c r="Q27" i="6"/>
  <c r="Q30" i="6"/>
  <c r="Q32" i="6"/>
  <c r="Q34" i="6"/>
  <c r="Q36" i="6"/>
  <c r="Q38" i="6"/>
  <c r="Q40" i="6"/>
  <c r="Q42" i="6"/>
  <c r="Q44" i="6"/>
  <c r="Q46" i="6"/>
  <c r="Q48" i="6"/>
  <c r="Q50" i="6"/>
  <c r="G21" i="6"/>
  <c r="G15" i="6"/>
  <c r="R23" i="4"/>
  <c r="Q54" i="7"/>
  <c r="N55" i="7"/>
  <c r="Q55" i="7"/>
  <c r="Q56" i="7"/>
  <c r="N57" i="7"/>
  <c r="Q57" i="7"/>
  <c r="Q58" i="7"/>
  <c r="N61" i="7"/>
  <c r="Q61" i="7"/>
  <c r="Q62" i="7"/>
  <c r="N63" i="7"/>
  <c r="Q63" i="7"/>
  <c r="Q64" i="7"/>
  <c r="N65" i="7"/>
  <c r="Q65" i="7"/>
  <c r="Q66" i="7"/>
  <c r="N67" i="7"/>
  <c r="Q67" i="7"/>
  <c r="Q68" i="7"/>
  <c r="N69" i="7"/>
  <c r="Q69" i="7"/>
  <c r="Q70" i="7"/>
  <c r="O5" i="6"/>
  <c r="O7" i="6"/>
  <c r="O9" i="6"/>
  <c r="O11" i="6"/>
  <c r="O13" i="6"/>
  <c r="O15" i="6"/>
  <c r="O17" i="6"/>
  <c r="O19" i="6"/>
  <c r="O21" i="6"/>
  <c r="O23" i="6"/>
  <c r="O25" i="6"/>
  <c r="O27" i="6"/>
  <c r="O29" i="6"/>
  <c r="O31" i="6"/>
  <c r="O33" i="6"/>
  <c r="O35" i="6"/>
  <c r="O37" i="6"/>
  <c r="O39" i="6"/>
  <c r="O41" i="6"/>
  <c r="O43" i="6"/>
  <c r="O45" i="6"/>
  <c r="O47" i="6"/>
  <c r="O49" i="6"/>
  <c r="O51" i="6"/>
  <c r="R51" i="6"/>
  <c r="P42" i="6" l="1"/>
  <c r="P21" i="6"/>
  <c r="P49" i="6"/>
  <c r="P39" i="6"/>
  <c r="P28" i="6"/>
  <c r="P20" i="6"/>
  <c r="P11" i="6"/>
  <c r="P5" i="6"/>
  <c r="P12" i="6"/>
  <c r="P25" i="6"/>
  <c r="P34" i="6"/>
  <c r="P43" i="6"/>
  <c r="P51" i="6"/>
  <c r="P48" i="6"/>
  <c r="P38" i="6"/>
  <c r="P27" i="6"/>
  <c r="P17" i="6"/>
  <c r="P4" i="6"/>
  <c r="P8" i="6"/>
  <c r="P45" i="6"/>
  <c r="P40" i="6"/>
  <c r="P14" i="6"/>
  <c r="P23" i="6"/>
  <c r="P24" i="6"/>
  <c r="P33" i="6"/>
  <c r="P15" i="6"/>
  <c r="P47" i="6"/>
  <c r="P30" i="6"/>
  <c r="P26" i="6"/>
  <c r="P18" i="6"/>
  <c r="P9" i="6"/>
  <c r="P7" i="6"/>
  <c r="P22" i="6"/>
  <c r="P32" i="6"/>
  <c r="P36" i="6"/>
  <c r="P50" i="6"/>
  <c r="I3" i="7"/>
  <c r="I5" i="7"/>
  <c r="I7" i="7"/>
  <c r="I9" i="7"/>
  <c r="I11" i="7"/>
  <c r="I13" i="7"/>
  <c r="I15" i="7"/>
  <c r="I17" i="7"/>
  <c r="I19" i="7"/>
  <c r="I21" i="7"/>
  <c r="I23" i="7"/>
  <c r="I25" i="7"/>
  <c r="I27" i="7"/>
  <c r="I29" i="7"/>
  <c r="I31" i="7"/>
  <c r="I33" i="7"/>
  <c r="I35" i="7"/>
  <c r="I37" i="7"/>
  <c r="I39" i="7"/>
  <c r="I41" i="7"/>
  <c r="I4" i="7"/>
  <c r="I6" i="7"/>
  <c r="I8" i="7"/>
  <c r="I10" i="7"/>
  <c r="I12" i="7"/>
  <c r="I14" i="7"/>
  <c r="I16" i="7"/>
  <c r="I18" i="7"/>
  <c r="I20" i="7"/>
  <c r="I22" i="7"/>
  <c r="I24" i="7"/>
  <c r="I26" i="7"/>
  <c r="I28" i="7"/>
  <c r="I30" i="7"/>
  <c r="I32" i="7"/>
  <c r="I34" i="7"/>
  <c r="I36" i="7"/>
  <c r="I38" i="7"/>
  <c r="I40" i="7"/>
  <c r="I2" i="7"/>
  <c r="P46" i="6"/>
  <c r="P29" i="6"/>
  <c r="P19" i="6"/>
  <c r="P10" i="6"/>
  <c r="P6" i="6"/>
  <c r="P13" i="6"/>
  <c r="P41" i="6"/>
  <c r="P16" i="6"/>
  <c r="P37" i="6"/>
  <c r="P3" i="6"/>
  <c r="P31" i="6"/>
  <c r="P35" i="6"/>
  <c r="P44" i="6"/>
  <c r="P2" i="6"/>
  <c r="O50" i="6"/>
  <c r="R49" i="6"/>
  <c r="O48" i="6"/>
  <c r="R47" i="6"/>
  <c r="O46" i="6"/>
  <c r="R45" i="6"/>
  <c r="O44" i="6"/>
  <c r="R43" i="6"/>
  <c r="O42" i="6"/>
  <c r="R41" i="6"/>
  <c r="O40" i="6"/>
  <c r="R39" i="6"/>
  <c r="O38" i="6"/>
  <c r="R37" i="6"/>
  <c r="O36" i="6"/>
  <c r="R35" i="6"/>
  <c r="O34" i="6"/>
  <c r="R33" i="6"/>
  <c r="O32" i="6"/>
  <c r="R31" i="6"/>
  <c r="O30" i="6"/>
  <c r="R29" i="6"/>
  <c r="O28" i="6"/>
  <c r="R27" i="6"/>
  <c r="O26" i="6"/>
  <c r="R25" i="6"/>
  <c r="O24" i="6"/>
  <c r="R23" i="6"/>
  <c r="O22" i="6"/>
  <c r="R21" i="6"/>
  <c r="O20" i="6"/>
  <c r="R19" i="6"/>
  <c r="O18" i="6"/>
  <c r="R17" i="6"/>
  <c r="O16" i="6"/>
  <c r="R15" i="6"/>
  <c r="O14" i="6"/>
  <c r="R13" i="6"/>
  <c r="O12" i="6"/>
  <c r="R11" i="6"/>
  <c r="O10" i="6"/>
  <c r="R9" i="6"/>
  <c r="O8" i="6"/>
  <c r="R7" i="6"/>
  <c r="O6" i="6"/>
  <c r="R5" i="6"/>
  <c r="O4" i="6"/>
  <c r="R3" i="6"/>
  <c r="R50" i="6"/>
  <c r="R48" i="6"/>
  <c r="R46" i="6"/>
  <c r="R44" i="6"/>
  <c r="R42" i="6"/>
  <c r="R40" i="6"/>
  <c r="R38" i="6"/>
  <c r="R36" i="6"/>
  <c r="R34" i="6"/>
  <c r="R32" i="6"/>
  <c r="R30" i="6"/>
  <c r="R28" i="6"/>
  <c r="R26" i="6"/>
  <c r="R24" i="6"/>
  <c r="R22" i="6"/>
  <c r="R20" i="6"/>
  <c r="R18" i="6"/>
  <c r="R16" i="6"/>
  <c r="R14" i="6"/>
  <c r="R12" i="6"/>
  <c r="R10" i="6"/>
  <c r="R8" i="6"/>
  <c r="R6" i="6"/>
  <c r="R4" i="6"/>
  <c r="O3" i="6"/>
  <c r="R2" i="6"/>
  <c r="N70" i="7"/>
  <c r="N68" i="7"/>
  <c r="O2" i="6"/>
  <c r="O2" i="7" s="1"/>
  <c r="N66" i="7"/>
  <c r="N64" i="7"/>
  <c r="N62" i="7"/>
  <c r="N58" i="7"/>
  <c r="N56" i="7"/>
  <c r="N54" i="7"/>
  <c r="R3" i="7" l="1"/>
  <c r="S3" i="7" s="1"/>
  <c r="R7" i="7"/>
  <c r="S7" i="7" s="1"/>
  <c r="R11" i="7"/>
  <c r="S11" i="7" s="1"/>
  <c r="R15" i="7"/>
  <c r="S15" i="7" s="1"/>
  <c r="R19" i="7"/>
  <c r="S19" i="7" s="1"/>
  <c r="R23" i="7"/>
  <c r="S23" i="7" s="1"/>
  <c r="R27" i="7"/>
  <c r="S27" i="7" s="1"/>
  <c r="R31" i="7"/>
  <c r="S31" i="7" s="1"/>
  <c r="R35" i="7"/>
  <c r="S35" i="7" s="1"/>
  <c r="R39" i="7"/>
  <c r="S39" i="7" s="1"/>
  <c r="R9" i="7"/>
  <c r="S9" i="7" s="1"/>
  <c r="R17" i="7"/>
  <c r="S17" i="7" s="1"/>
  <c r="R25" i="7"/>
  <c r="S25" i="7" s="1"/>
  <c r="R33" i="7"/>
  <c r="S33" i="7" s="1"/>
  <c r="R41" i="7"/>
  <c r="S41" i="7" s="1"/>
  <c r="R6" i="7"/>
  <c r="S6" i="7" s="1"/>
  <c r="R14" i="7"/>
  <c r="S14" i="7" s="1"/>
  <c r="R26" i="7"/>
  <c r="S26" i="7" s="1"/>
  <c r="R34" i="7"/>
  <c r="S34" i="7" s="1"/>
  <c r="R4" i="7"/>
  <c r="S4" i="7" s="1"/>
  <c r="R8" i="7"/>
  <c r="S8" i="7" s="1"/>
  <c r="R12" i="7"/>
  <c r="S12" i="7" s="1"/>
  <c r="R16" i="7"/>
  <c r="S16" i="7" s="1"/>
  <c r="R20" i="7"/>
  <c r="S20" i="7" s="1"/>
  <c r="R24" i="7"/>
  <c r="S24" i="7" s="1"/>
  <c r="R28" i="7"/>
  <c r="S28" i="7" s="1"/>
  <c r="R32" i="7"/>
  <c r="S32" i="7" s="1"/>
  <c r="R36" i="7"/>
  <c r="S36" i="7" s="1"/>
  <c r="R40" i="7"/>
  <c r="S40" i="7" s="1"/>
  <c r="R5" i="7"/>
  <c r="S5" i="7" s="1"/>
  <c r="R13" i="7"/>
  <c r="S13" i="7" s="1"/>
  <c r="R21" i="7"/>
  <c r="S21" i="7" s="1"/>
  <c r="R29" i="7"/>
  <c r="S29" i="7" s="1"/>
  <c r="R37" i="7"/>
  <c r="S37" i="7" s="1"/>
  <c r="R2" i="7"/>
  <c r="S2" i="7" s="1"/>
  <c r="R10" i="7"/>
  <c r="S10" i="7" s="1"/>
  <c r="R18" i="7"/>
  <c r="S18" i="7" s="1"/>
  <c r="R22" i="7"/>
  <c r="S22" i="7" s="1"/>
  <c r="R30" i="7"/>
  <c r="S30" i="7" s="1"/>
  <c r="R38" i="7"/>
  <c r="S38" i="7" s="1"/>
  <c r="K40" i="7"/>
  <c r="J40" i="7"/>
  <c r="L40" i="7"/>
  <c r="M40" i="7"/>
  <c r="K36" i="7"/>
  <c r="J36" i="7"/>
  <c r="L36" i="7"/>
  <c r="M36" i="7"/>
  <c r="K32" i="7"/>
  <c r="J32" i="7"/>
  <c r="L32" i="7"/>
  <c r="M32" i="7"/>
  <c r="K28" i="7"/>
  <c r="J28" i="7"/>
  <c r="L28" i="7"/>
  <c r="M28" i="7"/>
  <c r="K24" i="7"/>
  <c r="J24" i="7"/>
  <c r="L24" i="7"/>
  <c r="M24" i="7"/>
  <c r="K20" i="7"/>
  <c r="J20" i="7"/>
  <c r="L20" i="7"/>
  <c r="M20" i="7"/>
  <c r="K16" i="7"/>
  <c r="J16" i="7"/>
  <c r="L16" i="7"/>
  <c r="M16" i="7"/>
  <c r="K12" i="7"/>
  <c r="J12" i="7"/>
  <c r="L12" i="7"/>
  <c r="M12" i="7"/>
  <c r="K8" i="7"/>
  <c r="J8" i="7"/>
  <c r="L8" i="7"/>
  <c r="M8" i="7"/>
  <c r="K4" i="7"/>
  <c r="J4" i="7"/>
  <c r="L4" i="7"/>
  <c r="M4" i="7"/>
  <c r="J39" i="7"/>
  <c r="L39" i="7"/>
  <c r="K39" i="7"/>
  <c r="M39" i="7"/>
  <c r="J35" i="7"/>
  <c r="L35" i="7"/>
  <c r="K35" i="7"/>
  <c r="M35" i="7"/>
  <c r="J31" i="7"/>
  <c r="L31" i="7"/>
  <c r="K31" i="7"/>
  <c r="M31" i="7"/>
  <c r="J27" i="7"/>
  <c r="L27" i="7"/>
  <c r="K27" i="7"/>
  <c r="M27" i="7"/>
  <c r="J23" i="7"/>
  <c r="L23" i="7"/>
  <c r="K23" i="7"/>
  <c r="M23" i="7"/>
  <c r="J19" i="7"/>
  <c r="L19" i="7"/>
  <c r="K19" i="7"/>
  <c r="M19" i="7"/>
  <c r="J15" i="7"/>
  <c r="L15" i="7"/>
  <c r="K15" i="7"/>
  <c r="M15" i="7"/>
  <c r="J11" i="7"/>
  <c r="L11" i="7"/>
  <c r="K11" i="7"/>
  <c r="M11" i="7"/>
  <c r="J7" i="7"/>
  <c r="L7" i="7"/>
  <c r="M7" i="7"/>
  <c r="K7" i="7"/>
  <c r="J3" i="7"/>
  <c r="L3" i="7"/>
  <c r="M3" i="7"/>
  <c r="K3" i="7"/>
  <c r="K2" i="7"/>
  <c r="J2" i="7"/>
  <c r="L2" i="7"/>
  <c r="M2" i="7"/>
  <c r="K38" i="7"/>
  <c r="J38" i="7"/>
  <c r="L38" i="7"/>
  <c r="M38" i="7"/>
  <c r="K34" i="7"/>
  <c r="J34" i="7"/>
  <c r="L34" i="7"/>
  <c r="M34" i="7"/>
  <c r="K30" i="7"/>
  <c r="J30" i="7"/>
  <c r="L30" i="7"/>
  <c r="M30" i="7"/>
  <c r="K26" i="7"/>
  <c r="J26" i="7"/>
  <c r="L26" i="7"/>
  <c r="M26" i="7"/>
  <c r="K22" i="7"/>
  <c r="J22" i="7"/>
  <c r="L22" i="7"/>
  <c r="M22" i="7"/>
  <c r="K18" i="7"/>
  <c r="J18" i="7"/>
  <c r="L18" i="7"/>
  <c r="M18" i="7"/>
  <c r="K14" i="7"/>
  <c r="J14" i="7"/>
  <c r="L14" i="7"/>
  <c r="M14" i="7"/>
  <c r="K10" i="7"/>
  <c r="J10" i="7"/>
  <c r="L10" i="7"/>
  <c r="M10" i="7"/>
  <c r="K6" i="7"/>
  <c r="J6" i="7"/>
  <c r="L6" i="7"/>
  <c r="M6" i="7"/>
  <c r="J41" i="7"/>
  <c r="L41" i="7"/>
  <c r="K41" i="7"/>
  <c r="M41" i="7"/>
  <c r="J37" i="7"/>
  <c r="L37" i="7"/>
  <c r="K37" i="7"/>
  <c r="M37" i="7"/>
  <c r="J33" i="7"/>
  <c r="L33" i="7"/>
  <c r="K33" i="7"/>
  <c r="M33" i="7"/>
  <c r="J29" i="7"/>
  <c r="L29" i="7"/>
  <c r="K29" i="7"/>
  <c r="M29" i="7"/>
  <c r="J25" i="7"/>
  <c r="L25" i="7"/>
  <c r="K25" i="7"/>
  <c r="M25" i="7"/>
  <c r="J21" i="7"/>
  <c r="L21" i="7"/>
  <c r="K21" i="7"/>
  <c r="M21" i="7"/>
  <c r="J17" i="7"/>
  <c r="L17" i="7"/>
  <c r="K17" i="7"/>
  <c r="M17" i="7"/>
  <c r="J13" i="7"/>
  <c r="L13" i="7"/>
  <c r="K13" i="7"/>
  <c r="M13" i="7"/>
  <c r="J9" i="7"/>
  <c r="L9" i="7"/>
  <c r="M9" i="7"/>
  <c r="K9" i="7"/>
  <c r="J5" i="7"/>
  <c r="L5" i="7"/>
  <c r="M5" i="7"/>
  <c r="K5" i="7"/>
  <c r="C2" i="7"/>
  <c r="C16" i="7"/>
  <c r="C18" i="7"/>
  <c r="C20" i="7"/>
  <c r="C22" i="7"/>
  <c r="C24" i="7"/>
  <c r="D24" i="7" s="1"/>
  <c r="C26" i="7"/>
  <c r="C28" i="7"/>
  <c r="C30" i="7"/>
  <c r="C32" i="7"/>
  <c r="C34" i="7"/>
  <c r="C36" i="7"/>
  <c r="C38" i="7"/>
  <c r="C40" i="7"/>
  <c r="C3" i="7"/>
  <c r="C5" i="7"/>
  <c r="C7" i="7"/>
  <c r="C9" i="7"/>
  <c r="C11" i="7"/>
  <c r="C13" i="7"/>
  <c r="C15" i="7"/>
  <c r="C17" i="7"/>
  <c r="C19" i="7"/>
  <c r="C21" i="7"/>
  <c r="C23" i="7"/>
  <c r="C25" i="7"/>
  <c r="C27" i="7"/>
  <c r="C29" i="7"/>
  <c r="C31" i="7"/>
  <c r="C33" i="7"/>
  <c r="C35" i="7"/>
  <c r="C37" i="7"/>
  <c r="C39" i="7"/>
  <c r="C41" i="7"/>
  <c r="C4" i="7"/>
  <c r="C6" i="7"/>
  <c r="C8" i="7"/>
  <c r="C10" i="7"/>
  <c r="C12" i="7"/>
  <c r="C14" i="7"/>
  <c r="G2" i="7"/>
  <c r="D2" i="7"/>
  <c r="P2" i="7"/>
  <c r="O30" i="7"/>
  <c r="P30" i="7" s="1"/>
  <c r="O39" i="7"/>
  <c r="P39" i="7" s="1"/>
  <c r="O37" i="7"/>
  <c r="P37" i="7" s="1"/>
  <c r="O29" i="7"/>
  <c r="P29" i="7" s="1"/>
  <c r="O25" i="7"/>
  <c r="P25" i="7" s="1"/>
  <c r="O23" i="7"/>
  <c r="P23" i="7" s="1"/>
  <c r="O19" i="7"/>
  <c r="P19" i="7" s="1"/>
  <c r="O15" i="7"/>
  <c r="P15" i="7" s="1"/>
  <c r="O9" i="7"/>
  <c r="P9" i="7" s="1"/>
  <c r="O34" i="7"/>
  <c r="P34" i="7" s="1"/>
  <c r="O41" i="7"/>
  <c r="P41" i="7" s="1"/>
  <c r="O35" i="7"/>
  <c r="P35" i="7" s="1"/>
  <c r="O33" i="7"/>
  <c r="P33" i="7" s="1"/>
  <c r="O27" i="7"/>
  <c r="P27" i="7" s="1"/>
  <c r="O21" i="7"/>
  <c r="P21" i="7" s="1"/>
  <c r="O17" i="7"/>
  <c r="P17" i="7" s="1"/>
  <c r="O13" i="7"/>
  <c r="P13" i="7" s="1"/>
  <c r="O11" i="7"/>
  <c r="P11" i="7" s="1"/>
  <c r="O7" i="7"/>
  <c r="P7" i="7" s="1"/>
  <c r="O5" i="7"/>
  <c r="P5" i="7" s="1"/>
  <c r="O3" i="7"/>
  <c r="P3" i="7" s="1"/>
  <c r="O32" i="7"/>
  <c r="P32" i="7" s="1"/>
  <c r="O28" i="7"/>
  <c r="P28" i="7" s="1"/>
  <c r="O40" i="7"/>
  <c r="P40" i="7" s="1"/>
  <c r="O38" i="7"/>
  <c r="P38" i="7" s="1"/>
  <c r="O36" i="7"/>
  <c r="P36" i="7" s="1"/>
  <c r="O31" i="7"/>
  <c r="P31" i="7" s="1"/>
  <c r="O26" i="7"/>
  <c r="P26" i="7" s="1"/>
  <c r="O24" i="7"/>
  <c r="P24" i="7" s="1"/>
  <c r="O22" i="7"/>
  <c r="P22" i="7" s="1"/>
  <c r="O20" i="7"/>
  <c r="P20" i="7" s="1"/>
  <c r="O18" i="7"/>
  <c r="P18" i="7" s="1"/>
  <c r="O16" i="7"/>
  <c r="P16" i="7" s="1"/>
  <c r="O14" i="7"/>
  <c r="P14" i="7" s="1"/>
  <c r="O12" i="7"/>
  <c r="P12" i="7" s="1"/>
  <c r="O10" i="7"/>
  <c r="P10" i="7" s="1"/>
  <c r="O8" i="7"/>
  <c r="P8" i="7" s="1"/>
  <c r="O6" i="7"/>
  <c r="P6" i="7" s="1"/>
  <c r="O4" i="7"/>
  <c r="P4" i="7" s="1"/>
  <c r="S42" i="7" l="1"/>
  <c r="S46" i="7"/>
  <c r="S50" i="7"/>
  <c r="R44" i="7"/>
  <c r="R48" i="7"/>
  <c r="R67" i="7" s="1"/>
  <c r="S48" i="7"/>
  <c r="R46" i="7"/>
  <c r="S45" i="7"/>
  <c r="R43" i="7"/>
  <c r="R51" i="7"/>
  <c r="R70" i="7" s="1"/>
  <c r="S43" i="7"/>
  <c r="S47" i="7"/>
  <c r="S51" i="7"/>
  <c r="R45" i="7"/>
  <c r="R49" i="7"/>
  <c r="R68" i="7" s="1"/>
  <c r="S44" i="7"/>
  <c r="R42" i="7"/>
  <c r="R50" i="7"/>
  <c r="R69" i="7" s="1"/>
  <c r="S69" i="7" s="1"/>
  <c r="S49" i="7"/>
  <c r="R47" i="7"/>
  <c r="R66" i="7" s="1"/>
  <c r="G24" i="7"/>
  <c r="E24" i="7"/>
  <c r="F24" i="7"/>
  <c r="F2" i="7"/>
  <c r="E2" i="7"/>
  <c r="D5" i="7"/>
  <c r="F5" i="7"/>
  <c r="G5" i="7"/>
  <c r="E5" i="7"/>
  <c r="D18" i="7"/>
  <c r="F18" i="7"/>
  <c r="G18" i="7"/>
  <c r="E18" i="7"/>
  <c r="D36" i="7"/>
  <c r="F36" i="7"/>
  <c r="G36" i="7"/>
  <c r="E36" i="7"/>
  <c r="D21" i="7"/>
  <c r="E21" i="7"/>
  <c r="F21" i="7"/>
  <c r="G21" i="7"/>
  <c r="D37" i="7"/>
  <c r="E37" i="7"/>
  <c r="F37" i="7"/>
  <c r="G37" i="7"/>
  <c r="D8" i="7"/>
  <c r="G8" i="7"/>
  <c r="E8" i="7"/>
  <c r="F8" i="7"/>
  <c r="D7" i="7"/>
  <c r="E7" i="7"/>
  <c r="F7" i="7"/>
  <c r="G7" i="7"/>
  <c r="D11" i="7"/>
  <c r="G11" i="7"/>
  <c r="E11" i="7"/>
  <c r="F11" i="7"/>
  <c r="D13" i="7"/>
  <c r="E13" i="7"/>
  <c r="F13" i="7"/>
  <c r="G13" i="7"/>
  <c r="D16" i="7"/>
  <c r="G16" i="7"/>
  <c r="E16" i="7"/>
  <c r="F16" i="7"/>
  <c r="D17" i="7"/>
  <c r="E17" i="7"/>
  <c r="F17" i="7"/>
  <c r="G17" i="7"/>
  <c r="D19" i="7"/>
  <c r="G19" i="7"/>
  <c r="E19" i="7"/>
  <c r="F19" i="7"/>
  <c r="D20" i="7"/>
  <c r="E20" i="7"/>
  <c r="F20" i="7"/>
  <c r="G20" i="7"/>
  <c r="D23" i="7"/>
  <c r="G23" i="7"/>
  <c r="E23" i="7"/>
  <c r="F23" i="7"/>
  <c r="D25" i="7"/>
  <c r="E25" i="7"/>
  <c r="F25" i="7"/>
  <c r="G25" i="7"/>
  <c r="D26" i="7"/>
  <c r="G26" i="7"/>
  <c r="E26" i="7"/>
  <c r="F26" i="7"/>
  <c r="D9" i="7"/>
  <c r="E9" i="7"/>
  <c r="F9" i="7"/>
  <c r="G9" i="7"/>
  <c r="D22" i="7"/>
  <c r="F22" i="7"/>
  <c r="G22" i="7"/>
  <c r="E22" i="7"/>
  <c r="D31" i="7"/>
  <c r="G31" i="7"/>
  <c r="E31" i="7"/>
  <c r="F31" i="7"/>
  <c r="D30" i="7"/>
  <c r="F30" i="7"/>
  <c r="G30" i="7"/>
  <c r="E30" i="7"/>
  <c r="D6" i="7"/>
  <c r="E6" i="7"/>
  <c r="F6" i="7"/>
  <c r="G6" i="7"/>
  <c r="D35" i="7"/>
  <c r="G35" i="7"/>
  <c r="E35" i="7"/>
  <c r="F35" i="7"/>
  <c r="D38" i="7"/>
  <c r="E38" i="7"/>
  <c r="F38" i="7"/>
  <c r="G38" i="7"/>
  <c r="D39" i="7"/>
  <c r="G39" i="7"/>
  <c r="E39" i="7"/>
  <c r="F39" i="7"/>
  <c r="D40" i="7"/>
  <c r="E40" i="7"/>
  <c r="F40" i="7"/>
  <c r="G40" i="7"/>
  <c r="D29" i="7"/>
  <c r="E29" i="7"/>
  <c r="F29" i="7"/>
  <c r="G29" i="7"/>
  <c r="D33" i="7"/>
  <c r="E33" i="7"/>
  <c r="F33" i="7"/>
  <c r="G33" i="7"/>
  <c r="D10" i="7"/>
  <c r="F10" i="7"/>
  <c r="G10" i="7"/>
  <c r="E10" i="7"/>
  <c r="D27" i="7"/>
  <c r="F27" i="7"/>
  <c r="G27" i="7"/>
  <c r="E27" i="7"/>
  <c r="D3" i="7"/>
  <c r="G3" i="7"/>
  <c r="E3" i="7"/>
  <c r="F3" i="7"/>
  <c r="D41" i="7"/>
  <c r="E41" i="7"/>
  <c r="F41" i="7"/>
  <c r="G41" i="7"/>
  <c r="D28" i="7"/>
  <c r="E28" i="7"/>
  <c r="F28" i="7"/>
  <c r="G28" i="7"/>
  <c r="D32" i="7"/>
  <c r="E32" i="7"/>
  <c r="F32" i="7"/>
  <c r="G32" i="7"/>
  <c r="D4" i="7"/>
  <c r="E4" i="7"/>
  <c r="F4" i="7"/>
  <c r="G4" i="7"/>
  <c r="D14" i="7"/>
  <c r="F14" i="7"/>
  <c r="G14" i="7"/>
  <c r="E14" i="7"/>
  <c r="D34" i="7"/>
  <c r="F34" i="7"/>
  <c r="G34" i="7"/>
  <c r="E34" i="7"/>
  <c r="D12" i="7"/>
  <c r="E12" i="7"/>
  <c r="F12" i="7"/>
  <c r="G12" i="7"/>
  <c r="D15" i="7"/>
  <c r="E15" i="7"/>
  <c r="F15" i="7"/>
  <c r="G15" i="7"/>
  <c r="O42" i="7"/>
  <c r="O43" i="7"/>
  <c r="O44" i="7"/>
  <c r="O45" i="7"/>
  <c r="O46" i="7"/>
  <c r="O47" i="7"/>
  <c r="O66" i="7" s="1"/>
  <c r="O48" i="7"/>
  <c r="O67" i="7" s="1"/>
  <c r="O49" i="7"/>
  <c r="O68" i="7" s="1"/>
  <c r="O50" i="7"/>
  <c r="O69" i="7" s="1"/>
  <c r="O51" i="7"/>
  <c r="O70" i="7" s="1"/>
  <c r="P42" i="7"/>
  <c r="P43" i="7"/>
  <c r="P44" i="7"/>
  <c r="P45" i="7"/>
  <c r="P46" i="7"/>
  <c r="P47" i="7"/>
  <c r="P48" i="7"/>
  <c r="P49" i="7"/>
  <c r="P50" i="7"/>
  <c r="P51" i="7"/>
  <c r="S66" i="7" l="1"/>
  <c r="R63" i="7"/>
  <c r="S63" i="7" s="1"/>
  <c r="R56" i="7"/>
  <c r="S56" i="7" s="1"/>
  <c r="S68" i="7"/>
  <c r="R65" i="7"/>
  <c r="S65" i="7" s="1"/>
  <c r="R58" i="7"/>
  <c r="S58" i="7" s="1"/>
  <c r="R57" i="7"/>
  <c r="S57" i="7" s="1"/>
  <c r="R64" i="7"/>
  <c r="S64" i="7" s="1"/>
  <c r="S70" i="7"/>
  <c r="R61" i="7"/>
  <c r="S61" i="7" s="1"/>
  <c r="R54" i="7"/>
  <c r="S54" i="7" s="1"/>
  <c r="R55" i="7"/>
  <c r="S55" i="7" s="1"/>
  <c r="R62" i="7"/>
  <c r="S62" i="7" s="1"/>
  <c r="S67" i="7"/>
  <c r="F77" i="7"/>
  <c r="G77" i="7"/>
  <c r="G34" i="4" s="1"/>
  <c r="M77" i="7"/>
  <c r="L77" i="7"/>
  <c r="E77" i="7"/>
  <c r="D77" i="7"/>
  <c r="J77" i="7"/>
  <c r="K77" i="7"/>
  <c r="G78" i="7"/>
  <c r="E78" i="7"/>
  <c r="E35" i="4" s="1"/>
  <c r="G80" i="7"/>
  <c r="E80" i="7"/>
  <c r="E37" i="4" s="1"/>
  <c r="E79" i="7"/>
  <c r="F79" i="7"/>
  <c r="F36" i="4" s="1"/>
  <c r="M78" i="7"/>
  <c r="J78" i="7"/>
  <c r="D43" i="4" s="1"/>
  <c r="J80" i="7"/>
  <c r="L80" i="7"/>
  <c r="F45" i="4" s="1"/>
  <c r="K79" i="7"/>
  <c r="J79" i="7"/>
  <c r="D44" i="4" s="1"/>
  <c r="F78" i="7"/>
  <c r="F35" i="4" s="1"/>
  <c r="D78" i="7"/>
  <c r="D35" i="4" s="1"/>
  <c r="F80" i="7"/>
  <c r="D80" i="7"/>
  <c r="D37" i="4" s="1"/>
  <c r="G79" i="7"/>
  <c r="D79" i="7"/>
  <c r="D36" i="4" s="1"/>
  <c r="L78" i="7"/>
  <c r="K78" i="7"/>
  <c r="E43" i="4" s="1"/>
  <c r="M80" i="7"/>
  <c r="G45" i="4" s="1"/>
  <c r="K80" i="7"/>
  <c r="E45" i="4" s="1"/>
  <c r="L79" i="7"/>
  <c r="M79" i="7"/>
  <c r="G44" i="4" s="1"/>
  <c r="F34" i="4"/>
  <c r="C43" i="7"/>
  <c r="I43" i="7"/>
  <c r="F42" i="4"/>
  <c r="E34" i="4"/>
  <c r="D34" i="4"/>
  <c r="D42" i="4"/>
  <c r="E42" i="4"/>
  <c r="I62" i="7"/>
  <c r="W62" i="7" s="1"/>
  <c r="G35" i="4"/>
  <c r="G37" i="4"/>
  <c r="E36" i="4"/>
  <c r="G43" i="4"/>
  <c r="D45" i="4"/>
  <c r="E44" i="4"/>
  <c r="I42" i="7"/>
  <c r="I48" i="7"/>
  <c r="I44" i="7"/>
  <c r="I49" i="7"/>
  <c r="I45" i="7"/>
  <c r="G42" i="4"/>
  <c r="C51" i="7"/>
  <c r="C47" i="7"/>
  <c r="C42" i="7"/>
  <c r="C48" i="7"/>
  <c r="C45" i="7"/>
  <c r="F37" i="4"/>
  <c r="G36" i="4"/>
  <c r="F43" i="4"/>
  <c r="F44" i="4"/>
  <c r="I50" i="7"/>
  <c r="I46" i="7"/>
  <c r="I51" i="7"/>
  <c r="I47" i="7"/>
  <c r="C49" i="7"/>
  <c r="C44" i="7"/>
  <c r="C50" i="7"/>
  <c r="C46" i="7"/>
  <c r="C68" i="7"/>
  <c r="U68" i="7" s="1"/>
  <c r="C67" i="7"/>
  <c r="U67" i="7" s="1"/>
  <c r="P70" i="7"/>
  <c r="P68" i="7"/>
  <c r="P66" i="7"/>
  <c r="O57" i="7"/>
  <c r="O64" i="7"/>
  <c r="P64" i="7" s="1"/>
  <c r="O55" i="7"/>
  <c r="O62" i="7"/>
  <c r="P62" i="7" s="1"/>
  <c r="C57" i="7"/>
  <c r="U57" i="7" s="1"/>
  <c r="C55" i="7"/>
  <c r="U55" i="7" s="1"/>
  <c r="P69" i="7"/>
  <c r="P67" i="7"/>
  <c r="O65" i="7"/>
  <c r="P65" i="7" s="1"/>
  <c r="O58" i="7"/>
  <c r="O63" i="7"/>
  <c r="P63" i="7" s="1"/>
  <c r="O56" i="7"/>
  <c r="O61" i="7"/>
  <c r="P61" i="7" s="1"/>
  <c r="O54" i="7"/>
  <c r="C63" i="7"/>
  <c r="U63" i="7" s="1"/>
  <c r="C69" i="7" l="1"/>
  <c r="U69" i="7" s="1"/>
  <c r="G50" i="7"/>
  <c r="E50" i="7"/>
  <c r="F50" i="7"/>
  <c r="D50" i="7"/>
  <c r="F49" i="7"/>
  <c r="G49" i="7"/>
  <c r="D49" i="7"/>
  <c r="E49" i="7"/>
  <c r="L51" i="7"/>
  <c r="J51" i="7"/>
  <c r="K51" i="7"/>
  <c r="M51" i="7"/>
  <c r="K50" i="7"/>
  <c r="M50" i="7"/>
  <c r="L50" i="7"/>
  <c r="J50" i="7"/>
  <c r="C64" i="7"/>
  <c r="U64" i="7" s="1"/>
  <c r="F45" i="7"/>
  <c r="G45" i="7"/>
  <c r="D45" i="7"/>
  <c r="E45" i="7"/>
  <c r="C54" i="7"/>
  <c r="U54" i="7" s="1"/>
  <c r="G42" i="7"/>
  <c r="D42" i="7"/>
  <c r="E42" i="7"/>
  <c r="F42" i="7"/>
  <c r="C70" i="7"/>
  <c r="U70" i="7" s="1"/>
  <c r="D51" i="7"/>
  <c r="E51" i="7"/>
  <c r="F51" i="7"/>
  <c r="G51" i="7"/>
  <c r="L45" i="7"/>
  <c r="J45" i="7"/>
  <c r="K45" i="7"/>
  <c r="M45" i="7"/>
  <c r="K44" i="7"/>
  <c r="M44" i="7"/>
  <c r="L44" i="7"/>
  <c r="J44" i="7"/>
  <c r="K42" i="7"/>
  <c r="M42" i="7"/>
  <c r="L42" i="7"/>
  <c r="J42" i="7"/>
  <c r="C62" i="7"/>
  <c r="U62" i="7" s="1"/>
  <c r="D43" i="7"/>
  <c r="E43" i="7"/>
  <c r="F43" i="7"/>
  <c r="G43" i="7"/>
  <c r="C58" i="7"/>
  <c r="U58" i="7" s="1"/>
  <c r="G46" i="7"/>
  <c r="E46" i="7"/>
  <c r="F46" i="7"/>
  <c r="D46" i="7"/>
  <c r="C56" i="7"/>
  <c r="U56" i="7" s="1"/>
  <c r="E44" i="7"/>
  <c r="F44" i="7"/>
  <c r="D44" i="7"/>
  <c r="G44" i="7"/>
  <c r="L47" i="7"/>
  <c r="J47" i="7"/>
  <c r="K47" i="7"/>
  <c r="M47" i="7"/>
  <c r="K46" i="7"/>
  <c r="M46" i="7"/>
  <c r="L46" i="7"/>
  <c r="J46" i="7"/>
  <c r="E48" i="7"/>
  <c r="F48" i="7"/>
  <c r="D48" i="7"/>
  <c r="G48" i="7"/>
  <c r="C66" i="7"/>
  <c r="U66" i="7" s="1"/>
  <c r="D47" i="7"/>
  <c r="E47" i="7"/>
  <c r="F47" i="7"/>
  <c r="G47" i="7"/>
  <c r="L49" i="7"/>
  <c r="J49" i="7"/>
  <c r="K49" i="7"/>
  <c r="M49" i="7"/>
  <c r="K48" i="7"/>
  <c r="M48" i="7"/>
  <c r="L48" i="7"/>
  <c r="J48" i="7"/>
  <c r="I55" i="7"/>
  <c r="L43" i="7"/>
  <c r="J43" i="7"/>
  <c r="K43" i="7"/>
  <c r="M43" i="7"/>
  <c r="C65" i="7"/>
  <c r="U65" i="7" s="1"/>
  <c r="C61" i="7"/>
  <c r="U61" i="7" s="1"/>
  <c r="I70" i="7"/>
  <c r="W70" i="7" s="1"/>
  <c r="I69" i="7"/>
  <c r="W69" i="7" s="1"/>
  <c r="I68" i="7"/>
  <c r="W68" i="7" s="1"/>
  <c r="I67" i="7"/>
  <c r="W67" i="7" s="1"/>
  <c r="I66" i="7"/>
  <c r="W66" i="7" s="1"/>
  <c r="I65" i="7"/>
  <c r="W65" i="7" s="1"/>
  <c r="I58" i="7"/>
  <c r="I64" i="7"/>
  <c r="W64" i="7" s="1"/>
  <c r="I57" i="7"/>
  <c r="I63" i="7"/>
  <c r="W63" i="7" s="1"/>
  <c r="I56" i="7"/>
  <c r="I61" i="7"/>
  <c r="W61" i="7" s="1"/>
  <c r="I54" i="7"/>
  <c r="N17" i="4"/>
  <c r="N16" i="4"/>
  <c r="N15" i="4"/>
  <c r="N14" i="4"/>
  <c r="P55" i="7"/>
  <c r="R25" i="4"/>
  <c r="P54" i="7"/>
  <c r="R24" i="4"/>
  <c r="P58" i="7"/>
  <c r="R28" i="4"/>
  <c r="P57" i="7"/>
  <c r="R27" i="4"/>
  <c r="P56" i="7"/>
  <c r="R26" i="4"/>
  <c r="N18" i="4" l="1"/>
  <c r="W54" i="7"/>
  <c r="R14" i="4" s="1"/>
  <c r="K54" i="7"/>
  <c r="M54" i="7"/>
  <c r="L54" i="7"/>
  <c r="X54" i="7" s="1"/>
  <c r="J54" i="7"/>
  <c r="W56" i="7"/>
  <c r="R16" i="4" s="1"/>
  <c r="K56" i="7"/>
  <c r="M56" i="7"/>
  <c r="L56" i="7"/>
  <c r="X56" i="7" s="1"/>
  <c r="J56" i="7"/>
  <c r="W57" i="7"/>
  <c r="R17" i="4" s="1"/>
  <c r="L57" i="7"/>
  <c r="J57" i="7"/>
  <c r="K57" i="7"/>
  <c r="M57" i="7"/>
  <c r="W58" i="7"/>
  <c r="R18" i="4" s="1"/>
  <c r="K58" i="7"/>
  <c r="M58" i="7"/>
  <c r="L58" i="7"/>
  <c r="J58" i="7"/>
  <c r="W55" i="7"/>
  <c r="R15" i="4" s="1"/>
  <c r="L55" i="7"/>
  <c r="J55" i="7"/>
  <c r="K55" i="7"/>
  <c r="M55" i="7"/>
  <c r="L70" i="7"/>
  <c r="K62" i="7"/>
  <c r="K64" i="7"/>
  <c r="K68" i="7"/>
  <c r="K69" i="7"/>
  <c r="L63" i="7"/>
  <c r="J61" i="7"/>
  <c r="L65" i="7"/>
  <c r="D69" i="7"/>
  <c r="L62" i="7"/>
  <c r="G58" i="7"/>
  <c r="K63" i="7"/>
  <c r="L67" i="7"/>
  <c r="K65" i="7"/>
  <c r="J66" i="7"/>
  <c r="J64" i="7"/>
  <c r="J69" i="7"/>
  <c r="L69" i="7"/>
  <c r="L68" i="7"/>
  <c r="J68" i="7"/>
  <c r="J63" i="7"/>
  <c r="J67" i="7"/>
  <c r="K67" i="7"/>
  <c r="J62" i="7"/>
  <c r="J70" i="7"/>
  <c r="K70" i="7"/>
  <c r="J65" i="7"/>
  <c r="K66" i="7"/>
  <c r="L66" i="7"/>
  <c r="X66" i="7" s="1"/>
  <c r="L64" i="7"/>
  <c r="X64" i="7" s="1"/>
  <c r="L61" i="7"/>
  <c r="X61" i="7" s="1"/>
  <c r="K61" i="7"/>
  <c r="E69" i="7"/>
  <c r="F65" i="7"/>
  <c r="G54" i="7"/>
  <c r="E54" i="7"/>
  <c r="D67" i="7"/>
  <c r="E67" i="7"/>
  <c r="D70" i="7"/>
  <c r="F70" i="7"/>
  <c r="E57" i="7"/>
  <c r="G57" i="7"/>
  <c r="G55" i="7"/>
  <c r="E55" i="7"/>
  <c r="F61" i="7"/>
  <c r="D61" i="7"/>
  <c r="E68" i="7"/>
  <c r="G68" i="7"/>
  <c r="E56" i="7"/>
  <c r="F56" i="7"/>
  <c r="D66" i="7"/>
  <c r="F66" i="7"/>
  <c r="F64" i="7"/>
  <c r="D64" i="7"/>
  <c r="D62" i="7"/>
  <c r="F62" i="7"/>
  <c r="D65" i="7"/>
  <c r="E65" i="7"/>
  <c r="G63" i="7"/>
  <c r="F63" i="7"/>
  <c r="F58" i="7"/>
  <c r="E58" i="7"/>
  <c r="F69" i="7"/>
  <c r="V69" i="7" s="1"/>
  <c r="G69" i="7"/>
  <c r="F54" i="7"/>
  <c r="D54" i="7"/>
  <c r="G67" i="7"/>
  <c r="F67" i="7"/>
  <c r="V67" i="7" s="1"/>
  <c r="G70" i="7"/>
  <c r="E70" i="7"/>
  <c r="F57" i="7"/>
  <c r="D57" i="7"/>
  <c r="D55" i="7"/>
  <c r="F55" i="7"/>
  <c r="V55" i="7" s="1"/>
  <c r="G61" i="7"/>
  <c r="E61" i="7"/>
  <c r="F68" i="7"/>
  <c r="D68" i="7"/>
  <c r="D56" i="7"/>
  <c r="G56" i="7"/>
  <c r="G66" i="7"/>
  <c r="E66" i="7"/>
  <c r="E64" i="7"/>
  <c r="G64" i="7"/>
  <c r="G62" i="7"/>
  <c r="E62" i="7"/>
  <c r="G65" i="7"/>
  <c r="D63" i="7"/>
  <c r="E63" i="7"/>
  <c r="D58" i="7"/>
  <c r="N24" i="4"/>
  <c r="N26" i="4"/>
  <c r="N28" i="4"/>
  <c r="N25" i="4"/>
  <c r="N27" i="4"/>
  <c r="X69" i="7" l="1"/>
  <c r="V56" i="7"/>
  <c r="V65" i="7"/>
  <c r="X62" i="7"/>
  <c r="X63" i="7"/>
  <c r="X58" i="7"/>
  <c r="V57" i="7"/>
  <c r="X68" i="7"/>
  <c r="X57" i="7"/>
  <c r="V68" i="7"/>
  <c r="V54" i="7"/>
  <c r="V58" i="7"/>
  <c r="V64" i="7"/>
  <c r="V61" i="7"/>
  <c r="X67" i="7"/>
  <c r="X70" i="7"/>
  <c r="X55" i="7"/>
  <c r="V63" i="7"/>
  <c r="V62" i="7"/>
  <c r="V66" i="7"/>
  <c r="V70" i="7"/>
  <c r="X65" i="7"/>
  <c r="K73" i="7"/>
  <c r="L73" i="7"/>
  <c r="J73" i="7"/>
  <c r="E73" i="7"/>
  <c r="D73" i="7"/>
  <c r="G73" i="7"/>
  <c r="F73" i="7"/>
  <c r="M61" i="7"/>
  <c r="M64" i="7"/>
  <c r="M66" i="7"/>
  <c r="M69" i="7"/>
  <c r="M63" i="7"/>
  <c r="M68" i="7"/>
  <c r="M67" i="7"/>
  <c r="M70" i="7"/>
  <c r="M65" i="7"/>
  <c r="M62" i="7"/>
  <c r="J74" i="7" l="1"/>
  <c r="E74" i="7"/>
  <c r="K74" i="7"/>
  <c r="F74" i="7"/>
  <c r="M73" i="7"/>
  <c r="M74" i="7" s="1"/>
  <c r="D74" i="7"/>
  <c r="L74" i="7"/>
  <c r="G74" i="7" l="1"/>
  <c r="O74" i="7" s="1"/>
  <c r="O7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Smallman</author>
  </authors>
  <commentList>
    <comment ref="H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Smallman:</t>
        </r>
        <r>
          <rPr>
            <sz val="9"/>
            <color indexed="81"/>
            <rFont val="Tahoma"/>
            <family val="2"/>
          </rPr>
          <t xml:space="preserve">
Expenses were derived from Wiki and are indicitive only.</t>
        </r>
      </text>
    </comment>
  </commentList>
</comments>
</file>

<file path=xl/sharedStrings.xml><?xml version="1.0" encoding="utf-8"?>
<sst xmlns="http://schemas.openxmlformats.org/spreadsheetml/2006/main" count="586" uniqueCount="133">
  <si>
    <t>State</t>
  </si>
  <si>
    <t>Nevada</t>
  </si>
  <si>
    <t>Rhode Island</t>
  </si>
  <si>
    <t>Michigan</t>
  </si>
  <si>
    <t>Illinois</t>
  </si>
  <si>
    <t>California</t>
  </si>
  <si>
    <t>Wyoming</t>
  </si>
  <si>
    <t>Vermont</t>
  </si>
  <si>
    <t>North Dakota</t>
  </si>
  <si>
    <t>Alaska</t>
  </si>
  <si>
    <t>South Dakota</t>
  </si>
  <si>
    <t>Delaware</t>
  </si>
  <si>
    <t>Montana</t>
  </si>
  <si>
    <t>New Hampshire</t>
  </si>
  <si>
    <t>Maine</t>
  </si>
  <si>
    <t>Hawaii</t>
  </si>
  <si>
    <t>Idaho</t>
  </si>
  <si>
    <t>West Virginia</t>
  </si>
  <si>
    <t>Nebraska</t>
  </si>
  <si>
    <t>New Mexico</t>
  </si>
  <si>
    <t>Utah</t>
  </si>
  <si>
    <t>Kansas</t>
  </si>
  <si>
    <t>Arkansas</t>
  </si>
  <si>
    <t>Mississippi</t>
  </si>
  <si>
    <t>Iowa</t>
  </si>
  <si>
    <t>Connecticut</t>
  </si>
  <si>
    <t>Oklahoma</t>
  </si>
  <si>
    <t>Oregon</t>
  </si>
  <si>
    <t>Kentucky</t>
  </si>
  <si>
    <t>Louisiana</t>
  </si>
  <si>
    <t>South Carolina</t>
  </si>
  <si>
    <t>Alabama</t>
  </si>
  <si>
    <t>Colorado</t>
  </si>
  <si>
    <t>Minnesota</t>
  </si>
  <si>
    <t>Wisconsin</t>
  </si>
  <si>
    <t>Maryland</t>
  </si>
  <si>
    <t>Missouri</t>
  </si>
  <si>
    <t>Tennessee</t>
  </si>
  <si>
    <t>Indiana</t>
  </si>
  <si>
    <t>Arizona</t>
  </si>
  <si>
    <t>Massachusetts</t>
  </si>
  <si>
    <t>Washington</t>
  </si>
  <si>
    <t>Virginia</t>
  </si>
  <si>
    <t>New Jersey</t>
  </si>
  <si>
    <t>North Carolina</t>
  </si>
  <si>
    <t>Georgia</t>
  </si>
  <si>
    <t>Ohio</t>
  </si>
  <si>
    <t>Pennsylvania</t>
  </si>
  <si>
    <t>Florida</t>
  </si>
  <si>
    <t>New York</t>
  </si>
  <si>
    <t>Texas</t>
  </si>
  <si>
    <t>Exp Rank</t>
  </si>
  <si>
    <t>Rev Rank</t>
  </si>
  <si>
    <t>Expenses</t>
  </si>
  <si>
    <t>% of US</t>
  </si>
  <si>
    <t>Region</t>
  </si>
  <si>
    <t>The Mid-West</t>
  </si>
  <si>
    <t>The North-East</t>
  </si>
  <si>
    <t>The South</t>
  </si>
  <si>
    <t>The West</t>
  </si>
  <si>
    <t>Revenue</t>
  </si>
  <si>
    <t>Table &amp; Chart</t>
  </si>
  <si>
    <t>All Regions</t>
  </si>
  <si>
    <t>Top 10</t>
  </si>
  <si>
    <t>Staff</t>
  </si>
  <si>
    <t>FTE</t>
  </si>
  <si>
    <t>FTE by City</t>
  </si>
  <si>
    <t>Late Debtors</t>
  </si>
  <si>
    <t>Staff Rank Reg</t>
  </si>
  <si>
    <t>Late Debtors Rank Reg</t>
  </si>
  <si>
    <t>Late Debt</t>
  </si>
  <si>
    <t>Top 10 All Regions</t>
  </si>
  <si>
    <t>Late Debt %</t>
  </si>
  <si>
    <t>Ú</t>
  </si>
  <si>
    <t>Page Views</t>
  </si>
  <si>
    <t>Avg Visitors Per Day</t>
  </si>
  <si>
    <t>Average Visit Duration</t>
  </si>
  <si>
    <t>Returning Visitors</t>
  </si>
  <si>
    <t>Trend</t>
  </si>
  <si>
    <t>Facebook</t>
  </si>
  <si>
    <t>Twitter</t>
  </si>
  <si>
    <t>Google +</t>
  </si>
  <si>
    <t>Linkedin</t>
  </si>
  <si>
    <t>YouTube</t>
  </si>
  <si>
    <t>United States</t>
  </si>
  <si>
    <t>Germany</t>
  </si>
  <si>
    <t>United Kingdom</t>
  </si>
  <si>
    <t>France</t>
  </si>
  <si>
    <t>Spain</t>
  </si>
  <si>
    <t>Russia</t>
  </si>
  <si>
    <t>Greece</t>
  </si>
  <si>
    <t>Netherlands</t>
  </si>
  <si>
    <t>Brazil</t>
  </si>
  <si>
    <t>Argentina</t>
  </si>
  <si>
    <t>Japan</t>
  </si>
  <si>
    <t>China</t>
  </si>
  <si>
    <t>Australia</t>
  </si>
  <si>
    <t>Indonesia</t>
  </si>
  <si>
    <t>Mexico</t>
  </si>
  <si>
    <t>Canada</t>
  </si>
  <si>
    <t>South Africa</t>
  </si>
  <si>
    <t>Croatia</t>
  </si>
  <si>
    <t>Italy</t>
  </si>
  <si>
    <t>Switzerland</t>
  </si>
  <si>
    <t>Year</t>
  </si>
  <si>
    <t>Country</t>
  </si>
  <si>
    <t>Revenue Region</t>
  </si>
  <si>
    <t>Revenue State</t>
  </si>
  <si>
    <t>Expense Region</t>
  </si>
  <si>
    <t>Expense State</t>
  </si>
  <si>
    <t>Search Engines</t>
  </si>
  <si>
    <t>Google</t>
  </si>
  <si>
    <t>Bing</t>
  </si>
  <si>
    <t>Other</t>
  </si>
  <si>
    <t>% Split</t>
  </si>
  <si>
    <t>Chart 1</t>
  </si>
  <si>
    <t>Chart 2</t>
  </si>
  <si>
    <t>Expenses 2020</t>
  </si>
  <si>
    <t>Expenses 2021</t>
  </si>
  <si>
    <t>Expenses 2022</t>
  </si>
  <si>
    <t>Expenses 2023</t>
  </si>
  <si>
    <t>Revenue 2020</t>
  </si>
  <si>
    <t>Revenue 2021</t>
  </si>
  <si>
    <t>Revenue 2022</t>
  </si>
  <si>
    <t>Revenue 2023</t>
  </si>
  <si>
    <t>Revenue 20</t>
  </si>
  <si>
    <t>Revenue 21</t>
  </si>
  <si>
    <t>Revenue 22</t>
  </si>
  <si>
    <t>Revenue 23</t>
  </si>
  <si>
    <t>Expenses 20</t>
  </si>
  <si>
    <t>Expenses 21</t>
  </si>
  <si>
    <t>Expenses 22</t>
  </si>
  <si>
    <t>Expenses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</si>
</sst>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  <numFmt numFmtId="167" formatCode="_-&quot;$&quot;* #,##0_-;\-&quot;$&quot;* #,##0_-;_-&quot;$&quot;* &quot;-&quot;??_-;_-@_-"/>
    <numFmt numFmtId="168" formatCode="_-* #,##0_-;\-* #,##0_-;_-* &quot;-&quot;??_-;_-@_-"/>
    <numFmt numFmtId="169" formatCode="_-* #,##0.0_-;\-* #,##0.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3" tint="0.39997558519241921"/>
      <name val="Wingdings"/>
      <charset val="2"/>
    </font>
    <font>
      <b/>
      <sz val="11"/>
      <color theme="4" tint="-0.249977111117893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5" fillId="4" borderId="0" xfId="0" applyFont="1" applyFill="1"/>
    <xf numFmtId="0" fontId="0" fillId="6" borderId="0" xfId="0" applyFill="1"/>
    <xf numFmtId="165" fontId="0" fillId="0" borderId="0" xfId="1" applyFont="1"/>
    <xf numFmtId="165" fontId="0" fillId="5" borderId="0" xfId="1" applyFont="1" applyFill="1"/>
    <xf numFmtId="166" fontId="0" fillId="0" borderId="0" xfId="3" applyNumberFormat="1" applyFont="1"/>
    <xf numFmtId="167" fontId="0" fillId="0" borderId="0" xfId="2" applyNumberFormat="1" applyFont="1"/>
    <xf numFmtId="167" fontId="1" fillId="0" borderId="0" xfId="2" applyNumberFormat="1" applyFont="1"/>
    <xf numFmtId="165" fontId="1" fillId="0" borderId="0" xfId="1" applyFont="1"/>
    <xf numFmtId="10" fontId="0" fillId="0" borderId="0" xfId="0" applyNumberFormat="1"/>
    <xf numFmtId="3" fontId="0" fillId="0" borderId="0" xfId="0" applyNumberFormat="1"/>
    <xf numFmtId="167" fontId="0" fillId="5" borderId="0" xfId="2" applyNumberFormat="1" applyFont="1" applyFill="1" applyAlignment="1">
      <alignment wrapText="1"/>
    </xf>
    <xf numFmtId="168" fontId="0" fillId="0" borderId="0" xfId="1" applyNumberFormat="1" applyFont="1"/>
    <xf numFmtId="10" fontId="0" fillId="0" borderId="0" xfId="3" applyNumberFormat="1" applyFont="1"/>
    <xf numFmtId="168" fontId="0" fillId="0" borderId="0" xfId="0" applyNumberFormat="1"/>
    <xf numFmtId="0" fontId="2" fillId="6" borderId="0" xfId="0" applyFont="1" applyFill="1"/>
    <xf numFmtId="0" fontId="3" fillId="0" borderId="0" xfId="0" applyFont="1"/>
    <xf numFmtId="10" fontId="0" fillId="5" borderId="0" xfId="3" applyNumberFormat="1" applyFont="1" applyFill="1"/>
    <xf numFmtId="168" fontId="0" fillId="5" borderId="0" xfId="1" applyNumberFormat="1" applyFont="1" applyFill="1"/>
    <xf numFmtId="0" fontId="0" fillId="0" borderId="0" xfId="0" quotePrefix="1"/>
    <xf numFmtId="0" fontId="0" fillId="4" borderId="0" xfId="0" applyFill="1" applyAlignment="1">
      <alignment horizontal="right"/>
    </xf>
    <xf numFmtId="0" fontId="5" fillId="4" borderId="0" xfId="0" applyFont="1" applyFill="1" applyAlignment="1">
      <alignment horizontal="right"/>
    </xf>
    <xf numFmtId="0" fontId="8" fillId="4" borderId="0" xfId="0" applyFont="1" applyFill="1"/>
    <xf numFmtId="0" fontId="8" fillId="3" borderId="0" xfId="0" applyFont="1" applyFill="1"/>
    <xf numFmtId="0" fontId="9" fillId="4" borderId="0" xfId="0" applyFont="1" applyFill="1" applyAlignment="1">
      <alignment horizontal="left"/>
    </xf>
    <xf numFmtId="168" fontId="8" fillId="4" borderId="0" xfId="1" applyNumberFormat="1" applyFont="1" applyFill="1"/>
    <xf numFmtId="0" fontId="0" fillId="7" borderId="0" xfId="0" applyFill="1"/>
    <xf numFmtId="0" fontId="3" fillId="4" borderId="0" xfId="0" applyFont="1" applyFill="1"/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wrapText="1"/>
    </xf>
    <xf numFmtId="169" fontId="0" fillId="0" borderId="0" xfId="1" applyNumberFormat="1" applyFont="1"/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10" borderId="0" xfId="0" applyFill="1" applyAlignment="1">
      <alignment wrapText="1"/>
    </xf>
    <xf numFmtId="0" fontId="2" fillId="9" borderId="0" xfId="0" applyFont="1" applyFill="1"/>
    <xf numFmtId="168" fontId="0" fillId="4" borderId="0" xfId="1" applyNumberFormat="1" applyFont="1" applyFill="1" applyAlignment="1">
      <alignment horizontal="center"/>
    </xf>
    <xf numFmtId="168" fontId="0" fillId="4" borderId="0" xfId="1" applyNumberFormat="1" applyFont="1" applyFill="1" applyAlignment="1"/>
    <xf numFmtId="168" fontId="0" fillId="0" borderId="0" xfId="1" applyNumberFormat="1" applyFont="1" applyAlignment="1">
      <alignment horizontal="center"/>
    </xf>
    <xf numFmtId="0" fontId="10" fillId="4" borderId="0" xfId="0" applyFont="1" applyFill="1" applyAlignment="1">
      <alignment horizontal="left" indent="5"/>
    </xf>
    <xf numFmtId="165" fontId="0" fillId="4" borderId="0" xfId="1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4" borderId="0" xfId="0" applyFont="1" applyFill="1"/>
    <xf numFmtId="0" fontId="14" fillId="3" borderId="0" xfId="0" applyFont="1" applyFill="1" applyAlignment="1">
      <alignment horizontal="center"/>
    </xf>
    <xf numFmtId="9" fontId="0" fillId="0" borderId="0" xfId="3" applyFont="1"/>
    <xf numFmtId="0" fontId="11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5" fillId="2" borderId="0" xfId="0" applyFont="1" applyFill="1"/>
    <xf numFmtId="164" fontId="0" fillId="0" borderId="0" xfId="0" applyNumberFormat="1"/>
    <xf numFmtId="0" fontId="4" fillId="11" borderId="0" xfId="0" applyFont="1" applyFill="1" applyAlignment="1">
      <alignment wrapText="1"/>
    </xf>
    <xf numFmtId="0" fontId="3" fillId="0" borderId="0" xfId="0" applyFont="1" applyAlignment="1">
      <alignment horizontal="right" wrapText="1"/>
    </xf>
    <xf numFmtId="0" fontId="8" fillId="4" borderId="0" xfId="0" applyFont="1" applyFill="1" applyAlignment="1">
      <alignment horizontal="right"/>
    </xf>
    <xf numFmtId="9" fontId="0" fillId="0" borderId="0" xfId="0" applyNumberFormat="1"/>
    <xf numFmtId="0" fontId="16" fillId="2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76452733911055"/>
          <c:y val="6.6515479251884169E-2"/>
          <c:w val="0.45949735333362657"/>
          <c:h val="0.74603180649280587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explosion val="4"/>
            <c:spPr>
              <a:solidFill>
                <a:schemeClr val="tx1">
                  <a:lumMod val="65000"/>
                  <a:lumOff val="35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A3AF-4B49-9CCF-DB7D78DDA6BC}"/>
              </c:ext>
            </c:extLst>
          </c:dPt>
          <c:dPt>
            <c:idx val="1"/>
            <c:bubble3D val="0"/>
            <c:explosion val="9"/>
            <c:spPr>
              <a:solidFill>
                <a:schemeClr val="accent1">
                  <a:lumMod val="75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A3AF-4B49-9CCF-DB7D78DDA6BC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A3AF-4B49-9CCF-DB7D78DDA6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Calcs!$H$89:$H$91</c:f>
              <c:strCache>
                <c:ptCount val="3"/>
                <c:pt idx="0">
                  <c:v>Google</c:v>
                </c:pt>
                <c:pt idx="1">
                  <c:v>Bing</c:v>
                </c:pt>
                <c:pt idx="2">
                  <c:v>Other</c:v>
                </c:pt>
              </c:strCache>
            </c:strRef>
          </c:cat>
          <c:val>
            <c:numRef>
              <c:f>Calcs!$I$89:$I$91</c:f>
              <c:numCache>
                <c:formatCode>0%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AF-4B49-9CCF-DB7D78DDA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"/>
          <c:y val="0.85581424802512818"/>
          <c:w val="0.83070691163604549"/>
          <c:h val="7.9471420239136767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958519327396269E-3"/>
          <c:y val="4.8883465468632769E-3"/>
          <c:w val="0.962086715718668"/>
          <c:h val="0.9766437777324463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Calcs!$R$54:$R$58</c:f>
              <c:strCache>
                <c:ptCount val="5"/>
                <c:pt idx="0">
                  <c:v> Michigan </c:v>
                </c:pt>
                <c:pt idx="1">
                  <c:v> Illinois </c:v>
                </c:pt>
                <c:pt idx="2">
                  <c:v> Ohio </c:v>
                </c:pt>
                <c:pt idx="3">
                  <c:v> Indiana </c:v>
                </c:pt>
                <c:pt idx="4">
                  <c:v> Missouri </c:v>
                </c:pt>
              </c:strCache>
            </c:strRef>
          </c:cat>
          <c:val>
            <c:numRef>
              <c:f>Calcs!$S$54:$S$58</c:f>
              <c:numCache>
                <c:formatCode>0.0%</c:formatCode>
                <c:ptCount val="5"/>
                <c:pt idx="0">
                  <c:v>0.09</c:v>
                </c:pt>
                <c:pt idx="1">
                  <c:v>8.900000000000001E-2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6-4AB2-88F3-C097793E2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3"/>
        <c:axId val="1469338560"/>
        <c:axId val="1469350528"/>
      </c:barChart>
      <c:catAx>
        <c:axId val="1469338560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1469350528"/>
        <c:crosses val="autoZero"/>
        <c:auto val="1"/>
        <c:lblAlgn val="ctr"/>
        <c:lblOffset val="100"/>
        <c:noMultiLvlLbl val="0"/>
      </c:catAx>
      <c:valAx>
        <c:axId val="1469350528"/>
        <c:scaling>
          <c:orientation val="maxMin"/>
        </c:scaling>
        <c:delete val="1"/>
        <c:axPos val="t"/>
        <c:numFmt formatCode="0.0%" sourceLinked="1"/>
        <c:majorTickMark val="out"/>
        <c:minorTickMark val="none"/>
        <c:tickLblPos val="nextTo"/>
        <c:crossAx val="1469338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958519327396269E-3"/>
          <c:y val="4.8883465468632769E-3"/>
          <c:w val="0.962086715718668"/>
          <c:h val="0.9766437777324463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Calcs!$O$54:$O$58</c:f>
              <c:strCache>
                <c:ptCount val="5"/>
                <c:pt idx="0">
                  <c:v> Ohio </c:v>
                </c:pt>
                <c:pt idx="1">
                  <c:v> Illinois </c:v>
                </c:pt>
                <c:pt idx="2">
                  <c:v> Indiana </c:v>
                </c:pt>
                <c:pt idx="3">
                  <c:v> Michigan </c:v>
                </c:pt>
                <c:pt idx="4">
                  <c:v> Wisconsin </c:v>
                </c:pt>
              </c:strCache>
            </c:strRef>
          </c:cat>
          <c:val>
            <c:numRef>
              <c:f>Calcs!$P$54:$P$58</c:f>
              <c:numCache>
                <c:formatCode>_-* #,##0_-;\-* #,##0_-;_-* "-"??_-;_-@_-</c:formatCode>
                <c:ptCount val="5"/>
                <c:pt idx="0">
                  <c:v>282.5</c:v>
                </c:pt>
                <c:pt idx="1">
                  <c:v>231.9</c:v>
                </c:pt>
                <c:pt idx="2">
                  <c:v>182.5</c:v>
                </c:pt>
                <c:pt idx="3">
                  <c:v>174.8</c:v>
                </c:pt>
                <c:pt idx="4">
                  <c:v>105.2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4-4BB6-A143-99A164CE8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3"/>
        <c:axId val="1469348896"/>
        <c:axId val="1469339648"/>
      </c:barChart>
      <c:catAx>
        <c:axId val="1469348896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1469339648"/>
        <c:crosses val="autoZero"/>
        <c:auto val="1"/>
        <c:lblAlgn val="ctr"/>
        <c:lblOffset val="100"/>
        <c:noMultiLvlLbl val="0"/>
      </c:catAx>
      <c:valAx>
        <c:axId val="1469339648"/>
        <c:scaling>
          <c:orientation val="maxMin"/>
        </c:scaling>
        <c:delete val="1"/>
        <c:axPos val="t"/>
        <c:numFmt formatCode="_-* #,##0_-;\-* #,##0_-;_-* &quot;-&quot;??_-;_-@_-" sourceLinked="1"/>
        <c:majorTickMark val="out"/>
        <c:minorTickMark val="none"/>
        <c:tickLblPos val="nextTo"/>
        <c:crossAx val="1469348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76452733911055"/>
          <c:y val="6.6515479251884169E-2"/>
          <c:w val="0.45949735333362657"/>
          <c:h val="0.74603180649280587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explosion val="4"/>
            <c:spPr>
              <a:solidFill>
                <a:schemeClr val="tx1">
                  <a:lumMod val="65000"/>
                  <a:lumOff val="35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E2B-43FF-8280-E4AF8050CAB8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E2B-43FF-8280-E4AF8050CA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Calcs!$N$73:$N$74</c:f>
              <c:strCache>
                <c:ptCount val="2"/>
                <c:pt idx="0">
                  <c:v>Expenses</c:v>
                </c:pt>
                <c:pt idx="1">
                  <c:v>Revenue</c:v>
                </c:pt>
              </c:strCache>
            </c:strRef>
          </c:cat>
          <c:val>
            <c:numRef>
              <c:f>Calcs!$O$73:$O$74</c:f>
              <c:numCache>
                <c:formatCode>0%</c:formatCode>
                <c:ptCount val="2"/>
                <c:pt idx="0">
                  <c:v>0.40771025827988011</c:v>
                </c:pt>
                <c:pt idx="1">
                  <c:v>0.59228974172011994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B-43FF-8280-E4AF8050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"/>
          <c:y val="0.85581424802512818"/>
          <c:w val="0.83070691163604549"/>
          <c:h val="7.9471420239136767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958519327396269E-3"/>
          <c:y val="4.8883465468632769E-3"/>
          <c:w val="0.962086715718668"/>
          <c:h val="0.9766437777324463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Calcs!$U$54:$U$58</c:f>
              <c:strCache>
                <c:ptCount val="5"/>
                <c:pt idx="0">
                  <c:v> Illinois </c:v>
                </c:pt>
                <c:pt idx="1">
                  <c:v> Ohio </c:v>
                </c:pt>
                <c:pt idx="2">
                  <c:v> Minnesota </c:v>
                </c:pt>
                <c:pt idx="3">
                  <c:v> Michigan </c:v>
                </c:pt>
                <c:pt idx="4">
                  <c:v> Wisconsin </c:v>
                </c:pt>
              </c:strCache>
            </c:strRef>
          </c:cat>
          <c:val>
            <c:numRef>
              <c:f>Calcs!$V$54:$V$58</c:f>
              <c:numCache>
                <c:formatCode>_-* #,##0_-;\-* #,##0_-;_-* "-"??_-;_-@_-</c:formatCode>
                <c:ptCount val="5"/>
                <c:pt idx="0">
                  <c:v>950.56747242110009</c:v>
                </c:pt>
                <c:pt idx="1">
                  <c:v>848.68250264680012</c:v>
                </c:pt>
                <c:pt idx="2">
                  <c:v>615.39852904199995</c:v>
                </c:pt>
                <c:pt idx="3">
                  <c:v>452.32416000939998</c:v>
                </c:pt>
                <c:pt idx="4">
                  <c:v>324.55611609300001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9-45B8-B3BC-D908AFAE5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3"/>
        <c:axId val="1469340192"/>
        <c:axId val="1469352704"/>
      </c:barChart>
      <c:catAx>
        <c:axId val="1469340192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1469352704"/>
        <c:crosses val="autoZero"/>
        <c:auto val="1"/>
        <c:lblAlgn val="ctr"/>
        <c:lblOffset val="100"/>
        <c:noMultiLvlLbl val="0"/>
      </c:catAx>
      <c:valAx>
        <c:axId val="1469352704"/>
        <c:scaling>
          <c:orientation val="maxMin"/>
        </c:scaling>
        <c:delete val="1"/>
        <c:axPos val="t"/>
        <c:numFmt formatCode="_-* #,##0_-;\-* #,##0_-;_-* &quot;-&quot;??_-;_-@_-" sourceLinked="1"/>
        <c:majorTickMark val="out"/>
        <c:minorTickMark val="none"/>
        <c:tickLblPos val="nextTo"/>
        <c:crossAx val="1469340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958519327396269E-3"/>
          <c:y val="4.8883465468632769E-3"/>
          <c:w val="0.962086715718668"/>
          <c:h val="0.9766437777324463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Calcs!$W$54:$W$58</c:f>
              <c:strCache>
                <c:ptCount val="5"/>
                <c:pt idx="0">
                  <c:v> Illinois </c:v>
                </c:pt>
                <c:pt idx="1">
                  <c:v> Michigan </c:v>
                </c:pt>
                <c:pt idx="2">
                  <c:v> Ohio </c:v>
                </c:pt>
                <c:pt idx="3">
                  <c:v> Wisconsin </c:v>
                </c:pt>
                <c:pt idx="4">
                  <c:v> Indiana </c:v>
                </c:pt>
              </c:strCache>
            </c:strRef>
          </c:cat>
          <c:val>
            <c:numRef>
              <c:f>Calcs!$X$54:$X$58</c:f>
              <c:numCache>
                <c:formatCode>_-* #,##0_-;\-* #,##0_-;_-* "-"??_-;_-@_-</c:formatCode>
                <c:ptCount val="5"/>
                <c:pt idx="0">
                  <c:v>599.13698109999996</c:v>
                </c:pt>
                <c:pt idx="1">
                  <c:v>461.77386836000011</c:v>
                </c:pt>
                <c:pt idx="2">
                  <c:v>539.22328299000014</c:v>
                </c:pt>
                <c:pt idx="3">
                  <c:v>265.95836722000001</c:v>
                </c:pt>
                <c:pt idx="4">
                  <c:v>302.49110996999997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4-4C8A-91CD-77FC7F2C8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3"/>
        <c:axId val="1469342368"/>
        <c:axId val="1469343456"/>
      </c:barChart>
      <c:catAx>
        <c:axId val="1469342368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1469343456"/>
        <c:crosses val="autoZero"/>
        <c:auto val="1"/>
        <c:lblAlgn val="ctr"/>
        <c:lblOffset val="100"/>
        <c:noMultiLvlLbl val="0"/>
      </c:catAx>
      <c:valAx>
        <c:axId val="1469343456"/>
        <c:scaling>
          <c:orientation val="maxMin"/>
        </c:scaling>
        <c:delete val="1"/>
        <c:axPos val="t"/>
        <c:numFmt formatCode="_-* #,##0_-;\-* #,##0_-;_-* &quot;-&quot;??_-;_-@_-" sourceLinked="1"/>
        <c:majorTickMark val="out"/>
        <c:minorTickMark val="none"/>
        <c:tickLblPos val="nextTo"/>
        <c:crossAx val="1469342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50329159674716E-2"/>
          <c:y val="9.2908114519157911E-2"/>
          <c:w val="0.97669084807022077"/>
          <c:h val="0.7284999835271637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10"/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Calcs!$U$61:$U$70</c:f>
              <c:strCache>
                <c:ptCount val="10"/>
                <c:pt idx="0">
                  <c:v> Illinois </c:v>
                </c:pt>
                <c:pt idx="1">
                  <c:v> Ohio </c:v>
                </c:pt>
                <c:pt idx="2">
                  <c:v> Minnesota </c:v>
                </c:pt>
                <c:pt idx="3">
                  <c:v> Michigan </c:v>
                </c:pt>
                <c:pt idx="4">
                  <c:v> Wisconsin </c:v>
                </c:pt>
                <c:pt idx="5">
                  <c:v> Indiana </c:v>
                </c:pt>
                <c:pt idx="6">
                  <c:v> Missouri </c:v>
                </c:pt>
                <c:pt idx="7">
                  <c:v> Kansas </c:v>
                </c:pt>
                <c:pt idx="8">
                  <c:v> Iowa </c:v>
                </c:pt>
                <c:pt idx="9">
                  <c:v> Nebraska </c:v>
                </c:pt>
              </c:strCache>
            </c:strRef>
          </c:cat>
          <c:val>
            <c:numRef>
              <c:f>Calcs!$V$61:$V$70</c:f>
              <c:numCache>
                <c:formatCode>_-* #,##0_-;\-* #,##0_-;_-* "-"??_-;_-@_-</c:formatCode>
                <c:ptCount val="10"/>
                <c:pt idx="0">
                  <c:v>950.56747242110009</c:v>
                </c:pt>
                <c:pt idx="1">
                  <c:v>848.68250264680012</c:v>
                </c:pt>
                <c:pt idx="2">
                  <c:v>615.39852904199995</c:v>
                </c:pt>
                <c:pt idx="3">
                  <c:v>452.32416000939998</c:v>
                </c:pt>
                <c:pt idx="4">
                  <c:v>324.55611609300001</c:v>
                </c:pt>
                <c:pt idx="5">
                  <c:v>400.73640235200003</c:v>
                </c:pt>
                <c:pt idx="6">
                  <c:v>378.64000478700001</c:v>
                </c:pt>
                <c:pt idx="7">
                  <c:v>169.58552932999999</c:v>
                </c:pt>
                <c:pt idx="8">
                  <c:v>145.19034023200001</c:v>
                </c:pt>
                <c:pt idx="9">
                  <c:v>153.25485646800001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D-4B2C-A423-6DB0FCC9A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263856"/>
        <c:axId val="1241511008"/>
      </c:lineChart>
      <c:catAx>
        <c:axId val="1415263856"/>
        <c:scaling>
          <c:orientation val="minMax"/>
        </c:scaling>
        <c:delete val="0"/>
        <c:axPos val="b"/>
        <c:minorGridlines>
          <c:spPr>
            <a:ln w="15875">
              <a:prstDash val="sysDot"/>
            </a:ln>
          </c:spPr>
        </c:minorGridlines>
        <c:numFmt formatCode="General" sourceLinked="1"/>
        <c:majorTickMark val="out"/>
        <c:minorTickMark val="none"/>
        <c:tickLblPos val="nextTo"/>
        <c:txPr>
          <a:bodyPr rot="0" anchor="t" anchorCtr="0"/>
          <a:lstStyle/>
          <a:p>
            <a:pPr>
              <a:defRPr sz="800"/>
            </a:pPr>
            <a:endParaRPr lang="en-US"/>
          </a:p>
        </c:txPr>
        <c:crossAx val="1241511008"/>
        <c:crosses val="autoZero"/>
        <c:auto val="1"/>
        <c:lblAlgn val="ctr"/>
        <c:lblOffset val="100"/>
        <c:noMultiLvlLbl val="0"/>
      </c:catAx>
      <c:valAx>
        <c:axId val="1241511008"/>
        <c:scaling>
          <c:orientation val="minMax"/>
        </c:scaling>
        <c:delete val="1"/>
        <c:axPos val="l"/>
        <c:majorGridlines>
          <c:spPr>
            <a:ln w="15875">
              <a:prstDash val="sysDot"/>
            </a:ln>
          </c:spPr>
        </c:majorGridlines>
        <c:numFmt formatCode="_-* #,##0_-;\-* #,##0_-;_-* &quot;-&quot;??_-;_-@_-" sourceLinked="1"/>
        <c:majorTickMark val="out"/>
        <c:minorTickMark val="none"/>
        <c:tickLblPos val="nextTo"/>
        <c:crossAx val="14152638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536121509401491E-2"/>
          <c:y val="9.2908114519157911E-2"/>
          <c:w val="0.97450505572049395"/>
          <c:h val="0.7284999835271637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10"/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Calcs!$W$61:$W$70</c:f>
              <c:strCache>
                <c:ptCount val="10"/>
                <c:pt idx="0">
                  <c:v> California </c:v>
                </c:pt>
                <c:pt idx="1">
                  <c:v> Texas </c:v>
                </c:pt>
                <c:pt idx="2">
                  <c:v> New York </c:v>
                </c:pt>
                <c:pt idx="3">
                  <c:v> Florida </c:v>
                </c:pt>
                <c:pt idx="4">
                  <c:v> Illinois </c:v>
                </c:pt>
                <c:pt idx="5">
                  <c:v> Washington </c:v>
                </c:pt>
                <c:pt idx="6">
                  <c:v> Pennsylvania </c:v>
                </c:pt>
                <c:pt idx="7">
                  <c:v> Michigan </c:v>
                </c:pt>
                <c:pt idx="8">
                  <c:v> Ohio </c:v>
                </c:pt>
                <c:pt idx="9">
                  <c:v> Arizona </c:v>
                </c:pt>
              </c:strCache>
            </c:strRef>
          </c:cat>
          <c:val>
            <c:numRef>
              <c:f>Calcs!$X$61:$X$70</c:f>
              <c:numCache>
                <c:formatCode>_-* #,##0_-;\-* #,##0_-;_-* "-"??_-;_-@_-</c:formatCode>
                <c:ptCount val="10"/>
                <c:pt idx="0">
                  <c:v>599.13698109999996</c:v>
                </c:pt>
                <c:pt idx="1">
                  <c:v>461.77386836000011</c:v>
                </c:pt>
                <c:pt idx="2">
                  <c:v>539.22328299000014</c:v>
                </c:pt>
                <c:pt idx="3">
                  <c:v>265.95836722000001</c:v>
                </c:pt>
                <c:pt idx="4">
                  <c:v>302.49110996999997</c:v>
                </c:pt>
                <c:pt idx="5">
                  <c:v>279.11015461000005</c:v>
                </c:pt>
                <c:pt idx="6">
                  <c:v>248.42265070000002</c:v>
                </c:pt>
                <c:pt idx="7">
                  <c:v>141.74704186999998</c:v>
                </c:pt>
                <c:pt idx="8">
                  <c:v>132.97918361000001</c:v>
                </c:pt>
                <c:pt idx="9">
                  <c:v>84.755963180000009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D-4FE0-8157-D0A5083DE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82608"/>
        <c:axId val="1473983152"/>
      </c:lineChart>
      <c:catAx>
        <c:axId val="1473982608"/>
        <c:scaling>
          <c:orientation val="minMax"/>
        </c:scaling>
        <c:delete val="0"/>
        <c:axPos val="b"/>
        <c:minorGridlines>
          <c:spPr>
            <a:ln w="15875">
              <a:prstDash val="sysDot"/>
            </a:ln>
          </c:spPr>
        </c:minorGridlines>
        <c:numFmt formatCode="General" sourceLinked="0"/>
        <c:majorTickMark val="out"/>
        <c:minorTickMark val="none"/>
        <c:tickLblPos val="nextTo"/>
        <c:txPr>
          <a:bodyPr rot="0" anchor="t" anchorCtr="0"/>
          <a:lstStyle/>
          <a:p>
            <a:pPr>
              <a:defRPr sz="800"/>
            </a:pPr>
            <a:endParaRPr lang="en-US"/>
          </a:p>
        </c:txPr>
        <c:crossAx val="1473983152"/>
        <c:crosses val="autoZero"/>
        <c:auto val="1"/>
        <c:lblAlgn val="ctr"/>
        <c:lblOffset val="100"/>
        <c:noMultiLvlLbl val="0"/>
      </c:catAx>
      <c:valAx>
        <c:axId val="1473983152"/>
        <c:scaling>
          <c:orientation val="minMax"/>
        </c:scaling>
        <c:delete val="1"/>
        <c:axPos val="l"/>
        <c:majorGridlines>
          <c:spPr>
            <a:ln w="15875">
              <a:prstDash val="sysDot"/>
            </a:ln>
          </c:spPr>
        </c:majorGridlines>
        <c:numFmt formatCode="_-* #,##0_-;\-* #,##0_-;_-* &quot;-&quot;??_-;_-@_-" sourceLinked="1"/>
        <c:majorTickMark val="out"/>
        <c:minorTickMark val="none"/>
        <c:tickLblPos val="nextTo"/>
        <c:crossAx val="1473982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22</xdr:row>
      <xdr:rowOff>2</xdr:rowOff>
    </xdr:from>
    <xdr:to>
      <xdr:col>12</xdr:col>
      <xdr:colOff>485775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104774</xdr:colOff>
      <xdr:row>19</xdr:row>
      <xdr:rowOff>133350</xdr:rowOff>
    </xdr:from>
    <xdr:to>
      <xdr:col>20</xdr:col>
      <xdr:colOff>352425</xdr:colOff>
      <xdr:row>21</xdr:row>
      <xdr:rowOff>28575</xdr:rowOff>
    </xdr:to>
    <xdr:sp macro="" textlink="">
      <xdr:nvSpPr>
        <xdr:cNvPr id="5" name="Round Diagonal Corner 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6400799" y="4305300"/>
          <a:ext cx="7439026" cy="276225"/>
        </a:xfrm>
        <a:prstGeom prst="round2DiagRect">
          <a:avLst/>
        </a:prstGeom>
        <a:solidFill>
          <a:schemeClr val="bg1">
            <a:lumMod val="75000"/>
          </a:schemeClr>
        </a:solidFill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152399</xdr:colOff>
      <xdr:row>8</xdr:row>
      <xdr:rowOff>66675</xdr:rowOff>
    </xdr:from>
    <xdr:to>
      <xdr:col>21</xdr:col>
      <xdr:colOff>0</xdr:colOff>
      <xdr:row>9</xdr:row>
      <xdr:rowOff>152400</xdr:rowOff>
    </xdr:to>
    <xdr:sp macro="" textlink="">
      <xdr:nvSpPr>
        <xdr:cNvPr id="6" name="Round Diagonal Corner 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6448424" y="1666875"/>
          <a:ext cx="7219951" cy="276225"/>
        </a:xfrm>
        <a:prstGeom prst="round2DiagRect">
          <a:avLst/>
        </a:prstGeom>
        <a:solidFill>
          <a:schemeClr val="bg1">
            <a:lumMod val="75000"/>
          </a:schemeClr>
        </a:solidFill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9525</xdr:colOff>
      <xdr:row>29</xdr:row>
      <xdr:rowOff>57150</xdr:rowOff>
    </xdr:from>
    <xdr:to>
      <xdr:col>20</xdr:col>
      <xdr:colOff>390525</xdr:colOff>
      <xdr:row>30</xdr:row>
      <xdr:rowOff>142875</xdr:rowOff>
    </xdr:to>
    <xdr:sp macro="" textlink="">
      <xdr:nvSpPr>
        <xdr:cNvPr id="12" name="Round Diagonal Corner 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6457950" y="5857875"/>
          <a:ext cx="7620000" cy="276225"/>
        </a:xfrm>
        <a:prstGeom prst="round2DiagRect">
          <a:avLst/>
        </a:prstGeom>
        <a:solidFill>
          <a:schemeClr val="bg1">
            <a:lumMod val="75000"/>
          </a:schemeClr>
        </a:solidFill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78580</xdr:colOff>
      <xdr:row>23</xdr:row>
      <xdr:rowOff>19050</xdr:rowOff>
    </xdr:from>
    <xdr:to>
      <xdr:col>16</xdr:col>
      <xdr:colOff>390526</xdr:colOff>
      <xdr:row>28</xdr:row>
      <xdr:rowOff>19050</xdr:rowOff>
    </xdr:to>
    <xdr:graphicFrame macro="">
      <xdr:nvGraphicFramePr>
        <xdr:cNvPr id="17" name="Chart 28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23</xdr:row>
      <xdr:rowOff>21432</xdr:rowOff>
    </xdr:from>
    <xdr:to>
      <xdr:col>20</xdr:col>
      <xdr:colOff>388146</xdr:colOff>
      <xdr:row>28</xdr:row>
      <xdr:rowOff>21432</xdr:rowOff>
    </xdr:to>
    <xdr:graphicFrame macro="">
      <xdr:nvGraphicFramePr>
        <xdr:cNvPr id="18" name="Chart 2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</xdr:colOff>
      <xdr:row>12</xdr:row>
      <xdr:rowOff>2</xdr:rowOff>
    </xdr:from>
    <xdr:to>
      <xdr:col>12</xdr:col>
      <xdr:colOff>476250</xdr:colOff>
      <xdr:row>19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183355</xdr:colOff>
      <xdr:row>12</xdr:row>
      <xdr:rowOff>197643</xdr:rowOff>
    </xdr:from>
    <xdr:to>
      <xdr:col>16</xdr:col>
      <xdr:colOff>495301</xdr:colOff>
      <xdr:row>18</xdr:row>
      <xdr:rowOff>47625</xdr:rowOff>
    </xdr:to>
    <xdr:graphicFrame macro="">
      <xdr:nvGraphicFramePr>
        <xdr:cNvPr id="22" name="Chart 28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619125</xdr:colOff>
      <xdr:row>13</xdr:row>
      <xdr:rowOff>28575</xdr:rowOff>
    </xdr:from>
    <xdr:to>
      <xdr:col>20</xdr:col>
      <xdr:colOff>388146</xdr:colOff>
      <xdr:row>18</xdr:row>
      <xdr:rowOff>78582</xdr:rowOff>
    </xdr:to>
    <xdr:graphicFrame macro="">
      <xdr:nvGraphicFramePr>
        <xdr:cNvPr id="23" name="Chart 28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201083</xdr:colOff>
      <xdr:row>0</xdr:row>
      <xdr:rowOff>10584</xdr:rowOff>
    </xdr:from>
    <xdr:ext cx="6927850" cy="595546"/>
    <xdr:sp macro="" textlink="">
      <xdr:nvSpPr>
        <xdr:cNvPr id="25" name="Text Box 2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201083" y="10584"/>
          <a:ext cx="6927850" cy="595546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27432" tIns="27432" rIns="27432" bIns="27432" anchor="ctr" upright="1">
          <a:noAutofit/>
        </a:bodyPr>
        <a:lstStyle/>
        <a:p>
          <a:pPr algn="l" rtl="0">
            <a:defRPr sz="1000"/>
          </a:pPr>
          <a:r>
            <a:rPr lang="en-AU" sz="2400" b="0" i="0" u="none" strike="noStrike" baseline="0">
              <a:solidFill>
                <a:schemeClr val="accent1">
                  <a:lumMod val="75000"/>
                </a:schemeClr>
              </a:solidFill>
              <a:latin typeface="Arial"/>
              <a:cs typeface="Arial"/>
            </a:rPr>
            <a:t>Annual Overview Dashboard</a:t>
          </a:r>
        </a:p>
      </xdr:txBody>
    </xdr:sp>
    <xdr:clientData/>
  </xdr:oneCellAnchor>
  <xdr:twoCellAnchor>
    <xdr:from>
      <xdr:col>1</xdr:col>
      <xdr:colOff>200026</xdr:colOff>
      <xdr:row>8</xdr:row>
      <xdr:rowOff>66675</xdr:rowOff>
    </xdr:from>
    <xdr:to>
      <xdr:col>7</xdr:col>
      <xdr:colOff>600075</xdr:colOff>
      <xdr:row>9</xdr:row>
      <xdr:rowOff>152400</xdr:rowOff>
    </xdr:to>
    <xdr:sp macro="" textlink="">
      <xdr:nvSpPr>
        <xdr:cNvPr id="26" name="Round Diagonal Corner 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409576" y="1666875"/>
          <a:ext cx="5876924" cy="276225"/>
        </a:xfrm>
        <a:prstGeom prst="round2DiagRect">
          <a:avLst/>
        </a:prstGeom>
        <a:solidFill>
          <a:schemeClr val="bg1">
            <a:lumMod val="75000"/>
          </a:schemeClr>
        </a:solidFill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38100</xdr:colOff>
      <xdr:row>19</xdr:row>
      <xdr:rowOff>128060</xdr:rowOff>
    </xdr:from>
    <xdr:to>
      <xdr:col>8</xdr:col>
      <xdr:colOff>0</xdr:colOff>
      <xdr:row>21</xdr:row>
      <xdr:rowOff>23285</xdr:rowOff>
    </xdr:to>
    <xdr:sp macro="" textlink="">
      <xdr:nvSpPr>
        <xdr:cNvPr id="27" name="Round Diagonal Corner 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457200" y="4109510"/>
          <a:ext cx="5838825" cy="276225"/>
        </a:xfrm>
        <a:prstGeom prst="round2DiagRect">
          <a:avLst/>
        </a:prstGeom>
        <a:solidFill>
          <a:schemeClr val="bg1">
            <a:lumMod val="75000"/>
          </a:schemeClr>
        </a:solidFill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38100</xdr:colOff>
      <xdr:row>29</xdr:row>
      <xdr:rowOff>57150</xdr:rowOff>
    </xdr:from>
    <xdr:to>
      <xdr:col>7</xdr:col>
      <xdr:colOff>600075</xdr:colOff>
      <xdr:row>30</xdr:row>
      <xdr:rowOff>142875</xdr:rowOff>
    </xdr:to>
    <xdr:sp macro="" textlink="">
      <xdr:nvSpPr>
        <xdr:cNvPr id="28" name="Round Diagonal Corner 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457200" y="5857875"/>
          <a:ext cx="5829300" cy="276225"/>
        </a:xfrm>
        <a:prstGeom prst="round2DiagRect">
          <a:avLst/>
        </a:prstGeom>
        <a:solidFill>
          <a:schemeClr val="bg1">
            <a:lumMod val="75000"/>
          </a:schemeClr>
        </a:solidFill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9524</xdr:colOff>
      <xdr:row>10</xdr:row>
      <xdr:rowOff>219075</xdr:rowOff>
    </xdr:from>
    <xdr:to>
      <xdr:col>8</xdr:col>
      <xdr:colOff>0</xdr:colOff>
      <xdr:row>18</xdr:row>
      <xdr:rowOff>171451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76200</xdr:colOff>
      <xdr:row>21</xdr:row>
      <xdr:rowOff>152400</xdr:rowOff>
    </xdr:from>
    <xdr:to>
      <xdr:col>8</xdr:col>
      <xdr:colOff>9525</xdr:colOff>
      <xdr:row>28</xdr:row>
      <xdr:rowOff>146050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76200</xdr:colOff>
      <xdr:row>19</xdr:row>
      <xdr:rowOff>114300</xdr:rowOff>
    </xdr:from>
    <xdr:to>
      <xdr:col>5</xdr:col>
      <xdr:colOff>0</xdr:colOff>
      <xdr:row>21</xdr:row>
      <xdr:rowOff>28575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495300" y="3819525"/>
          <a:ext cx="36099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accent1">
                  <a:lumMod val="75000"/>
                </a:schemeClr>
              </a:solidFill>
            </a:rPr>
            <a:t>Top 10 Expense by State 000s</a:t>
          </a:r>
        </a:p>
      </xdr:txBody>
    </xdr:sp>
    <xdr:clientData/>
  </xdr:twoCellAnchor>
  <xdr:twoCellAnchor>
    <xdr:from>
      <xdr:col>2</xdr:col>
      <xdr:colOff>28575</xdr:colOff>
      <xdr:row>8</xdr:row>
      <xdr:rowOff>47625</xdr:rowOff>
    </xdr:from>
    <xdr:to>
      <xdr:col>4</xdr:col>
      <xdr:colOff>595124</xdr:colOff>
      <xdr:row>10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447675" y="1647825"/>
          <a:ext cx="3462149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accent1">
                  <a:lumMod val="75000"/>
                </a:schemeClr>
              </a:solidFill>
            </a:rPr>
            <a:t>Top 10 Revenue by State 000s</a:t>
          </a:r>
        </a:p>
      </xdr:txBody>
    </xdr:sp>
    <xdr:clientData/>
  </xdr:twoCellAnchor>
  <xdr:twoCellAnchor>
    <xdr:from>
      <xdr:col>9</xdr:col>
      <xdr:colOff>66675</xdr:colOff>
      <xdr:row>8</xdr:row>
      <xdr:rowOff>47625</xdr:rowOff>
    </xdr:from>
    <xdr:to>
      <xdr:col>14</xdr:col>
      <xdr:colOff>419100</xdr:colOff>
      <xdr:row>9</xdr:row>
      <xdr:rowOff>152400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6515100" y="1647825"/>
          <a:ext cx="34385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accent1">
                  <a:lumMod val="75000"/>
                </a:schemeClr>
              </a:solidFill>
            </a:rPr>
            <a:t>Top 5 Revenue and Expenses by State</a:t>
          </a:r>
        </a:p>
      </xdr:txBody>
    </xdr:sp>
    <xdr:clientData/>
  </xdr:twoCellAnchor>
  <xdr:twoCellAnchor>
    <xdr:from>
      <xdr:col>9</xdr:col>
      <xdr:colOff>38099</xdr:colOff>
      <xdr:row>19</xdr:row>
      <xdr:rowOff>123825</xdr:rowOff>
    </xdr:from>
    <xdr:to>
      <xdr:col>12</xdr:col>
      <xdr:colOff>57151</xdr:colOff>
      <xdr:row>21</xdr:row>
      <xdr:rowOff>38100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6486524" y="4295775"/>
          <a:ext cx="1847852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accent1">
                  <a:lumMod val="75000"/>
                </a:schemeClr>
              </a:solidFill>
            </a:rPr>
            <a:t>Search Engines Used </a:t>
          </a:r>
        </a:p>
      </xdr:txBody>
    </xdr:sp>
    <xdr:clientData/>
  </xdr:twoCellAnchor>
  <xdr:twoCellAnchor>
    <xdr:from>
      <xdr:col>2</xdr:col>
      <xdr:colOff>104774</xdr:colOff>
      <xdr:row>29</xdr:row>
      <xdr:rowOff>47625</xdr:rowOff>
    </xdr:from>
    <xdr:to>
      <xdr:col>4</xdr:col>
      <xdr:colOff>209549</xdr:colOff>
      <xdr:row>30</xdr:row>
      <xdr:rowOff>152400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523874" y="5848350"/>
          <a:ext cx="3000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accent1">
                  <a:lumMod val="75000"/>
                </a:schemeClr>
              </a:solidFill>
            </a:rPr>
            <a:t>Revenue by Geographical</a:t>
          </a:r>
          <a:r>
            <a:rPr lang="en-AU" sz="1400" baseline="0">
              <a:solidFill>
                <a:schemeClr val="accent1">
                  <a:lumMod val="75000"/>
                </a:schemeClr>
              </a:solidFill>
            </a:rPr>
            <a:t> Region</a:t>
          </a:r>
          <a:endParaRPr lang="en-AU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38099</xdr:colOff>
      <xdr:row>29</xdr:row>
      <xdr:rowOff>57150</xdr:rowOff>
    </xdr:from>
    <xdr:to>
      <xdr:col>13</xdr:col>
      <xdr:colOff>600074</xdr:colOff>
      <xdr:row>30</xdr:row>
      <xdr:rowOff>161925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6486524" y="5857875"/>
          <a:ext cx="3000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accent1">
                  <a:lumMod val="75000"/>
                </a:schemeClr>
              </a:solidFill>
            </a:rPr>
            <a:t>Website</a:t>
          </a:r>
          <a:r>
            <a:rPr lang="en-AU" sz="1400" baseline="0">
              <a:solidFill>
                <a:schemeClr val="accent1">
                  <a:lumMod val="75000"/>
                </a:schemeClr>
              </a:solidFill>
            </a:rPr>
            <a:t> Tracking Overview</a:t>
          </a:r>
          <a:endParaRPr lang="en-AU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66674</xdr:colOff>
      <xdr:row>38</xdr:row>
      <xdr:rowOff>9525</xdr:rowOff>
    </xdr:from>
    <xdr:to>
      <xdr:col>11</xdr:col>
      <xdr:colOff>581025</xdr:colOff>
      <xdr:row>39</xdr:row>
      <xdr:rowOff>114300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6362699" y="7800975"/>
          <a:ext cx="1885951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accent1">
                  <a:lumMod val="75000"/>
                </a:schemeClr>
              </a:solidFill>
            </a:rPr>
            <a:t>Social Media </a:t>
          </a:r>
          <a:r>
            <a:rPr lang="en-AU" sz="1400" baseline="0">
              <a:solidFill>
                <a:schemeClr val="accent1">
                  <a:lumMod val="75000"/>
                </a:schemeClr>
              </a:solidFill>
            </a:rPr>
            <a:t>Overview</a:t>
          </a:r>
          <a:endParaRPr lang="en-AU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17</xdr:col>
      <xdr:colOff>371475</xdr:colOff>
      <xdr:row>39</xdr:row>
      <xdr:rowOff>132333</xdr:rowOff>
    </xdr:from>
    <xdr:to>
      <xdr:col>20</xdr:col>
      <xdr:colOff>99646</xdr:colOff>
      <xdr:row>44</xdr:row>
      <xdr:rowOff>94572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3375" y="8114283"/>
          <a:ext cx="1766521" cy="91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114300</xdr:colOff>
      <xdr:row>37</xdr:row>
      <xdr:rowOff>180975</xdr:rowOff>
    </xdr:from>
    <xdr:to>
      <xdr:col>3</xdr:col>
      <xdr:colOff>400050</xdr:colOff>
      <xdr:row>39</xdr:row>
      <xdr:rowOff>95250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323850" y="7781925"/>
          <a:ext cx="2600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accent1">
                  <a:lumMod val="75000"/>
                </a:schemeClr>
              </a:solidFill>
            </a:rPr>
            <a:t>Expense by Geographical</a:t>
          </a:r>
          <a:r>
            <a:rPr lang="en-AU" sz="1400" baseline="0">
              <a:solidFill>
                <a:schemeClr val="accent1">
                  <a:lumMod val="75000"/>
                </a:schemeClr>
              </a:solidFill>
            </a:rPr>
            <a:t> Region</a:t>
          </a:r>
          <a:endParaRPr lang="en-AU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10</xdr:row>
          <xdr:rowOff>47625</xdr:rowOff>
        </xdr:from>
        <xdr:to>
          <xdr:col>21</xdr:col>
          <xdr:colOff>0</xdr:colOff>
          <xdr:row>11</xdr:row>
          <xdr:rowOff>47625</xdr:rowOff>
        </xdr:to>
        <xdr:sp macro="" textlink="">
          <xdr:nvSpPr>
            <xdr:cNvPr id="8193" name="cboRegion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161925</xdr:colOff>
      <xdr:row>10</xdr:row>
      <xdr:rowOff>190500</xdr:rowOff>
    </xdr:from>
    <xdr:to>
      <xdr:col>11</xdr:col>
      <xdr:colOff>457200</xdr:colOff>
      <xdr:row>12</xdr:row>
      <xdr:rowOff>19050</xdr:rowOff>
    </xdr:to>
    <xdr:sp macro="" textlink="B2">
      <xdr:nvSpPr>
        <xdr:cNvPr id="45" name="TextBox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/>
      </xdr:nvSpPr>
      <xdr:spPr>
        <a:xfrm>
          <a:off x="6610350" y="2171700"/>
          <a:ext cx="15144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4531948-3C15-4614-BA24-88B83EBB749C}" type="TxLink">
            <a:rPr lang="en-US" sz="1200" b="0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/>
            <a:t>2010 Rev Exp Split</a:t>
          </a:fld>
          <a:endParaRPr lang="en-US" sz="1200" b="0" i="0" u="none" strike="noStrike">
            <a:solidFill>
              <a:schemeClr val="accent1">
                <a:lumMod val="75000"/>
              </a:schemeClr>
            </a:solidFill>
            <a:latin typeface="Calibri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285750</xdr:colOff>
          <xdr:row>31</xdr:row>
          <xdr:rowOff>38100</xdr:rowOff>
        </xdr:from>
        <xdr:to>
          <xdr:col>20</xdr:col>
          <xdr:colOff>381000</xdr:colOff>
          <xdr:row>32</xdr:row>
          <xdr:rowOff>123825</xdr:rowOff>
        </xdr:to>
        <xdr:sp macro="" textlink="">
          <xdr:nvSpPr>
            <xdr:cNvPr id="8194" name="cboCountry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17</xdr:col>
      <xdr:colOff>180975</xdr:colOff>
      <xdr:row>32</xdr:row>
      <xdr:rowOff>140478</xdr:rowOff>
    </xdr:from>
    <xdr:to>
      <xdr:col>18</xdr:col>
      <xdr:colOff>151440</xdr:colOff>
      <xdr:row>36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30025" y="6979428"/>
          <a:ext cx="761040" cy="792972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114301</xdr:colOff>
      <xdr:row>32</xdr:row>
      <xdr:rowOff>128689</xdr:rowOff>
    </xdr:from>
    <xdr:to>
      <xdr:col>20</xdr:col>
      <xdr:colOff>314325</xdr:colOff>
      <xdr:row>36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92101" y="6967639"/>
          <a:ext cx="809624" cy="785711"/>
        </a:xfrm>
        <a:prstGeom prst="rect">
          <a:avLst/>
        </a:prstGeom>
      </xdr:spPr>
    </xdr:pic>
    <xdr:clientData/>
  </xdr:twoCellAnchor>
  <xdr:twoCellAnchor>
    <xdr:from>
      <xdr:col>15</xdr:col>
      <xdr:colOff>152400</xdr:colOff>
      <xdr:row>19</xdr:row>
      <xdr:rowOff>142875</xdr:rowOff>
    </xdr:from>
    <xdr:to>
      <xdr:col>19</xdr:col>
      <xdr:colOff>314326</xdr:colOff>
      <xdr:row>21</xdr:row>
      <xdr:rowOff>57150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0363200" y="4314825"/>
          <a:ext cx="2828926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accent1">
                  <a:lumMod val="75000"/>
                </a:schemeClr>
              </a:solidFill>
            </a:rPr>
            <a:t>Top 5 Late Debt &amp; FTE by State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1"/>
  <sheetViews>
    <sheetView tabSelected="1" workbookViewId="0">
      <selection activeCell="A2" sqref="A2:A21"/>
    </sheetView>
  </sheetViews>
  <sheetFormatPr defaultRowHeight="15" x14ac:dyDescent="0.25"/>
  <cols>
    <col min="1" max="1" width="15.42578125" bestFit="1" customWidth="1"/>
    <col min="2" max="2" width="14.28515625" bestFit="1" customWidth="1"/>
  </cols>
  <sheetData>
    <row r="1" spans="1:2" x14ac:dyDescent="0.25">
      <c r="A1" t="s">
        <v>105</v>
      </c>
      <c r="B1" t="s">
        <v>55</v>
      </c>
    </row>
    <row r="2" spans="1:2" x14ac:dyDescent="0.25">
      <c r="A2" t="s">
        <v>84</v>
      </c>
      <c r="B2" s="4" t="s">
        <v>62</v>
      </c>
    </row>
    <row r="3" spans="1:2" x14ac:dyDescent="0.25">
      <c r="A3" t="s">
        <v>85</v>
      </c>
      <c r="B3" t="s">
        <v>59</v>
      </c>
    </row>
    <row r="4" spans="1:2" x14ac:dyDescent="0.25">
      <c r="A4" t="s">
        <v>86</v>
      </c>
      <c r="B4" t="s">
        <v>58</v>
      </c>
    </row>
    <row r="5" spans="1:2" x14ac:dyDescent="0.25">
      <c r="A5" t="s">
        <v>87</v>
      </c>
      <c r="B5" t="s">
        <v>57</v>
      </c>
    </row>
    <row r="6" spans="1:2" x14ac:dyDescent="0.25">
      <c r="A6" t="s">
        <v>88</v>
      </c>
      <c r="B6" t="s">
        <v>56</v>
      </c>
    </row>
    <row r="7" spans="1:2" x14ac:dyDescent="0.25">
      <c r="A7" t="s">
        <v>89</v>
      </c>
    </row>
    <row r="8" spans="1:2" x14ac:dyDescent="0.25">
      <c r="A8" t="s">
        <v>90</v>
      </c>
    </row>
    <row r="9" spans="1:2" x14ac:dyDescent="0.25">
      <c r="A9" t="s">
        <v>91</v>
      </c>
    </row>
    <row r="10" spans="1:2" x14ac:dyDescent="0.25">
      <c r="A10" t="s">
        <v>92</v>
      </c>
    </row>
    <row r="11" spans="1:2" x14ac:dyDescent="0.25">
      <c r="A11" t="s">
        <v>93</v>
      </c>
    </row>
    <row r="12" spans="1:2" x14ac:dyDescent="0.25">
      <c r="A12" t="s">
        <v>94</v>
      </c>
    </row>
    <row r="13" spans="1:2" x14ac:dyDescent="0.25">
      <c r="A13" t="s">
        <v>95</v>
      </c>
    </row>
    <row r="14" spans="1:2" x14ac:dyDescent="0.25">
      <c r="A14" t="s">
        <v>96</v>
      </c>
    </row>
    <row r="15" spans="1:2" x14ac:dyDescent="0.25">
      <c r="A15" t="s">
        <v>97</v>
      </c>
    </row>
    <row r="16" spans="1:2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100</v>
      </c>
    </row>
    <row r="19" spans="1:1" x14ac:dyDescent="0.25">
      <c r="A19" t="s">
        <v>101</v>
      </c>
    </row>
    <row r="20" spans="1:1" x14ac:dyDescent="0.25">
      <c r="A20" t="s">
        <v>102</v>
      </c>
    </row>
    <row r="21" spans="1:1" x14ac:dyDescent="0.25">
      <c r="A21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theme="6" tint="0.79998168889431442"/>
  </sheetPr>
  <dimension ref="A1:N81"/>
  <sheetViews>
    <sheetView workbookViewId="0">
      <pane ySplit="1" topLeftCell="A5" activePane="bottomLeft" state="frozen"/>
      <selection activeCell="H52" sqref="H52:K52"/>
      <selection pane="bottomLeft" activeCell="B1" sqref="B1:B1048576"/>
    </sheetView>
  </sheetViews>
  <sheetFormatPr defaultRowHeight="15" x14ac:dyDescent="0.25"/>
  <cols>
    <col min="1" max="1" width="20.7109375" customWidth="1"/>
    <col min="2" max="2" width="7.42578125" customWidth="1"/>
    <col min="3" max="7" width="10.85546875" customWidth="1"/>
    <col min="8" max="11" width="12.42578125" customWidth="1"/>
    <col min="12" max="12" width="13.5703125" customWidth="1"/>
  </cols>
  <sheetData>
    <row r="1" spans="1:14" ht="30" customHeight="1" x14ac:dyDescent="0.25">
      <c r="A1" t="s">
        <v>105</v>
      </c>
      <c r="B1" t="s">
        <v>104</v>
      </c>
      <c r="C1" t="s">
        <v>79</v>
      </c>
      <c r="D1" s="36" t="s">
        <v>80</v>
      </c>
      <c r="E1" s="36" t="s">
        <v>81</v>
      </c>
      <c r="F1" s="36" t="s">
        <v>82</v>
      </c>
      <c r="G1" s="36" t="s">
        <v>83</v>
      </c>
      <c r="H1" s="35" t="s">
        <v>74</v>
      </c>
      <c r="I1" s="35" t="s">
        <v>75</v>
      </c>
      <c r="J1" s="33" t="s">
        <v>76</v>
      </c>
      <c r="K1" s="35" t="s">
        <v>77</v>
      </c>
      <c r="L1" s="35" t="s">
        <v>104</v>
      </c>
      <c r="M1" s="35" t="s">
        <v>110</v>
      </c>
      <c r="N1" s="35" t="s">
        <v>114</v>
      </c>
    </row>
    <row r="2" spans="1:14" x14ac:dyDescent="0.25">
      <c r="A2" t="s">
        <v>84</v>
      </c>
      <c r="B2">
        <v>2020</v>
      </c>
      <c r="C2" s="14">
        <v>1033.8</v>
      </c>
      <c r="D2">
        <v>775</v>
      </c>
      <c r="E2">
        <v>1007</v>
      </c>
      <c r="F2">
        <v>790</v>
      </c>
      <c r="G2">
        <v>982</v>
      </c>
      <c r="H2">
        <v>9459</v>
      </c>
      <c r="I2" s="34">
        <v>25</v>
      </c>
      <c r="J2">
        <v>1.25</v>
      </c>
      <c r="K2">
        <v>5202</v>
      </c>
      <c r="L2">
        <v>2010</v>
      </c>
      <c r="M2" t="s">
        <v>111</v>
      </c>
      <c r="N2" s="58">
        <v>0.6</v>
      </c>
    </row>
    <row r="3" spans="1:14" x14ac:dyDescent="0.25">
      <c r="A3" t="s">
        <v>85</v>
      </c>
      <c r="B3">
        <v>2020</v>
      </c>
      <c r="C3" s="14">
        <v>745</v>
      </c>
      <c r="D3">
        <v>447</v>
      </c>
      <c r="E3">
        <v>581</v>
      </c>
      <c r="F3">
        <v>412</v>
      </c>
      <c r="G3">
        <v>707</v>
      </c>
      <c r="H3">
        <v>6816</v>
      </c>
      <c r="I3" s="34">
        <v>18</v>
      </c>
      <c r="J3">
        <v>1.27</v>
      </c>
      <c r="K3">
        <v>3748</v>
      </c>
      <c r="L3">
        <v>2010</v>
      </c>
      <c r="M3" t="s">
        <v>112</v>
      </c>
      <c r="N3" s="58">
        <v>0.26</v>
      </c>
    </row>
    <row r="4" spans="1:14" x14ac:dyDescent="0.25">
      <c r="A4" t="s">
        <v>86</v>
      </c>
      <c r="B4">
        <v>2020</v>
      </c>
      <c r="C4" s="14">
        <v>674.6</v>
      </c>
      <c r="D4">
        <v>337</v>
      </c>
      <c r="E4">
        <v>438</v>
      </c>
      <c r="F4">
        <v>283</v>
      </c>
      <c r="G4">
        <v>640</v>
      </c>
      <c r="H4">
        <v>6172</v>
      </c>
      <c r="I4" s="34">
        <v>16</v>
      </c>
      <c r="J4">
        <v>1.29</v>
      </c>
      <c r="K4">
        <v>3147</v>
      </c>
      <c r="L4">
        <v>2010</v>
      </c>
      <c r="M4" t="s">
        <v>113</v>
      </c>
      <c r="N4" s="58">
        <v>0.14000000000000001</v>
      </c>
    </row>
    <row r="5" spans="1:14" x14ac:dyDescent="0.25">
      <c r="A5" t="s">
        <v>87</v>
      </c>
      <c r="B5">
        <v>2020</v>
      </c>
      <c r="C5" s="14">
        <v>796.2</v>
      </c>
      <c r="D5">
        <v>597</v>
      </c>
      <c r="E5">
        <v>776</v>
      </c>
      <c r="F5">
        <v>587</v>
      </c>
      <c r="G5">
        <v>756</v>
      </c>
      <c r="H5">
        <v>7285</v>
      </c>
      <c r="I5" s="34">
        <v>19</v>
      </c>
      <c r="J5">
        <v>1.06</v>
      </c>
      <c r="K5">
        <v>4298</v>
      </c>
      <c r="L5">
        <v>2011</v>
      </c>
      <c r="M5" t="s">
        <v>111</v>
      </c>
      <c r="N5" s="58">
        <v>0.65</v>
      </c>
    </row>
    <row r="6" spans="1:14" x14ac:dyDescent="0.25">
      <c r="A6" t="s">
        <v>88</v>
      </c>
      <c r="B6">
        <v>2020</v>
      </c>
      <c r="C6" s="14">
        <v>1389.4</v>
      </c>
      <c r="D6">
        <v>833</v>
      </c>
      <c r="E6">
        <v>1124</v>
      </c>
      <c r="F6">
        <v>895</v>
      </c>
      <c r="G6">
        <v>2361</v>
      </c>
      <c r="H6">
        <v>12713</v>
      </c>
      <c r="I6" s="34">
        <v>34</v>
      </c>
      <c r="J6">
        <v>1.08</v>
      </c>
      <c r="K6">
        <v>6610</v>
      </c>
      <c r="L6">
        <v>2011</v>
      </c>
      <c r="M6" t="s">
        <v>112</v>
      </c>
      <c r="N6" s="58">
        <v>0.2</v>
      </c>
    </row>
    <row r="7" spans="1:14" x14ac:dyDescent="0.25">
      <c r="A7" t="s">
        <v>89</v>
      </c>
      <c r="B7">
        <v>2020</v>
      </c>
      <c r="C7" s="14">
        <v>551.20000000000005</v>
      </c>
      <c r="D7">
        <v>413</v>
      </c>
      <c r="E7">
        <v>557</v>
      </c>
      <c r="F7">
        <v>390</v>
      </c>
      <c r="G7">
        <v>937</v>
      </c>
      <c r="H7">
        <v>5043</v>
      </c>
      <c r="I7" s="34">
        <v>13</v>
      </c>
      <c r="J7">
        <v>1.05</v>
      </c>
      <c r="K7">
        <v>2773</v>
      </c>
      <c r="L7">
        <v>2011</v>
      </c>
      <c r="M7" t="s">
        <v>113</v>
      </c>
      <c r="N7" s="58">
        <v>0.15</v>
      </c>
    </row>
    <row r="8" spans="1:14" x14ac:dyDescent="0.25">
      <c r="A8" t="s">
        <v>90</v>
      </c>
      <c r="B8">
        <v>2020</v>
      </c>
      <c r="C8" s="14">
        <v>307.40000000000003</v>
      </c>
      <c r="D8">
        <v>230</v>
      </c>
      <c r="E8">
        <v>310</v>
      </c>
      <c r="F8">
        <v>168</v>
      </c>
      <c r="G8">
        <v>522</v>
      </c>
      <c r="H8">
        <v>2812</v>
      </c>
      <c r="I8" s="34">
        <v>7</v>
      </c>
      <c r="J8">
        <v>1.35</v>
      </c>
      <c r="K8">
        <v>1096</v>
      </c>
      <c r="L8">
        <v>2012</v>
      </c>
      <c r="M8" t="s">
        <v>111</v>
      </c>
      <c r="N8" s="58">
        <v>0.7</v>
      </c>
    </row>
    <row r="9" spans="1:14" x14ac:dyDescent="0.25">
      <c r="A9" t="s">
        <v>91</v>
      </c>
      <c r="B9">
        <v>2020</v>
      </c>
      <c r="C9" s="14">
        <v>743.80000000000007</v>
      </c>
      <c r="D9">
        <v>632</v>
      </c>
      <c r="E9">
        <v>853</v>
      </c>
      <c r="F9">
        <v>657</v>
      </c>
      <c r="G9">
        <v>1264</v>
      </c>
      <c r="H9">
        <v>6805</v>
      </c>
      <c r="I9" s="34">
        <v>18</v>
      </c>
      <c r="J9">
        <v>1.35</v>
      </c>
      <c r="K9">
        <v>3742</v>
      </c>
      <c r="L9">
        <v>2012</v>
      </c>
      <c r="M9" t="s">
        <v>112</v>
      </c>
      <c r="N9" s="58">
        <v>0.15</v>
      </c>
    </row>
    <row r="10" spans="1:14" x14ac:dyDescent="0.25">
      <c r="A10" t="s">
        <v>92</v>
      </c>
      <c r="B10">
        <v>2020</v>
      </c>
      <c r="C10" s="14">
        <v>643.80000000000007</v>
      </c>
      <c r="D10">
        <v>386</v>
      </c>
      <c r="E10">
        <v>521</v>
      </c>
      <c r="F10">
        <v>358</v>
      </c>
      <c r="G10">
        <v>1094</v>
      </c>
      <c r="H10">
        <v>5890</v>
      </c>
      <c r="I10" s="34">
        <v>16</v>
      </c>
      <c r="J10">
        <v>1.36</v>
      </c>
      <c r="K10">
        <v>3239</v>
      </c>
      <c r="L10">
        <v>2012</v>
      </c>
      <c r="M10" t="s">
        <v>113</v>
      </c>
      <c r="N10" s="58">
        <v>0.15</v>
      </c>
    </row>
    <row r="11" spans="1:14" x14ac:dyDescent="0.25">
      <c r="A11" t="s">
        <v>93</v>
      </c>
      <c r="B11">
        <v>2020</v>
      </c>
      <c r="C11" s="14">
        <v>459.8</v>
      </c>
      <c r="D11">
        <v>390</v>
      </c>
      <c r="E11">
        <v>526</v>
      </c>
      <c r="F11">
        <v>357</v>
      </c>
      <c r="G11">
        <v>781</v>
      </c>
      <c r="H11">
        <v>4207</v>
      </c>
      <c r="I11" s="34">
        <v>11</v>
      </c>
      <c r="J11">
        <v>1.39</v>
      </c>
      <c r="K11">
        <v>2313</v>
      </c>
      <c r="L11">
        <v>2013</v>
      </c>
      <c r="M11" t="s">
        <v>111</v>
      </c>
      <c r="N11" s="58">
        <v>0.65</v>
      </c>
    </row>
    <row r="12" spans="1:14" x14ac:dyDescent="0.25">
      <c r="A12" t="s">
        <v>94</v>
      </c>
      <c r="B12">
        <v>2020</v>
      </c>
      <c r="C12" s="14">
        <v>403.40000000000003</v>
      </c>
      <c r="D12">
        <v>242</v>
      </c>
      <c r="E12">
        <v>326</v>
      </c>
      <c r="F12">
        <v>180</v>
      </c>
      <c r="G12">
        <v>685</v>
      </c>
      <c r="H12">
        <v>3691</v>
      </c>
      <c r="I12" s="34">
        <v>10</v>
      </c>
      <c r="J12">
        <v>1.39</v>
      </c>
      <c r="K12">
        <v>2030</v>
      </c>
      <c r="L12">
        <v>2013</v>
      </c>
      <c r="M12" t="s">
        <v>112</v>
      </c>
      <c r="N12" s="58">
        <v>0.18</v>
      </c>
    </row>
    <row r="13" spans="1:14" x14ac:dyDescent="0.25">
      <c r="A13" t="s">
        <v>95</v>
      </c>
      <c r="B13">
        <v>2020</v>
      </c>
      <c r="C13" s="14">
        <v>231.20000000000002</v>
      </c>
      <c r="D13">
        <v>196</v>
      </c>
      <c r="E13">
        <v>264</v>
      </c>
      <c r="F13">
        <v>125</v>
      </c>
      <c r="G13">
        <v>393</v>
      </c>
      <c r="H13">
        <v>2115</v>
      </c>
      <c r="I13" s="34">
        <v>5</v>
      </c>
      <c r="J13">
        <v>2.0299999999999998</v>
      </c>
      <c r="K13">
        <v>1078</v>
      </c>
      <c r="L13">
        <v>2013</v>
      </c>
      <c r="M13" t="s">
        <v>113</v>
      </c>
      <c r="N13" s="58">
        <v>0.17</v>
      </c>
    </row>
    <row r="14" spans="1:14" x14ac:dyDescent="0.25">
      <c r="A14" t="s">
        <v>96</v>
      </c>
      <c r="B14">
        <v>2020</v>
      </c>
      <c r="C14" s="14">
        <v>581.80000000000007</v>
      </c>
      <c r="D14">
        <v>494</v>
      </c>
      <c r="E14">
        <v>666</v>
      </c>
      <c r="F14">
        <v>486</v>
      </c>
      <c r="G14">
        <v>989</v>
      </c>
      <c r="H14">
        <v>5323</v>
      </c>
      <c r="I14" s="34">
        <v>14</v>
      </c>
      <c r="J14">
        <v>2.0299999999999998</v>
      </c>
      <c r="K14">
        <v>3140</v>
      </c>
    </row>
    <row r="15" spans="1:14" x14ac:dyDescent="0.25">
      <c r="A15" t="s">
        <v>97</v>
      </c>
      <c r="B15">
        <v>2020</v>
      </c>
      <c r="C15" s="14">
        <v>191</v>
      </c>
      <c r="D15">
        <v>181</v>
      </c>
      <c r="E15">
        <v>251</v>
      </c>
      <c r="F15">
        <v>790</v>
      </c>
      <c r="G15">
        <v>324</v>
      </c>
      <c r="H15">
        <v>1747</v>
      </c>
      <c r="I15" s="34">
        <v>4</v>
      </c>
      <c r="J15">
        <v>1.54</v>
      </c>
      <c r="K15">
        <v>593</v>
      </c>
    </row>
    <row r="16" spans="1:14" x14ac:dyDescent="0.25">
      <c r="A16" t="s">
        <v>98</v>
      </c>
      <c r="B16">
        <v>2020</v>
      </c>
      <c r="C16" s="14">
        <v>233.20000000000002</v>
      </c>
      <c r="D16">
        <v>139</v>
      </c>
      <c r="E16">
        <v>193</v>
      </c>
      <c r="F16">
        <v>61</v>
      </c>
      <c r="G16">
        <v>699</v>
      </c>
      <c r="H16">
        <v>2133</v>
      </c>
      <c r="I16" s="34">
        <v>5</v>
      </c>
      <c r="J16">
        <v>2.13</v>
      </c>
      <c r="K16">
        <v>1173</v>
      </c>
    </row>
    <row r="17" spans="1:11" x14ac:dyDescent="0.25">
      <c r="A17" t="s">
        <v>99</v>
      </c>
      <c r="B17">
        <v>2020</v>
      </c>
      <c r="C17" s="14">
        <v>199.20000000000002</v>
      </c>
      <c r="D17">
        <v>99</v>
      </c>
      <c r="E17">
        <v>137</v>
      </c>
      <c r="F17">
        <v>10</v>
      </c>
      <c r="G17">
        <v>597</v>
      </c>
      <c r="H17">
        <v>1822</v>
      </c>
      <c r="I17" s="34">
        <v>4</v>
      </c>
      <c r="J17">
        <v>1.2</v>
      </c>
      <c r="K17">
        <v>619</v>
      </c>
    </row>
    <row r="18" spans="1:11" x14ac:dyDescent="0.25">
      <c r="A18" t="s">
        <v>100</v>
      </c>
      <c r="B18">
        <v>2020</v>
      </c>
      <c r="C18" s="14">
        <v>190.60000000000002</v>
      </c>
      <c r="D18">
        <v>181</v>
      </c>
      <c r="E18">
        <v>251</v>
      </c>
      <c r="F18">
        <v>109</v>
      </c>
      <c r="G18">
        <v>571</v>
      </c>
      <c r="H18">
        <v>1743</v>
      </c>
      <c r="I18" s="34">
        <v>4</v>
      </c>
      <c r="J18">
        <v>1.27</v>
      </c>
      <c r="K18">
        <v>958</v>
      </c>
    </row>
    <row r="19" spans="1:11" x14ac:dyDescent="0.25">
      <c r="A19" t="s">
        <v>101</v>
      </c>
      <c r="B19">
        <v>2020</v>
      </c>
      <c r="C19" s="14">
        <v>269.40000000000003</v>
      </c>
      <c r="D19">
        <v>255</v>
      </c>
      <c r="E19">
        <v>354</v>
      </c>
      <c r="F19">
        <v>168</v>
      </c>
      <c r="G19">
        <v>808</v>
      </c>
      <c r="H19">
        <v>2465</v>
      </c>
      <c r="I19" s="34">
        <v>6</v>
      </c>
      <c r="J19">
        <v>1.54</v>
      </c>
      <c r="K19">
        <v>961</v>
      </c>
    </row>
    <row r="20" spans="1:11" x14ac:dyDescent="0.25">
      <c r="A20" t="s">
        <v>102</v>
      </c>
      <c r="B20">
        <v>2020</v>
      </c>
      <c r="C20" s="14">
        <v>336.20000000000005</v>
      </c>
      <c r="D20">
        <v>168</v>
      </c>
      <c r="E20">
        <v>233</v>
      </c>
      <c r="F20">
        <v>59</v>
      </c>
      <c r="G20">
        <v>1008</v>
      </c>
      <c r="H20">
        <v>3076</v>
      </c>
      <c r="I20" s="34">
        <v>8</v>
      </c>
      <c r="J20">
        <v>1.25</v>
      </c>
      <c r="K20">
        <v>1814</v>
      </c>
    </row>
    <row r="21" spans="1:11" x14ac:dyDescent="0.25">
      <c r="A21" t="s">
        <v>103</v>
      </c>
      <c r="B21">
        <v>2020</v>
      </c>
      <c r="C21" s="14">
        <v>134</v>
      </c>
      <c r="D21">
        <v>67</v>
      </c>
      <c r="E21">
        <v>93</v>
      </c>
      <c r="F21">
        <v>49</v>
      </c>
      <c r="G21">
        <v>402</v>
      </c>
      <c r="H21">
        <v>1226</v>
      </c>
      <c r="I21" s="34">
        <v>3</v>
      </c>
      <c r="J21">
        <v>1.28</v>
      </c>
      <c r="K21">
        <v>416</v>
      </c>
    </row>
    <row r="22" spans="1:11" x14ac:dyDescent="0.25">
      <c r="A22" t="s">
        <v>84</v>
      </c>
      <c r="B22">
        <v>2021</v>
      </c>
      <c r="C22" s="14">
        <v>1059</v>
      </c>
      <c r="D22" s="14">
        <v>809</v>
      </c>
      <c r="E22" s="14">
        <v>1022</v>
      </c>
      <c r="F22" s="14">
        <v>849</v>
      </c>
      <c r="G22" s="14">
        <v>996</v>
      </c>
      <c r="H22">
        <v>9689</v>
      </c>
      <c r="I22" s="34">
        <v>26</v>
      </c>
      <c r="J22">
        <v>1.22</v>
      </c>
      <c r="K22">
        <v>5328</v>
      </c>
    </row>
    <row r="23" spans="1:11" x14ac:dyDescent="0.25">
      <c r="A23" t="s">
        <v>85</v>
      </c>
      <c r="B23">
        <v>2021</v>
      </c>
      <c r="C23" s="14">
        <v>763</v>
      </c>
      <c r="D23" s="14">
        <v>467</v>
      </c>
      <c r="E23" s="14">
        <v>589</v>
      </c>
      <c r="F23" s="14">
        <v>442</v>
      </c>
      <c r="G23" s="14">
        <v>717</v>
      </c>
      <c r="H23">
        <v>6981</v>
      </c>
      <c r="I23" s="34">
        <v>19</v>
      </c>
      <c r="J23">
        <v>1.24</v>
      </c>
      <c r="K23">
        <v>3839</v>
      </c>
    </row>
    <row r="24" spans="1:11" x14ac:dyDescent="0.25">
      <c r="A24" t="s">
        <v>86</v>
      </c>
      <c r="B24">
        <v>2021</v>
      </c>
      <c r="C24" s="14">
        <v>691</v>
      </c>
      <c r="D24" s="14">
        <v>352</v>
      </c>
      <c r="E24" s="14">
        <v>444</v>
      </c>
      <c r="F24" s="14">
        <v>304</v>
      </c>
      <c r="G24" s="14">
        <v>649</v>
      </c>
      <c r="H24">
        <v>6322</v>
      </c>
      <c r="I24" s="34">
        <v>17</v>
      </c>
      <c r="J24">
        <v>1.26</v>
      </c>
      <c r="K24">
        <v>2465</v>
      </c>
    </row>
    <row r="25" spans="1:11" x14ac:dyDescent="0.25">
      <c r="A25" t="s">
        <v>87</v>
      </c>
      <c r="B25">
        <v>2021</v>
      </c>
      <c r="C25" s="14">
        <v>816</v>
      </c>
      <c r="D25" s="14">
        <v>623</v>
      </c>
      <c r="E25" s="14">
        <v>787</v>
      </c>
      <c r="F25" s="14">
        <v>631</v>
      </c>
      <c r="G25" s="14">
        <v>767</v>
      </c>
      <c r="H25">
        <v>7466</v>
      </c>
      <c r="I25" s="34">
        <v>20</v>
      </c>
      <c r="J25">
        <v>1.03</v>
      </c>
      <c r="K25">
        <v>4106</v>
      </c>
    </row>
    <row r="26" spans="1:11" x14ac:dyDescent="0.25">
      <c r="A26" t="s">
        <v>88</v>
      </c>
      <c r="B26">
        <v>2021</v>
      </c>
      <c r="C26" s="14">
        <v>1424</v>
      </c>
      <c r="D26" s="14">
        <v>870</v>
      </c>
      <c r="E26" s="14">
        <v>1140</v>
      </c>
      <c r="F26" s="14">
        <v>962</v>
      </c>
      <c r="G26" s="14">
        <v>2396</v>
      </c>
      <c r="H26">
        <v>13029</v>
      </c>
      <c r="I26" s="34">
        <v>35</v>
      </c>
      <c r="J26">
        <v>1.05</v>
      </c>
      <c r="K26">
        <v>4429</v>
      </c>
    </row>
    <row r="27" spans="1:11" x14ac:dyDescent="0.25">
      <c r="A27" t="s">
        <v>89</v>
      </c>
      <c r="B27">
        <v>2021</v>
      </c>
      <c r="C27" s="14">
        <v>564</v>
      </c>
      <c r="D27" s="14">
        <v>431</v>
      </c>
      <c r="E27" s="14">
        <v>565</v>
      </c>
      <c r="F27" s="14">
        <v>419</v>
      </c>
      <c r="G27" s="14">
        <v>951</v>
      </c>
      <c r="H27">
        <v>5160</v>
      </c>
      <c r="I27" s="34">
        <v>14</v>
      </c>
      <c r="J27">
        <v>1.02</v>
      </c>
      <c r="K27">
        <v>3044</v>
      </c>
    </row>
    <row r="28" spans="1:11" x14ac:dyDescent="0.25">
      <c r="A28" t="s">
        <v>90</v>
      </c>
      <c r="B28">
        <v>2021</v>
      </c>
      <c r="C28" s="14">
        <v>315</v>
      </c>
      <c r="D28" s="14">
        <v>240</v>
      </c>
      <c r="E28" s="14">
        <v>314</v>
      </c>
      <c r="F28" s="14">
        <v>180</v>
      </c>
      <c r="G28" s="14">
        <v>529</v>
      </c>
      <c r="H28">
        <v>2882</v>
      </c>
      <c r="I28" s="34">
        <v>7</v>
      </c>
      <c r="J28">
        <v>1.32</v>
      </c>
      <c r="K28">
        <v>1498</v>
      </c>
    </row>
    <row r="29" spans="1:11" x14ac:dyDescent="0.25">
      <c r="A29" t="s">
        <v>91</v>
      </c>
      <c r="B29">
        <v>2021</v>
      </c>
      <c r="C29" s="14">
        <v>762</v>
      </c>
      <c r="D29" s="14">
        <v>660</v>
      </c>
      <c r="E29" s="14">
        <v>865</v>
      </c>
      <c r="F29" s="14">
        <v>706</v>
      </c>
      <c r="G29" s="14">
        <v>1282</v>
      </c>
      <c r="H29">
        <v>6972</v>
      </c>
      <c r="I29" s="34">
        <v>19</v>
      </c>
      <c r="J29">
        <v>1.32</v>
      </c>
      <c r="K29">
        <v>3834</v>
      </c>
    </row>
    <row r="30" spans="1:11" x14ac:dyDescent="0.25">
      <c r="A30" t="s">
        <v>92</v>
      </c>
      <c r="B30">
        <v>2021</v>
      </c>
      <c r="C30" s="14">
        <v>659</v>
      </c>
      <c r="D30" s="14">
        <v>403</v>
      </c>
      <c r="E30" s="14">
        <v>528</v>
      </c>
      <c r="F30" s="14">
        <v>384</v>
      </c>
      <c r="G30" s="14">
        <v>1110</v>
      </c>
      <c r="H30">
        <v>6029</v>
      </c>
      <c r="I30" s="34">
        <v>16</v>
      </c>
      <c r="J30">
        <v>1.33</v>
      </c>
      <c r="K30">
        <v>3315</v>
      </c>
    </row>
    <row r="31" spans="1:11" x14ac:dyDescent="0.25">
      <c r="A31" t="s">
        <v>93</v>
      </c>
      <c r="B31">
        <v>2021</v>
      </c>
      <c r="C31" s="14">
        <v>471</v>
      </c>
      <c r="D31" s="14">
        <v>407</v>
      </c>
      <c r="E31" s="14">
        <v>533</v>
      </c>
      <c r="F31" s="14">
        <v>383</v>
      </c>
      <c r="G31" s="14">
        <v>792</v>
      </c>
      <c r="H31">
        <v>4309</v>
      </c>
      <c r="I31" s="34">
        <v>11</v>
      </c>
      <c r="J31">
        <v>1.3599999999999999</v>
      </c>
      <c r="K31">
        <v>2369</v>
      </c>
    </row>
    <row r="32" spans="1:11" x14ac:dyDescent="0.25">
      <c r="A32" t="s">
        <v>94</v>
      </c>
      <c r="B32">
        <v>2021</v>
      </c>
      <c r="C32" s="14">
        <v>413</v>
      </c>
      <c r="D32" s="14">
        <v>252</v>
      </c>
      <c r="E32" s="14">
        <v>330</v>
      </c>
      <c r="F32" s="14">
        <v>193</v>
      </c>
      <c r="G32" s="14">
        <v>695</v>
      </c>
      <c r="H32">
        <v>3778</v>
      </c>
      <c r="I32" s="34">
        <v>10</v>
      </c>
      <c r="J32">
        <v>1.3599999999999999</v>
      </c>
      <c r="K32">
        <v>2077</v>
      </c>
    </row>
    <row r="33" spans="1:11" x14ac:dyDescent="0.25">
      <c r="A33" t="s">
        <v>95</v>
      </c>
      <c r="B33">
        <v>2021</v>
      </c>
      <c r="C33" s="14">
        <v>236</v>
      </c>
      <c r="D33" s="14">
        <v>204</v>
      </c>
      <c r="E33" s="14">
        <v>267</v>
      </c>
      <c r="F33" s="14">
        <v>134</v>
      </c>
      <c r="G33" s="14">
        <v>398</v>
      </c>
      <c r="H33">
        <v>2159</v>
      </c>
      <c r="I33" s="34">
        <v>5</v>
      </c>
      <c r="J33">
        <v>1.9999999999999998</v>
      </c>
      <c r="K33">
        <v>842</v>
      </c>
    </row>
    <row r="34" spans="1:11" x14ac:dyDescent="0.25">
      <c r="A34" t="s">
        <v>96</v>
      </c>
      <c r="B34">
        <v>2021</v>
      </c>
      <c r="C34" s="14">
        <v>596</v>
      </c>
      <c r="D34" s="14">
        <v>516</v>
      </c>
      <c r="E34" s="14">
        <v>675</v>
      </c>
      <c r="F34" s="14">
        <v>522</v>
      </c>
      <c r="G34" s="14">
        <v>1003</v>
      </c>
      <c r="H34">
        <v>5453</v>
      </c>
      <c r="I34" s="34">
        <v>14</v>
      </c>
      <c r="J34">
        <v>1.9999999999999998</v>
      </c>
      <c r="K34">
        <v>2126</v>
      </c>
    </row>
    <row r="35" spans="1:11" x14ac:dyDescent="0.25">
      <c r="A35" t="s">
        <v>97</v>
      </c>
      <c r="B35">
        <v>2021</v>
      </c>
      <c r="C35" s="14">
        <v>195</v>
      </c>
      <c r="D35" s="14">
        <v>189</v>
      </c>
      <c r="E35" s="14">
        <v>254</v>
      </c>
      <c r="F35" s="14">
        <v>849</v>
      </c>
      <c r="G35" s="14">
        <v>328</v>
      </c>
      <c r="H35">
        <v>1784</v>
      </c>
      <c r="I35" s="34">
        <v>4</v>
      </c>
      <c r="J35">
        <v>1.52</v>
      </c>
      <c r="K35">
        <v>909</v>
      </c>
    </row>
    <row r="36" spans="1:11" x14ac:dyDescent="0.25">
      <c r="A36" t="s">
        <v>98</v>
      </c>
      <c r="B36">
        <v>2021</v>
      </c>
      <c r="C36" s="14">
        <v>239</v>
      </c>
      <c r="D36" s="14">
        <v>145</v>
      </c>
      <c r="E36" s="14">
        <v>195</v>
      </c>
      <c r="F36" s="14">
        <v>65</v>
      </c>
      <c r="G36" s="14">
        <v>709</v>
      </c>
      <c r="H36">
        <v>2186</v>
      </c>
      <c r="I36" s="34">
        <v>5</v>
      </c>
      <c r="J36">
        <v>2.06</v>
      </c>
      <c r="K36">
        <v>1289</v>
      </c>
    </row>
    <row r="37" spans="1:11" x14ac:dyDescent="0.25">
      <c r="A37" t="s">
        <v>99</v>
      </c>
      <c r="B37">
        <v>2021</v>
      </c>
      <c r="C37" s="14">
        <v>204</v>
      </c>
      <c r="D37" s="14">
        <v>103</v>
      </c>
      <c r="E37" s="14">
        <v>139</v>
      </c>
      <c r="F37" s="14">
        <v>10</v>
      </c>
      <c r="G37" s="14">
        <v>605</v>
      </c>
      <c r="H37">
        <v>1866</v>
      </c>
      <c r="I37" s="34">
        <v>5</v>
      </c>
      <c r="J37">
        <v>1.1099999999999999</v>
      </c>
      <c r="K37">
        <v>970</v>
      </c>
    </row>
    <row r="38" spans="1:11" x14ac:dyDescent="0.25">
      <c r="A38" t="s">
        <v>100</v>
      </c>
      <c r="B38">
        <v>2021</v>
      </c>
      <c r="C38" s="14">
        <v>195</v>
      </c>
      <c r="D38" s="14">
        <v>189</v>
      </c>
      <c r="E38" s="14">
        <v>254</v>
      </c>
      <c r="F38" s="14">
        <v>117</v>
      </c>
      <c r="G38" s="14">
        <v>579</v>
      </c>
      <c r="H38">
        <v>1784</v>
      </c>
      <c r="I38" s="34">
        <v>4</v>
      </c>
      <c r="J38">
        <v>1.19</v>
      </c>
      <c r="K38">
        <v>981</v>
      </c>
    </row>
    <row r="39" spans="1:11" x14ac:dyDescent="0.25">
      <c r="A39" t="s">
        <v>101</v>
      </c>
      <c r="B39">
        <v>2021</v>
      </c>
      <c r="C39" s="14">
        <v>276</v>
      </c>
      <c r="D39" s="14">
        <v>266</v>
      </c>
      <c r="E39" s="14">
        <v>359</v>
      </c>
      <c r="F39" s="14">
        <v>180</v>
      </c>
      <c r="G39" s="14">
        <v>820</v>
      </c>
      <c r="H39">
        <v>2525</v>
      </c>
      <c r="I39" s="34">
        <v>6</v>
      </c>
      <c r="J39">
        <v>1.43</v>
      </c>
      <c r="K39">
        <v>1287</v>
      </c>
    </row>
    <row r="40" spans="1:11" x14ac:dyDescent="0.25">
      <c r="A40" t="s">
        <v>102</v>
      </c>
      <c r="B40">
        <v>2021</v>
      </c>
      <c r="C40" s="14">
        <v>344</v>
      </c>
      <c r="D40" s="14">
        <v>175</v>
      </c>
      <c r="E40" s="14">
        <v>236</v>
      </c>
      <c r="F40" s="14">
        <v>63</v>
      </c>
      <c r="G40" s="14">
        <v>1023</v>
      </c>
      <c r="H40">
        <v>3147</v>
      </c>
      <c r="I40" s="34">
        <v>8</v>
      </c>
      <c r="J40">
        <v>1.22</v>
      </c>
      <c r="K40">
        <v>1856</v>
      </c>
    </row>
    <row r="41" spans="1:11" x14ac:dyDescent="0.25">
      <c r="A41" t="s">
        <v>103</v>
      </c>
      <c r="B41">
        <v>2021</v>
      </c>
      <c r="C41" s="14">
        <v>137</v>
      </c>
      <c r="D41" s="14">
        <v>70</v>
      </c>
      <c r="E41" s="14">
        <v>94</v>
      </c>
      <c r="F41" s="14">
        <v>52</v>
      </c>
      <c r="G41" s="14">
        <v>408</v>
      </c>
      <c r="H41">
        <v>1253</v>
      </c>
      <c r="I41" s="34">
        <v>3</v>
      </c>
      <c r="J41">
        <v>1.25</v>
      </c>
      <c r="K41">
        <v>488</v>
      </c>
    </row>
    <row r="42" spans="1:11" x14ac:dyDescent="0.25">
      <c r="A42" t="s">
        <v>84</v>
      </c>
      <c r="B42">
        <v>2022</v>
      </c>
      <c r="C42" s="14">
        <v>1085</v>
      </c>
      <c r="D42" s="14">
        <v>845</v>
      </c>
      <c r="E42" s="14">
        <v>1037</v>
      </c>
      <c r="F42" s="14">
        <v>912</v>
      </c>
      <c r="G42" s="14">
        <v>1010</v>
      </c>
      <c r="H42">
        <v>9927</v>
      </c>
      <c r="I42" s="34">
        <v>27</v>
      </c>
      <c r="J42">
        <v>1.19</v>
      </c>
      <c r="K42">
        <v>5459</v>
      </c>
    </row>
    <row r="43" spans="1:11" x14ac:dyDescent="0.25">
      <c r="A43" t="s">
        <v>85</v>
      </c>
      <c r="B43">
        <v>2022</v>
      </c>
      <c r="C43" s="14">
        <v>782</v>
      </c>
      <c r="D43" s="14">
        <v>488</v>
      </c>
      <c r="E43" s="14">
        <v>597</v>
      </c>
      <c r="F43" s="14">
        <v>475</v>
      </c>
      <c r="G43" s="14">
        <v>727</v>
      </c>
      <c r="H43">
        <v>7155</v>
      </c>
      <c r="I43" s="34">
        <v>19</v>
      </c>
      <c r="J43">
        <v>1.29</v>
      </c>
      <c r="K43">
        <v>3935</v>
      </c>
    </row>
    <row r="44" spans="1:11" x14ac:dyDescent="0.25">
      <c r="A44" t="s">
        <v>86</v>
      </c>
      <c r="B44">
        <v>2022</v>
      </c>
      <c r="C44" s="14">
        <v>708</v>
      </c>
      <c r="D44" s="14">
        <v>367</v>
      </c>
      <c r="E44" s="14">
        <v>450</v>
      </c>
      <c r="F44" s="14">
        <v>326</v>
      </c>
      <c r="G44" s="14">
        <v>658</v>
      </c>
      <c r="H44">
        <v>6478</v>
      </c>
      <c r="I44" s="34">
        <v>17</v>
      </c>
      <c r="J44">
        <v>1.31</v>
      </c>
      <c r="K44">
        <v>2202</v>
      </c>
    </row>
    <row r="45" spans="1:11" x14ac:dyDescent="0.25">
      <c r="A45" t="s">
        <v>87</v>
      </c>
      <c r="B45">
        <v>2022</v>
      </c>
      <c r="C45" s="14">
        <v>836</v>
      </c>
      <c r="D45" s="14">
        <v>651</v>
      </c>
      <c r="E45" s="14">
        <v>798</v>
      </c>
      <c r="F45" s="14">
        <v>678</v>
      </c>
      <c r="G45" s="14">
        <v>778</v>
      </c>
      <c r="H45">
        <v>7649</v>
      </c>
      <c r="I45" s="34">
        <v>20</v>
      </c>
      <c r="J45">
        <v>1.08</v>
      </c>
      <c r="K45">
        <v>4206</v>
      </c>
    </row>
    <row r="46" spans="1:11" x14ac:dyDescent="0.25">
      <c r="A46" t="s">
        <v>88</v>
      </c>
      <c r="B46">
        <v>2022</v>
      </c>
      <c r="C46" s="14">
        <v>1459</v>
      </c>
      <c r="D46" s="14">
        <v>909</v>
      </c>
      <c r="E46" s="14">
        <v>1157</v>
      </c>
      <c r="F46" s="14">
        <v>1034</v>
      </c>
      <c r="G46" s="14">
        <v>2431</v>
      </c>
      <c r="H46">
        <v>13349</v>
      </c>
      <c r="I46" s="34">
        <v>36</v>
      </c>
      <c r="J46">
        <v>1.1000000000000001</v>
      </c>
      <c r="K46">
        <v>7341</v>
      </c>
    </row>
    <row r="47" spans="1:11" x14ac:dyDescent="0.25">
      <c r="A47" t="s">
        <v>89</v>
      </c>
      <c r="B47">
        <v>2022</v>
      </c>
      <c r="C47" s="14">
        <v>578</v>
      </c>
      <c r="D47" s="14">
        <v>450</v>
      </c>
      <c r="E47" s="14">
        <v>573</v>
      </c>
      <c r="F47" s="14">
        <v>450</v>
      </c>
      <c r="G47" s="14">
        <v>965</v>
      </c>
      <c r="H47">
        <v>5288</v>
      </c>
      <c r="I47" s="34">
        <v>14</v>
      </c>
      <c r="J47">
        <v>1.07</v>
      </c>
      <c r="K47">
        <v>1797</v>
      </c>
    </row>
    <row r="48" spans="1:11" x14ac:dyDescent="0.25">
      <c r="A48" t="s">
        <v>90</v>
      </c>
      <c r="B48">
        <v>2022</v>
      </c>
      <c r="C48" s="14">
        <v>322</v>
      </c>
      <c r="D48" s="14">
        <v>250</v>
      </c>
      <c r="E48" s="14">
        <v>318</v>
      </c>
      <c r="F48" s="14">
        <v>193</v>
      </c>
      <c r="G48" s="14">
        <v>536</v>
      </c>
      <c r="H48">
        <v>2946</v>
      </c>
      <c r="I48" s="34">
        <v>8</v>
      </c>
      <c r="J48">
        <v>1.29</v>
      </c>
      <c r="K48">
        <v>1620</v>
      </c>
    </row>
    <row r="49" spans="1:11" x14ac:dyDescent="0.25">
      <c r="A49" t="s">
        <v>91</v>
      </c>
      <c r="B49">
        <v>2022</v>
      </c>
      <c r="C49" s="14">
        <v>781</v>
      </c>
      <c r="D49" s="14">
        <v>689</v>
      </c>
      <c r="E49" s="14">
        <v>877</v>
      </c>
      <c r="F49" s="14">
        <v>758</v>
      </c>
      <c r="G49" s="14">
        <v>1301</v>
      </c>
      <c r="H49">
        <v>7146</v>
      </c>
      <c r="I49" s="34">
        <v>19</v>
      </c>
      <c r="J49">
        <v>1.29</v>
      </c>
      <c r="K49">
        <v>3930</v>
      </c>
    </row>
    <row r="50" spans="1:11" x14ac:dyDescent="0.25">
      <c r="A50" t="s">
        <v>92</v>
      </c>
      <c r="B50">
        <v>2022</v>
      </c>
      <c r="C50" s="14">
        <v>675</v>
      </c>
      <c r="D50" s="14">
        <v>421</v>
      </c>
      <c r="E50" s="14">
        <v>535</v>
      </c>
      <c r="F50" s="14">
        <v>412</v>
      </c>
      <c r="G50" s="14">
        <v>1126</v>
      </c>
      <c r="H50">
        <v>6176</v>
      </c>
      <c r="I50" s="34">
        <v>16</v>
      </c>
      <c r="J50">
        <v>1.24</v>
      </c>
      <c r="K50">
        <v>3396</v>
      </c>
    </row>
    <row r="51" spans="1:11" x14ac:dyDescent="0.25">
      <c r="A51" t="s">
        <v>93</v>
      </c>
      <c r="B51">
        <v>2022</v>
      </c>
      <c r="C51" s="14">
        <v>482</v>
      </c>
      <c r="D51" s="14">
        <v>425</v>
      </c>
      <c r="E51" s="14">
        <v>540</v>
      </c>
      <c r="F51" s="14">
        <v>411</v>
      </c>
      <c r="G51" s="14">
        <v>803</v>
      </c>
      <c r="H51">
        <v>4410</v>
      </c>
      <c r="I51" s="34">
        <v>12</v>
      </c>
      <c r="J51">
        <v>1.2699999999999998</v>
      </c>
      <c r="K51">
        <v>2425</v>
      </c>
    </row>
    <row r="52" spans="1:11" x14ac:dyDescent="0.25">
      <c r="A52" t="s">
        <v>94</v>
      </c>
      <c r="B52">
        <v>2022</v>
      </c>
      <c r="C52" s="14">
        <v>423</v>
      </c>
      <c r="D52" s="14">
        <v>263</v>
      </c>
      <c r="E52" s="14">
        <v>334</v>
      </c>
      <c r="F52" s="14">
        <v>207</v>
      </c>
      <c r="G52" s="14">
        <v>705</v>
      </c>
      <c r="H52">
        <v>3870</v>
      </c>
      <c r="I52" s="34">
        <v>10</v>
      </c>
      <c r="J52">
        <v>1.2699999999999998</v>
      </c>
      <c r="K52">
        <v>1973</v>
      </c>
    </row>
    <row r="53" spans="1:11" x14ac:dyDescent="0.25">
      <c r="A53" t="s">
        <v>95</v>
      </c>
      <c r="B53">
        <v>2022</v>
      </c>
      <c r="C53" s="14">
        <v>241</v>
      </c>
      <c r="D53" s="14">
        <v>213</v>
      </c>
      <c r="E53" s="14">
        <v>271</v>
      </c>
      <c r="F53" s="14">
        <v>144</v>
      </c>
      <c r="G53" s="14">
        <v>403</v>
      </c>
      <c r="H53">
        <v>2205</v>
      </c>
      <c r="I53" s="34">
        <v>6</v>
      </c>
      <c r="J53">
        <v>1.9099999999999997</v>
      </c>
      <c r="K53">
        <v>1300</v>
      </c>
    </row>
    <row r="54" spans="1:11" x14ac:dyDescent="0.25">
      <c r="A54" t="s">
        <v>96</v>
      </c>
      <c r="B54">
        <v>2022</v>
      </c>
      <c r="C54" s="14">
        <v>610</v>
      </c>
      <c r="D54" s="14">
        <v>539</v>
      </c>
      <c r="E54" s="14">
        <v>685</v>
      </c>
      <c r="F54" s="14">
        <v>561</v>
      </c>
      <c r="G54" s="14">
        <v>1018</v>
      </c>
      <c r="H54">
        <v>5581</v>
      </c>
      <c r="I54" s="34">
        <v>15</v>
      </c>
      <c r="J54">
        <v>1.9099999999999997</v>
      </c>
      <c r="K54">
        <v>1897</v>
      </c>
    </row>
    <row r="55" spans="1:11" x14ac:dyDescent="0.25">
      <c r="A55" t="s">
        <v>97</v>
      </c>
      <c r="B55">
        <v>2022</v>
      </c>
      <c r="C55" s="14">
        <v>199</v>
      </c>
      <c r="D55" s="14">
        <v>197</v>
      </c>
      <c r="E55" s="14">
        <v>257</v>
      </c>
      <c r="F55" s="14">
        <v>912</v>
      </c>
      <c r="G55" s="14">
        <v>332</v>
      </c>
      <c r="H55">
        <v>1820</v>
      </c>
      <c r="I55" s="34">
        <v>4</v>
      </c>
      <c r="J55">
        <v>1.43</v>
      </c>
      <c r="K55">
        <v>1001</v>
      </c>
    </row>
    <row r="56" spans="1:11" x14ac:dyDescent="0.25">
      <c r="A56" t="s">
        <v>98</v>
      </c>
      <c r="B56">
        <v>2022</v>
      </c>
      <c r="C56" s="14">
        <v>244</v>
      </c>
      <c r="D56" s="14">
        <v>151</v>
      </c>
      <c r="E56" s="14">
        <v>197</v>
      </c>
      <c r="F56" s="14">
        <v>69</v>
      </c>
      <c r="G56" s="14">
        <v>719</v>
      </c>
      <c r="H56">
        <v>2232</v>
      </c>
      <c r="I56" s="34">
        <v>6</v>
      </c>
      <c r="J56">
        <v>1.97</v>
      </c>
      <c r="K56">
        <v>1227</v>
      </c>
    </row>
    <row r="57" spans="1:11" x14ac:dyDescent="0.25">
      <c r="A57" t="s">
        <v>99</v>
      </c>
      <c r="B57">
        <v>2022</v>
      </c>
      <c r="C57" s="14">
        <v>209</v>
      </c>
      <c r="D57" s="14">
        <v>107</v>
      </c>
      <c r="E57" s="14">
        <v>141</v>
      </c>
      <c r="F57" s="14">
        <v>10</v>
      </c>
      <c r="G57" s="14">
        <v>614</v>
      </c>
      <c r="H57">
        <v>1912</v>
      </c>
      <c r="I57" s="34">
        <v>5</v>
      </c>
      <c r="J57">
        <v>1.0799999999999998</v>
      </c>
      <c r="K57">
        <v>975</v>
      </c>
    </row>
    <row r="58" spans="1:11" x14ac:dyDescent="0.25">
      <c r="A58" t="s">
        <v>100</v>
      </c>
      <c r="B58">
        <v>2022</v>
      </c>
      <c r="C58" s="14">
        <v>199</v>
      </c>
      <c r="D58" s="14">
        <v>197</v>
      </c>
      <c r="E58" s="14">
        <v>257</v>
      </c>
      <c r="F58" s="14">
        <v>125</v>
      </c>
      <c r="G58" s="14">
        <v>587</v>
      </c>
      <c r="H58">
        <v>1820</v>
      </c>
      <c r="I58" s="34">
        <v>4</v>
      </c>
      <c r="J58">
        <v>1.1599999999999999</v>
      </c>
      <c r="K58">
        <v>782</v>
      </c>
    </row>
    <row r="59" spans="1:11" x14ac:dyDescent="0.25">
      <c r="A59" t="s">
        <v>101</v>
      </c>
      <c r="B59">
        <v>2022</v>
      </c>
      <c r="C59" s="14">
        <v>282</v>
      </c>
      <c r="D59" s="14">
        <v>277</v>
      </c>
      <c r="E59" s="14">
        <v>364</v>
      </c>
      <c r="F59" s="14">
        <v>193</v>
      </c>
      <c r="G59" s="14">
        <v>832</v>
      </c>
      <c r="H59">
        <v>2580</v>
      </c>
      <c r="I59" s="34">
        <v>7</v>
      </c>
      <c r="J59">
        <v>1.41</v>
      </c>
      <c r="K59">
        <v>1341</v>
      </c>
    </row>
    <row r="60" spans="1:11" x14ac:dyDescent="0.25">
      <c r="A60" t="s">
        <v>102</v>
      </c>
      <c r="B60">
        <v>2022</v>
      </c>
      <c r="C60" s="14">
        <v>352</v>
      </c>
      <c r="D60" s="14">
        <v>182</v>
      </c>
      <c r="E60" s="14">
        <v>239</v>
      </c>
      <c r="F60" s="14">
        <v>67</v>
      </c>
      <c r="G60" s="14">
        <v>1038</v>
      </c>
      <c r="H60">
        <v>3220</v>
      </c>
      <c r="I60" s="34">
        <v>8</v>
      </c>
      <c r="J60">
        <v>1.1499999999999999</v>
      </c>
      <c r="K60">
        <v>1771</v>
      </c>
    </row>
    <row r="61" spans="1:11" x14ac:dyDescent="0.25">
      <c r="A61" t="s">
        <v>103</v>
      </c>
      <c r="B61">
        <v>2022</v>
      </c>
      <c r="C61" s="14">
        <v>140</v>
      </c>
      <c r="D61" s="14">
        <v>73</v>
      </c>
      <c r="E61" s="14">
        <v>95</v>
      </c>
      <c r="F61" s="14">
        <v>55</v>
      </c>
      <c r="G61" s="14">
        <v>414</v>
      </c>
      <c r="H61">
        <v>1281</v>
      </c>
      <c r="I61" s="34">
        <v>3</v>
      </c>
      <c r="J61">
        <v>1.1599999999999999</v>
      </c>
      <c r="K61">
        <v>704</v>
      </c>
    </row>
    <row r="62" spans="1:11" x14ac:dyDescent="0.25">
      <c r="A62" t="s">
        <v>84</v>
      </c>
      <c r="B62">
        <v>2023</v>
      </c>
      <c r="C62" s="14">
        <v>855</v>
      </c>
      <c r="D62" s="14">
        <v>883</v>
      </c>
      <c r="E62" s="14">
        <v>1052</v>
      </c>
      <c r="F62" s="14">
        <v>980</v>
      </c>
      <c r="G62" s="14">
        <v>1025</v>
      </c>
      <c r="H62">
        <v>10174</v>
      </c>
      <c r="I62" s="34">
        <v>27</v>
      </c>
      <c r="J62">
        <v>1.1099999999999999</v>
      </c>
      <c r="K62">
        <v>5595</v>
      </c>
    </row>
    <row r="63" spans="1:11" x14ac:dyDescent="0.25">
      <c r="A63" t="s">
        <v>85</v>
      </c>
      <c r="B63">
        <v>2023</v>
      </c>
      <c r="C63" s="14">
        <v>801</v>
      </c>
      <c r="D63" s="14">
        <v>509</v>
      </c>
      <c r="E63" s="14">
        <v>605</v>
      </c>
      <c r="F63" s="14">
        <v>510</v>
      </c>
      <c r="G63" s="14">
        <v>737</v>
      </c>
      <c r="H63">
        <v>7329</v>
      </c>
      <c r="I63" s="34">
        <v>20</v>
      </c>
      <c r="J63">
        <v>1.18</v>
      </c>
      <c r="K63">
        <v>3737</v>
      </c>
    </row>
    <row r="64" spans="1:11" x14ac:dyDescent="0.25">
      <c r="A64" t="s">
        <v>86</v>
      </c>
      <c r="B64">
        <v>2023</v>
      </c>
      <c r="C64" s="14">
        <v>725</v>
      </c>
      <c r="D64" s="14">
        <v>383</v>
      </c>
      <c r="E64" s="14">
        <v>456</v>
      </c>
      <c r="F64" s="14">
        <v>350</v>
      </c>
      <c r="G64" s="14">
        <v>667</v>
      </c>
      <c r="H64">
        <v>6633</v>
      </c>
      <c r="I64" s="34">
        <v>18</v>
      </c>
      <c r="J64">
        <v>1.34</v>
      </c>
      <c r="K64">
        <v>2852</v>
      </c>
    </row>
    <row r="65" spans="1:11" x14ac:dyDescent="0.25">
      <c r="A65" t="s">
        <v>87</v>
      </c>
      <c r="B65">
        <v>2023</v>
      </c>
      <c r="C65" s="14">
        <v>856</v>
      </c>
      <c r="D65" s="14">
        <v>680</v>
      </c>
      <c r="E65" s="14">
        <v>809</v>
      </c>
      <c r="F65" s="14">
        <v>728</v>
      </c>
      <c r="G65" s="14">
        <v>789</v>
      </c>
      <c r="H65">
        <v>7832</v>
      </c>
      <c r="I65" s="34">
        <v>21</v>
      </c>
      <c r="J65">
        <v>1.03</v>
      </c>
      <c r="K65">
        <v>3367</v>
      </c>
    </row>
    <row r="66" spans="1:11" x14ac:dyDescent="0.25">
      <c r="A66" t="s">
        <v>88</v>
      </c>
      <c r="B66">
        <v>2023</v>
      </c>
      <c r="C66" s="14">
        <v>1495</v>
      </c>
      <c r="D66" s="14">
        <v>949</v>
      </c>
      <c r="E66" s="14">
        <v>1174</v>
      </c>
      <c r="F66" s="14">
        <v>1111</v>
      </c>
      <c r="G66" s="14">
        <v>2467</v>
      </c>
      <c r="H66">
        <v>13679</v>
      </c>
      <c r="I66" s="34">
        <v>37</v>
      </c>
      <c r="J66">
        <v>1.05</v>
      </c>
      <c r="K66">
        <v>7523</v>
      </c>
    </row>
    <row r="67" spans="1:11" x14ac:dyDescent="0.25">
      <c r="A67" t="s">
        <v>89</v>
      </c>
      <c r="B67">
        <v>2023</v>
      </c>
      <c r="C67" s="14">
        <v>592</v>
      </c>
      <c r="D67" s="14">
        <v>470</v>
      </c>
      <c r="E67" s="14">
        <v>581</v>
      </c>
      <c r="F67" s="14">
        <v>483</v>
      </c>
      <c r="G67" s="14">
        <v>979</v>
      </c>
      <c r="H67">
        <v>5416</v>
      </c>
      <c r="I67" s="34">
        <v>14</v>
      </c>
      <c r="J67">
        <v>1.04</v>
      </c>
      <c r="K67">
        <v>2978</v>
      </c>
    </row>
    <row r="68" spans="1:11" x14ac:dyDescent="0.25">
      <c r="A68" t="s">
        <v>90</v>
      </c>
      <c r="B68">
        <v>2023</v>
      </c>
      <c r="C68" s="14">
        <v>330</v>
      </c>
      <c r="D68" s="14">
        <v>261</v>
      </c>
      <c r="E68" s="14">
        <v>322</v>
      </c>
      <c r="F68" s="14">
        <v>207</v>
      </c>
      <c r="G68" s="14">
        <v>544</v>
      </c>
      <c r="H68">
        <v>3019</v>
      </c>
      <c r="I68" s="34">
        <v>8</v>
      </c>
      <c r="J68">
        <v>1.26</v>
      </c>
      <c r="K68">
        <v>1660</v>
      </c>
    </row>
    <row r="69" spans="1:11" x14ac:dyDescent="0.25">
      <c r="A69" t="s">
        <v>91</v>
      </c>
      <c r="B69">
        <v>2023</v>
      </c>
      <c r="C69" s="14">
        <v>800</v>
      </c>
      <c r="D69" s="14">
        <v>720</v>
      </c>
      <c r="E69" s="14">
        <v>890</v>
      </c>
      <c r="F69" s="14">
        <v>814</v>
      </c>
      <c r="G69" s="14">
        <v>1320</v>
      </c>
      <c r="H69">
        <v>7320</v>
      </c>
      <c r="I69" s="34">
        <v>20</v>
      </c>
      <c r="J69">
        <v>1.27</v>
      </c>
      <c r="K69">
        <v>4026</v>
      </c>
    </row>
    <row r="70" spans="1:11" x14ac:dyDescent="0.25">
      <c r="A70" t="s">
        <v>92</v>
      </c>
      <c r="B70">
        <v>2023</v>
      </c>
      <c r="C70" s="14">
        <v>691</v>
      </c>
      <c r="D70" s="14">
        <v>439</v>
      </c>
      <c r="E70" s="14">
        <v>543</v>
      </c>
      <c r="F70" s="14">
        <v>442</v>
      </c>
      <c r="G70" s="14">
        <v>1142</v>
      </c>
      <c r="H70">
        <v>6322</v>
      </c>
      <c r="I70" s="34">
        <v>17</v>
      </c>
      <c r="J70">
        <v>1.17</v>
      </c>
      <c r="K70">
        <v>3477</v>
      </c>
    </row>
    <row r="71" spans="1:11" x14ac:dyDescent="0.25">
      <c r="A71" t="s">
        <v>93</v>
      </c>
      <c r="B71">
        <v>2023</v>
      </c>
      <c r="C71" s="14">
        <v>390.83</v>
      </c>
      <c r="D71" s="14">
        <v>331.5</v>
      </c>
      <c r="E71" s="14">
        <v>447.09999999999997</v>
      </c>
      <c r="F71" s="14">
        <v>303.45</v>
      </c>
      <c r="G71" s="14">
        <v>663.85</v>
      </c>
      <c r="H71" s="14">
        <v>3575.95</v>
      </c>
      <c r="I71" s="34">
        <v>12</v>
      </c>
      <c r="J71">
        <v>1.1799999999999997</v>
      </c>
      <c r="K71">
        <v>2486</v>
      </c>
    </row>
    <row r="72" spans="1:11" x14ac:dyDescent="0.25">
      <c r="A72" t="s">
        <v>94</v>
      </c>
      <c r="B72">
        <v>2023</v>
      </c>
      <c r="C72" s="14">
        <v>342.89000000000004</v>
      </c>
      <c r="D72" s="14">
        <v>205.7</v>
      </c>
      <c r="E72" s="14">
        <v>277.09999999999997</v>
      </c>
      <c r="F72" s="14">
        <v>153</v>
      </c>
      <c r="G72" s="14">
        <v>582.25</v>
      </c>
      <c r="H72" s="14">
        <v>3137.35</v>
      </c>
      <c r="I72" s="34">
        <v>10</v>
      </c>
      <c r="J72">
        <v>1.1899999999999997</v>
      </c>
      <c r="K72">
        <v>2178</v>
      </c>
    </row>
    <row r="73" spans="1:11" x14ac:dyDescent="0.25">
      <c r="A73" t="s">
        <v>95</v>
      </c>
      <c r="B73">
        <v>2023</v>
      </c>
      <c r="C73" s="14">
        <v>196.52</v>
      </c>
      <c r="D73" s="14">
        <v>166.6</v>
      </c>
      <c r="E73" s="14">
        <v>224.4</v>
      </c>
      <c r="F73" s="14">
        <v>106.25</v>
      </c>
      <c r="G73" s="14">
        <v>334.05</v>
      </c>
      <c r="H73" s="14">
        <v>1797.75</v>
      </c>
      <c r="I73" s="34">
        <v>6</v>
      </c>
      <c r="J73">
        <v>1.7999999999999996</v>
      </c>
      <c r="K73">
        <v>971</v>
      </c>
    </row>
    <row r="74" spans="1:11" x14ac:dyDescent="0.25">
      <c r="A74" t="s">
        <v>96</v>
      </c>
      <c r="B74">
        <v>2023</v>
      </c>
      <c r="C74" s="14">
        <v>494.53000000000003</v>
      </c>
      <c r="D74" s="14">
        <v>419.9</v>
      </c>
      <c r="E74" s="14">
        <v>566.1</v>
      </c>
      <c r="F74" s="14">
        <v>413.09999999999997</v>
      </c>
      <c r="G74" s="14">
        <v>840.65</v>
      </c>
      <c r="H74" s="14">
        <v>4524.55</v>
      </c>
      <c r="I74" s="34">
        <v>15</v>
      </c>
      <c r="J74">
        <v>1.8199999999999996</v>
      </c>
      <c r="K74">
        <v>3373</v>
      </c>
    </row>
    <row r="75" spans="1:11" x14ac:dyDescent="0.25">
      <c r="A75" t="s">
        <v>97</v>
      </c>
      <c r="B75">
        <v>2023</v>
      </c>
      <c r="C75" s="14">
        <v>187.18</v>
      </c>
      <c r="D75" s="14">
        <v>177.38</v>
      </c>
      <c r="E75" s="14">
        <v>245.98</v>
      </c>
      <c r="F75" s="14">
        <v>774.19999999999993</v>
      </c>
      <c r="G75" s="14">
        <v>317.52</v>
      </c>
      <c r="H75" s="14">
        <v>1712.06</v>
      </c>
      <c r="I75" s="34">
        <v>5</v>
      </c>
      <c r="J75">
        <v>1.3399999999999999</v>
      </c>
      <c r="K75">
        <v>965</v>
      </c>
    </row>
    <row r="76" spans="1:11" x14ac:dyDescent="0.25">
      <c r="A76" t="s">
        <v>98</v>
      </c>
      <c r="B76">
        <v>2023</v>
      </c>
      <c r="C76" s="14">
        <v>228.536</v>
      </c>
      <c r="D76" s="14">
        <v>136.22</v>
      </c>
      <c r="E76" s="14">
        <v>189.14</v>
      </c>
      <c r="F76" s="14">
        <v>59.78</v>
      </c>
      <c r="G76" s="14">
        <v>685.02</v>
      </c>
      <c r="H76" s="14">
        <v>2090.34</v>
      </c>
      <c r="I76" s="34">
        <v>6</v>
      </c>
      <c r="J76">
        <v>1.88</v>
      </c>
      <c r="K76">
        <v>1257</v>
      </c>
    </row>
    <row r="77" spans="1:11" x14ac:dyDescent="0.25">
      <c r="A77" t="s">
        <v>99</v>
      </c>
      <c r="B77">
        <v>2023</v>
      </c>
      <c r="C77" s="14">
        <v>195.21600000000001</v>
      </c>
      <c r="D77" s="14">
        <v>97.02</v>
      </c>
      <c r="E77" s="14">
        <v>134.26</v>
      </c>
      <c r="F77" s="14">
        <v>9.8000000000000007</v>
      </c>
      <c r="G77" s="14">
        <v>585.05999999999995</v>
      </c>
      <c r="H77" s="14">
        <v>1785.56</v>
      </c>
      <c r="I77" s="34">
        <v>5</v>
      </c>
      <c r="J77">
        <v>0.98999999999999988</v>
      </c>
      <c r="K77">
        <v>1076</v>
      </c>
    </row>
    <row r="78" spans="1:11" x14ac:dyDescent="0.25">
      <c r="A78" t="s">
        <v>100</v>
      </c>
      <c r="B78">
        <v>2023</v>
      </c>
      <c r="C78" s="14">
        <v>186.78800000000001</v>
      </c>
      <c r="D78" s="14">
        <v>177.38</v>
      </c>
      <c r="E78" s="14">
        <v>245.98</v>
      </c>
      <c r="F78" s="14">
        <v>106.82</v>
      </c>
      <c r="G78" s="14">
        <v>559.58000000000004</v>
      </c>
      <c r="H78" s="14">
        <v>1708.1399999999999</v>
      </c>
      <c r="I78" s="34">
        <v>5</v>
      </c>
      <c r="J78">
        <v>1.0699999999999998</v>
      </c>
      <c r="K78">
        <v>798</v>
      </c>
    </row>
    <row r="79" spans="1:11" x14ac:dyDescent="0.25">
      <c r="A79" t="s">
        <v>101</v>
      </c>
      <c r="B79">
        <v>2023</v>
      </c>
      <c r="C79" s="14">
        <v>264.012</v>
      </c>
      <c r="D79" s="14">
        <v>249.9</v>
      </c>
      <c r="E79" s="14">
        <v>346.92</v>
      </c>
      <c r="F79" s="14">
        <v>164.64</v>
      </c>
      <c r="G79" s="14">
        <v>791.84</v>
      </c>
      <c r="H79" s="14">
        <v>2415.6999999999998</v>
      </c>
      <c r="I79" s="34">
        <v>7</v>
      </c>
      <c r="J79">
        <v>1.3199999999999998</v>
      </c>
      <c r="K79">
        <v>1559</v>
      </c>
    </row>
    <row r="80" spans="1:11" x14ac:dyDescent="0.25">
      <c r="A80" t="s">
        <v>102</v>
      </c>
      <c r="B80">
        <v>2023</v>
      </c>
      <c r="C80" s="14">
        <v>329.47600000000006</v>
      </c>
      <c r="D80" s="14">
        <v>164.64</v>
      </c>
      <c r="E80" s="14">
        <v>228.34</v>
      </c>
      <c r="F80" s="14">
        <v>57.82</v>
      </c>
      <c r="G80" s="14">
        <v>987.84</v>
      </c>
      <c r="H80" s="14">
        <v>3014.48</v>
      </c>
      <c r="I80" s="34">
        <v>9</v>
      </c>
      <c r="J80">
        <v>1.0599999999999998</v>
      </c>
      <c r="K80">
        <v>1712</v>
      </c>
    </row>
    <row r="81" spans="1:11" x14ac:dyDescent="0.25">
      <c r="A81" t="s">
        <v>103</v>
      </c>
      <c r="B81">
        <v>2023</v>
      </c>
      <c r="C81" s="14">
        <v>131.32</v>
      </c>
      <c r="D81" s="14">
        <v>65.66</v>
      </c>
      <c r="E81" s="14">
        <v>91.14</v>
      </c>
      <c r="F81" s="14">
        <v>48.019999999999996</v>
      </c>
      <c r="G81" s="14">
        <v>393.96</v>
      </c>
      <c r="H81" s="14">
        <v>1201.48</v>
      </c>
      <c r="I81" s="34">
        <v>3</v>
      </c>
      <c r="J81">
        <v>1.21</v>
      </c>
      <c r="K81">
        <v>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6" tint="0.79998168889431442"/>
  </sheetPr>
  <dimension ref="A1:S53"/>
  <sheetViews>
    <sheetView workbookViewId="0">
      <pane ySplit="1" topLeftCell="A2" activePane="bottomLeft" state="frozen"/>
      <selection activeCell="H52" sqref="H52:K52"/>
      <selection pane="bottomLeft" activeCell="G7" sqref="G7"/>
    </sheetView>
  </sheetViews>
  <sheetFormatPr defaultRowHeight="15" x14ac:dyDescent="0.25"/>
  <cols>
    <col min="2" max="2" width="15.28515625" bestFit="1" customWidth="1"/>
    <col min="3" max="3" width="14.28515625" bestFit="1" customWidth="1"/>
    <col min="4" max="4" width="18.140625" customWidth="1"/>
    <col min="5" max="5" width="17.42578125" bestFit="1" customWidth="1"/>
    <col min="6" max="7" width="17.42578125" customWidth="1"/>
    <col min="8" max="8" width="17.42578125" bestFit="1" customWidth="1"/>
    <col min="9" max="11" width="17.42578125" customWidth="1"/>
    <col min="12" max="12" width="15" hidden="1" customWidth="1"/>
    <col min="13" max="13" width="18.140625" hidden="1" customWidth="1"/>
    <col min="14" max="14" width="10.42578125" hidden="1" customWidth="1"/>
    <col min="15" max="15" width="12.42578125" customWidth="1"/>
    <col min="18" max="18" width="15.140625" customWidth="1"/>
  </cols>
  <sheetData>
    <row r="1" spans="1:19" ht="30.75" customHeight="1" x14ac:dyDescent="0.25">
      <c r="B1" t="s">
        <v>0</v>
      </c>
      <c r="C1" t="s">
        <v>55</v>
      </c>
      <c r="D1" s="30" t="s">
        <v>121</v>
      </c>
      <c r="E1" s="37" t="s">
        <v>122</v>
      </c>
      <c r="F1" s="37" t="s">
        <v>123</v>
      </c>
      <c r="G1" s="37" t="s">
        <v>124</v>
      </c>
      <c r="H1" s="15" t="s">
        <v>117</v>
      </c>
      <c r="I1" s="15" t="s">
        <v>118</v>
      </c>
      <c r="J1" s="15" t="s">
        <v>119</v>
      </c>
      <c r="K1" s="15" t="s">
        <v>120</v>
      </c>
      <c r="L1" s="38" t="s">
        <v>67</v>
      </c>
      <c r="M1" s="39" t="s">
        <v>64</v>
      </c>
      <c r="N1" t="s">
        <v>54</v>
      </c>
      <c r="O1" s="55" t="s">
        <v>68</v>
      </c>
      <c r="P1" s="55" t="s">
        <v>52</v>
      </c>
      <c r="Q1" s="55" t="s">
        <v>51</v>
      </c>
      <c r="R1" s="55" t="s">
        <v>69</v>
      </c>
    </row>
    <row r="2" spans="1:19" x14ac:dyDescent="0.25">
      <c r="A2">
        <v>1</v>
      </c>
      <c r="B2" s="13" t="s">
        <v>5</v>
      </c>
      <c r="C2" s="13" t="s">
        <v>59</v>
      </c>
      <c r="D2" s="14">
        <v>1787984.7286865602</v>
      </c>
      <c r="E2" s="11">
        <v>2340508.5920000002</v>
      </c>
      <c r="F2" s="11">
        <v>2410723.8497600006</v>
      </c>
      <c r="G2" s="11">
        <v>2483045.5652528009</v>
      </c>
      <c r="H2" s="10">
        <v>1089787.0131937501</v>
      </c>
      <c r="I2" s="11">
        <v>1122480.6235895625</v>
      </c>
      <c r="J2" s="11">
        <v>1156155.0422972494</v>
      </c>
      <c r="K2" s="11">
        <v>1167716.592720222</v>
      </c>
      <c r="L2" s="9">
        <v>8.6999999999999994E-2</v>
      </c>
      <c r="M2" s="12">
        <v>244.2</v>
      </c>
      <c r="N2" s="13">
        <v>0.1191</v>
      </c>
      <c r="O2" s="7">
        <f t="shared" ref="O2:O33" si="0">SUMPRODUCT((C$2:C$601=$C2)*(M$2:M$601&gt;M2))+1</f>
        <v>1</v>
      </c>
      <c r="P2" s="7">
        <f>SUMPRODUCT(($C$2:$C$601=$C2)*(G$2:G$601&gt;G2))+1</f>
        <v>1</v>
      </c>
      <c r="Q2" s="7">
        <f>SUMPRODUCT(($C$2:$C$601=$C2)*(K$2:K$601&gt;K2))+1</f>
        <v>1</v>
      </c>
      <c r="R2" s="8">
        <f>COUNTIFS($C:$C,$C2,$L:$L,"&gt;"&amp;$L2)+COUNTIFS($C$2:$C2,$C2,$L$2:$L2,$L2)</f>
        <v>2</v>
      </c>
      <c r="S2" s="7"/>
    </row>
    <row r="3" spans="1:19" x14ac:dyDescent="0.25">
      <c r="A3">
        <v>2</v>
      </c>
      <c r="B3" s="13" t="s">
        <v>50</v>
      </c>
      <c r="C3" s="13" t="s">
        <v>58</v>
      </c>
      <c r="D3" s="14">
        <v>1676519.8460053997</v>
      </c>
      <c r="E3" s="11">
        <v>2194598.7799999998</v>
      </c>
      <c r="F3" s="11">
        <f t="shared" ref="F3:F8" si="1">E3*0.95</f>
        <v>2084868.8409999998</v>
      </c>
      <c r="G3" s="11">
        <f>F3*1.03</f>
        <v>2147414.9062299998</v>
      </c>
      <c r="H3" s="10">
        <v>1174893.0068399999</v>
      </c>
      <c r="I3" s="11">
        <f t="shared" ref="I3:I8" si="2">H3*0.95</f>
        <v>1116148.356498</v>
      </c>
      <c r="J3" s="11">
        <f>I3*1.03</f>
        <v>1149632.80719294</v>
      </c>
      <c r="K3" s="11">
        <f>J3*1.01</f>
        <v>1161129.1352648695</v>
      </c>
      <c r="L3" s="9">
        <v>6.2E-2</v>
      </c>
      <c r="M3" s="12">
        <v>98.07</v>
      </c>
      <c r="N3" s="13">
        <v>8.0399999999999999E-2</v>
      </c>
      <c r="O3" s="7">
        <f t="shared" si="0"/>
        <v>9</v>
      </c>
      <c r="P3" s="7">
        <f t="shared" ref="P3:P51" si="3">SUMPRODUCT(($C$2:$C$601=$C3)*(G$2:G$601&gt;G3))+1</f>
        <v>1</v>
      </c>
      <c r="Q3" s="7">
        <f t="shared" ref="Q3:Q51" si="4">SUMPRODUCT(($C$2:$C$601=$C3)*(K$2:K$601&gt;K3))+1</f>
        <v>1</v>
      </c>
      <c r="R3" s="8">
        <f>COUNTIFS($C:$C,$C3,$L:$L,"&gt;"&amp;$L3)+COUNTIFS($C$2:$C3,$C3,$L$2:$L3,$L3)</f>
        <v>11</v>
      </c>
      <c r="S3" s="7"/>
    </row>
    <row r="4" spans="1:19" x14ac:dyDescent="0.25">
      <c r="A4">
        <v>3</v>
      </c>
      <c r="B4" s="13" t="s">
        <v>49</v>
      </c>
      <c r="C4" s="13" t="s">
        <v>57</v>
      </c>
      <c r="D4" s="14">
        <v>1536782.3509922</v>
      </c>
      <c r="E4" s="11">
        <v>2011679.54</v>
      </c>
      <c r="F4" s="11">
        <f t="shared" si="1"/>
        <v>1911095.5629999998</v>
      </c>
      <c r="G4" s="11">
        <f>F4*1.07</f>
        <v>2044872.25241</v>
      </c>
      <c r="H4" s="10">
        <v>904550.71048999997</v>
      </c>
      <c r="I4" s="11">
        <f t="shared" si="2"/>
        <v>859323.1749654999</v>
      </c>
      <c r="J4" s="11">
        <f>I4*1.07</f>
        <v>919475.797213085</v>
      </c>
      <c r="K4" s="11">
        <f>J4*1.01</f>
        <v>928670.5551852159</v>
      </c>
      <c r="L4" s="9">
        <v>7.6999999999999999E-2</v>
      </c>
      <c r="M4" s="12">
        <v>415.3</v>
      </c>
      <c r="N4" s="13">
        <v>6.1899999999999997E-2</v>
      </c>
      <c r="O4" s="7">
        <f t="shared" si="0"/>
        <v>5</v>
      </c>
      <c r="P4" s="7">
        <f t="shared" si="3"/>
        <v>1</v>
      </c>
      <c r="Q4" s="7">
        <f t="shared" si="4"/>
        <v>1</v>
      </c>
      <c r="R4" s="8">
        <f>COUNTIFS($C:$C,$C4,$L:$L,"&gt;"&amp;$L4)+COUNTIFS($C$2:$C4,$C4,$L$2:$L4,$L4)</f>
        <v>4</v>
      </c>
      <c r="S4" s="7"/>
    </row>
    <row r="5" spans="1:19" x14ac:dyDescent="0.25">
      <c r="A5">
        <v>4</v>
      </c>
      <c r="B5" s="13" t="s">
        <v>48</v>
      </c>
      <c r="C5" s="13" t="s">
        <v>58</v>
      </c>
      <c r="D5" s="14">
        <v>933901.63665550016</v>
      </c>
      <c r="E5" s="11">
        <v>1222496.3500000001</v>
      </c>
      <c r="F5" s="11">
        <f t="shared" si="1"/>
        <v>1161371.5325</v>
      </c>
      <c r="G5" s="11">
        <f>F5*1.07</f>
        <v>1242667.539775</v>
      </c>
      <c r="H5" s="10">
        <v>878247.13570999994</v>
      </c>
      <c r="I5" s="11">
        <f t="shared" si="2"/>
        <v>834334.77892449987</v>
      </c>
      <c r="J5" s="11">
        <f>I5*1.07</f>
        <v>892738.21344921493</v>
      </c>
      <c r="K5" s="11">
        <f>J5*1.01</f>
        <v>901665.59558370709</v>
      </c>
      <c r="L5" s="9">
        <v>6.7000000000000004E-2</v>
      </c>
      <c r="M5" s="12">
        <v>360.2</v>
      </c>
      <c r="N5" s="13">
        <v>6.0100000000000001E-2</v>
      </c>
      <c r="O5" s="7">
        <f t="shared" si="0"/>
        <v>1</v>
      </c>
      <c r="P5" s="7">
        <f t="shared" si="3"/>
        <v>2</v>
      </c>
      <c r="Q5" s="7">
        <f t="shared" si="4"/>
        <v>2</v>
      </c>
      <c r="R5" s="8">
        <f>COUNTIFS($C:$C,$C5,$L:$L,"&gt;"&amp;$L5)+COUNTIFS($C$2:$C5,$C5,$L$2:$L5,$L5)</f>
        <v>8</v>
      </c>
      <c r="S5" s="7"/>
    </row>
    <row r="6" spans="1:19" x14ac:dyDescent="0.25">
      <c r="A6">
        <v>5</v>
      </c>
      <c r="B6" t="s">
        <v>4</v>
      </c>
      <c r="C6" s="13" t="s">
        <v>56</v>
      </c>
      <c r="D6" s="14">
        <v>950567.47242110013</v>
      </c>
      <c r="E6" s="11">
        <v>1244312.27</v>
      </c>
      <c r="F6" s="11">
        <f t="shared" si="1"/>
        <v>1182096.6565</v>
      </c>
      <c r="G6" s="11">
        <f>F6*1.07</f>
        <v>1264843.4224550002</v>
      </c>
      <c r="H6" s="10">
        <v>599136.98109999998</v>
      </c>
      <c r="I6" s="11">
        <f t="shared" si="2"/>
        <v>569180.13204499998</v>
      </c>
      <c r="J6" s="11">
        <f>I6*1.07</f>
        <v>609022.74128814996</v>
      </c>
      <c r="K6" s="11">
        <f>J6*1.095</f>
        <v>666879.90171052422</v>
      </c>
      <c r="L6" s="9">
        <v>8.900000000000001E-2</v>
      </c>
      <c r="M6" s="12">
        <v>231.9</v>
      </c>
      <c r="N6" s="13">
        <v>4.1000000000000002E-2</v>
      </c>
      <c r="O6" s="7">
        <f t="shared" si="0"/>
        <v>2</v>
      </c>
      <c r="P6" s="7">
        <f t="shared" si="3"/>
        <v>1</v>
      </c>
      <c r="Q6" s="7">
        <f t="shared" si="4"/>
        <v>1</v>
      </c>
      <c r="R6" s="8">
        <f>COUNTIFS($C:$C,$C6,$L:$L,"&gt;"&amp;$L6)+COUNTIFS($C$2:$C6,$C6,$L$2:$L6,$L6)</f>
        <v>2</v>
      </c>
      <c r="S6" s="7"/>
    </row>
    <row r="7" spans="1:19" x14ac:dyDescent="0.25">
      <c r="A7">
        <v>6</v>
      </c>
      <c r="B7" s="13" t="s">
        <v>47</v>
      </c>
      <c r="C7" s="13" t="s">
        <v>57</v>
      </c>
      <c r="D7" s="14">
        <v>832389.70153949992</v>
      </c>
      <c r="E7" s="11">
        <v>1089615.1499999999</v>
      </c>
      <c r="F7" s="11">
        <f t="shared" si="1"/>
        <v>1035134.3924999998</v>
      </c>
      <c r="G7" s="11">
        <f>F7*1.07</f>
        <v>1107593.7999749999</v>
      </c>
      <c r="H7" s="10">
        <v>593291.74225999997</v>
      </c>
      <c r="I7" s="11">
        <f t="shared" si="2"/>
        <v>563627.15514699998</v>
      </c>
      <c r="J7" s="11">
        <f>I7*1.07</f>
        <v>603081.05600729003</v>
      </c>
      <c r="K7" s="11">
        <f>J7*0.8</f>
        <v>482464.84480583202</v>
      </c>
      <c r="L7" s="9">
        <v>7.4999999999999997E-2</v>
      </c>
      <c r="M7" s="12">
        <v>285.3</v>
      </c>
      <c r="N7" s="13">
        <v>4.0599999999999997E-2</v>
      </c>
      <c r="O7" s="7">
        <f t="shared" si="0"/>
        <v>6</v>
      </c>
      <c r="P7" s="7">
        <f t="shared" si="3"/>
        <v>3</v>
      </c>
      <c r="Q7" s="7">
        <f t="shared" si="4"/>
        <v>2</v>
      </c>
      <c r="R7" s="8">
        <f>COUNTIFS($C:$C,$C7,$L:$L,"&gt;"&amp;$L7)+COUNTIFS($C$2:$C7,$C7,$L$2:$L7,$L7)</f>
        <v>5</v>
      </c>
      <c r="S7" s="7"/>
    </row>
    <row r="8" spans="1:19" x14ac:dyDescent="0.25">
      <c r="A8">
        <v>7</v>
      </c>
      <c r="B8" s="13" t="s">
        <v>46</v>
      </c>
      <c r="C8" s="13" t="s">
        <v>56</v>
      </c>
      <c r="D8" s="14">
        <v>848682.50264680013</v>
      </c>
      <c r="E8" s="11">
        <v>1110942.76</v>
      </c>
      <c r="F8" s="11">
        <f t="shared" si="1"/>
        <v>1055395.622</v>
      </c>
      <c r="G8" s="11">
        <f>F8*0.95</f>
        <v>1002625.8409</v>
      </c>
      <c r="H8" s="10">
        <v>539223.28299000009</v>
      </c>
      <c r="I8" s="11">
        <f t="shared" si="2"/>
        <v>512262.11884050007</v>
      </c>
      <c r="J8" s="11">
        <f>I8*0.95</f>
        <v>486649.01289847505</v>
      </c>
      <c r="K8" s="11">
        <f>J8*0.96</f>
        <v>467183.05238253606</v>
      </c>
      <c r="L8" s="9">
        <v>7.4999999999999997E-2</v>
      </c>
      <c r="M8" s="12">
        <v>282.5</v>
      </c>
      <c r="N8" s="13">
        <v>3.6900000000000002E-2</v>
      </c>
      <c r="O8" s="7">
        <f t="shared" si="0"/>
        <v>1</v>
      </c>
      <c r="P8" s="7">
        <f t="shared" si="3"/>
        <v>2</v>
      </c>
      <c r="Q8" s="7">
        <f t="shared" si="4"/>
        <v>3</v>
      </c>
      <c r="R8" s="8">
        <f>COUNTIFS($C:$C,$C8,$L:$L,"&gt;"&amp;$L8)+COUNTIFS($C$2:$C8,$C8,$L$2:$L8,$L8)</f>
        <v>3</v>
      </c>
      <c r="S8" s="7"/>
    </row>
    <row r="9" spans="1:19" x14ac:dyDescent="0.25">
      <c r="A9">
        <v>8</v>
      </c>
      <c r="B9" s="13" t="s">
        <v>45</v>
      </c>
      <c r="C9" s="13" t="s">
        <v>58</v>
      </c>
      <c r="D9" s="14">
        <v>500361.22430440004</v>
      </c>
      <c r="E9" s="11">
        <v>654983.07999999996</v>
      </c>
      <c r="F9" s="11">
        <f>E9*0.96</f>
        <v>628783.75679999997</v>
      </c>
      <c r="G9" s="11">
        <f>F9*0.95</f>
        <v>597344.56895999995</v>
      </c>
      <c r="H9" s="10">
        <v>453006.01010000001</v>
      </c>
      <c r="I9" s="11">
        <f>H9*0.96</f>
        <v>434885.76969599997</v>
      </c>
      <c r="J9" s="11">
        <f>I9*0.95</f>
        <v>413141.48121119995</v>
      </c>
      <c r="K9" s="11">
        <f>J9*0.97</f>
        <v>400747.23677486397</v>
      </c>
      <c r="L9" s="9">
        <v>8.1000000000000003E-2</v>
      </c>
      <c r="M9" s="12">
        <v>172.5</v>
      </c>
      <c r="N9" s="13">
        <v>3.1E-2</v>
      </c>
      <c r="O9" s="7">
        <f t="shared" si="0"/>
        <v>4</v>
      </c>
      <c r="P9" s="7">
        <f t="shared" si="3"/>
        <v>5</v>
      </c>
      <c r="Q9" s="7">
        <f t="shared" si="4"/>
        <v>4</v>
      </c>
      <c r="R9" s="8">
        <f>COUNTIFS($C:$C,$C9,$L:$L,"&gt;"&amp;$L9)+COUNTIFS($C$2:$C9,$C9,$L$2:$L9,$L9)</f>
        <v>4</v>
      </c>
      <c r="S9" s="7"/>
    </row>
    <row r="10" spans="1:19" x14ac:dyDescent="0.25">
      <c r="A10">
        <v>9</v>
      </c>
      <c r="B10" s="13" t="s">
        <v>3</v>
      </c>
      <c r="C10" s="13" t="s">
        <v>56</v>
      </c>
      <c r="D10" s="14">
        <v>452324.16000939999</v>
      </c>
      <c r="E10" s="11">
        <v>592101.57999999996</v>
      </c>
      <c r="F10" s="11">
        <f>E10*0.97</f>
        <v>574338.53259999992</v>
      </c>
      <c r="G10" s="11">
        <f>F10*0.96</f>
        <v>551364.99129599985</v>
      </c>
      <c r="H10" s="10">
        <v>461773.86836000008</v>
      </c>
      <c r="I10" s="11">
        <f>H10*0.97</f>
        <v>447920.65230920009</v>
      </c>
      <c r="J10" s="11">
        <f>I10*0.96</f>
        <v>430003.82621683209</v>
      </c>
      <c r="K10" s="11">
        <f>J10*1.095</f>
        <v>470854.18970743113</v>
      </c>
      <c r="L10" s="9">
        <v>0.09</v>
      </c>
      <c r="M10" s="12">
        <v>174.8</v>
      </c>
      <c r="N10" s="13">
        <v>3.1600000000000003E-2</v>
      </c>
      <c r="O10" s="7">
        <f t="shared" si="0"/>
        <v>4</v>
      </c>
      <c r="P10" s="7">
        <f t="shared" si="3"/>
        <v>4</v>
      </c>
      <c r="Q10" s="7">
        <f t="shared" si="4"/>
        <v>2</v>
      </c>
      <c r="R10" s="8">
        <f>COUNTIFS($C:$C,$C10,$L:$L,"&gt;"&amp;$L10)+COUNTIFS($C$2:$C10,$C10,$L$2:$L10,$L10)</f>
        <v>1</v>
      </c>
      <c r="S10" s="7"/>
    </row>
    <row r="11" spans="1:19" x14ac:dyDescent="0.25">
      <c r="A11">
        <v>10</v>
      </c>
      <c r="B11" s="13" t="s">
        <v>44</v>
      </c>
      <c r="C11" s="13" t="s">
        <v>58</v>
      </c>
      <c r="D11" s="14">
        <v>470581.3689152</v>
      </c>
      <c r="E11" s="11">
        <v>616000.64</v>
      </c>
      <c r="F11" s="11">
        <f>E11*1.095</f>
        <v>674520.70079999999</v>
      </c>
      <c r="G11" s="11">
        <f>F11*0.95</f>
        <v>640794.66576</v>
      </c>
      <c r="H11" s="10">
        <v>445699.46155000001</v>
      </c>
      <c r="I11" s="11">
        <f>H11*1.095</f>
        <v>488040.91039724997</v>
      </c>
      <c r="J11" s="11">
        <f>I11*0.95</f>
        <v>463638.86487738747</v>
      </c>
      <c r="K11" s="11">
        <f>J11*0.95</f>
        <v>440456.92163351807</v>
      </c>
      <c r="L11" s="9">
        <v>0.08</v>
      </c>
      <c r="M11" s="12">
        <v>200.6</v>
      </c>
      <c r="N11" s="13">
        <v>3.0499999999999999E-2</v>
      </c>
      <c r="O11" s="7">
        <f t="shared" si="0"/>
        <v>3</v>
      </c>
      <c r="P11" s="7">
        <f t="shared" si="3"/>
        <v>4</v>
      </c>
      <c r="Q11" s="7">
        <f t="shared" si="4"/>
        <v>3</v>
      </c>
      <c r="R11" s="8">
        <f>COUNTIFS($C:$C,$C11,$L:$L,"&gt;"&amp;$L11)+COUNTIFS($C$2:$C11,$C11,$L$2:$L11,$L11)</f>
        <v>5</v>
      </c>
      <c r="S11" s="7"/>
    </row>
    <row r="12" spans="1:19" x14ac:dyDescent="0.25">
      <c r="A12">
        <v>11</v>
      </c>
      <c r="B12" s="13" t="s">
        <v>43</v>
      </c>
      <c r="C12" s="13" t="s">
        <v>57</v>
      </c>
      <c r="D12" s="14">
        <v>871083.34928999993</v>
      </c>
      <c r="E12" s="11">
        <v>1113774.8999999999</v>
      </c>
      <c r="F12" s="11">
        <f>E12*0.95</f>
        <v>1058086.1549999998</v>
      </c>
      <c r="G12" s="11">
        <f>F12*1.095</f>
        <v>1158604.3397249999</v>
      </c>
      <c r="H12" s="10">
        <v>410628.02850999997</v>
      </c>
      <c r="I12" s="11">
        <f>H12*0.95</f>
        <v>390096.62708449998</v>
      </c>
      <c r="J12" s="11">
        <f>I12*1.095</f>
        <v>427155.80665752746</v>
      </c>
      <c r="K12" s="11">
        <f>J12*0.95</f>
        <v>405798.01632465108</v>
      </c>
      <c r="L12" s="9">
        <v>8.4000000000000005E-2</v>
      </c>
      <c r="M12" s="12">
        <v>204</v>
      </c>
      <c r="N12" s="13">
        <v>2.81E-2</v>
      </c>
      <c r="O12" s="7">
        <f t="shared" si="0"/>
        <v>7</v>
      </c>
      <c r="P12" s="7">
        <f t="shared" si="3"/>
        <v>2</v>
      </c>
      <c r="Q12" s="7">
        <f t="shared" si="4"/>
        <v>3</v>
      </c>
      <c r="R12" s="8">
        <f>COUNTIFS($C:$C,$C12,$L:$L,"&gt;"&amp;$L12)+COUNTIFS($C$2:$C12,$C12,$L$2:$L12,$L12)</f>
        <v>2</v>
      </c>
      <c r="S12" s="7"/>
    </row>
    <row r="13" spans="1:19" x14ac:dyDescent="0.25">
      <c r="A13">
        <v>12</v>
      </c>
      <c r="B13" s="13" t="s">
        <v>42</v>
      </c>
      <c r="C13" s="13" t="s">
        <v>58</v>
      </c>
      <c r="D13" s="14">
        <v>502869.96540000004</v>
      </c>
      <c r="E13" s="11">
        <v>642974</v>
      </c>
      <c r="F13" s="11">
        <f>E13*0.95</f>
        <v>610825.29999999993</v>
      </c>
      <c r="G13" s="11">
        <f>F13*1.07</f>
        <v>653583.071</v>
      </c>
      <c r="H13" s="10">
        <v>374095.28576</v>
      </c>
      <c r="I13" s="11">
        <f>H13*0.95</f>
        <v>355390.52147199999</v>
      </c>
      <c r="J13" s="11">
        <f>I13*1.07</f>
        <v>380267.85797504004</v>
      </c>
      <c r="K13" s="11">
        <f>J13*0.95</f>
        <v>361254.46507628803</v>
      </c>
      <c r="L13" s="9">
        <v>5.5999999999999994E-2</v>
      </c>
      <c r="M13" s="12">
        <v>207.3</v>
      </c>
      <c r="N13" s="13">
        <v>2.5600000000000001E-2</v>
      </c>
      <c r="O13" s="7">
        <f t="shared" si="0"/>
        <v>2</v>
      </c>
      <c r="P13" s="7">
        <f t="shared" si="3"/>
        <v>3</v>
      </c>
      <c r="Q13" s="7">
        <f t="shared" si="4"/>
        <v>5</v>
      </c>
      <c r="R13" s="8">
        <f>COUNTIFS($C:$C,$C13,$L:$L,"&gt;"&amp;$L13)+COUNTIFS($C$2:$C13,$C13,$L$2:$L13,$L13)</f>
        <v>13</v>
      </c>
      <c r="S13" s="7"/>
    </row>
    <row r="14" spans="1:19" x14ac:dyDescent="0.25">
      <c r="A14">
        <v>13</v>
      </c>
      <c r="B14" s="13" t="s">
        <v>41</v>
      </c>
      <c r="C14" s="13" t="s">
        <v>59</v>
      </c>
      <c r="D14" s="14">
        <v>820326.88940400002</v>
      </c>
      <c r="E14" s="11">
        <v>1048877.24</v>
      </c>
      <c r="F14" s="11">
        <v>996433.37799999991</v>
      </c>
      <c r="G14" s="11">
        <v>1066183.7144599999</v>
      </c>
      <c r="H14" s="10">
        <v>628363.1753</v>
      </c>
      <c r="I14" s="11">
        <v>596945.01653499994</v>
      </c>
      <c r="J14" s="11">
        <v>638731.16769244999</v>
      </c>
      <c r="K14" s="11">
        <v>606794.60930782743</v>
      </c>
      <c r="L14" s="9">
        <v>7.0000000000000007E-2</v>
      </c>
      <c r="M14" s="12">
        <v>102.6</v>
      </c>
      <c r="N14" s="13">
        <v>2.1499999999999998E-2</v>
      </c>
      <c r="O14" s="7">
        <f t="shared" si="0"/>
        <v>3</v>
      </c>
      <c r="P14" s="7">
        <f t="shared" si="3"/>
        <v>2</v>
      </c>
      <c r="Q14" s="7">
        <f t="shared" si="4"/>
        <v>2</v>
      </c>
      <c r="R14" s="8">
        <f>COUNTIFS($C:$C,$C14,$L:$L,"&gt;"&amp;$L14)+COUNTIFS($C$2:$C14,$C14,$L$2:$L14,$L14)</f>
        <v>5</v>
      </c>
      <c r="S14" s="7"/>
    </row>
    <row r="15" spans="1:19" x14ac:dyDescent="0.25">
      <c r="A15">
        <v>14</v>
      </c>
      <c r="B15" s="13" t="s">
        <v>40</v>
      </c>
      <c r="C15" s="13" t="s">
        <v>57</v>
      </c>
      <c r="D15" s="14">
        <v>624326.77929600002</v>
      </c>
      <c r="E15" s="11">
        <v>798269.76</v>
      </c>
      <c r="F15" s="11">
        <f>E15*0.95</f>
        <v>758356.272</v>
      </c>
      <c r="G15" s="11">
        <f>F15*1.03</f>
        <v>781106.96016000002</v>
      </c>
      <c r="H15" s="10">
        <v>305413.72938999999</v>
      </c>
      <c r="I15" s="11">
        <f>H15*0.95</f>
        <v>290143.04292049998</v>
      </c>
      <c r="J15" s="11">
        <f>I15*1.03</f>
        <v>298847.334208115</v>
      </c>
      <c r="K15" s="11">
        <f>J15*0.95</f>
        <v>283904.96749770927</v>
      </c>
      <c r="L15" s="9">
        <v>7.2000000000000008E-2</v>
      </c>
      <c r="M15" s="12">
        <v>852.1</v>
      </c>
      <c r="N15" s="13">
        <v>2.0899999999999998E-2</v>
      </c>
      <c r="O15" s="7">
        <f t="shared" si="0"/>
        <v>1</v>
      </c>
      <c r="P15" s="7">
        <f t="shared" si="3"/>
        <v>4</v>
      </c>
      <c r="Q15" s="7">
        <f t="shared" si="4"/>
        <v>4</v>
      </c>
      <c r="R15" s="8">
        <f>COUNTIFS($C:$C,$C15,$L:$L,"&gt;"&amp;$L15)+COUNTIFS($C$2:$C15,$C15,$L$2:$L15,$L15)</f>
        <v>6</v>
      </c>
      <c r="S15" s="7"/>
    </row>
    <row r="16" spans="1:19" x14ac:dyDescent="0.25">
      <c r="A16">
        <v>15</v>
      </c>
      <c r="B16" s="13" t="s">
        <v>39</v>
      </c>
      <c r="C16" s="13" t="s">
        <v>59</v>
      </c>
      <c r="D16" s="14">
        <v>545130.51991200005</v>
      </c>
      <c r="E16" s="11">
        <v>697008.72</v>
      </c>
      <c r="F16" s="11">
        <v>717918.98159999994</v>
      </c>
      <c r="G16" s="11">
        <v>682023.03251999989</v>
      </c>
      <c r="H16" s="10">
        <v>596214.36167999997</v>
      </c>
      <c r="I16" s="11">
        <v>614100.79253039998</v>
      </c>
      <c r="J16" s="11">
        <v>583395.75290387997</v>
      </c>
      <c r="K16" s="11">
        <f>J16*0.8</f>
        <v>466716.60232310399</v>
      </c>
      <c r="L16" s="9">
        <v>8.199999999999999E-2</v>
      </c>
      <c r="M16" s="12">
        <v>57.05</v>
      </c>
      <c r="N16" s="13">
        <v>2.0400000000000001E-2</v>
      </c>
      <c r="O16" s="7">
        <f t="shared" si="0"/>
        <v>4</v>
      </c>
      <c r="P16" s="7">
        <f t="shared" si="3"/>
        <v>4</v>
      </c>
      <c r="Q16" s="7">
        <f t="shared" si="4"/>
        <v>3</v>
      </c>
      <c r="R16" s="8">
        <f>COUNTIFS($C:$C,$C16,$L:$L,"&gt;"&amp;$L16)+COUNTIFS($C$2:$C16,$C16,$L$2:$L16,$L16)</f>
        <v>3</v>
      </c>
      <c r="S16" s="7"/>
    </row>
    <row r="17" spans="1:19" x14ac:dyDescent="0.25">
      <c r="A17">
        <v>16</v>
      </c>
      <c r="B17" s="13" t="s">
        <v>38</v>
      </c>
      <c r="C17" s="13" t="s">
        <v>56</v>
      </c>
      <c r="D17" s="14">
        <v>400736.402352</v>
      </c>
      <c r="E17" s="11">
        <v>512385.12</v>
      </c>
      <c r="F17" s="11">
        <f>E17*0.95</f>
        <v>486765.864</v>
      </c>
      <c r="G17" s="11">
        <f>F17*0.95</f>
        <v>462427.57079999999</v>
      </c>
      <c r="H17" s="10">
        <v>302491.10996999999</v>
      </c>
      <c r="I17" s="11">
        <f>H17*0.95</f>
        <v>287366.55447149999</v>
      </c>
      <c r="J17" s="11">
        <f>I17*0.95</f>
        <v>272998.22674792499</v>
      </c>
      <c r="K17" s="11">
        <f>J17*0.97</f>
        <v>264808.27994548721</v>
      </c>
      <c r="L17" s="9">
        <v>7.4999999999999997E-2</v>
      </c>
      <c r="M17" s="12">
        <v>182.5</v>
      </c>
      <c r="N17" s="13">
        <v>2.07E-2</v>
      </c>
      <c r="O17" s="7">
        <f t="shared" si="0"/>
        <v>3</v>
      </c>
      <c r="P17" s="7">
        <f t="shared" si="3"/>
        <v>6</v>
      </c>
      <c r="Q17" s="7">
        <f t="shared" si="4"/>
        <v>5</v>
      </c>
      <c r="R17" s="8">
        <f>COUNTIFS($C:$C,$C17,$L:$L,"&gt;"&amp;$L17)+COUNTIFS($C$2:$C17,$C17,$L$2:$L17,$L17)</f>
        <v>4</v>
      </c>
      <c r="S17" s="7"/>
    </row>
    <row r="18" spans="1:19" x14ac:dyDescent="0.25">
      <c r="A18">
        <v>17</v>
      </c>
      <c r="B18" s="13" t="s">
        <v>37</v>
      </c>
      <c r="C18" s="13" t="s">
        <v>58</v>
      </c>
      <c r="D18" s="14">
        <v>367667.57976300007</v>
      </c>
      <c r="E18" s="11">
        <v>470103.03</v>
      </c>
      <c r="F18" s="11">
        <f>E18*0.95</f>
        <v>446597.87849999999</v>
      </c>
      <c r="G18" s="11">
        <f>F18*1.03</f>
        <v>459995.814855</v>
      </c>
      <c r="H18" s="10">
        <v>296645.87112999998</v>
      </c>
      <c r="I18" s="11">
        <f>H18*0.95</f>
        <v>281813.57757349999</v>
      </c>
      <c r="J18" s="11">
        <f>I18*0.96</f>
        <v>270541.03447055997</v>
      </c>
      <c r="K18" s="11">
        <f>J18*1.095</f>
        <v>296242.43274526316</v>
      </c>
      <c r="L18" s="9">
        <v>8.4000000000000005E-2</v>
      </c>
      <c r="M18" s="12">
        <v>156.6</v>
      </c>
      <c r="N18" s="13">
        <v>2.0299999999999999E-2</v>
      </c>
      <c r="O18" s="7">
        <f t="shared" si="0"/>
        <v>6</v>
      </c>
      <c r="P18" s="7">
        <f t="shared" si="3"/>
        <v>6</v>
      </c>
      <c r="Q18" s="7">
        <f t="shared" si="4"/>
        <v>6</v>
      </c>
      <c r="R18" s="8">
        <f>COUNTIFS($C:$C,$C18,$L:$L,"&gt;"&amp;$L18)+COUNTIFS($C$2:$C18,$C18,$L$2:$L18,$L18)</f>
        <v>2</v>
      </c>
      <c r="S18" s="7"/>
    </row>
    <row r="19" spans="1:19" x14ac:dyDescent="0.25">
      <c r="A19">
        <v>18</v>
      </c>
      <c r="B19" s="13" t="s">
        <v>36</v>
      </c>
      <c r="C19" s="13" t="s">
        <v>56</v>
      </c>
      <c r="D19" s="14">
        <v>378640.00478700001</v>
      </c>
      <c r="E19" s="11">
        <v>484132.47</v>
      </c>
      <c r="F19" s="11">
        <f>E19*0.96</f>
        <v>464767.17119999998</v>
      </c>
      <c r="G19" s="11">
        <f>F19*0.97</f>
        <v>450824.15606399998</v>
      </c>
      <c r="H19" s="10">
        <v>279110.15461000003</v>
      </c>
      <c r="I19" s="11">
        <f>H19*0.96</f>
        <v>267945.7484256</v>
      </c>
      <c r="J19" s="11">
        <f>I19*0.97</f>
        <v>259907.375972832</v>
      </c>
      <c r="K19" s="11">
        <f>J19*0.95</f>
        <v>246912.0071741904</v>
      </c>
      <c r="L19" s="9">
        <v>6.5000000000000002E-2</v>
      </c>
      <c r="M19" s="12">
        <v>87.26</v>
      </c>
      <c r="N19" s="13">
        <v>1.9099999999999999E-2</v>
      </c>
      <c r="O19" s="7">
        <f t="shared" si="0"/>
        <v>6</v>
      </c>
      <c r="P19" s="7">
        <f t="shared" si="3"/>
        <v>7</v>
      </c>
      <c r="Q19" s="7">
        <f t="shared" si="4"/>
        <v>6</v>
      </c>
      <c r="R19" s="8">
        <f>COUNTIFS($C:$C,$C19,$L:$L,"&gt;"&amp;$L19)+COUNTIFS($C$2:$C19,$C19,$L$2:$L19,$L19)</f>
        <v>5</v>
      </c>
      <c r="S19" s="7"/>
    </row>
    <row r="20" spans="1:19" x14ac:dyDescent="0.25">
      <c r="A20">
        <v>19</v>
      </c>
      <c r="B20" s="13" t="s">
        <v>35</v>
      </c>
      <c r="C20" s="13" t="s">
        <v>57</v>
      </c>
      <c r="D20" s="14">
        <v>376244.86264200002</v>
      </c>
      <c r="E20" s="11">
        <v>481070.02</v>
      </c>
      <c r="F20" s="11">
        <f>E20*0.97</f>
        <v>466637.91940000001</v>
      </c>
      <c r="G20" s="11">
        <f>F20*1.095</f>
        <v>510968.52174300002</v>
      </c>
      <c r="H20" s="10">
        <v>270342.29635000002</v>
      </c>
      <c r="I20" s="11">
        <f>H20*0.97</f>
        <v>262232.02745950001</v>
      </c>
      <c r="J20" s="11">
        <f>I20*1.095</f>
        <v>287144.0700681525</v>
      </c>
      <c r="K20" s="11">
        <f>J20*0.97</f>
        <v>278529.74796610791</v>
      </c>
      <c r="L20" s="9">
        <v>6.7000000000000004E-2</v>
      </c>
      <c r="M20" s="12">
        <v>606.20000000000005</v>
      </c>
      <c r="N20" s="13">
        <v>1.8499999999999999E-2</v>
      </c>
      <c r="O20" s="7">
        <f t="shared" si="0"/>
        <v>3</v>
      </c>
      <c r="P20" s="7">
        <f t="shared" si="3"/>
        <v>6</v>
      </c>
      <c r="Q20" s="7">
        <f t="shared" si="4"/>
        <v>5</v>
      </c>
      <c r="R20" s="8">
        <f>COUNTIFS($C:$C,$C20,$L:$L,"&gt;"&amp;$L20)+COUNTIFS($C$2:$C20,$C20,$L$2:$L20,$L20)</f>
        <v>8</v>
      </c>
      <c r="S20" s="7"/>
    </row>
    <row r="21" spans="1:19" x14ac:dyDescent="0.25">
      <c r="A21">
        <v>20</v>
      </c>
      <c r="B21" s="13" t="s">
        <v>34</v>
      </c>
      <c r="C21" s="13" t="s">
        <v>56</v>
      </c>
      <c r="D21" s="14">
        <v>324556.11609299999</v>
      </c>
      <c r="E21" s="11">
        <v>414980.33</v>
      </c>
      <c r="F21" s="11">
        <f>E21*1.095</f>
        <v>454403.46135</v>
      </c>
      <c r="G21" s="11">
        <f>F21*1.03</f>
        <v>468035.5651905</v>
      </c>
      <c r="H21" s="10">
        <v>265958.36722000001</v>
      </c>
      <c r="I21" s="11">
        <f>H21*1.095</f>
        <v>291224.4121059</v>
      </c>
      <c r="J21" s="11">
        <f>I21*0.95</f>
        <v>276663.19150060497</v>
      </c>
      <c r="K21" s="11">
        <f>J21*1.095</f>
        <v>302946.19469316246</v>
      </c>
      <c r="L21" s="9">
        <v>6.5000000000000002E-2</v>
      </c>
      <c r="M21" s="12">
        <v>105.2</v>
      </c>
      <c r="N21" s="13">
        <v>1.8200000000000001E-2</v>
      </c>
      <c r="O21" s="7">
        <f t="shared" si="0"/>
        <v>5</v>
      </c>
      <c r="P21" s="7">
        <f t="shared" si="3"/>
        <v>5</v>
      </c>
      <c r="Q21" s="7">
        <f t="shared" si="4"/>
        <v>4</v>
      </c>
      <c r="R21" s="8">
        <f>COUNTIFS($C:$C,$C21,$L:$L,"&gt;"&amp;$L21)+COUNTIFS($C$2:$C21,$C21,$L$2:$L21,$L21)</f>
        <v>6</v>
      </c>
      <c r="S21" s="7"/>
    </row>
    <row r="22" spans="1:19" x14ac:dyDescent="0.25">
      <c r="A22">
        <v>21</v>
      </c>
      <c r="B22" s="13" t="s">
        <v>33</v>
      </c>
      <c r="C22" s="13" t="s">
        <v>56</v>
      </c>
      <c r="D22" s="14">
        <v>615398.52904199995</v>
      </c>
      <c r="E22" s="11">
        <v>786854.02</v>
      </c>
      <c r="F22" s="11">
        <f>E22*1.03</f>
        <v>810459.64060000004</v>
      </c>
      <c r="G22" s="11">
        <f>F22*0.95</f>
        <v>769936.65856999997</v>
      </c>
      <c r="H22" s="10">
        <v>248422.65070000003</v>
      </c>
      <c r="I22" s="11">
        <f>H22*1.03</f>
        <v>255875.33022100004</v>
      </c>
      <c r="J22" s="11">
        <f>I22*0.95</f>
        <v>243081.56370995002</v>
      </c>
      <c r="K22" s="11">
        <f>J22*0.95</f>
        <v>230927.4855244525</v>
      </c>
      <c r="L22" s="9">
        <v>4.8000000000000001E-2</v>
      </c>
      <c r="M22" s="12">
        <v>67.14</v>
      </c>
      <c r="N22" s="13">
        <v>1.7000000000000001E-2</v>
      </c>
      <c r="O22" s="7">
        <f t="shared" si="0"/>
        <v>7</v>
      </c>
      <c r="P22" s="7">
        <f t="shared" si="3"/>
        <v>3</v>
      </c>
      <c r="Q22" s="7">
        <f t="shared" si="4"/>
        <v>7</v>
      </c>
      <c r="R22" s="8">
        <f>COUNTIFS($C:$C,$C22,$L:$L,"&gt;"&amp;$L22)+COUNTIFS($C$2:$C22,$C22,$L$2:$L22,$L22)</f>
        <v>8</v>
      </c>
      <c r="S22" s="7"/>
    </row>
    <row r="23" spans="1:19" x14ac:dyDescent="0.25">
      <c r="A23">
        <v>22</v>
      </c>
      <c r="B23" s="13" t="s">
        <v>32</v>
      </c>
      <c r="C23" s="13" t="s">
        <v>59</v>
      </c>
      <c r="D23" s="14">
        <v>645274.74904200004</v>
      </c>
      <c r="E23" s="11">
        <v>825054.02</v>
      </c>
      <c r="F23" s="11">
        <v>849805.64060000004</v>
      </c>
      <c r="G23" s="11">
        <v>807315.35857000004</v>
      </c>
      <c r="H23" s="10">
        <v>235270.86330999999</v>
      </c>
      <c r="I23" s="11">
        <f>H23*1.03</f>
        <v>242328.98920929999</v>
      </c>
      <c r="J23" s="11">
        <f>I23*0.95</f>
        <v>230212.53974883497</v>
      </c>
      <c r="K23" s="11">
        <f>J23*0.96</f>
        <v>221004.03815888157</v>
      </c>
      <c r="L23" s="9">
        <v>6.8000000000000005E-2</v>
      </c>
      <c r="M23" s="12">
        <v>49.33</v>
      </c>
      <c r="N23" s="13">
        <v>1.61E-2</v>
      </c>
      <c r="O23" s="7">
        <f t="shared" si="0"/>
        <v>5</v>
      </c>
      <c r="P23" s="7">
        <f t="shared" si="3"/>
        <v>3</v>
      </c>
      <c r="Q23" s="7">
        <f t="shared" si="4"/>
        <v>5</v>
      </c>
      <c r="R23" s="8">
        <f>COUNTIFS($C:$C,$C23,$L:$L,"&gt;"&amp;$L23)+COUNTIFS($C$2:$C23,$C23,$L$2:$L23,$L23)</f>
        <v>6</v>
      </c>
      <c r="S23" s="7"/>
    </row>
    <row r="24" spans="1:19" x14ac:dyDescent="0.25">
      <c r="A24">
        <v>23</v>
      </c>
      <c r="B24" s="13" t="s">
        <v>31</v>
      </c>
      <c r="C24" s="13" t="s">
        <v>58</v>
      </c>
      <c r="D24" s="14">
        <v>163325.54412899999</v>
      </c>
      <c r="E24" s="11">
        <v>208829.49</v>
      </c>
      <c r="F24" s="11">
        <f>E24*1.03</f>
        <v>215094.37469999999</v>
      </c>
      <c r="G24" s="11">
        <f>F24*0.95</f>
        <v>204339.65596499998</v>
      </c>
      <c r="H24" s="10">
        <v>223580.38563</v>
      </c>
      <c r="I24" s="11">
        <f>H24*1.03</f>
        <v>230287.79719890002</v>
      </c>
      <c r="J24" s="11">
        <f>I24*0.95</f>
        <v>218773.407338955</v>
      </c>
      <c r="K24" s="11">
        <f>J24*0.97</f>
        <v>212210.20511878634</v>
      </c>
      <c r="L24" s="9">
        <v>6.5000000000000002E-2</v>
      </c>
      <c r="M24" s="12">
        <v>94.65</v>
      </c>
      <c r="N24" s="13">
        <v>1.5299999999999999E-2</v>
      </c>
      <c r="O24" s="7">
        <f t="shared" si="0"/>
        <v>10</v>
      </c>
      <c r="P24" s="7">
        <f t="shared" si="3"/>
        <v>11</v>
      </c>
      <c r="Q24" s="7">
        <f t="shared" si="4"/>
        <v>8</v>
      </c>
      <c r="R24" s="8">
        <f>COUNTIFS($C:$C,$C24,$L:$L,"&gt;"&amp;$L24)+COUNTIFS($C$2:$C24,$C24,$L$2:$L24,$L24)</f>
        <v>9</v>
      </c>
      <c r="S24" s="7"/>
    </row>
    <row r="25" spans="1:19" x14ac:dyDescent="0.25">
      <c r="A25">
        <v>24</v>
      </c>
      <c r="B25" s="13" t="s">
        <v>30</v>
      </c>
      <c r="C25" s="13" t="s">
        <v>58</v>
      </c>
      <c r="D25" s="14">
        <v>145135.595286</v>
      </c>
      <c r="E25" s="11">
        <v>185571.66</v>
      </c>
      <c r="F25" s="11">
        <f>E25*1.03</f>
        <v>191138.80980000002</v>
      </c>
      <c r="G25" s="11">
        <f>F25*1.03</f>
        <v>196872.97409400003</v>
      </c>
      <c r="H25" s="10">
        <v>216273.83708</v>
      </c>
      <c r="I25" s="11">
        <f>H25*1.03</f>
        <v>222762.05219240001</v>
      </c>
      <c r="J25" s="11">
        <f>I25*1.03</f>
        <v>229444.91375817201</v>
      </c>
      <c r="K25" s="11">
        <f>J25*1.095</f>
        <v>251242.18056519836</v>
      </c>
      <c r="L25" s="9">
        <v>7.4999999999999997E-2</v>
      </c>
      <c r="M25" s="12">
        <v>157.1</v>
      </c>
      <c r="N25" s="13">
        <v>1.4800000000000001E-2</v>
      </c>
      <c r="O25" s="7">
        <f t="shared" si="0"/>
        <v>5</v>
      </c>
      <c r="P25" s="7">
        <f t="shared" si="3"/>
        <v>12</v>
      </c>
      <c r="Q25" s="7">
        <f t="shared" si="4"/>
        <v>7</v>
      </c>
      <c r="R25" s="8">
        <f>COUNTIFS($C:$C,$C25,$L:$L,"&gt;"&amp;$L25)+COUNTIFS($C$2:$C25,$C25,$L$2:$L25,$L25)</f>
        <v>6</v>
      </c>
      <c r="S25" s="7"/>
    </row>
    <row r="26" spans="1:19" x14ac:dyDescent="0.25">
      <c r="A26">
        <v>25</v>
      </c>
      <c r="B26" s="13" t="s">
        <v>29</v>
      </c>
      <c r="C26" s="13" t="s">
        <v>58</v>
      </c>
      <c r="D26" s="14">
        <v>272257.39411199995</v>
      </c>
      <c r="E26" s="11">
        <v>348110.72</v>
      </c>
      <c r="F26" s="11">
        <f>E26*0.95</f>
        <v>330705.18399999995</v>
      </c>
      <c r="G26" s="11">
        <f>F26*0.97</f>
        <v>320784.02847999992</v>
      </c>
      <c r="H26" s="10">
        <v>211889.90794999999</v>
      </c>
      <c r="I26" s="11">
        <f>H26*0.95</f>
        <v>201295.4125525</v>
      </c>
      <c r="J26" s="11">
        <f>I26*0.97</f>
        <v>195256.55017592499</v>
      </c>
      <c r="K26" s="11">
        <f>J26*0.95</f>
        <v>185493.72266712872</v>
      </c>
      <c r="L26" s="9">
        <v>6.5000000000000002E-2</v>
      </c>
      <c r="M26" s="12">
        <v>105</v>
      </c>
      <c r="N26" s="13">
        <v>1.4500000000000001E-2</v>
      </c>
      <c r="O26" s="7">
        <f t="shared" si="0"/>
        <v>8</v>
      </c>
      <c r="P26" s="7">
        <f t="shared" si="3"/>
        <v>7</v>
      </c>
      <c r="Q26" s="7">
        <f t="shared" si="4"/>
        <v>9</v>
      </c>
      <c r="R26" s="8">
        <f>COUNTIFS($C:$C,$C26,$L:$L,"&gt;"&amp;$L26)+COUNTIFS($C$2:$C26,$C26,$L$2:$L26,$L26)</f>
        <v>10</v>
      </c>
      <c r="S26" s="7"/>
    </row>
    <row r="27" spans="1:19" x14ac:dyDescent="0.25">
      <c r="A27">
        <v>26</v>
      </c>
      <c r="B27" s="13" t="s">
        <v>28</v>
      </c>
      <c r="C27" s="13" t="s">
        <v>58</v>
      </c>
      <c r="D27" s="14">
        <v>196196.14347300003</v>
      </c>
      <c r="E27" s="11">
        <v>250858.13</v>
      </c>
      <c r="F27" s="11">
        <f>E27*0.95</f>
        <v>238315.22349999999</v>
      </c>
      <c r="G27" s="11">
        <f>F27*1.095</f>
        <v>260955.16973249998</v>
      </c>
      <c r="H27" s="10">
        <v>203122.04969000001</v>
      </c>
      <c r="I27" s="11">
        <f>H27*0.95</f>
        <v>192965.94720550001</v>
      </c>
      <c r="J27" s="11">
        <f>I27*1.095</f>
        <v>211297.71219002252</v>
      </c>
      <c r="K27" s="11">
        <f>J27*0.8</f>
        <v>169038.16975201803</v>
      </c>
      <c r="L27" s="9">
        <v>8.4000000000000005E-2</v>
      </c>
      <c r="M27" s="12">
        <v>110</v>
      </c>
      <c r="N27" s="13">
        <v>1.3899999999999999E-2</v>
      </c>
      <c r="O27" s="7">
        <f t="shared" si="0"/>
        <v>7</v>
      </c>
      <c r="P27" s="7">
        <f t="shared" si="3"/>
        <v>10</v>
      </c>
      <c r="Q27" s="7">
        <f t="shared" si="4"/>
        <v>11</v>
      </c>
      <c r="R27" s="8">
        <f>COUNTIFS($C:$C,$C27,$L:$L,"&gt;"&amp;$L27)+COUNTIFS($C$2:$C27,$C27,$L$2:$L27,$L27)</f>
        <v>3</v>
      </c>
      <c r="S27" s="7"/>
    </row>
    <row r="28" spans="1:19" x14ac:dyDescent="0.25">
      <c r="A28">
        <v>27</v>
      </c>
      <c r="B28" s="13" t="s">
        <v>27</v>
      </c>
      <c r="C28" s="13" t="s">
        <v>59</v>
      </c>
      <c r="D28" s="14">
        <v>177666.544242</v>
      </c>
      <c r="E28" s="11">
        <v>227166.02</v>
      </c>
      <c r="F28" s="11">
        <f>E28*0.96</f>
        <v>218079.3792</v>
      </c>
      <c r="G28" s="11">
        <f t="shared" ref="G28:G36" si="5">F28*1.03</f>
        <v>224621.760576</v>
      </c>
      <c r="H28" s="10">
        <v>356559.56923999998</v>
      </c>
      <c r="I28" s="11">
        <v>342297.18647039996</v>
      </c>
      <c r="J28" s="11">
        <v>352566.10206451197</v>
      </c>
      <c r="K28" s="11">
        <v>338463.45798193145</v>
      </c>
      <c r="L28" s="9">
        <v>7.6999999999999999E-2</v>
      </c>
      <c r="M28" s="12">
        <v>40.33</v>
      </c>
      <c r="N28" s="13">
        <v>1.2200000000000001E-2</v>
      </c>
      <c r="O28" s="7">
        <f t="shared" si="0"/>
        <v>6</v>
      </c>
      <c r="P28" s="7">
        <f t="shared" si="3"/>
        <v>6</v>
      </c>
      <c r="Q28" s="7">
        <f t="shared" si="4"/>
        <v>4</v>
      </c>
      <c r="R28" s="8">
        <f>COUNTIFS($C:$C,$C28,$L:$L,"&gt;"&amp;$L28)+COUNTIFS($C$2:$C28,$C28,$L$2:$L28,$L28)</f>
        <v>4</v>
      </c>
      <c r="S28" s="7"/>
    </row>
    <row r="29" spans="1:19" x14ac:dyDescent="0.25">
      <c r="A29">
        <v>28</v>
      </c>
      <c r="B29" s="13" t="s">
        <v>26</v>
      </c>
      <c r="C29" s="13" t="s">
        <v>58</v>
      </c>
      <c r="D29" s="14">
        <v>209709.59788799999</v>
      </c>
      <c r="E29" s="11">
        <v>270872.64</v>
      </c>
      <c r="F29" s="11">
        <f>E29*0.97</f>
        <v>262746.4608</v>
      </c>
      <c r="G29" s="11">
        <f t="shared" si="5"/>
        <v>270628.85462400003</v>
      </c>
      <c r="H29" s="10">
        <v>175357.16519999999</v>
      </c>
      <c r="I29" s="11">
        <f>H29*0.97</f>
        <v>170096.45024399998</v>
      </c>
      <c r="J29" s="11">
        <f t="shared" ref="J29:J36" si="6">I29*1.03</f>
        <v>175199.34375131998</v>
      </c>
      <c r="K29" s="11">
        <f>J29*0.97</f>
        <v>169943.36343878036</v>
      </c>
      <c r="L29" s="9">
        <v>5.5E-2</v>
      </c>
      <c r="M29" s="12">
        <v>55.22</v>
      </c>
      <c r="N29" s="13">
        <v>1.2E-2</v>
      </c>
      <c r="O29" s="7">
        <f t="shared" si="0"/>
        <v>14</v>
      </c>
      <c r="P29" s="7">
        <f t="shared" si="3"/>
        <v>8</v>
      </c>
      <c r="Q29" s="7">
        <f t="shared" si="4"/>
        <v>10</v>
      </c>
      <c r="R29" s="8">
        <f>COUNTIFS($C:$C,$C29,$L:$L,"&gt;"&amp;$L29)+COUNTIFS($C$2:$C29,$C29,$L$2:$L29,$L29)</f>
        <v>14</v>
      </c>
      <c r="S29" s="7"/>
    </row>
    <row r="30" spans="1:19" x14ac:dyDescent="0.25">
      <c r="A30">
        <v>29</v>
      </c>
      <c r="B30" s="13" t="s">
        <v>25</v>
      </c>
      <c r="C30" s="13" t="s">
        <v>57</v>
      </c>
      <c r="D30" s="14">
        <v>365907.83888400003</v>
      </c>
      <c r="E30" s="11">
        <v>472627.02</v>
      </c>
      <c r="F30" s="11">
        <f>E30*1.095</f>
        <v>517526.58689999999</v>
      </c>
      <c r="G30" s="11">
        <f t="shared" si="5"/>
        <v>533052.38450699998</v>
      </c>
      <c r="H30" s="10">
        <v>166589.30694000001</v>
      </c>
      <c r="I30" s="11">
        <f>H30*1.095</f>
        <v>182415.2910993</v>
      </c>
      <c r="J30" s="11">
        <f t="shared" si="6"/>
        <v>187887.74983227899</v>
      </c>
      <c r="K30" s="11">
        <f>J30*0.95</f>
        <v>178493.36234066504</v>
      </c>
      <c r="L30" s="9">
        <v>7.9000000000000001E-2</v>
      </c>
      <c r="M30" s="12">
        <v>741.4</v>
      </c>
      <c r="N30" s="13">
        <v>1.14E-2</v>
      </c>
      <c r="O30" s="7">
        <f t="shared" si="0"/>
        <v>2</v>
      </c>
      <c r="P30" s="7">
        <f t="shared" si="3"/>
        <v>5</v>
      </c>
      <c r="Q30" s="7">
        <f t="shared" si="4"/>
        <v>6</v>
      </c>
      <c r="R30" s="8">
        <f>COUNTIFS($C:$C,$C30,$L:$L,"&gt;"&amp;$L30)+COUNTIFS($C$2:$C30,$C30,$L$2:$L30,$L30)</f>
        <v>3</v>
      </c>
      <c r="S30" s="7"/>
    </row>
    <row r="31" spans="1:19" x14ac:dyDescent="0.25">
      <c r="A31">
        <v>30</v>
      </c>
      <c r="B31" s="13" t="s">
        <v>24</v>
      </c>
      <c r="C31" s="13" t="s">
        <v>56</v>
      </c>
      <c r="D31" s="14">
        <v>145190.34023200002</v>
      </c>
      <c r="E31" s="11">
        <v>187535.96</v>
      </c>
      <c r="F31" s="11">
        <f t="shared" ref="F31:F36" si="7">E31*1.03</f>
        <v>193162.03880000001</v>
      </c>
      <c r="G31" s="11">
        <f t="shared" si="5"/>
        <v>198956.89996400001</v>
      </c>
      <c r="H31" s="10">
        <v>141747.04186999999</v>
      </c>
      <c r="I31" s="11">
        <f t="shared" ref="I31:I36" si="8">H31*1.03</f>
        <v>145999.45312609998</v>
      </c>
      <c r="J31" s="11">
        <f t="shared" si="6"/>
        <v>150379.43671988297</v>
      </c>
      <c r="K31" s="11">
        <f>J31*0.96</f>
        <v>144364.25925108764</v>
      </c>
      <c r="L31" s="9">
        <v>4.5999999999999999E-2</v>
      </c>
      <c r="M31" s="12">
        <v>54.81</v>
      </c>
      <c r="N31" s="13">
        <v>9.7000000000000003E-3</v>
      </c>
      <c r="O31" s="7">
        <f t="shared" si="0"/>
        <v>8</v>
      </c>
      <c r="P31" s="7">
        <f t="shared" si="3"/>
        <v>9</v>
      </c>
      <c r="Q31" s="7">
        <f t="shared" si="4"/>
        <v>8</v>
      </c>
      <c r="R31" s="8">
        <f>COUNTIFS($C:$C,$C31,$L:$L,"&gt;"&amp;$L31)+COUNTIFS($C$2:$C31,$C31,$L$2:$L31,$L31)</f>
        <v>9</v>
      </c>
      <c r="S31" s="7"/>
    </row>
    <row r="32" spans="1:19" x14ac:dyDescent="0.25">
      <c r="A32">
        <v>31</v>
      </c>
      <c r="B32" s="13" t="s">
        <v>23</v>
      </c>
      <c r="C32" s="13" t="s">
        <v>58</v>
      </c>
      <c r="D32" s="14">
        <v>80970.086358000015</v>
      </c>
      <c r="E32" s="11">
        <v>104585.49</v>
      </c>
      <c r="F32" s="11">
        <f t="shared" si="7"/>
        <v>107723.05470000001</v>
      </c>
      <c r="G32" s="11">
        <f t="shared" si="5"/>
        <v>110954.74634100001</v>
      </c>
      <c r="H32" s="10">
        <v>138824.42245000001</v>
      </c>
      <c r="I32" s="11">
        <f t="shared" si="8"/>
        <v>142989.15512350001</v>
      </c>
      <c r="J32" s="11">
        <f t="shared" si="6"/>
        <v>147278.82977720501</v>
      </c>
      <c r="K32" s="11">
        <f>J32*0.97</f>
        <v>142860.46488388887</v>
      </c>
      <c r="L32" s="9">
        <v>8.5000000000000006E-2</v>
      </c>
      <c r="M32" s="12">
        <v>63.5</v>
      </c>
      <c r="N32" s="13">
        <v>9.4999999999999998E-3</v>
      </c>
      <c r="O32" s="7">
        <f t="shared" si="0"/>
        <v>12</v>
      </c>
      <c r="P32" s="7">
        <f t="shared" si="3"/>
        <v>13</v>
      </c>
      <c r="Q32" s="7">
        <f t="shared" si="4"/>
        <v>13</v>
      </c>
      <c r="R32" s="8">
        <f>COUNTIFS($C:$C,$C32,$L:$L,"&gt;"&amp;$L32)+COUNTIFS($C$2:$C32,$C32,$L$2:$L32,$L32)</f>
        <v>1</v>
      </c>
      <c r="S32" s="7"/>
    </row>
    <row r="33" spans="1:19" x14ac:dyDescent="0.25">
      <c r="A33">
        <v>32</v>
      </c>
      <c r="B33" s="13" t="s">
        <v>22</v>
      </c>
      <c r="C33" s="13" t="s">
        <v>58</v>
      </c>
      <c r="D33" s="14">
        <v>195871.299344</v>
      </c>
      <c r="E33" s="11">
        <v>252998.32</v>
      </c>
      <c r="F33" s="11">
        <f t="shared" si="7"/>
        <v>260588.2696</v>
      </c>
      <c r="G33" s="11">
        <f t="shared" si="5"/>
        <v>268405.91768800002</v>
      </c>
      <c r="H33" s="10">
        <v>135901.80302999998</v>
      </c>
      <c r="I33" s="11">
        <f t="shared" si="8"/>
        <v>139978.85712089998</v>
      </c>
      <c r="J33" s="11">
        <f t="shared" si="6"/>
        <v>144178.22283452697</v>
      </c>
      <c r="K33" s="11">
        <f>J33*1.095</f>
        <v>157875.15400380702</v>
      </c>
      <c r="L33" s="9">
        <v>7.4999999999999997E-2</v>
      </c>
      <c r="M33" s="12">
        <v>56.43</v>
      </c>
      <c r="N33" s="13">
        <v>9.2999999999999992E-3</v>
      </c>
      <c r="O33" s="7">
        <f t="shared" si="0"/>
        <v>13</v>
      </c>
      <c r="P33" s="7">
        <f t="shared" si="3"/>
        <v>9</v>
      </c>
      <c r="Q33" s="7">
        <f t="shared" si="4"/>
        <v>12</v>
      </c>
      <c r="R33" s="8">
        <f>COUNTIFS($C:$C,$C33,$L:$L,"&gt;"&amp;$L33)+COUNTIFS($C$2:$C33,$C33,$L$2:$L33,$L33)</f>
        <v>7</v>
      </c>
      <c r="S33" s="7"/>
    </row>
    <row r="34" spans="1:19" x14ac:dyDescent="0.25">
      <c r="A34">
        <v>33</v>
      </c>
      <c r="B34" s="13" t="s">
        <v>21</v>
      </c>
      <c r="C34" s="13" t="s">
        <v>56</v>
      </c>
      <c r="D34" s="14">
        <v>169585.52932999999</v>
      </c>
      <c r="E34" s="11">
        <v>219046.15</v>
      </c>
      <c r="F34" s="11">
        <f t="shared" si="7"/>
        <v>225617.53450000001</v>
      </c>
      <c r="G34" s="11">
        <f t="shared" si="5"/>
        <v>232386.06053500003</v>
      </c>
      <c r="H34" s="10">
        <v>132979.18361000001</v>
      </c>
      <c r="I34" s="11">
        <f t="shared" si="8"/>
        <v>136968.55911830001</v>
      </c>
      <c r="J34" s="11">
        <f t="shared" si="6"/>
        <v>141077.61589184901</v>
      </c>
      <c r="K34" s="11">
        <f>J34*0.8</f>
        <v>112862.09271347921</v>
      </c>
      <c r="L34" s="9">
        <v>5.5999999999999994E-2</v>
      </c>
      <c r="M34" s="12">
        <v>35.090000000000003</v>
      </c>
      <c r="N34" s="13">
        <v>9.1000000000000004E-3</v>
      </c>
      <c r="O34" s="7">
        <f t="shared" ref="O34:O51" si="9">SUMPRODUCT((C$2:C$601=$C34)*(M$2:M$601&gt;M34))+1</f>
        <v>9</v>
      </c>
      <c r="P34" s="7">
        <f t="shared" si="3"/>
        <v>8</v>
      </c>
      <c r="Q34" s="7">
        <f t="shared" si="4"/>
        <v>9</v>
      </c>
      <c r="R34" s="8">
        <f>COUNTIFS($C:$C,$C34,$L:$L,"&gt;"&amp;$L34)+COUNTIFS($C$2:$C34,$C34,$L$2:$L34,$L34)</f>
        <v>7</v>
      </c>
      <c r="S34" s="7"/>
    </row>
    <row r="35" spans="1:19" x14ac:dyDescent="0.25">
      <c r="A35">
        <v>34</v>
      </c>
      <c r="B35" s="13" t="s">
        <v>20</v>
      </c>
      <c r="C35" s="13" t="s">
        <v>59</v>
      </c>
      <c r="D35" s="14">
        <v>121101.36271800002</v>
      </c>
      <c r="E35" s="11">
        <v>156421.29</v>
      </c>
      <c r="F35" s="11">
        <f t="shared" si="7"/>
        <v>161113.92870000002</v>
      </c>
      <c r="G35" s="11">
        <f t="shared" si="5"/>
        <v>165947.34656100001</v>
      </c>
      <c r="H35" s="10">
        <v>128595.25448</v>
      </c>
      <c r="I35" s="11">
        <f t="shared" si="8"/>
        <v>132453.11211440002</v>
      </c>
      <c r="J35" s="11">
        <f t="shared" si="6"/>
        <v>136426.70547783203</v>
      </c>
      <c r="K35" s="11">
        <f>J35*1.03</f>
        <v>140519.50664216699</v>
      </c>
      <c r="L35" s="9">
        <v>4.5999999999999999E-2</v>
      </c>
      <c r="M35" s="12">
        <v>34.299999999999997</v>
      </c>
      <c r="N35" s="13">
        <v>8.8000000000000005E-3</v>
      </c>
      <c r="O35" s="7">
        <f t="shared" si="9"/>
        <v>7</v>
      </c>
      <c r="P35" s="7">
        <f t="shared" si="3"/>
        <v>10</v>
      </c>
      <c r="Q35" s="7">
        <f t="shared" si="4"/>
        <v>6</v>
      </c>
      <c r="R35" s="8">
        <f>COUNTIFS($C:$C,$C35,$L:$L,"&gt;"&amp;$L35)+COUNTIFS($C$2:$C35,$C35,$L$2:$L35,$L35)</f>
        <v>11</v>
      </c>
      <c r="S35" s="7"/>
    </row>
    <row r="36" spans="1:19" x14ac:dyDescent="0.25">
      <c r="A36">
        <v>35</v>
      </c>
      <c r="B36" s="13" t="s">
        <v>1</v>
      </c>
      <c r="C36" s="13" t="s">
        <v>59</v>
      </c>
      <c r="D36" s="14">
        <v>106277.72434999999</v>
      </c>
      <c r="E36" s="11">
        <v>137274.25</v>
      </c>
      <c r="F36" s="11">
        <f t="shared" si="7"/>
        <v>141392.47750000001</v>
      </c>
      <c r="G36" s="11">
        <f t="shared" si="5"/>
        <v>145634.25182500001</v>
      </c>
      <c r="H36" s="10">
        <v>125672.63506</v>
      </c>
      <c r="I36" s="11">
        <f t="shared" si="8"/>
        <v>129442.81411180001</v>
      </c>
      <c r="J36" s="11">
        <f t="shared" si="6"/>
        <v>133326.09853515401</v>
      </c>
      <c r="K36" s="11">
        <f>J36*1.03</f>
        <v>137325.88149120865</v>
      </c>
      <c r="L36" s="9">
        <v>9.3000000000000013E-2</v>
      </c>
      <c r="M36" s="12">
        <v>24.8</v>
      </c>
      <c r="N36" s="13">
        <v>8.6E-3</v>
      </c>
      <c r="O36" s="7">
        <f t="shared" si="9"/>
        <v>8</v>
      </c>
      <c r="P36" s="7">
        <f t="shared" si="3"/>
        <v>11</v>
      </c>
      <c r="Q36" s="7">
        <f t="shared" si="4"/>
        <v>7</v>
      </c>
      <c r="R36" s="8">
        <f>COUNTIFS($C:$C,$C36,$L:$L,"&gt;"&amp;$L36)+COUNTIFS($C$2:$C36,$C36,$L$2:$L36,$L36)</f>
        <v>1</v>
      </c>
      <c r="S36" s="7"/>
    </row>
    <row r="37" spans="1:19" x14ac:dyDescent="0.25">
      <c r="A37">
        <v>36</v>
      </c>
      <c r="B37" s="13" t="s">
        <v>19</v>
      </c>
      <c r="C37" s="13" t="s">
        <v>59</v>
      </c>
      <c r="D37" s="14">
        <v>182700.50055599998</v>
      </c>
      <c r="E37" s="11">
        <v>235986.18</v>
      </c>
      <c r="F37" s="11">
        <v>224186.87099999998</v>
      </c>
      <c r="G37" s="11">
        <v>212977.52744999999</v>
      </c>
      <c r="H37" s="10">
        <v>96446.440860000002</v>
      </c>
      <c r="I37" s="11">
        <f t="shared" ref="I37:K38" si="10">H37*0.95</f>
        <v>91624.118816999995</v>
      </c>
      <c r="J37" s="11">
        <f t="shared" si="10"/>
        <v>87042.912876149989</v>
      </c>
      <c r="K37" s="11">
        <f t="shared" si="10"/>
        <v>82690.767232342492</v>
      </c>
      <c r="L37" s="9">
        <v>6.6000000000000003E-2</v>
      </c>
      <c r="M37" s="12">
        <v>17.16</v>
      </c>
      <c r="N37" s="13">
        <v>6.6E-3</v>
      </c>
      <c r="O37" s="7">
        <f t="shared" si="9"/>
        <v>10</v>
      </c>
      <c r="P37" s="7">
        <f t="shared" si="3"/>
        <v>8</v>
      </c>
      <c r="Q37" s="7">
        <f t="shared" si="4"/>
        <v>8</v>
      </c>
      <c r="R37" s="8">
        <f>COUNTIFS($C:$C,$C37,$L:$L,"&gt;"&amp;$L37)+COUNTIFS($C$2:$C37,$C37,$L$2:$L37,$L37)</f>
        <v>8</v>
      </c>
      <c r="S37" s="7"/>
    </row>
    <row r="38" spans="1:19" x14ac:dyDescent="0.25">
      <c r="A38">
        <v>37</v>
      </c>
      <c r="B38" s="13" t="s">
        <v>18</v>
      </c>
      <c r="C38" s="13" t="s">
        <v>56</v>
      </c>
      <c r="D38" s="14">
        <v>153254.85646800001</v>
      </c>
      <c r="E38" s="11">
        <v>197952.54</v>
      </c>
      <c r="F38" s="11">
        <f>E38*0.95</f>
        <v>188054.913</v>
      </c>
      <c r="G38" s="11">
        <f>F38*0.95</f>
        <v>178652.16735</v>
      </c>
      <c r="H38" s="10">
        <v>84755.963180000006</v>
      </c>
      <c r="I38" s="11">
        <f t="shared" si="10"/>
        <v>80518.165021000008</v>
      </c>
      <c r="J38" s="11">
        <f t="shared" si="10"/>
        <v>76492.256769950007</v>
      </c>
      <c r="K38" s="11">
        <f t="shared" si="10"/>
        <v>72667.643931452505</v>
      </c>
      <c r="L38" s="9">
        <v>3.9E-2</v>
      </c>
      <c r="M38" s="12">
        <v>23.97</v>
      </c>
      <c r="N38" s="13">
        <v>5.7999999999999996E-3</v>
      </c>
      <c r="O38" s="7">
        <f t="shared" si="9"/>
        <v>10</v>
      </c>
      <c r="P38" s="7">
        <f t="shared" si="3"/>
        <v>10</v>
      </c>
      <c r="Q38" s="7">
        <f t="shared" si="4"/>
        <v>10</v>
      </c>
      <c r="R38" s="8">
        <f>COUNTIFS($C:$C,$C38,$L:$L,"&gt;"&amp;$L38)+COUNTIFS($C$2:$C38,$C38,$L$2:$L38,$L38)</f>
        <v>10</v>
      </c>
      <c r="S38" s="7"/>
    </row>
    <row r="39" spans="1:19" x14ac:dyDescent="0.25">
      <c r="A39">
        <v>38</v>
      </c>
      <c r="B39" s="13" t="s">
        <v>17</v>
      </c>
      <c r="C39" s="13" t="s">
        <v>58</v>
      </c>
      <c r="D39" s="14">
        <v>50311.402483999998</v>
      </c>
      <c r="E39" s="11">
        <v>64985.02</v>
      </c>
      <c r="F39" s="11">
        <f>E39*0.96</f>
        <v>62385.619199999994</v>
      </c>
      <c r="G39" s="11">
        <f>F39*0.96</f>
        <v>59890.194431999989</v>
      </c>
      <c r="H39" s="10">
        <v>86217.272889999993</v>
      </c>
      <c r="I39" s="11">
        <f>H39*0.96</f>
        <v>82768.581974399989</v>
      </c>
      <c r="J39" s="11">
        <f>I39*0.96</f>
        <v>79457.838695423983</v>
      </c>
      <c r="K39" s="11">
        <f>J39*0.96</f>
        <v>76279.525147607026</v>
      </c>
      <c r="L39" s="9">
        <v>6.2E-2</v>
      </c>
      <c r="M39" s="12">
        <v>77.06</v>
      </c>
      <c r="N39" s="13">
        <v>5.8999999999999999E-3</v>
      </c>
      <c r="O39" s="7">
        <f t="shared" si="9"/>
        <v>11</v>
      </c>
      <c r="P39" s="7">
        <f t="shared" si="3"/>
        <v>14</v>
      </c>
      <c r="Q39" s="7">
        <f t="shared" si="4"/>
        <v>14</v>
      </c>
      <c r="R39" s="8">
        <f>COUNTIFS($C:$C,$C39,$L:$L,"&gt;"&amp;$L39)+COUNTIFS($C$2:$C39,$C39,$L$2:$L39,$L39)</f>
        <v>12</v>
      </c>
      <c r="S39" s="7"/>
    </row>
    <row r="40" spans="1:19" x14ac:dyDescent="0.25">
      <c r="A40">
        <v>39</v>
      </c>
      <c r="B40" s="13" t="s">
        <v>16</v>
      </c>
      <c r="C40" s="13" t="s">
        <v>59</v>
      </c>
      <c r="D40" s="14">
        <v>184266.07326000003</v>
      </c>
      <c r="E40" s="11">
        <v>228674.69999999998</v>
      </c>
      <c r="F40" s="11">
        <v>221814.45899999997</v>
      </c>
      <c r="G40" s="11">
        <v>215160.02522999997</v>
      </c>
      <c r="H40" s="10">
        <v>74526.795209999997</v>
      </c>
      <c r="I40" s="11">
        <f>H40*0.97</f>
        <v>72290.991353699996</v>
      </c>
      <c r="J40" s="11">
        <f>I40*0.97</f>
        <v>70122.261613088995</v>
      </c>
      <c r="K40" s="11">
        <f>J40*0.95</f>
        <v>66616.148532434541</v>
      </c>
      <c r="L40" s="9">
        <v>6.7000000000000004E-2</v>
      </c>
      <c r="M40" s="12">
        <v>19.5</v>
      </c>
      <c r="N40" s="13">
        <v>5.1000000000000004E-3</v>
      </c>
      <c r="O40" s="7">
        <f t="shared" si="9"/>
        <v>9</v>
      </c>
      <c r="P40" s="7">
        <f t="shared" si="3"/>
        <v>7</v>
      </c>
      <c r="Q40" s="7">
        <f t="shared" si="4"/>
        <v>10</v>
      </c>
      <c r="R40" s="8">
        <f>COUNTIFS($C:$C,$C40,$L:$L,"&gt;"&amp;$L40)+COUNTIFS($C$2:$C40,$C40,$L$2:$L40,$L40)</f>
        <v>7</v>
      </c>
      <c r="S40" s="7"/>
    </row>
    <row r="41" spans="1:19" x14ac:dyDescent="0.25">
      <c r="A41">
        <v>40</v>
      </c>
      <c r="B41" s="13" t="s">
        <v>15</v>
      </c>
      <c r="C41" s="13" t="s">
        <v>59</v>
      </c>
      <c r="D41" s="14">
        <v>157410.88657200002</v>
      </c>
      <c r="E41" s="11">
        <v>195347.34</v>
      </c>
      <c r="F41" s="11">
        <v>213905.33730000001</v>
      </c>
      <c r="G41" s="11">
        <v>207488.17718100001</v>
      </c>
      <c r="H41" s="10">
        <v>62836.31753</v>
      </c>
      <c r="I41" s="11">
        <f>H41*1.095</f>
        <v>68805.767695350005</v>
      </c>
      <c r="J41" s="11">
        <f>I41*1.095</f>
        <v>75342.31562640825</v>
      </c>
      <c r="K41" s="11">
        <f>J41*0.97</f>
        <v>73082.046157616001</v>
      </c>
      <c r="L41" s="9">
        <v>4.4000000000000004E-2</v>
      </c>
      <c r="M41" s="12">
        <v>216.8</v>
      </c>
      <c r="N41" s="13">
        <v>4.3E-3</v>
      </c>
      <c r="O41" s="7">
        <f t="shared" si="9"/>
        <v>2</v>
      </c>
      <c r="P41" s="7">
        <f t="shared" si="3"/>
        <v>9</v>
      </c>
      <c r="Q41" s="7">
        <f t="shared" si="4"/>
        <v>9</v>
      </c>
      <c r="R41" s="8">
        <f>COUNTIFS($C:$C,$C41,$L:$L,"&gt;"&amp;$L41)+COUNTIFS($C$2:$C41,$C41,$L$2:$L41,$L41)</f>
        <v>13</v>
      </c>
      <c r="S41" s="7"/>
    </row>
    <row r="42" spans="1:19" x14ac:dyDescent="0.25">
      <c r="A42">
        <v>41</v>
      </c>
      <c r="B42" s="13" t="s">
        <v>14</v>
      </c>
      <c r="C42" s="13" t="s">
        <v>57</v>
      </c>
      <c r="D42" s="14">
        <v>50194.804962000002</v>
      </c>
      <c r="E42" s="11">
        <v>62291.89</v>
      </c>
      <c r="F42" s="11">
        <f>E42*1.03</f>
        <v>64160.646699999998</v>
      </c>
      <c r="G42" s="11">
        <f>F42*1.095</f>
        <v>70255.908136500002</v>
      </c>
      <c r="H42" s="10">
        <v>61375.007819999999</v>
      </c>
      <c r="I42" s="11">
        <f>H42*1.03</f>
        <v>63216.258054600003</v>
      </c>
      <c r="J42" s="11">
        <f>I42*0.95</f>
        <v>60055.445151870001</v>
      </c>
      <c r="K42" s="11">
        <f>J42*1.095</f>
        <v>65760.712441297655</v>
      </c>
      <c r="L42" s="9">
        <v>6.7000000000000004E-2</v>
      </c>
      <c r="M42" s="12">
        <v>43.04</v>
      </c>
      <c r="N42" s="13">
        <v>4.1999999999999997E-3</v>
      </c>
      <c r="O42" s="7">
        <f t="shared" si="9"/>
        <v>11</v>
      </c>
      <c r="P42" s="7">
        <f t="shared" si="3"/>
        <v>10</v>
      </c>
      <c r="Q42" s="7">
        <f t="shared" si="4"/>
        <v>8</v>
      </c>
      <c r="R42" s="8">
        <f>COUNTIFS($C:$C,$C42,$L:$L,"&gt;"&amp;$L42)+COUNTIFS($C$2:$C42,$C42,$L$2:$L42,$L42)</f>
        <v>9</v>
      </c>
      <c r="S42" s="7"/>
    </row>
    <row r="43" spans="1:19" x14ac:dyDescent="0.25">
      <c r="A43">
        <v>42</v>
      </c>
      <c r="B43" s="13" t="s">
        <v>13</v>
      </c>
      <c r="C43" s="13" t="s">
        <v>57</v>
      </c>
      <c r="D43" s="14">
        <v>70972.374078000008</v>
      </c>
      <c r="E43" s="11">
        <v>88076.91</v>
      </c>
      <c r="F43" s="11">
        <f>E43*1.03</f>
        <v>90719.217300000004</v>
      </c>
      <c r="G43" s="11">
        <f>F43*1.03</f>
        <v>93440.793819000013</v>
      </c>
      <c r="H43" s="10">
        <v>61375.007819999999</v>
      </c>
      <c r="I43" s="11">
        <f>H43*1.03</f>
        <v>63216.258054600003</v>
      </c>
      <c r="J43" s="11">
        <f>I43*1.03</f>
        <v>65112.745796238007</v>
      </c>
      <c r="K43" s="11">
        <f>J43*1.03</f>
        <v>67066.128170125143</v>
      </c>
      <c r="L43" s="9">
        <v>5.0999999999999997E-2</v>
      </c>
      <c r="M43" s="12">
        <v>147</v>
      </c>
      <c r="N43" s="13">
        <v>4.1999999999999997E-3</v>
      </c>
      <c r="O43" s="7">
        <f t="shared" si="9"/>
        <v>8</v>
      </c>
      <c r="P43" s="7">
        <f t="shared" si="3"/>
        <v>9</v>
      </c>
      <c r="Q43" s="7">
        <f t="shared" si="4"/>
        <v>7</v>
      </c>
      <c r="R43" s="8">
        <f>COUNTIFS($C:$C,$C43,$L:$L,"&gt;"&amp;$L43)+COUNTIFS($C$2:$C43,$C43,$L$2:$L43,$L43)</f>
        <v>10</v>
      </c>
      <c r="S43" s="7"/>
    </row>
    <row r="44" spans="1:19" x14ac:dyDescent="0.25">
      <c r="A44">
        <v>43</v>
      </c>
      <c r="B44" s="13" t="s">
        <v>2</v>
      </c>
      <c r="C44" s="13" t="s">
        <v>57</v>
      </c>
      <c r="D44" s="14">
        <v>88576.259604000006</v>
      </c>
      <c r="E44" s="11">
        <v>109923.38</v>
      </c>
      <c r="F44" s="11">
        <f>E44*1.03</f>
        <v>113221.08140000001</v>
      </c>
      <c r="G44" s="11">
        <f>F44*1.03</f>
        <v>116617.71384200001</v>
      </c>
      <c r="H44" s="10">
        <v>49684.530140000003</v>
      </c>
      <c r="I44" s="11">
        <f>H44*1.03</f>
        <v>51175.066044200001</v>
      </c>
      <c r="J44" s="11">
        <f>I44*1.03</f>
        <v>52710.318025526001</v>
      </c>
      <c r="K44" s="11">
        <f>J44*0.95</f>
        <v>50074.802124249698</v>
      </c>
      <c r="L44" s="9">
        <v>9.1999999999999998E-2</v>
      </c>
      <c r="M44" s="12">
        <v>100.6</v>
      </c>
      <c r="N44" s="13">
        <v>3.3999999999999998E-3</v>
      </c>
      <c r="O44" s="7">
        <f t="shared" si="9"/>
        <v>9</v>
      </c>
      <c r="P44" s="7">
        <f t="shared" si="3"/>
        <v>8</v>
      </c>
      <c r="Q44" s="7">
        <f t="shared" si="4"/>
        <v>9</v>
      </c>
      <c r="R44" s="8">
        <f>COUNTIFS($C:$C,$C44,$L:$L,"&gt;"&amp;$L44)+COUNTIFS($C$2:$C44,$C44,$L$2:$L44,$L44)</f>
        <v>1</v>
      </c>
      <c r="S44" s="7"/>
    </row>
    <row r="45" spans="1:19" x14ac:dyDescent="0.25">
      <c r="A45">
        <v>44</v>
      </c>
      <c r="B45" s="13" t="s">
        <v>12</v>
      </c>
      <c r="C45" s="13" t="s">
        <v>59</v>
      </c>
      <c r="D45" s="14">
        <v>552798.21978000004</v>
      </c>
      <c r="E45" s="11">
        <v>686024.1</v>
      </c>
      <c r="F45" s="11">
        <v>665443.37699999986</v>
      </c>
      <c r="G45" s="11">
        <v>645480.07568999985</v>
      </c>
      <c r="H45" s="10">
        <v>46761.91072</v>
      </c>
      <c r="I45" s="11">
        <f>H45*0.95</f>
        <v>44423.815183999999</v>
      </c>
      <c r="J45" s="11">
        <f>I45*1.03</f>
        <v>45756.529639519998</v>
      </c>
      <c r="K45" s="11">
        <f>J45*0.96</f>
        <v>43926.268453939199</v>
      </c>
      <c r="L45" s="9">
        <v>5.2000000000000005E-2</v>
      </c>
      <c r="M45" s="12">
        <v>6.8579999999999997</v>
      </c>
      <c r="N45" s="13">
        <v>3.2000000000000002E-3</v>
      </c>
      <c r="O45" s="7">
        <f t="shared" si="9"/>
        <v>11</v>
      </c>
      <c r="P45" s="7">
        <f t="shared" si="3"/>
        <v>5</v>
      </c>
      <c r="Q45" s="7">
        <f t="shared" si="4"/>
        <v>11</v>
      </c>
      <c r="R45" s="8">
        <f>COUNTIFS($C:$C,$C45,$L:$L,"&gt;"&amp;$L45)+COUNTIFS($C$2:$C45,$C45,$L$2:$L45,$L45)</f>
        <v>10</v>
      </c>
      <c r="S45" s="7"/>
    </row>
    <row r="46" spans="1:19" x14ac:dyDescent="0.25">
      <c r="A46">
        <v>45</v>
      </c>
      <c r="B46" s="13" t="s">
        <v>11</v>
      </c>
      <c r="C46" s="13" t="s">
        <v>57</v>
      </c>
      <c r="D46" s="14">
        <v>175949.74989600002</v>
      </c>
      <c r="E46" s="11">
        <v>218354.12</v>
      </c>
      <c r="F46" s="11">
        <f>E46*0.95</f>
        <v>207436.41399999999</v>
      </c>
      <c r="G46" s="11">
        <f>F46*0.97</f>
        <v>201213.32157999999</v>
      </c>
      <c r="H46" s="10">
        <v>42377.981590000003</v>
      </c>
      <c r="I46" s="11">
        <f>H46*0.95</f>
        <v>40259.082510500004</v>
      </c>
      <c r="J46" s="11">
        <f>I46*0.97</f>
        <v>39051.310035185001</v>
      </c>
      <c r="K46" s="11">
        <f>J46*0.95</f>
        <v>37098.74453342575</v>
      </c>
      <c r="L46" s="9">
        <v>6.8000000000000005E-2</v>
      </c>
      <c r="M46" s="12">
        <v>470.7</v>
      </c>
      <c r="N46" s="13">
        <v>2.8999999999999998E-3</v>
      </c>
      <c r="O46" s="7">
        <f t="shared" si="9"/>
        <v>4</v>
      </c>
      <c r="P46" s="7">
        <f t="shared" si="3"/>
        <v>7</v>
      </c>
      <c r="Q46" s="7">
        <f t="shared" si="4"/>
        <v>10</v>
      </c>
      <c r="R46" s="8">
        <f>COUNTIFS($C:$C,$C46,$L:$L,"&gt;"&amp;$L46)+COUNTIFS($C$2:$C46,$C46,$L$2:$L46,$L46)</f>
        <v>7</v>
      </c>
      <c r="S46" s="7"/>
    </row>
    <row r="47" spans="1:19" x14ac:dyDescent="0.25">
      <c r="A47">
        <v>46</v>
      </c>
      <c r="B47" s="13" t="s">
        <v>10</v>
      </c>
      <c r="C47" s="13" t="s">
        <v>56</v>
      </c>
      <c r="D47" s="14">
        <v>41387.894441999997</v>
      </c>
      <c r="E47" s="11">
        <v>51362.49</v>
      </c>
      <c r="F47" s="11">
        <f>E47*0.96</f>
        <v>49307.990399999995</v>
      </c>
      <c r="G47" s="11">
        <f>F47*1.095</f>
        <v>53992.249487999994</v>
      </c>
      <c r="H47" s="10">
        <v>37994.052459999999</v>
      </c>
      <c r="I47" s="11">
        <f>H47*0.96</f>
        <v>36474.290361599997</v>
      </c>
      <c r="J47" s="11">
        <f>I47*1.095</f>
        <v>39939.347945951995</v>
      </c>
      <c r="K47" s="11">
        <f>J47*0.8</f>
        <v>31951.478356761596</v>
      </c>
      <c r="L47" s="9">
        <v>3.7000000000000005E-2</v>
      </c>
      <c r="M47" s="12">
        <v>10.86</v>
      </c>
      <c r="N47" s="13">
        <v>2.5999999999999999E-3</v>
      </c>
      <c r="O47" s="7">
        <f t="shared" si="9"/>
        <v>11</v>
      </c>
      <c r="P47" s="7">
        <f t="shared" si="3"/>
        <v>12</v>
      </c>
      <c r="Q47" s="7">
        <f t="shared" si="4"/>
        <v>12</v>
      </c>
      <c r="R47" s="8">
        <f>COUNTIFS($C:$C,$C47,$L:$L,"&gt;"&amp;$L47)+COUNTIFS($C$2:$C47,$C47,$L$2:$L47,$L47)</f>
        <v>11</v>
      </c>
      <c r="S47" s="7"/>
    </row>
    <row r="48" spans="1:19" x14ac:dyDescent="0.25">
      <c r="A48">
        <v>47</v>
      </c>
      <c r="B48" s="13" t="s">
        <v>9</v>
      </c>
      <c r="C48" s="13" t="s">
        <v>59</v>
      </c>
      <c r="D48" s="14">
        <v>39474.369240000007</v>
      </c>
      <c r="E48" s="11">
        <v>48987.8</v>
      </c>
      <c r="F48" s="11">
        <f>E48*0.97</f>
        <v>47518.166000000005</v>
      </c>
      <c r="G48" s="11">
        <f>F48*1.03</f>
        <v>48943.710980000003</v>
      </c>
      <c r="H48" s="10">
        <v>33610.123330000002</v>
      </c>
      <c r="I48" s="11">
        <f>H48*0.97</f>
        <v>32601.819630100003</v>
      </c>
      <c r="J48" s="11">
        <f>I48*1.03</f>
        <v>33579.874219003003</v>
      </c>
      <c r="K48" s="11">
        <f>J48*0.97</f>
        <v>32572.477992432912</v>
      </c>
      <c r="L48" s="9">
        <v>6.5000000000000002E-2</v>
      </c>
      <c r="M48" s="12">
        <v>1.264</v>
      </c>
      <c r="N48" s="13">
        <v>2.3E-3</v>
      </c>
      <c r="O48" s="7">
        <f t="shared" si="9"/>
        <v>13</v>
      </c>
      <c r="P48" s="7">
        <f t="shared" si="3"/>
        <v>12</v>
      </c>
      <c r="Q48" s="7">
        <f t="shared" si="4"/>
        <v>12</v>
      </c>
      <c r="R48" s="8">
        <f>COUNTIFS($C:$C,$C48,$L:$L,"&gt;"&amp;$L48)+COUNTIFS($C$2:$C48,$C48,$L$2:$L48,$L48)</f>
        <v>9</v>
      </c>
      <c r="S48" s="7"/>
    </row>
    <row r="49" spans="1:19" x14ac:dyDescent="0.25">
      <c r="A49">
        <v>48</v>
      </c>
      <c r="B49" s="13" t="s">
        <v>8</v>
      </c>
      <c r="C49" s="13" t="s">
        <v>56</v>
      </c>
      <c r="D49" s="14">
        <v>45647.441880000006</v>
      </c>
      <c r="E49" s="11">
        <v>56648.6</v>
      </c>
      <c r="F49" s="11">
        <f>E49*1.095</f>
        <v>62030.216999999997</v>
      </c>
      <c r="G49" s="11">
        <f>F49*1.03</f>
        <v>63891.123509999998</v>
      </c>
      <c r="H49" s="10">
        <v>30687.503909999999</v>
      </c>
      <c r="I49" s="11">
        <f>H49*1.095</f>
        <v>33602.816781449998</v>
      </c>
      <c r="J49" s="11">
        <f>I49*0.95</f>
        <v>31922.675942377497</v>
      </c>
      <c r="K49" s="11">
        <f>J49*1.095</f>
        <v>34955.330156903357</v>
      </c>
      <c r="L49" s="9">
        <v>2.7000000000000003E-2</v>
      </c>
      <c r="M49" s="12">
        <v>9.9160000000000004</v>
      </c>
      <c r="N49" s="13">
        <v>2.0999999999999999E-3</v>
      </c>
      <c r="O49" s="7">
        <f t="shared" si="9"/>
        <v>12</v>
      </c>
      <c r="P49" s="7">
        <f t="shared" si="3"/>
        <v>11</v>
      </c>
      <c r="Q49" s="7">
        <f t="shared" si="4"/>
        <v>11</v>
      </c>
      <c r="R49" s="8">
        <f>COUNTIFS($C:$C,$C49,$L:$L,"&gt;"&amp;$L49)+COUNTIFS($C$2:$C49,$C49,$L$2:$L49,$L49)</f>
        <v>12</v>
      </c>
      <c r="S49" s="7"/>
    </row>
    <row r="50" spans="1:19" x14ac:dyDescent="0.25">
      <c r="A50">
        <v>49</v>
      </c>
      <c r="B50" s="13" t="s">
        <v>7</v>
      </c>
      <c r="C50" s="13" t="s">
        <v>57</v>
      </c>
      <c r="D50" s="14">
        <v>28403.539446000006</v>
      </c>
      <c r="E50" s="11">
        <v>35248.870000000003</v>
      </c>
      <c r="F50" s="11">
        <f>E50*1.03</f>
        <v>36306.3361</v>
      </c>
      <c r="G50" s="11">
        <f>F50*1.03</f>
        <v>37395.526183000002</v>
      </c>
      <c r="H50" s="10">
        <v>29226.194200000002</v>
      </c>
      <c r="I50" s="11">
        <f>H50*1.03</f>
        <v>30102.980026000001</v>
      </c>
      <c r="J50" s="11">
        <f>I50*0.96</f>
        <v>28898.86082496</v>
      </c>
      <c r="K50" s="11">
        <f>J50*1.03</f>
        <v>29765.826649708801</v>
      </c>
      <c r="L50" s="9">
        <v>4.4999999999999998E-2</v>
      </c>
      <c r="M50" s="12">
        <v>67.73</v>
      </c>
      <c r="N50" s="13">
        <v>2E-3</v>
      </c>
      <c r="O50" s="7">
        <f t="shared" si="9"/>
        <v>10</v>
      </c>
      <c r="P50" s="7">
        <f t="shared" si="3"/>
        <v>11</v>
      </c>
      <c r="Q50" s="7">
        <f t="shared" si="4"/>
        <v>11</v>
      </c>
      <c r="R50" s="8">
        <f>COUNTIFS($C:$C,$C50,$L:$L,"&gt;"&amp;$L50)+COUNTIFS($C$2:$C50,$C50,$L$2:$L50,$L50)</f>
        <v>11</v>
      </c>
      <c r="S50" s="7"/>
    </row>
    <row r="51" spans="1:19" x14ac:dyDescent="0.25">
      <c r="A51">
        <v>50</v>
      </c>
      <c r="B51" s="13" t="s">
        <v>6</v>
      </c>
      <c r="C51" s="13" t="s">
        <v>59</v>
      </c>
      <c r="D51" s="14">
        <v>30849.077981999999</v>
      </c>
      <c r="E51" s="11">
        <v>38283.79</v>
      </c>
      <c r="F51" s="11">
        <f>E51*1.03</f>
        <v>39432.303700000004</v>
      </c>
      <c r="G51" s="11">
        <f>F51*1.03</f>
        <v>40615.272811000003</v>
      </c>
      <c r="H51" s="10">
        <v>26303.574779999999</v>
      </c>
      <c r="I51" s="11">
        <f>H51*1.03</f>
        <v>27092.682023400001</v>
      </c>
      <c r="J51" s="11">
        <f>I51*0.97</f>
        <v>26279.901562698</v>
      </c>
      <c r="K51" s="11">
        <f>J51*1.03</f>
        <v>27068.298609578942</v>
      </c>
      <c r="L51" s="9">
        <v>4.5999999999999999E-2</v>
      </c>
      <c r="M51" s="12">
        <v>5.851</v>
      </c>
      <c r="N51" s="13">
        <v>1.8E-3</v>
      </c>
      <c r="O51" s="7">
        <f t="shared" si="9"/>
        <v>12</v>
      </c>
      <c r="P51" s="7">
        <f t="shared" si="3"/>
        <v>13</v>
      </c>
      <c r="Q51" s="7">
        <f t="shared" si="4"/>
        <v>13</v>
      </c>
      <c r="R51" s="8">
        <f>COUNTIFS($C:$C,$C51,$L:$L,"&gt;"&amp;$L51)+COUNTIFS($C$2:$C51,$C51,$L$2:$L51,$L51)</f>
        <v>12</v>
      </c>
      <c r="S51" s="7"/>
    </row>
    <row r="52" spans="1:19" x14ac:dyDescent="0.25">
      <c r="H52" s="54"/>
      <c r="I52" s="54"/>
      <c r="J52" s="54"/>
      <c r="K52" s="54"/>
    </row>
    <row r="53" spans="1:19" x14ac:dyDescent="0.25">
      <c r="J53" s="11"/>
    </row>
  </sheetData>
  <autoFilter ref="A1:R52" xr:uid="{00000000-0009-0000-0000-000002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theme="7" tint="0.39997558519241921"/>
  </sheetPr>
  <dimension ref="A1:Y102"/>
  <sheetViews>
    <sheetView workbookViewId="0">
      <pane ySplit="1" topLeftCell="A2" activePane="bottomLeft" state="frozen"/>
      <selection pane="bottomLeft" activeCell="J1" sqref="J1:M1"/>
    </sheetView>
  </sheetViews>
  <sheetFormatPr defaultRowHeight="15" x14ac:dyDescent="0.25"/>
  <cols>
    <col min="1" max="1" width="6" customWidth="1"/>
    <col min="2" max="2" width="22.5703125" customWidth="1"/>
    <col min="3" max="3" width="14.140625" customWidth="1"/>
    <col min="4" max="7" width="13.140625" customWidth="1"/>
    <col min="8" max="8" width="15" customWidth="1"/>
    <col min="9" max="9" width="16.42578125" customWidth="1"/>
    <col min="10" max="13" width="12.140625" customWidth="1"/>
    <col min="14" max="14" width="14.28515625" bestFit="1" customWidth="1"/>
    <col min="15" max="15" width="14.140625" customWidth="1"/>
    <col min="16" max="16" width="12.42578125" customWidth="1"/>
    <col min="17" max="17" width="14.28515625" bestFit="1" customWidth="1"/>
    <col min="18" max="18" width="14" bestFit="1" customWidth="1"/>
    <col min="19" max="19" width="16.28515625" bestFit="1" customWidth="1"/>
    <col min="21" max="21" width="13.7109375" customWidth="1"/>
    <col min="22" max="22" width="9.5703125" bestFit="1" customWidth="1"/>
    <col min="23" max="23" width="15.85546875" customWidth="1"/>
    <col min="24" max="24" width="9.5703125" bestFit="1" customWidth="1"/>
    <col min="29" max="31" width="6.140625" customWidth="1"/>
  </cols>
  <sheetData>
    <row r="1" spans="1:19" x14ac:dyDescent="0.25">
      <c r="A1" t="s">
        <v>63</v>
      </c>
      <c r="B1" s="19" t="s">
        <v>106</v>
      </c>
      <c r="C1" s="19" t="s">
        <v>107</v>
      </c>
      <c r="D1" s="19" t="s">
        <v>125</v>
      </c>
      <c r="E1" s="19" t="s">
        <v>126</v>
      </c>
      <c r="F1" s="19" t="s">
        <v>127</v>
      </c>
      <c r="G1" s="19" t="s">
        <v>128</v>
      </c>
      <c r="H1" s="19" t="s">
        <v>108</v>
      </c>
      <c r="I1" s="19" t="s">
        <v>109</v>
      </c>
      <c r="J1" s="40" t="s">
        <v>129</v>
      </c>
      <c r="K1" s="40" t="s">
        <v>130</v>
      </c>
      <c r="L1" s="40" t="s">
        <v>131</v>
      </c>
      <c r="M1" s="40" t="s">
        <v>132</v>
      </c>
      <c r="N1" s="19" t="s">
        <v>64</v>
      </c>
      <c r="O1" s="19" t="s">
        <v>0</v>
      </c>
      <c r="P1" s="19" t="s">
        <v>66</v>
      </c>
      <c r="Q1" s="19" t="s">
        <v>70</v>
      </c>
      <c r="R1" s="19" t="s">
        <v>0</v>
      </c>
      <c r="S1" s="19" t="s">
        <v>70</v>
      </c>
    </row>
    <row r="2" spans="1:19" x14ac:dyDescent="0.25">
      <c r="A2">
        <v>1</v>
      </c>
      <c r="B2" t="s">
        <v>59</v>
      </c>
      <c r="C2" s="23" t="str">
        <f>INDEX(Data!$B$2:$B$51,MATCH(1,INDEX((Data!$C$2:$C$51=B2)*(Data!$P$2:$P$51=A2),0),0))</f>
        <v>California</v>
      </c>
      <c r="D2" s="16">
        <f>SUMPRODUCT((Data!$B$2:$B$51=C2)*(Data!$C$2:$C$51=B2)*(Data!$D$2:$D$51))</f>
        <v>1787984.7286865602</v>
      </c>
      <c r="E2" s="16">
        <f>SUMPRODUCT((Data!$B$2:$B$51=$C2)*(Data!$C$2:$C$51=$B2)*(Data!E$2:E$51))</f>
        <v>2340508.5920000002</v>
      </c>
      <c r="F2" s="16">
        <f>SUMPRODUCT((Data!$B$2:$B$51=$C2)*(Data!$C$2:$C$51=$B2)*(Data!F$2:F$51))</f>
        <v>2410723.8497600006</v>
      </c>
      <c r="G2" s="16">
        <f>SUMPRODUCT((Data!$B$2:$B$51=$C2)*(Data!$C$2:$C$51=$B2)*(Data!G$2:G$51))</f>
        <v>2483045.5652528009</v>
      </c>
      <c r="H2" t="s">
        <v>59</v>
      </c>
      <c r="I2" s="23" t="str">
        <f>INDEX(Data!$B$2:$B$51,MATCH(1,INDEX((Data!$C$2:$C$51=B2)*(Data!$Q$2:$Q$51=A2),0),0))</f>
        <v>California</v>
      </c>
      <c r="J2" s="16">
        <f>SUMPRODUCT((Data!$B$2:$B$51=$I2)*(Data!$C$2:$C$51=$H2)*(Data!H$2:H$51))</f>
        <v>1089787.0131937501</v>
      </c>
      <c r="K2" s="16">
        <f>SUMPRODUCT((Data!$B$2:$B$51=$I2)*(Data!$C$2:$C$51=$H2)*(Data!I$2:I$51))</f>
        <v>1122480.6235895625</v>
      </c>
      <c r="L2" s="16">
        <f>SUMPRODUCT((Data!$B$2:$B$51=$I2)*(Data!$C$2:$C$51=$H2)*(Data!J$2:J$51))</f>
        <v>1156155.0422972494</v>
      </c>
      <c r="M2" s="16">
        <f>SUMPRODUCT((Data!$B$2:$B$51=$I2)*(Data!$C$2:$C$51=$H2)*(Data!K$2:K$51))</f>
        <v>1167716.592720222</v>
      </c>
      <c r="N2" t="s">
        <v>59</v>
      </c>
      <c r="O2" s="23" t="str">
        <f>INDEX(Data!$B$2:$B$51,MATCH(1,INDEX((Data!$C$2:$C$51=N2)*(Data!$O$2:$O$51=A2),0),0))</f>
        <v>California</v>
      </c>
      <c r="P2" s="16">
        <f>SUMPRODUCT((Data!$B$2:$B$51=O2)*(Data!$C$2:$C$51=N2)*(Data!$M$2:$M$51))</f>
        <v>244.2</v>
      </c>
      <c r="Q2" t="s">
        <v>59</v>
      </c>
      <c r="R2" s="23" t="str">
        <f>INDEX(Data!$B$2:$B$51,MATCH(1,INDEX((Data!$C$2:$C$51=Q2)*(Data!$R$2:$R$51=A2),0),0))</f>
        <v>Nevada</v>
      </c>
      <c r="S2" s="17">
        <f>SUMPRODUCT((Data!$B$2:$B$51=R2)*(Data!$C$2:$C$51=Q2)*(Data!$L$2:$L$51))</f>
        <v>9.3000000000000013E-2</v>
      </c>
    </row>
    <row r="3" spans="1:19" x14ac:dyDescent="0.25">
      <c r="A3">
        <v>2</v>
      </c>
      <c r="B3" t="s">
        <v>59</v>
      </c>
      <c r="C3" s="23" t="str">
        <f>INDEX(Data!$B$2:$B$51,MATCH(1,INDEX((Data!$C$2:$C$51=B3)*(Data!$P$2:$P$51=A3),0),0))</f>
        <v>Washington</v>
      </c>
      <c r="D3" s="16">
        <f>SUMPRODUCT((Data!$B$2:$B$51=C3)*(Data!$C$2:$C$51=B3)*(Data!$D$2:$D$51))</f>
        <v>820326.88940400002</v>
      </c>
      <c r="E3" s="16">
        <f>SUMPRODUCT((Data!$B$2:$B$51=$C3)*(Data!$C$2:$C$51=$B3)*(Data!E$2:E$51))</f>
        <v>1048877.24</v>
      </c>
      <c r="F3" s="16">
        <f>SUMPRODUCT((Data!$B$2:$B$51=$C3)*(Data!$C$2:$C$51=$B3)*(Data!F$2:F$51))</f>
        <v>996433.37799999991</v>
      </c>
      <c r="G3" s="16">
        <f>SUMPRODUCT((Data!$B$2:$B$51=$C3)*(Data!$C$2:$C$51=$B3)*(Data!G$2:G$51))</f>
        <v>1066183.7144599999</v>
      </c>
      <c r="H3" t="s">
        <v>59</v>
      </c>
      <c r="I3" s="23" t="str">
        <f>INDEX(Data!$B$2:$B$51,MATCH(1,INDEX((Data!$C$2:$C$51=B3)*(Data!$Q$2:$Q$51=A3),0),0))</f>
        <v>Washington</v>
      </c>
      <c r="J3" s="16">
        <f>SUMPRODUCT((Data!$B$2:$B$51=$I3)*(Data!$C$2:$C$51=$H3)*(Data!H$2:H$51))</f>
        <v>628363.1753</v>
      </c>
      <c r="K3" s="16">
        <f>SUMPRODUCT((Data!$B$2:$B$51=$I3)*(Data!$C$2:$C$51=$H3)*(Data!I$2:I$51))</f>
        <v>596945.01653499994</v>
      </c>
      <c r="L3" s="16">
        <f>SUMPRODUCT((Data!$B$2:$B$51=$I3)*(Data!$C$2:$C$51=$H3)*(Data!J$2:J$51))</f>
        <v>638731.16769244999</v>
      </c>
      <c r="M3" s="16">
        <f>SUMPRODUCT((Data!$B$2:$B$51=$I3)*(Data!$C$2:$C$51=$H3)*(Data!K$2:K$51))</f>
        <v>606794.60930782743</v>
      </c>
      <c r="N3" t="s">
        <v>59</v>
      </c>
      <c r="O3" s="23" t="str">
        <f>INDEX(Data!$B$2:$B$51,MATCH(1,INDEX((Data!$C$2:$C$51=N3)*(Data!$O$2:$O$51=A3),0),0))</f>
        <v>Hawaii</v>
      </c>
      <c r="P3" s="16">
        <f>SUMPRODUCT((Data!$B$2:$B$51=O3)*(Data!$C$2:$C$51=N3)*(Data!$M$2:$M$51))</f>
        <v>216.8</v>
      </c>
      <c r="Q3" t="s">
        <v>59</v>
      </c>
      <c r="R3" s="23" t="str">
        <f>INDEX(Data!$B$2:$B$51,MATCH(1,INDEX((Data!$C$2:$C$51=Q3)*(Data!$R$2:$R$51=A3),0),0))</f>
        <v>California</v>
      </c>
      <c r="S3" s="17">
        <f>SUMPRODUCT((Data!$B$2:$B$51=R3)*(Data!$C$2:$C$51=Q3)*(Data!$L$2:$L$51))</f>
        <v>8.6999999999999994E-2</v>
      </c>
    </row>
    <row r="4" spans="1:19" x14ac:dyDescent="0.25">
      <c r="A4">
        <v>3</v>
      </c>
      <c r="B4" t="s">
        <v>59</v>
      </c>
      <c r="C4" s="23" t="str">
        <f>INDEX(Data!$B$2:$B$51,MATCH(1,INDEX((Data!$C$2:$C$51=B4)*(Data!$P$2:$P$51=A4),0),0))</f>
        <v>Colorado</v>
      </c>
      <c r="D4" s="16">
        <f>SUMPRODUCT((Data!$B$2:$B$51=C4)*(Data!$C$2:$C$51=B4)*(Data!$D$2:$D$51))</f>
        <v>645274.74904200004</v>
      </c>
      <c r="E4" s="16">
        <f>SUMPRODUCT((Data!$B$2:$B$51=$C4)*(Data!$C$2:$C$51=$B4)*(Data!E$2:E$51))</f>
        <v>825054.02</v>
      </c>
      <c r="F4" s="16">
        <f>SUMPRODUCT((Data!$B$2:$B$51=$C4)*(Data!$C$2:$C$51=$B4)*(Data!F$2:F$51))</f>
        <v>849805.64060000004</v>
      </c>
      <c r="G4" s="16">
        <f>SUMPRODUCT((Data!$B$2:$B$51=$C4)*(Data!$C$2:$C$51=$B4)*(Data!G$2:G$51))</f>
        <v>807315.35857000004</v>
      </c>
      <c r="H4" t="s">
        <v>59</v>
      </c>
      <c r="I4" s="23" t="str">
        <f>INDEX(Data!$B$2:$B$51,MATCH(1,INDEX((Data!$C$2:$C$51=B4)*(Data!$Q$2:$Q$51=A4),0),0))</f>
        <v>Arizona</v>
      </c>
      <c r="J4" s="16">
        <f>SUMPRODUCT((Data!$B$2:$B$51=$I4)*(Data!$C$2:$C$51=$H4)*(Data!H$2:H$51))</f>
        <v>596214.36167999997</v>
      </c>
      <c r="K4" s="16">
        <f>SUMPRODUCT((Data!$B$2:$B$51=$I4)*(Data!$C$2:$C$51=$H4)*(Data!I$2:I$51))</f>
        <v>614100.79253039998</v>
      </c>
      <c r="L4" s="16">
        <f>SUMPRODUCT((Data!$B$2:$B$51=$I4)*(Data!$C$2:$C$51=$H4)*(Data!J$2:J$51))</f>
        <v>583395.75290387997</v>
      </c>
      <c r="M4" s="16">
        <f>SUMPRODUCT((Data!$B$2:$B$51=$I4)*(Data!$C$2:$C$51=$H4)*(Data!K$2:K$51))</f>
        <v>466716.60232310399</v>
      </c>
      <c r="N4" t="s">
        <v>59</v>
      </c>
      <c r="O4" s="23" t="str">
        <f>INDEX(Data!$B$2:$B$51,MATCH(1,INDEX((Data!$C$2:$C$51=N4)*(Data!$O$2:$O$51=A4),0),0))</f>
        <v>Washington</v>
      </c>
      <c r="P4" s="16">
        <f>SUMPRODUCT((Data!$B$2:$B$51=O4)*(Data!$C$2:$C$51=N4)*(Data!$M$2:$M$51))</f>
        <v>102.6</v>
      </c>
      <c r="Q4" t="s">
        <v>59</v>
      </c>
      <c r="R4" s="23" t="str">
        <f>INDEX(Data!$B$2:$B$51,MATCH(1,INDEX((Data!$C$2:$C$51=Q4)*(Data!$R$2:$R$51=A4),0),0))</f>
        <v>Arizona</v>
      </c>
      <c r="S4" s="17">
        <f>SUMPRODUCT((Data!$B$2:$B$51=R4)*(Data!$C$2:$C$51=Q4)*(Data!$L$2:$L$51))</f>
        <v>8.199999999999999E-2</v>
      </c>
    </row>
    <row r="5" spans="1:19" x14ac:dyDescent="0.25">
      <c r="A5">
        <v>4</v>
      </c>
      <c r="B5" t="s">
        <v>59</v>
      </c>
      <c r="C5" s="23" t="str">
        <f>INDEX(Data!$B$2:$B$51,MATCH(1,INDEX((Data!$C$2:$C$51=B5)*(Data!$P$2:$P$51=A5),0),0))</f>
        <v>Arizona</v>
      </c>
      <c r="D5" s="16">
        <f>SUMPRODUCT((Data!$B$2:$B$51=C5)*(Data!$C$2:$C$51=B5)*(Data!$D$2:$D$51))</f>
        <v>545130.51991200005</v>
      </c>
      <c r="E5" s="16">
        <f>SUMPRODUCT((Data!$B$2:$B$51=$C5)*(Data!$C$2:$C$51=$B5)*(Data!E$2:E$51))</f>
        <v>697008.72</v>
      </c>
      <c r="F5" s="16">
        <f>SUMPRODUCT((Data!$B$2:$B$51=$C5)*(Data!$C$2:$C$51=$B5)*(Data!F$2:F$51))</f>
        <v>717918.98159999994</v>
      </c>
      <c r="G5" s="16">
        <f>SUMPRODUCT((Data!$B$2:$B$51=$C5)*(Data!$C$2:$C$51=$B5)*(Data!G$2:G$51))</f>
        <v>682023.03251999989</v>
      </c>
      <c r="H5" t="s">
        <v>59</v>
      </c>
      <c r="I5" s="23" t="str">
        <f>INDEX(Data!$B$2:$B$51,MATCH(1,INDEX((Data!$C$2:$C$51=B5)*(Data!$Q$2:$Q$51=A5),0),0))</f>
        <v>Oregon</v>
      </c>
      <c r="J5" s="16">
        <f>SUMPRODUCT((Data!$B$2:$B$51=$I5)*(Data!$C$2:$C$51=$H5)*(Data!H$2:H$51))</f>
        <v>356559.56923999998</v>
      </c>
      <c r="K5" s="16">
        <f>SUMPRODUCT((Data!$B$2:$B$51=$I5)*(Data!$C$2:$C$51=$H5)*(Data!I$2:I$51))</f>
        <v>342297.18647039996</v>
      </c>
      <c r="L5" s="16">
        <f>SUMPRODUCT((Data!$B$2:$B$51=$I5)*(Data!$C$2:$C$51=$H5)*(Data!J$2:J$51))</f>
        <v>352566.10206451197</v>
      </c>
      <c r="M5" s="16">
        <f>SUMPRODUCT((Data!$B$2:$B$51=$I5)*(Data!$C$2:$C$51=$H5)*(Data!K$2:K$51))</f>
        <v>338463.45798193145</v>
      </c>
      <c r="N5" t="s">
        <v>59</v>
      </c>
      <c r="O5" s="23" t="str">
        <f>INDEX(Data!$B$2:$B$51,MATCH(1,INDEX((Data!$C$2:$C$51=N5)*(Data!$O$2:$O$51=A5),0),0))</f>
        <v>Arizona</v>
      </c>
      <c r="P5" s="16">
        <f>SUMPRODUCT((Data!$B$2:$B$51=O5)*(Data!$C$2:$C$51=N5)*(Data!$M$2:$M$51))</f>
        <v>57.05</v>
      </c>
      <c r="Q5" t="s">
        <v>59</v>
      </c>
      <c r="R5" s="23" t="str">
        <f>INDEX(Data!$B$2:$B$51,MATCH(1,INDEX((Data!$C$2:$C$51=Q5)*(Data!$R$2:$R$51=A5),0),0))</f>
        <v>Oregon</v>
      </c>
      <c r="S5" s="17">
        <f>SUMPRODUCT((Data!$B$2:$B$51=R5)*(Data!$C$2:$C$51=Q5)*(Data!$L$2:$L$51))</f>
        <v>7.6999999999999999E-2</v>
      </c>
    </row>
    <row r="6" spans="1:19" x14ac:dyDescent="0.25">
      <c r="A6">
        <v>5</v>
      </c>
      <c r="B6" t="s">
        <v>59</v>
      </c>
      <c r="C6" s="23" t="str">
        <f>INDEX(Data!$B$2:$B$51,MATCH(1,INDEX((Data!$C$2:$C$51=B6)*(Data!$P$2:$P$51=A6),0),0))</f>
        <v>Montana</v>
      </c>
      <c r="D6" s="16">
        <f>SUMPRODUCT((Data!$B$2:$B$51=C6)*(Data!$C$2:$C$51=B6)*(Data!$D$2:$D$51))</f>
        <v>552798.21978000004</v>
      </c>
      <c r="E6" s="16">
        <f>SUMPRODUCT((Data!$B$2:$B$51=$C6)*(Data!$C$2:$C$51=$B6)*(Data!E$2:E$51))</f>
        <v>686024.1</v>
      </c>
      <c r="F6" s="16">
        <f>SUMPRODUCT((Data!$B$2:$B$51=$C6)*(Data!$C$2:$C$51=$B6)*(Data!F$2:F$51))</f>
        <v>665443.37699999986</v>
      </c>
      <c r="G6" s="16">
        <f>SUMPRODUCT((Data!$B$2:$B$51=$C6)*(Data!$C$2:$C$51=$B6)*(Data!G$2:G$51))</f>
        <v>645480.07568999985</v>
      </c>
      <c r="H6" t="s">
        <v>59</v>
      </c>
      <c r="I6" s="23" t="str">
        <f>INDEX(Data!$B$2:$B$51,MATCH(1,INDEX((Data!$C$2:$C$51=B6)*(Data!$Q$2:$Q$51=A6),0),0))</f>
        <v>Colorado</v>
      </c>
      <c r="J6" s="16">
        <f>SUMPRODUCT((Data!$B$2:$B$51=$I6)*(Data!$C$2:$C$51=$H6)*(Data!H$2:H$51))</f>
        <v>235270.86330999999</v>
      </c>
      <c r="K6" s="16">
        <f>SUMPRODUCT((Data!$B$2:$B$51=$I6)*(Data!$C$2:$C$51=$H6)*(Data!I$2:I$51))</f>
        <v>242328.98920929999</v>
      </c>
      <c r="L6" s="16">
        <f>SUMPRODUCT((Data!$B$2:$B$51=$I6)*(Data!$C$2:$C$51=$H6)*(Data!J$2:J$51))</f>
        <v>230212.53974883497</v>
      </c>
      <c r="M6" s="16">
        <f>SUMPRODUCT((Data!$B$2:$B$51=$I6)*(Data!$C$2:$C$51=$H6)*(Data!K$2:K$51))</f>
        <v>221004.03815888157</v>
      </c>
      <c r="N6" t="s">
        <v>59</v>
      </c>
      <c r="O6" s="23" t="str">
        <f>INDEX(Data!$B$2:$B$51,MATCH(1,INDEX((Data!$C$2:$C$51=N6)*(Data!$O$2:$O$51=A6),0),0))</f>
        <v>Colorado</v>
      </c>
      <c r="P6" s="16">
        <f>SUMPRODUCT((Data!$B$2:$B$51=O6)*(Data!$C$2:$C$51=N6)*(Data!$M$2:$M$51))</f>
        <v>49.33</v>
      </c>
      <c r="Q6" t="s">
        <v>59</v>
      </c>
      <c r="R6" s="23" t="str">
        <f>INDEX(Data!$B$2:$B$51,MATCH(1,INDEX((Data!$C$2:$C$51=Q6)*(Data!$R$2:$R$51=A6),0),0))</f>
        <v>Washington</v>
      </c>
      <c r="S6" s="17">
        <f>SUMPRODUCT((Data!$B$2:$B$51=R6)*(Data!$C$2:$C$51=Q6)*(Data!$L$2:$L$51))</f>
        <v>7.0000000000000007E-2</v>
      </c>
    </row>
    <row r="7" spans="1:19" x14ac:dyDescent="0.25">
      <c r="A7">
        <v>6</v>
      </c>
      <c r="B7" t="s">
        <v>59</v>
      </c>
      <c r="C7" s="23" t="str">
        <f>INDEX(Data!$B$2:$B$51,MATCH(1,INDEX((Data!$C$2:$C$51=B7)*(Data!$P$2:$P$51=A7),0),0))</f>
        <v>Oregon</v>
      </c>
      <c r="D7" s="16">
        <f>SUMPRODUCT((Data!$B$2:$B$51=C7)*(Data!$C$2:$C$51=B7)*(Data!$D$2:$D$51))</f>
        <v>177666.544242</v>
      </c>
      <c r="E7" s="16">
        <f>SUMPRODUCT((Data!$B$2:$B$51=$C7)*(Data!$C$2:$C$51=$B7)*(Data!E$2:E$51))</f>
        <v>227166.02</v>
      </c>
      <c r="F7" s="16">
        <f>SUMPRODUCT((Data!$B$2:$B$51=$C7)*(Data!$C$2:$C$51=$B7)*(Data!F$2:F$51))</f>
        <v>218079.3792</v>
      </c>
      <c r="G7" s="16">
        <f>SUMPRODUCT((Data!$B$2:$B$51=$C7)*(Data!$C$2:$C$51=$B7)*(Data!G$2:G$51))</f>
        <v>224621.760576</v>
      </c>
      <c r="H7" t="s">
        <v>59</v>
      </c>
      <c r="I7" s="23" t="str">
        <f>INDEX(Data!$B$2:$B$51,MATCH(1,INDEX((Data!$C$2:$C$51=B7)*(Data!$Q$2:$Q$51=A7),0),0))</f>
        <v>Utah</v>
      </c>
      <c r="J7" s="16">
        <f>SUMPRODUCT((Data!$B$2:$B$51=$I7)*(Data!$C$2:$C$51=$H7)*(Data!H$2:H$51))</f>
        <v>128595.25448</v>
      </c>
      <c r="K7" s="16">
        <f>SUMPRODUCT((Data!$B$2:$B$51=$I7)*(Data!$C$2:$C$51=$H7)*(Data!I$2:I$51))</f>
        <v>132453.11211440002</v>
      </c>
      <c r="L7" s="16">
        <f>SUMPRODUCT((Data!$B$2:$B$51=$I7)*(Data!$C$2:$C$51=$H7)*(Data!J$2:J$51))</f>
        <v>136426.70547783203</v>
      </c>
      <c r="M7" s="16">
        <f>SUMPRODUCT((Data!$B$2:$B$51=$I7)*(Data!$C$2:$C$51=$H7)*(Data!K$2:K$51))</f>
        <v>140519.50664216699</v>
      </c>
      <c r="N7" t="s">
        <v>59</v>
      </c>
      <c r="O7" s="23" t="str">
        <f>INDEX(Data!$B$2:$B$51,MATCH(1,INDEX((Data!$C$2:$C$51=N7)*(Data!$O$2:$O$51=A7),0),0))</f>
        <v>Oregon</v>
      </c>
      <c r="P7" s="16">
        <f>SUMPRODUCT((Data!$B$2:$B$51=O7)*(Data!$C$2:$C$51=N7)*(Data!$M$2:$M$51))</f>
        <v>40.33</v>
      </c>
      <c r="Q7" t="s">
        <v>59</v>
      </c>
      <c r="R7" s="23" t="str">
        <f>INDEX(Data!$B$2:$B$51,MATCH(1,INDEX((Data!$C$2:$C$51=Q7)*(Data!$R$2:$R$51=A7),0),0))</f>
        <v>Colorado</v>
      </c>
      <c r="S7" s="17">
        <f>SUMPRODUCT((Data!$B$2:$B$51=R7)*(Data!$C$2:$C$51=Q7)*(Data!$L$2:$L$51))</f>
        <v>6.8000000000000005E-2</v>
      </c>
    </row>
    <row r="8" spans="1:19" x14ac:dyDescent="0.25">
      <c r="A8">
        <v>7</v>
      </c>
      <c r="B8" t="s">
        <v>59</v>
      </c>
      <c r="C8" s="23" t="str">
        <f>INDEX(Data!$B$2:$B$51,MATCH(1,INDEX((Data!$C$2:$C$51=B8)*(Data!$P$2:$P$51=A8),0),0))</f>
        <v>Idaho</v>
      </c>
      <c r="D8" s="16">
        <f>SUMPRODUCT((Data!$B$2:$B$51=C8)*(Data!$C$2:$C$51=B8)*(Data!$D$2:$D$51))</f>
        <v>184266.07326000003</v>
      </c>
      <c r="E8" s="16">
        <f>SUMPRODUCT((Data!$B$2:$B$51=$C8)*(Data!$C$2:$C$51=$B8)*(Data!E$2:E$51))</f>
        <v>228674.69999999998</v>
      </c>
      <c r="F8" s="16">
        <f>SUMPRODUCT((Data!$B$2:$B$51=$C8)*(Data!$C$2:$C$51=$B8)*(Data!F$2:F$51))</f>
        <v>221814.45899999997</v>
      </c>
      <c r="G8" s="16">
        <f>SUMPRODUCT((Data!$B$2:$B$51=$C8)*(Data!$C$2:$C$51=$B8)*(Data!G$2:G$51))</f>
        <v>215160.02522999997</v>
      </c>
      <c r="H8" t="s">
        <v>59</v>
      </c>
      <c r="I8" s="23" t="str">
        <f>INDEX(Data!$B$2:$B$51,MATCH(1,INDEX((Data!$C$2:$C$51=B8)*(Data!$Q$2:$Q$51=A8),0),0))</f>
        <v>Nevada</v>
      </c>
      <c r="J8" s="16">
        <f>SUMPRODUCT((Data!$B$2:$B$51=$I8)*(Data!$C$2:$C$51=$H8)*(Data!H$2:H$51))</f>
        <v>125672.63506</v>
      </c>
      <c r="K8" s="16">
        <f>SUMPRODUCT((Data!$B$2:$B$51=$I8)*(Data!$C$2:$C$51=$H8)*(Data!I$2:I$51))</f>
        <v>129442.81411180001</v>
      </c>
      <c r="L8" s="16">
        <f>SUMPRODUCT((Data!$B$2:$B$51=$I8)*(Data!$C$2:$C$51=$H8)*(Data!J$2:J$51))</f>
        <v>133326.09853515401</v>
      </c>
      <c r="M8" s="16">
        <f>SUMPRODUCT((Data!$B$2:$B$51=$I8)*(Data!$C$2:$C$51=$H8)*(Data!K$2:K$51))</f>
        <v>137325.88149120865</v>
      </c>
      <c r="N8" t="s">
        <v>59</v>
      </c>
      <c r="O8" s="23" t="str">
        <f>INDEX(Data!$B$2:$B$51,MATCH(1,INDEX((Data!$C$2:$C$51=N8)*(Data!$O$2:$O$51=A8),0),0))</f>
        <v>Utah</v>
      </c>
      <c r="P8" s="16">
        <f>SUMPRODUCT((Data!$B$2:$B$51=O8)*(Data!$C$2:$C$51=N8)*(Data!$M$2:$M$51))</f>
        <v>34.299999999999997</v>
      </c>
      <c r="Q8" t="s">
        <v>59</v>
      </c>
      <c r="R8" s="23" t="str">
        <f>INDEX(Data!$B$2:$B$51,MATCH(1,INDEX((Data!$C$2:$C$51=Q8)*(Data!$R$2:$R$51=A8),0),0))</f>
        <v>Idaho</v>
      </c>
      <c r="S8" s="17">
        <f>SUMPRODUCT((Data!$B$2:$B$51=R8)*(Data!$C$2:$C$51=Q8)*(Data!$L$2:$L$51))</f>
        <v>6.7000000000000004E-2</v>
      </c>
    </row>
    <row r="9" spans="1:19" x14ac:dyDescent="0.25">
      <c r="A9">
        <v>8</v>
      </c>
      <c r="B9" t="s">
        <v>59</v>
      </c>
      <c r="C9" s="23" t="str">
        <f>INDEX(Data!$B$2:$B$51,MATCH(1,INDEX((Data!$C$2:$C$51=B9)*(Data!$P$2:$P$51=A9),0),0))</f>
        <v>New Mexico</v>
      </c>
      <c r="D9" s="16">
        <f>SUMPRODUCT((Data!$B$2:$B$51=C9)*(Data!$C$2:$C$51=B9)*(Data!$D$2:$D$51))</f>
        <v>182700.50055599998</v>
      </c>
      <c r="E9" s="16">
        <f>SUMPRODUCT((Data!$B$2:$B$51=$C9)*(Data!$C$2:$C$51=$B9)*(Data!E$2:E$51))</f>
        <v>235986.18</v>
      </c>
      <c r="F9" s="16">
        <f>SUMPRODUCT((Data!$B$2:$B$51=$C9)*(Data!$C$2:$C$51=$B9)*(Data!F$2:F$51))</f>
        <v>224186.87099999998</v>
      </c>
      <c r="G9" s="16">
        <f>SUMPRODUCT((Data!$B$2:$B$51=$C9)*(Data!$C$2:$C$51=$B9)*(Data!G$2:G$51))</f>
        <v>212977.52744999999</v>
      </c>
      <c r="H9" t="s">
        <v>59</v>
      </c>
      <c r="I9" s="23" t="str">
        <f>INDEX(Data!$B$2:$B$51,MATCH(1,INDEX((Data!$C$2:$C$51=B9)*(Data!$Q$2:$Q$51=A9),0),0))</f>
        <v>New Mexico</v>
      </c>
      <c r="J9" s="16">
        <f>SUMPRODUCT((Data!$B$2:$B$51=$I9)*(Data!$C$2:$C$51=$H9)*(Data!H$2:H$51))</f>
        <v>96446.440860000002</v>
      </c>
      <c r="K9" s="16">
        <f>SUMPRODUCT((Data!$B$2:$B$51=$I9)*(Data!$C$2:$C$51=$H9)*(Data!I$2:I$51))</f>
        <v>91624.118816999995</v>
      </c>
      <c r="L9" s="16">
        <f>SUMPRODUCT((Data!$B$2:$B$51=$I9)*(Data!$C$2:$C$51=$H9)*(Data!J$2:J$51))</f>
        <v>87042.912876149989</v>
      </c>
      <c r="M9" s="16">
        <f>SUMPRODUCT((Data!$B$2:$B$51=$I9)*(Data!$C$2:$C$51=$H9)*(Data!K$2:K$51))</f>
        <v>82690.767232342492</v>
      </c>
      <c r="N9" t="s">
        <v>59</v>
      </c>
      <c r="O9" s="23" t="str">
        <f>INDEX(Data!$B$2:$B$51,MATCH(1,INDEX((Data!$C$2:$C$51=N9)*(Data!$O$2:$O$51=A9),0),0))</f>
        <v>Nevada</v>
      </c>
      <c r="P9" s="16">
        <f>SUMPRODUCT((Data!$B$2:$B$51=O9)*(Data!$C$2:$C$51=N9)*(Data!$M$2:$M$51))</f>
        <v>24.8</v>
      </c>
      <c r="Q9" t="s">
        <v>59</v>
      </c>
      <c r="R9" s="23" t="str">
        <f>INDEX(Data!$B$2:$B$51,MATCH(1,INDEX((Data!$C$2:$C$51=Q9)*(Data!$R$2:$R$51=A9),0),0))</f>
        <v>New Mexico</v>
      </c>
      <c r="S9" s="17">
        <f>SUMPRODUCT((Data!$B$2:$B$51=R9)*(Data!$C$2:$C$51=Q9)*(Data!$L$2:$L$51))</f>
        <v>6.6000000000000003E-2</v>
      </c>
    </row>
    <row r="10" spans="1:19" x14ac:dyDescent="0.25">
      <c r="A10">
        <v>9</v>
      </c>
      <c r="B10" t="s">
        <v>59</v>
      </c>
      <c r="C10" s="23" t="str">
        <f>INDEX(Data!$B$2:$B$51,MATCH(1,INDEX((Data!$C$2:$C$51=B10)*(Data!$P$2:$P$51=A10),0),0))</f>
        <v>Hawaii</v>
      </c>
      <c r="D10" s="16">
        <f>SUMPRODUCT((Data!$B$2:$B$51=C10)*(Data!$C$2:$C$51=B10)*(Data!$D$2:$D$51))</f>
        <v>157410.88657200002</v>
      </c>
      <c r="E10" s="16">
        <f>SUMPRODUCT((Data!$B$2:$B$51=$C10)*(Data!$C$2:$C$51=$B10)*(Data!E$2:E$51))</f>
        <v>195347.34</v>
      </c>
      <c r="F10" s="16">
        <f>SUMPRODUCT((Data!$B$2:$B$51=$C10)*(Data!$C$2:$C$51=$B10)*(Data!F$2:F$51))</f>
        <v>213905.33730000001</v>
      </c>
      <c r="G10" s="16">
        <f>SUMPRODUCT((Data!$B$2:$B$51=$C10)*(Data!$C$2:$C$51=$B10)*(Data!G$2:G$51))</f>
        <v>207488.17718100001</v>
      </c>
      <c r="H10" t="s">
        <v>59</v>
      </c>
      <c r="I10" s="23" t="str">
        <f>INDEX(Data!$B$2:$B$51,MATCH(1,INDEX((Data!$C$2:$C$51=B10)*(Data!$Q$2:$Q$51=A10),0),0))</f>
        <v>Hawaii</v>
      </c>
      <c r="J10" s="16">
        <f>SUMPRODUCT((Data!$B$2:$B$51=$I10)*(Data!$C$2:$C$51=$H10)*(Data!H$2:H$51))</f>
        <v>62836.31753</v>
      </c>
      <c r="K10" s="16">
        <f>SUMPRODUCT((Data!$B$2:$B$51=$I10)*(Data!$C$2:$C$51=$H10)*(Data!I$2:I$51))</f>
        <v>68805.767695350005</v>
      </c>
      <c r="L10" s="16">
        <f>SUMPRODUCT((Data!$B$2:$B$51=$I10)*(Data!$C$2:$C$51=$H10)*(Data!J$2:J$51))</f>
        <v>75342.31562640825</v>
      </c>
      <c r="M10" s="16">
        <f>SUMPRODUCT((Data!$B$2:$B$51=$I10)*(Data!$C$2:$C$51=$H10)*(Data!K$2:K$51))</f>
        <v>73082.046157616001</v>
      </c>
      <c r="N10" t="s">
        <v>59</v>
      </c>
      <c r="O10" s="23" t="str">
        <f>INDEX(Data!$B$2:$B$51,MATCH(1,INDEX((Data!$C$2:$C$51=N10)*(Data!$O$2:$O$51=A10),0),0))</f>
        <v>Idaho</v>
      </c>
      <c r="P10" s="16">
        <f>SUMPRODUCT((Data!$B$2:$B$51=O10)*(Data!$C$2:$C$51=N10)*(Data!$M$2:$M$51))</f>
        <v>19.5</v>
      </c>
      <c r="Q10" t="s">
        <v>59</v>
      </c>
      <c r="R10" s="23" t="str">
        <f>INDEX(Data!$B$2:$B$51,MATCH(1,INDEX((Data!$C$2:$C$51=Q10)*(Data!$R$2:$R$51=A10),0),0))</f>
        <v>Alaska</v>
      </c>
      <c r="S10" s="17">
        <f>SUMPRODUCT((Data!$B$2:$B$51=R10)*(Data!$C$2:$C$51=Q10)*(Data!$L$2:$L$51))</f>
        <v>6.5000000000000002E-2</v>
      </c>
    </row>
    <row r="11" spans="1:19" x14ac:dyDescent="0.25">
      <c r="A11">
        <v>10</v>
      </c>
      <c r="B11" t="s">
        <v>59</v>
      </c>
      <c r="C11" s="23" t="str">
        <f>INDEX(Data!$B$2:$B$51,MATCH(1,INDEX((Data!$C$2:$C$51=B11)*(Data!$P$2:$P$51=A11),0),0))</f>
        <v>Utah</v>
      </c>
      <c r="D11" s="16">
        <f>SUMPRODUCT((Data!$B$2:$B$51=C11)*(Data!$C$2:$C$51=B11)*(Data!$D$2:$D$51))</f>
        <v>121101.36271800002</v>
      </c>
      <c r="E11" s="16">
        <f>SUMPRODUCT((Data!$B$2:$B$51=$C11)*(Data!$C$2:$C$51=$B11)*(Data!E$2:E$51))</f>
        <v>156421.29</v>
      </c>
      <c r="F11" s="16">
        <f>SUMPRODUCT((Data!$B$2:$B$51=$C11)*(Data!$C$2:$C$51=$B11)*(Data!F$2:F$51))</f>
        <v>161113.92870000002</v>
      </c>
      <c r="G11" s="16">
        <f>SUMPRODUCT((Data!$B$2:$B$51=$C11)*(Data!$C$2:$C$51=$B11)*(Data!G$2:G$51))</f>
        <v>165947.34656100001</v>
      </c>
      <c r="H11" t="s">
        <v>59</v>
      </c>
      <c r="I11" s="23" t="str">
        <f>INDEX(Data!$B$2:$B$51,MATCH(1,INDEX((Data!$C$2:$C$51=B11)*(Data!$Q$2:$Q$51=A11),0),0))</f>
        <v>Idaho</v>
      </c>
      <c r="J11" s="16">
        <f>SUMPRODUCT((Data!$B$2:$B$51=$I11)*(Data!$C$2:$C$51=$H11)*(Data!H$2:H$51))</f>
        <v>74526.795209999997</v>
      </c>
      <c r="K11" s="16">
        <f>SUMPRODUCT((Data!$B$2:$B$51=$I11)*(Data!$C$2:$C$51=$H11)*(Data!I$2:I$51))</f>
        <v>72290.991353699996</v>
      </c>
      <c r="L11" s="16">
        <f>SUMPRODUCT((Data!$B$2:$B$51=$I11)*(Data!$C$2:$C$51=$H11)*(Data!J$2:J$51))</f>
        <v>70122.261613088995</v>
      </c>
      <c r="M11" s="16">
        <f>SUMPRODUCT((Data!$B$2:$B$51=$I11)*(Data!$C$2:$C$51=$H11)*(Data!K$2:K$51))</f>
        <v>66616.148532434541</v>
      </c>
      <c r="N11" t="s">
        <v>59</v>
      </c>
      <c r="O11" s="23" t="str">
        <f>INDEX(Data!$B$2:$B$51,MATCH(1,INDEX((Data!$C$2:$C$51=N11)*(Data!$O$2:$O$51=A11),0),0))</f>
        <v>New Mexico</v>
      </c>
      <c r="P11" s="16">
        <f>SUMPRODUCT((Data!$B$2:$B$51=O11)*(Data!$C$2:$C$51=N11)*(Data!$M$2:$M$51))</f>
        <v>17.16</v>
      </c>
      <c r="Q11" t="s">
        <v>59</v>
      </c>
      <c r="R11" s="23" t="str">
        <f>INDEX(Data!$B$2:$B$51,MATCH(1,INDEX((Data!$C$2:$C$51=Q11)*(Data!$R$2:$R$51=A11),0),0))</f>
        <v>Montana</v>
      </c>
      <c r="S11" s="17">
        <f>SUMPRODUCT((Data!$B$2:$B$51=R11)*(Data!$C$2:$C$51=Q11)*(Data!$L$2:$L$51))</f>
        <v>5.2000000000000005E-2</v>
      </c>
    </row>
    <row r="12" spans="1:19" x14ac:dyDescent="0.25">
      <c r="A12">
        <v>1</v>
      </c>
      <c r="B12" t="s">
        <v>58</v>
      </c>
      <c r="C12" s="23" t="str">
        <f>INDEX(Data!$B$2:$B$51,MATCH(1,INDEX((Data!$C$2:$C$51=B12)*(Data!$P$2:$P$51=A12),0),0))</f>
        <v>Texas</v>
      </c>
      <c r="D12" s="16">
        <f>SUMPRODUCT((Data!$B$2:$B$51=C12)*(Data!$C$2:$C$51=B12)*(Data!$D$2:$D$51))</f>
        <v>1676519.8460053997</v>
      </c>
      <c r="E12" s="16">
        <f>SUMPRODUCT((Data!$B$2:$B$51=$C12)*(Data!$C$2:$C$51=$B12)*(Data!E$2:E$51))</f>
        <v>2194598.7799999998</v>
      </c>
      <c r="F12" s="16">
        <f>SUMPRODUCT((Data!$B$2:$B$51=$C12)*(Data!$C$2:$C$51=$B12)*(Data!F$2:F$51))</f>
        <v>2084868.8409999998</v>
      </c>
      <c r="G12" s="16">
        <f>SUMPRODUCT((Data!$B$2:$B$51=$C12)*(Data!$C$2:$C$51=$B12)*(Data!G$2:G$51))</f>
        <v>2147414.9062299998</v>
      </c>
      <c r="H12" t="s">
        <v>58</v>
      </c>
      <c r="I12" s="23" t="str">
        <f>INDEX(Data!$B$2:$B$51,MATCH(1,INDEX((Data!$C$2:$C$51=B12)*(Data!$Q$2:$Q$51=A12),0),0))</f>
        <v>Texas</v>
      </c>
      <c r="J12" s="16">
        <f>SUMPRODUCT((Data!$B$2:$B$51=$I12)*(Data!$C$2:$C$51=$H12)*(Data!H$2:H$51))</f>
        <v>1174893.0068399999</v>
      </c>
      <c r="K12" s="16">
        <f>SUMPRODUCT((Data!$B$2:$B$51=$I12)*(Data!$C$2:$C$51=$H12)*(Data!I$2:I$51))</f>
        <v>1116148.356498</v>
      </c>
      <c r="L12" s="16">
        <f>SUMPRODUCT((Data!$B$2:$B$51=$I12)*(Data!$C$2:$C$51=$H12)*(Data!J$2:J$51))</f>
        <v>1149632.80719294</v>
      </c>
      <c r="M12" s="16">
        <f>SUMPRODUCT((Data!$B$2:$B$51=$I12)*(Data!$C$2:$C$51=$H12)*(Data!K$2:K$51))</f>
        <v>1161129.1352648695</v>
      </c>
      <c r="N12" t="s">
        <v>58</v>
      </c>
      <c r="O12" s="23" t="str">
        <f>INDEX(Data!$B$2:$B$51,MATCH(1,INDEX((Data!$C$2:$C$51=N12)*(Data!$O$2:$O$51=A12),0),0))</f>
        <v>Florida</v>
      </c>
      <c r="P12" s="16">
        <f>SUMPRODUCT((Data!$B$2:$B$51=O12)*(Data!$C$2:$C$51=N12)*(Data!$M$2:$M$51))</f>
        <v>360.2</v>
      </c>
      <c r="Q12" t="s">
        <v>58</v>
      </c>
      <c r="R12" s="23" t="str">
        <f>INDEX(Data!$B$2:$B$51,MATCH(1,INDEX((Data!$C$2:$C$51=Q12)*(Data!$R$2:$R$51=A12),0),0))</f>
        <v>Mississippi</v>
      </c>
      <c r="S12" s="17">
        <f>SUMPRODUCT((Data!$B$2:$B$51=R12)*(Data!$C$2:$C$51=Q12)*(Data!$L$2:$L$51))</f>
        <v>8.5000000000000006E-2</v>
      </c>
    </row>
    <row r="13" spans="1:19" x14ac:dyDescent="0.25">
      <c r="A13">
        <v>2</v>
      </c>
      <c r="B13" t="s">
        <v>58</v>
      </c>
      <c r="C13" s="23" t="str">
        <f>INDEX(Data!$B$2:$B$51,MATCH(1,INDEX((Data!$C$2:$C$51=B13)*(Data!$P$2:$P$51=A13),0),0))</f>
        <v>Florida</v>
      </c>
      <c r="D13" s="16">
        <f>SUMPRODUCT((Data!$B$2:$B$51=C13)*(Data!$C$2:$C$51=B13)*(Data!$D$2:$D$51))</f>
        <v>933901.63665550016</v>
      </c>
      <c r="E13" s="16">
        <f>SUMPRODUCT((Data!$B$2:$B$51=$C13)*(Data!$C$2:$C$51=$B13)*(Data!E$2:E$51))</f>
        <v>1222496.3500000001</v>
      </c>
      <c r="F13" s="16">
        <f>SUMPRODUCT((Data!$B$2:$B$51=$C13)*(Data!$C$2:$C$51=$B13)*(Data!F$2:F$51))</f>
        <v>1161371.5325</v>
      </c>
      <c r="G13" s="16">
        <f>SUMPRODUCT((Data!$B$2:$B$51=$C13)*(Data!$C$2:$C$51=$B13)*(Data!G$2:G$51))</f>
        <v>1242667.539775</v>
      </c>
      <c r="H13" t="s">
        <v>58</v>
      </c>
      <c r="I13" s="23" t="str">
        <f>INDEX(Data!$B$2:$B$51,MATCH(1,INDEX((Data!$C$2:$C$51=B13)*(Data!$Q$2:$Q$51=A13),0),0))</f>
        <v>Florida</v>
      </c>
      <c r="J13" s="16">
        <f>SUMPRODUCT((Data!$B$2:$B$51=$I13)*(Data!$C$2:$C$51=$H13)*(Data!H$2:H$51))</f>
        <v>878247.13570999994</v>
      </c>
      <c r="K13" s="16">
        <f>SUMPRODUCT((Data!$B$2:$B$51=$I13)*(Data!$C$2:$C$51=$H13)*(Data!I$2:I$51))</f>
        <v>834334.77892449987</v>
      </c>
      <c r="L13" s="16">
        <f>SUMPRODUCT((Data!$B$2:$B$51=$I13)*(Data!$C$2:$C$51=$H13)*(Data!J$2:J$51))</f>
        <v>892738.21344921493</v>
      </c>
      <c r="M13" s="16">
        <f>SUMPRODUCT((Data!$B$2:$B$51=$I13)*(Data!$C$2:$C$51=$H13)*(Data!K$2:K$51))</f>
        <v>901665.59558370709</v>
      </c>
      <c r="N13" t="s">
        <v>58</v>
      </c>
      <c r="O13" s="23" t="str">
        <f>INDEX(Data!$B$2:$B$51,MATCH(1,INDEX((Data!$C$2:$C$51=N13)*(Data!$O$2:$O$51=A13),0),0))</f>
        <v>Virginia</v>
      </c>
      <c r="P13" s="16">
        <f>SUMPRODUCT((Data!$B$2:$B$51=O13)*(Data!$C$2:$C$51=N13)*(Data!$M$2:$M$51))</f>
        <v>207.3</v>
      </c>
      <c r="Q13" t="s">
        <v>58</v>
      </c>
      <c r="R13" s="23" t="str">
        <f>INDEX(Data!$B$2:$B$51,MATCH(1,INDEX((Data!$C$2:$C$51=Q13)*(Data!$R$2:$R$51=A13),0),0))</f>
        <v>Tennessee</v>
      </c>
      <c r="S13" s="17">
        <f>SUMPRODUCT((Data!$B$2:$B$51=R13)*(Data!$C$2:$C$51=Q13)*(Data!$L$2:$L$51))</f>
        <v>8.4000000000000005E-2</v>
      </c>
    </row>
    <row r="14" spans="1:19" x14ac:dyDescent="0.25">
      <c r="A14">
        <v>3</v>
      </c>
      <c r="B14" t="s">
        <v>58</v>
      </c>
      <c r="C14" s="23" t="str">
        <f>INDEX(Data!$B$2:$B$51,MATCH(1,INDEX((Data!$C$2:$C$51=B14)*(Data!$P$2:$P$51=A14),0),0))</f>
        <v>Virginia</v>
      </c>
      <c r="D14" s="16">
        <f>SUMPRODUCT((Data!$B$2:$B$51=C14)*(Data!$C$2:$C$51=B14)*(Data!$D$2:$D$51))</f>
        <v>502869.96540000004</v>
      </c>
      <c r="E14" s="16">
        <f>SUMPRODUCT((Data!$B$2:$B$51=$C14)*(Data!$C$2:$C$51=$B14)*(Data!E$2:E$51))</f>
        <v>642974</v>
      </c>
      <c r="F14" s="16">
        <f>SUMPRODUCT((Data!$B$2:$B$51=$C14)*(Data!$C$2:$C$51=$B14)*(Data!F$2:F$51))</f>
        <v>610825.29999999993</v>
      </c>
      <c r="G14" s="16">
        <f>SUMPRODUCT((Data!$B$2:$B$51=$C14)*(Data!$C$2:$C$51=$B14)*(Data!G$2:G$51))</f>
        <v>653583.071</v>
      </c>
      <c r="H14" t="s">
        <v>58</v>
      </c>
      <c r="I14" s="23" t="str">
        <f>INDEX(Data!$B$2:$B$51,MATCH(1,INDEX((Data!$C$2:$C$51=B14)*(Data!$Q$2:$Q$51=A14),0),0))</f>
        <v>North Carolina</v>
      </c>
      <c r="J14" s="16">
        <f>SUMPRODUCT((Data!$B$2:$B$51=$I14)*(Data!$C$2:$C$51=$H14)*(Data!H$2:H$51))</f>
        <v>445699.46155000001</v>
      </c>
      <c r="K14" s="16">
        <f>SUMPRODUCT((Data!$B$2:$B$51=$I14)*(Data!$C$2:$C$51=$H14)*(Data!I$2:I$51))</f>
        <v>488040.91039724997</v>
      </c>
      <c r="L14" s="16">
        <f>SUMPRODUCT((Data!$B$2:$B$51=$I14)*(Data!$C$2:$C$51=$H14)*(Data!J$2:J$51))</f>
        <v>463638.86487738747</v>
      </c>
      <c r="M14" s="16">
        <f>SUMPRODUCT((Data!$B$2:$B$51=$I14)*(Data!$C$2:$C$51=$H14)*(Data!K$2:K$51))</f>
        <v>440456.92163351807</v>
      </c>
      <c r="N14" t="s">
        <v>58</v>
      </c>
      <c r="O14" s="23" t="str">
        <f>INDEX(Data!$B$2:$B$51,MATCH(1,INDEX((Data!$C$2:$C$51=N14)*(Data!$O$2:$O$51=A14),0),0))</f>
        <v>North Carolina</v>
      </c>
      <c r="P14" s="16">
        <f>SUMPRODUCT((Data!$B$2:$B$51=O14)*(Data!$C$2:$C$51=N14)*(Data!$M$2:$M$51))</f>
        <v>200.6</v>
      </c>
      <c r="Q14" t="s">
        <v>58</v>
      </c>
      <c r="R14" s="23" t="str">
        <f>INDEX(Data!$B$2:$B$51,MATCH(1,INDEX((Data!$C$2:$C$51=Q14)*(Data!$R$2:$R$51=A14),0),0))</f>
        <v>Kentucky</v>
      </c>
      <c r="S14" s="17">
        <f>SUMPRODUCT((Data!$B$2:$B$51=R14)*(Data!$C$2:$C$51=Q14)*(Data!$L$2:$L$51))</f>
        <v>8.4000000000000005E-2</v>
      </c>
    </row>
    <row r="15" spans="1:19" x14ac:dyDescent="0.25">
      <c r="A15">
        <v>4</v>
      </c>
      <c r="B15" t="s">
        <v>58</v>
      </c>
      <c r="C15" s="23" t="str">
        <f>INDEX(Data!$B$2:$B$51,MATCH(1,INDEX((Data!$C$2:$C$51=B15)*(Data!$P$2:$P$51=A15),0),0))</f>
        <v>North Carolina</v>
      </c>
      <c r="D15" s="16">
        <f>SUMPRODUCT((Data!$B$2:$B$51=C15)*(Data!$C$2:$C$51=B15)*(Data!$D$2:$D$51))</f>
        <v>470581.3689152</v>
      </c>
      <c r="E15" s="16">
        <f>SUMPRODUCT((Data!$B$2:$B$51=$C15)*(Data!$C$2:$C$51=$B15)*(Data!E$2:E$51))</f>
        <v>616000.64</v>
      </c>
      <c r="F15" s="16">
        <f>SUMPRODUCT((Data!$B$2:$B$51=$C15)*(Data!$C$2:$C$51=$B15)*(Data!F$2:F$51))</f>
        <v>674520.70079999999</v>
      </c>
      <c r="G15" s="16">
        <f>SUMPRODUCT((Data!$B$2:$B$51=$C15)*(Data!$C$2:$C$51=$B15)*(Data!G$2:G$51))</f>
        <v>640794.66576</v>
      </c>
      <c r="H15" t="s">
        <v>58</v>
      </c>
      <c r="I15" s="23" t="str">
        <f>INDEX(Data!$B$2:$B$51,MATCH(1,INDEX((Data!$C$2:$C$51=B15)*(Data!$Q$2:$Q$51=A15),0),0))</f>
        <v>Georgia</v>
      </c>
      <c r="J15" s="16">
        <f>SUMPRODUCT((Data!$B$2:$B$51=$I15)*(Data!$C$2:$C$51=$H15)*(Data!H$2:H$51))</f>
        <v>453006.01010000001</v>
      </c>
      <c r="K15" s="16">
        <f>SUMPRODUCT((Data!$B$2:$B$51=$I15)*(Data!$C$2:$C$51=$H15)*(Data!I$2:I$51))</f>
        <v>434885.76969599997</v>
      </c>
      <c r="L15" s="16">
        <f>SUMPRODUCT((Data!$B$2:$B$51=$I15)*(Data!$C$2:$C$51=$H15)*(Data!J$2:J$51))</f>
        <v>413141.48121119995</v>
      </c>
      <c r="M15" s="16">
        <f>SUMPRODUCT((Data!$B$2:$B$51=$I15)*(Data!$C$2:$C$51=$H15)*(Data!K$2:K$51))</f>
        <v>400747.23677486397</v>
      </c>
      <c r="N15" t="s">
        <v>58</v>
      </c>
      <c r="O15" s="23" t="str">
        <f>INDEX(Data!$B$2:$B$51,MATCH(1,INDEX((Data!$C$2:$C$51=N15)*(Data!$O$2:$O$51=A15),0),0))</f>
        <v>Georgia</v>
      </c>
      <c r="P15" s="16">
        <f>SUMPRODUCT((Data!$B$2:$B$51=O15)*(Data!$C$2:$C$51=N15)*(Data!$M$2:$M$51))</f>
        <v>172.5</v>
      </c>
      <c r="Q15" t="s">
        <v>58</v>
      </c>
      <c r="R15" s="23" t="str">
        <f>INDEX(Data!$B$2:$B$51,MATCH(1,INDEX((Data!$C$2:$C$51=Q15)*(Data!$R$2:$R$51=A15),0),0))</f>
        <v>Georgia</v>
      </c>
      <c r="S15" s="17">
        <f>SUMPRODUCT((Data!$B$2:$B$51=R15)*(Data!$C$2:$C$51=Q15)*(Data!$L$2:$L$51))</f>
        <v>8.1000000000000003E-2</v>
      </c>
    </row>
    <row r="16" spans="1:19" x14ac:dyDescent="0.25">
      <c r="A16">
        <v>5</v>
      </c>
      <c r="B16" t="s">
        <v>58</v>
      </c>
      <c r="C16" s="23" t="str">
        <f>INDEX(Data!$B$2:$B$51,MATCH(1,INDEX((Data!$C$2:$C$51=B16)*(Data!$P$2:$P$51=A16),0),0))</f>
        <v>Georgia</v>
      </c>
      <c r="D16" s="16">
        <f>SUMPRODUCT((Data!$B$2:$B$51=C16)*(Data!$C$2:$C$51=B16)*(Data!$D$2:$D$51))</f>
        <v>500361.22430440004</v>
      </c>
      <c r="E16" s="16">
        <f>SUMPRODUCT((Data!$B$2:$B$51=$C16)*(Data!$C$2:$C$51=$B16)*(Data!E$2:E$51))</f>
        <v>654983.07999999996</v>
      </c>
      <c r="F16" s="16">
        <f>SUMPRODUCT((Data!$B$2:$B$51=$C16)*(Data!$C$2:$C$51=$B16)*(Data!F$2:F$51))</f>
        <v>628783.75679999997</v>
      </c>
      <c r="G16" s="16">
        <f>SUMPRODUCT((Data!$B$2:$B$51=$C16)*(Data!$C$2:$C$51=$B16)*(Data!G$2:G$51))</f>
        <v>597344.56895999995</v>
      </c>
      <c r="H16" t="s">
        <v>58</v>
      </c>
      <c r="I16" s="23" t="str">
        <f>INDEX(Data!$B$2:$B$51,MATCH(1,INDEX((Data!$C$2:$C$51=B16)*(Data!$Q$2:$Q$51=A16),0),0))</f>
        <v>Virginia</v>
      </c>
      <c r="J16" s="16">
        <f>SUMPRODUCT((Data!$B$2:$B$51=$I16)*(Data!$C$2:$C$51=$H16)*(Data!H$2:H$51))</f>
        <v>374095.28576</v>
      </c>
      <c r="K16" s="16">
        <f>SUMPRODUCT((Data!$B$2:$B$51=$I16)*(Data!$C$2:$C$51=$H16)*(Data!I$2:I$51))</f>
        <v>355390.52147199999</v>
      </c>
      <c r="L16" s="16">
        <f>SUMPRODUCT((Data!$B$2:$B$51=$I16)*(Data!$C$2:$C$51=$H16)*(Data!J$2:J$51))</f>
        <v>380267.85797504004</v>
      </c>
      <c r="M16" s="16">
        <f>SUMPRODUCT((Data!$B$2:$B$51=$I16)*(Data!$C$2:$C$51=$H16)*(Data!K$2:K$51))</f>
        <v>361254.46507628803</v>
      </c>
      <c r="N16" t="s">
        <v>58</v>
      </c>
      <c r="O16" s="23" t="str">
        <f>INDEX(Data!$B$2:$B$51,MATCH(1,INDEX((Data!$C$2:$C$51=N16)*(Data!$O$2:$O$51=A16),0),0))</f>
        <v>South Carolina</v>
      </c>
      <c r="P16" s="16">
        <f>SUMPRODUCT((Data!$B$2:$B$51=O16)*(Data!$C$2:$C$51=N16)*(Data!$M$2:$M$51))</f>
        <v>157.1</v>
      </c>
      <c r="Q16" t="s">
        <v>58</v>
      </c>
      <c r="R16" s="23" t="str">
        <f>INDEX(Data!$B$2:$B$51,MATCH(1,INDEX((Data!$C$2:$C$51=Q16)*(Data!$R$2:$R$51=A16),0),0))</f>
        <v>North Carolina</v>
      </c>
      <c r="S16" s="17">
        <f>SUMPRODUCT((Data!$B$2:$B$51=R16)*(Data!$C$2:$C$51=Q16)*(Data!$L$2:$L$51))</f>
        <v>0.08</v>
      </c>
    </row>
    <row r="17" spans="1:19" x14ac:dyDescent="0.25">
      <c r="A17">
        <v>6</v>
      </c>
      <c r="B17" t="s">
        <v>58</v>
      </c>
      <c r="C17" s="23" t="str">
        <f>INDEX(Data!$B$2:$B$51,MATCH(1,INDEX((Data!$C$2:$C$51=B17)*(Data!$P$2:$P$51=A17),0),0))</f>
        <v>Tennessee</v>
      </c>
      <c r="D17" s="16">
        <f>SUMPRODUCT((Data!$B$2:$B$51=C17)*(Data!$C$2:$C$51=B17)*(Data!$D$2:$D$51))</f>
        <v>367667.57976300007</v>
      </c>
      <c r="E17" s="16">
        <f>SUMPRODUCT((Data!$B$2:$B$51=$C17)*(Data!$C$2:$C$51=$B17)*(Data!E$2:E$51))</f>
        <v>470103.03</v>
      </c>
      <c r="F17" s="16">
        <f>SUMPRODUCT((Data!$B$2:$B$51=$C17)*(Data!$C$2:$C$51=$B17)*(Data!F$2:F$51))</f>
        <v>446597.87849999999</v>
      </c>
      <c r="G17" s="16">
        <f>SUMPRODUCT((Data!$B$2:$B$51=$C17)*(Data!$C$2:$C$51=$B17)*(Data!G$2:G$51))</f>
        <v>459995.814855</v>
      </c>
      <c r="H17" t="s">
        <v>58</v>
      </c>
      <c r="I17" s="23" t="str">
        <f>INDEX(Data!$B$2:$B$51,MATCH(1,INDEX((Data!$C$2:$C$51=B17)*(Data!$Q$2:$Q$51=A17),0),0))</f>
        <v>Tennessee</v>
      </c>
      <c r="J17" s="16">
        <f>SUMPRODUCT((Data!$B$2:$B$51=$I17)*(Data!$C$2:$C$51=$H17)*(Data!H$2:H$51))</f>
        <v>296645.87112999998</v>
      </c>
      <c r="K17" s="16">
        <f>SUMPRODUCT((Data!$B$2:$B$51=$I17)*(Data!$C$2:$C$51=$H17)*(Data!I$2:I$51))</f>
        <v>281813.57757349999</v>
      </c>
      <c r="L17" s="16">
        <f>SUMPRODUCT((Data!$B$2:$B$51=$I17)*(Data!$C$2:$C$51=$H17)*(Data!J$2:J$51))</f>
        <v>270541.03447055997</v>
      </c>
      <c r="M17" s="16">
        <f>SUMPRODUCT((Data!$B$2:$B$51=$I17)*(Data!$C$2:$C$51=$H17)*(Data!K$2:K$51))</f>
        <v>296242.43274526316</v>
      </c>
      <c r="N17" t="s">
        <v>58</v>
      </c>
      <c r="O17" s="23" t="str">
        <f>INDEX(Data!$B$2:$B$51,MATCH(1,INDEX((Data!$C$2:$C$51=N17)*(Data!$O$2:$O$51=A17),0),0))</f>
        <v>Tennessee</v>
      </c>
      <c r="P17" s="16">
        <f>SUMPRODUCT((Data!$B$2:$B$51=O17)*(Data!$C$2:$C$51=N17)*(Data!$M$2:$M$51))</f>
        <v>156.6</v>
      </c>
      <c r="Q17" t="s">
        <v>58</v>
      </c>
      <c r="R17" s="23" t="str">
        <f>INDEX(Data!$B$2:$B$51,MATCH(1,INDEX((Data!$C$2:$C$51=Q17)*(Data!$R$2:$R$51=A17),0),0))</f>
        <v>South Carolina</v>
      </c>
      <c r="S17" s="17">
        <f>SUMPRODUCT((Data!$B$2:$B$51=R17)*(Data!$C$2:$C$51=Q17)*(Data!$L$2:$L$51))</f>
        <v>7.4999999999999997E-2</v>
      </c>
    </row>
    <row r="18" spans="1:19" x14ac:dyDescent="0.25">
      <c r="A18">
        <v>7</v>
      </c>
      <c r="B18" t="s">
        <v>58</v>
      </c>
      <c r="C18" s="23" t="str">
        <f>INDEX(Data!$B$2:$B$51,MATCH(1,INDEX((Data!$C$2:$C$51=B18)*(Data!$P$2:$P$51=A18),0),0))</f>
        <v>Louisiana</v>
      </c>
      <c r="D18" s="16">
        <f>SUMPRODUCT((Data!$B$2:$B$51=C18)*(Data!$C$2:$C$51=B18)*(Data!$D$2:$D$51))</f>
        <v>272257.39411199995</v>
      </c>
      <c r="E18" s="16">
        <f>SUMPRODUCT((Data!$B$2:$B$51=$C18)*(Data!$C$2:$C$51=$B18)*(Data!E$2:E$51))</f>
        <v>348110.72</v>
      </c>
      <c r="F18" s="16">
        <f>SUMPRODUCT((Data!$B$2:$B$51=$C18)*(Data!$C$2:$C$51=$B18)*(Data!F$2:F$51))</f>
        <v>330705.18399999995</v>
      </c>
      <c r="G18" s="16">
        <f>SUMPRODUCT((Data!$B$2:$B$51=$C18)*(Data!$C$2:$C$51=$B18)*(Data!G$2:G$51))</f>
        <v>320784.02847999992</v>
      </c>
      <c r="H18" t="s">
        <v>58</v>
      </c>
      <c r="I18" s="23" t="str">
        <f>INDEX(Data!$B$2:$B$51,MATCH(1,INDEX((Data!$C$2:$C$51=B18)*(Data!$Q$2:$Q$51=A18),0),0))</f>
        <v>South Carolina</v>
      </c>
      <c r="J18" s="16">
        <f>SUMPRODUCT((Data!$B$2:$B$51=$I18)*(Data!$C$2:$C$51=$H18)*(Data!H$2:H$51))</f>
        <v>216273.83708</v>
      </c>
      <c r="K18" s="16">
        <f>SUMPRODUCT((Data!$B$2:$B$51=$I18)*(Data!$C$2:$C$51=$H18)*(Data!I$2:I$51))</f>
        <v>222762.05219240001</v>
      </c>
      <c r="L18" s="16">
        <f>SUMPRODUCT((Data!$B$2:$B$51=$I18)*(Data!$C$2:$C$51=$H18)*(Data!J$2:J$51))</f>
        <v>229444.91375817201</v>
      </c>
      <c r="M18" s="16">
        <f>SUMPRODUCT((Data!$B$2:$B$51=$I18)*(Data!$C$2:$C$51=$H18)*(Data!K$2:K$51))</f>
        <v>251242.18056519836</v>
      </c>
      <c r="N18" t="s">
        <v>58</v>
      </c>
      <c r="O18" s="23" t="str">
        <f>INDEX(Data!$B$2:$B$51,MATCH(1,INDEX((Data!$C$2:$C$51=N18)*(Data!$O$2:$O$51=A18),0),0))</f>
        <v>Kentucky</v>
      </c>
      <c r="P18" s="16">
        <f>SUMPRODUCT((Data!$B$2:$B$51=O18)*(Data!$C$2:$C$51=N18)*(Data!$M$2:$M$51))</f>
        <v>110</v>
      </c>
      <c r="Q18" t="s">
        <v>58</v>
      </c>
      <c r="R18" s="23" t="str">
        <f>INDEX(Data!$B$2:$B$51,MATCH(1,INDEX((Data!$C$2:$C$51=Q18)*(Data!$R$2:$R$51=A18),0),0))</f>
        <v>Arkansas</v>
      </c>
      <c r="S18" s="17">
        <f>SUMPRODUCT((Data!$B$2:$B$51=R18)*(Data!$C$2:$C$51=Q18)*(Data!$L$2:$L$51))</f>
        <v>7.4999999999999997E-2</v>
      </c>
    </row>
    <row r="19" spans="1:19" x14ac:dyDescent="0.25">
      <c r="A19">
        <v>8</v>
      </c>
      <c r="B19" t="s">
        <v>58</v>
      </c>
      <c r="C19" s="23" t="str">
        <f>INDEX(Data!$B$2:$B$51,MATCH(1,INDEX((Data!$C$2:$C$51=B19)*(Data!$P$2:$P$51=A19),0),0))</f>
        <v>Oklahoma</v>
      </c>
      <c r="D19" s="16">
        <f>SUMPRODUCT((Data!$B$2:$B$51=C19)*(Data!$C$2:$C$51=B19)*(Data!$D$2:$D$51))</f>
        <v>209709.59788799999</v>
      </c>
      <c r="E19" s="16">
        <f>SUMPRODUCT((Data!$B$2:$B$51=$C19)*(Data!$C$2:$C$51=$B19)*(Data!E$2:E$51))</f>
        <v>270872.64</v>
      </c>
      <c r="F19" s="16">
        <f>SUMPRODUCT((Data!$B$2:$B$51=$C19)*(Data!$C$2:$C$51=$B19)*(Data!F$2:F$51))</f>
        <v>262746.4608</v>
      </c>
      <c r="G19" s="16">
        <f>SUMPRODUCT((Data!$B$2:$B$51=$C19)*(Data!$C$2:$C$51=$B19)*(Data!G$2:G$51))</f>
        <v>270628.85462400003</v>
      </c>
      <c r="H19" t="s">
        <v>58</v>
      </c>
      <c r="I19" s="23" t="str">
        <f>INDEX(Data!$B$2:$B$51,MATCH(1,INDEX((Data!$C$2:$C$51=B19)*(Data!$Q$2:$Q$51=A19),0),0))</f>
        <v>Alabama</v>
      </c>
      <c r="J19" s="16">
        <f>SUMPRODUCT((Data!$B$2:$B$51=$I19)*(Data!$C$2:$C$51=$H19)*(Data!H$2:H$51))</f>
        <v>223580.38563</v>
      </c>
      <c r="K19" s="16">
        <f>SUMPRODUCT((Data!$B$2:$B$51=$I19)*(Data!$C$2:$C$51=$H19)*(Data!I$2:I$51))</f>
        <v>230287.79719890002</v>
      </c>
      <c r="L19" s="16">
        <f>SUMPRODUCT((Data!$B$2:$B$51=$I19)*(Data!$C$2:$C$51=$H19)*(Data!J$2:J$51))</f>
        <v>218773.407338955</v>
      </c>
      <c r="M19" s="16">
        <f>SUMPRODUCT((Data!$B$2:$B$51=$I19)*(Data!$C$2:$C$51=$H19)*(Data!K$2:K$51))</f>
        <v>212210.20511878634</v>
      </c>
      <c r="N19" t="s">
        <v>58</v>
      </c>
      <c r="O19" s="23" t="str">
        <f>INDEX(Data!$B$2:$B$51,MATCH(1,INDEX((Data!$C$2:$C$51=N19)*(Data!$O$2:$O$51=A19),0),0))</f>
        <v>Louisiana</v>
      </c>
      <c r="P19" s="16">
        <f>SUMPRODUCT((Data!$B$2:$B$51=O19)*(Data!$C$2:$C$51=N19)*(Data!$M$2:$M$51))</f>
        <v>105</v>
      </c>
      <c r="Q19" t="s">
        <v>58</v>
      </c>
      <c r="R19" s="23" t="str">
        <f>INDEX(Data!$B$2:$B$51,MATCH(1,INDEX((Data!$C$2:$C$51=Q19)*(Data!$R$2:$R$51=A19),0),0))</f>
        <v>Florida</v>
      </c>
      <c r="S19" s="17">
        <f>SUMPRODUCT((Data!$B$2:$B$51=R19)*(Data!$C$2:$C$51=Q19)*(Data!$L$2:$L$51))</f>
        <v>6.7000000000000004E-2</v>
      </c>
    </row>
    <row r="20" spans="1:19" x14ac:dyDescent="0.25">
      <c r="A20">
        <v>9</v>
      </c>
      <c r="B20" t="s">
        <v>58</v>
      </c>
      <c r="C20" s="23" t="str">
        <f>INDEX(Data!$B$2:$B$51,MATCH(1,INDEX((Data!$C$2:$C$51=B20)*(Data!$P$2:$P$51=A20),0),0))</f>
        <v>Arkansas</v>
      </c>
      <c r="D20" s="16">
        <f>SUMPRODUCT((Data!$B$2:$B$51=C20)*(Data!$C$2:$C$51=B20)*(Data!$D$2:$D$51))</f>
        <v>195871.299344</v>
      </c>
      <c r="E20" s="16">
        <f>SUMPRODUCT((Data!$B$2:$B$51=$C20)*(Data!$C$2:$C$51=$B20)*(Data!E$2:E$51))</f>
        <v>252998.32</v>
      </c>
      <c r="F20" s="16">
        <f>SUMPRODUCT((Data!$B$2:$B$51=$C20)*(Data!$C$2:$C$51=$B20)*(Data!F$2:F$51))</f>
        <v>260588.2696</v>
      </c>
      <c r="G20" s="16">
        <f>SUMPRODUCT((Data!$B$2:$B$51=$C20)*(Data!$C$2:$C$51=$B20)*(Data!G$2:G$51))</f>
        <v>268405.91768800002</v>
      </c>
      <c r="H20" t="s">
        <v>58</v>
      </c>
      <c r="I20" s="23" t="str">
        <f>INDEX(Data!$B$2:$B$51,MATCH(1,INDEX((Data!$C$2:$C$51=B20)*(Data!$Q$2:$Q$51=A20),0),0))</f>
        <v>Louisiana</v>
      </c>
      <c r="J20" s="16">
        <f>SUMPRODUCT((Data!$B$2:$B$51=$I20)*(Data!$C$2:$C$51=$H20)*(Data!H$2:H$51))</f>
        <v>211889.90794999999</v>
      </c>
      <c r="K20" s="16">
        <f>SUMPRODUCT((Data!$B$2:$B$51=$I20)*(Data!$C$2:$C$51=$H20)*(Data!I$2:I$51))</f>
        <v>201295.4125525</v>
      </c>
      <c r="L20" s="16">
        <f>SUMPRODUCT((Data!$B$2:$B$51=$I20)*(Data!$C$2:$C$51=$H20)*(Data!J$2:J$51))</f>
        <v>195256.55017592499</v>
      </c>
      <c r="M20" s="16">
        <f>SUMPRODUCT((Data!$B$2:$B$51=$I20)*(Data!$C$2:$C$51=$H20)*(Data!K$2:K$51))</f>
        <v>185493.72266712872</v>
      </c>
      <c r="N20" t="s">
        <v>58</v>
      </c>
      <c r="O20" s="23" t="str">
        <f>INDEX(Data!$B$2:$B$51,MATCH(1,INDEX((Data!$C$2:$C$51=N20)*(Data!$O$2:$O$51=A20),0),0))</f>
        <v>Texas</v>
      </c>
      <c r="P20" s="16">
        <f>SUMPRODUCT((Data!$B$2:$B$51=O20)*(Data!$C$2:$C$51=N20)*(Data!$M$2:$M$51))</f>
        <v>98.07</v>
      </c>
      <c r="Q20" t="s">
        <v>58</v>
      </c>
      <c r="R20" s="23" t="str">
        <f>INDEX(Data!$B$2:$B$51,MATCH(1,INDEX((Data!$C$2:$C$51=Q20)*(Data!$R$2:$R$51=A20),0),0))</f>
        <v>Alabama</v>
      </c>
      <c r="S20" s="17">
        <f>SUMPRODUCT((Data!$B$2:$B$51=R20)*(Data!$C$2:$C$51=Q20)*(Data!$L$2:$L$51))</f>
        <v>6.5000000000000002E-2</v>
      </c>
    </row>
    <row r="21" spans="1:19" x14ac:dyDescent="0.25">
      <c r="A21">
        <v>10</v>
      </c>
      <c r="B21" t="s">
        <v>58</v>
      </c>
      <c r="C21" s="23" t="str">
        <f>INDEX(Data!$B$2:$B$51,MATCH(1,INDEX((Data!$C$2:$C$51=B21)*(Data!$P$2:$P$51=A21),0),0))</f>
        <v>Kentucky</v>
      </c>
      <c r="D21" s="16">
        <f>SUMPRODUCT((Data!$B$2:$B$51=C21)*(Data!$C$2:$C$51=B21)*(Data!$D$2:$D$51))</f>
        <v>196196.14347300003</v>
      </c>
      <c r="E21" s="16">
        <f>SUMPRODUCT((Data!$B$2:$B$51=$C21)*(Data!$C$2:$C$51=$B21)*(Data!E$2:E$51))</f>
        <v>250858.13</v>
      </c>
      <c r="F21" s="16">
        <f>SUMPRODUCT((Data!$B$2:$B$51=$C21)*(Data!$C$2:$C$51=$B21)*(Data!F$2:F$51))</f>
        <v>238315.22349999999</v>
      </c>
      <c r="G21" s="16">
        <f>SUMPRODUCT((Data!$B$2:$B$51=$C21)*(Data!$C$2:$C$51=$B21)*(Data!G$2:G$51))</f>
        <v>260955.16973249998</v>
      </c>
      <c r="H21" t="s">
        <v>58</v>
      </c>
      <c r="I21" s="23" t="str">
        <f>INDEX(Data!$B$2:$B$51,MATCH(1,INDEX((Data!$C$2:$C$51=B21)*(Data!$Q$2:$Q$51=A21),0),0))</f>
        <v>Oklahoma</v>
      </c>
      <c r="J21" s="16">
        <f>SUMPRODUCT((Data!$B$2:$B$51=$I21)*(Data!$C$2:$C$51=$H21)*(Data!H$2:H$51))</f>
        <v>175357.16519999999</v>
      </c>
      <c r="K21" s="16">
        <f>SUMPRODUCT((Data!$B$2:$B$51=$I21)*(Data!$C$2:$C$51=$H21)*(Data!I$2:I$51))</f>
        <v>170096.45024399998</v>
      </c>
      <c r="L21" s="16">
        <f>SUMPRODUCT((Data!$B$2:$B$51=$I21)*(Data!$C$2:$C$51=$H21)*(Data!J$2:J$51))</f>
        <v>175199.34375131998</v>
      </c>
      <c r="M21" s="16">
        <f>SUMPRODUCT((Data!$B$2:$B$51=$I21)*(Data!$C$2:$C$51=$H21)*(Data!K$2:K$51))</f>
        <v>169943.36343878036</v>
      </c>
      <c r="N21" t="s">
        <v>58</v>
      </c>
      <c r="O21" s="23" t="str">
        <f>INDEX(Data!$B$2:$B$51,MATCH(1,INDEX((Data!$C$2:$C$51=N21)*(Data!$O$2:$O$51=A21),0),0))</f>
        <v>Alabama</v>
      </c>
      <c r="P21" s="16">
        <f>SUMPRODUCT((Data!$B$2:$B$51=O21)*(Data!$C$2:$C$51=N21)*(Data!$M$2:$M$51))</f>
        <v>94.65</v>
      </c>
      <c r="Q21" t="s">
        <v>58</v>
      </c>
      <c r="R21" s="23" t="str">
        <f>INDEX(Data!$B$2:$B$51,MATCH(1,INDEX((Data!$C$2:$C$51=Q21)*(Data!$R$2:$R$51=A21),0),0))</f>
        <v>Louisiana</v>
      </c>
      <c r="S21" s="17">
        <f>SUMPRODUCT((Data!$B$2:$B$51=R21)*(Data!$C$2:$C$51=Q21)*(Data!$L$2:$L$51))</f>
        <v>6.5000000000000002E-2</v>
      </c>
    </row>
    <row r="22" spans="1:19" x14ac:dyDescent="0.25">
      <c r="A22">
        <v>1</v>
      </c>
      <c r="B22" t="s">
        <v>57</v>
      </c>
      <c r="C22" s="23" t="str">
        <f>INDEX(Data!$B$2:$B$51,MATCH(1,INDEX((Data!$C$2:$C$51=B22)*(Data!$P$2:$P$51=A22),0),0))</f>
        <v>New York</v>
      </c>
      <c r="D22" s="16">
        <f>SUMPRODUCT((Data!$B$2:$B$51=C22)*(Data!$C$2:$C$51=B22)*(Data!$D$2:$D$51))</f>
        <v>1536782.3509922</v>
      </c>
      <c r="E22" s="16">
        <f>SUMPRODUCT((Data!$B$2:$B$51=$C22)*(Data!$C$2:$C$51=$B22)*(Data!E$2:E$51))</f>
        <v>2011679.54</v>
      </c>
      <c r="F22" s="16">
        <f>SUMPRODUCT((Data!$B$2:$B$51=$C22)*(Data!$C$2:$C$51=$B22)*(Data!F$2:F$51))</f>
        <v>1911095.5629999998</v>
      </c>
      <c r="G22" s="16">
        <f>SUMPRODUCT((Data!$B$2:$B$51=$C22)*(Data!$C$2:$C$51=$B22)*(Data!G$2:G$51))</f>
        <v>2044872.25241</v>
      </c>
      <c r="H22" t="s">
        <v>57</v>
      </c>
      <c r="I22" s="23" t="str">
        <f>INDEX(Data!$B$2:$B$51,MATCH(1,INDEX((Data!$C$2:$C$51=B22)*(Data!$Q$2:$Q$51=A22),0),0))</f>
        <v>New York</v>
      </c>
      <c r="J22" s="16">
        <f>SUMPRODUCT((Data!$B$2:$B$51=$I22)*(Data!$C$2:$C$51=$H22)*(Data!H$2:H$51))</f>
        <v>904550.71048999997</v>
      </c>
      <c r="K22" s="16">
        <f>SUMPRODUCT((Data!$B$2:$B$51=$I22)*(Data!$C$2:$C$51=$H22)*(Data!I$2:I$51))</f>
        <v>859323.1749654999</v>
      </c>
      <c r="L22" s="16">
        <f>SUMPRODUCT((Data!$B$2:$B$51=$I22)*(Data!$C$2:$C$51=$H22)*(Data!J$2:J$51))</f>
        <v>919475.797213085</v>
      </c>
      <c r="M22" s="16">
        <f>SUMPRODUCT((Data!$B$2:$B$51=$I22)*(Data!$C$2:$C$51=$H22)*(Data!K$2:K$51))</f>
        <v>928670.5551852159</v>
      </c>
      <c r="N22" t="s">
        <v>57</v>
      </c>
      <c r="O22" s="23" t="str">
        <f>INDEX(Data!$B$2:$B$51,MATCH(1,INDEX((Data!$C$2:$C$51=N22)*(Data!$O$2:$O$51=A22),0),0))</f>
        <v>Massachusetts</v>
      </c>
      <c r="P22" s="16">
        <f>SUMPRODUCT((Data!$B$2:$B$51=O22)*(Data!$C$2:$C$51=N22)*(Data!$M$2:$M$51))</f>
        <v>852.1</v>
      </c>
      <c r="Q22" t="s">
        <v>57</v>
      </c>
      <c r="R22" s="23" t="str">
        <f>INDEX(Data!$B$2:$B$51,MATCH(1,INDEX((Data!$C$2:$C$51=Q22)*(Data!$R$2:$R$51=A22),0),0))</f>
        <v>Rhode Island</v>
      </c>
      <c r="S22" s="17">
        <f>SUMPRODUCT((Data!$B$2:$B$51=R22)*(Data!$C$2:$C$51=Q22)*(Data!$L$2:$L$51))</f>
        <v>9.1999999999999998E-2</v>
      </c>
    </row>
    <row r="23" spans="1:19" x14ac:dyDescent="0.25">
      <c r="A23">
        <v>2</v>
      </c>
      <c r="B23" t="s">
        <v>57</v>
      </c>
      <c r="C23" s="23" t="str">
        <f>INDEX(Data!$B$2:$B$51,MATCH(1,INDEX((Data!$C$2:$C$51=B23)*(Data!$P$2:$P$51=A23),0),0))</f>
        <v>New Jersey</v>
      </c>
      <c r="D23" s="16">
        <f>SUMPRODUCT((Data!$B$2:$B$51=C23)*(Data!$C$2:$C$51=B23)*(Data!$D$2:$D$51))</f>
        <v>871083.34928999993</v>
      </c>
      <c r="E23" s="16">
        <f>SUMPRODUCT((Data!$B$2:$B$51=$C23)*(Data!$C$2:$C$51=$B23)*(Data!E$2:E$51))</f>
        <v>1113774.8999999999</v>
      </c>
      <c r="F23" s="16">
        <f>SUMPRODUCT((Data!$B$2:$B$51=$C23)*(Data!$C$2:$C$51=$B23)*(Data!F$2:F$51))</f>
        <v>1058086.1549999998</v>
      </c>
      <c r="G23" s="16">
        <f>SUMPRODUCT((Data!$B$2:$B$51=$C23)*(Data!$C$2:$C$51=$B23)*(Data!G$2:G$51))</f>
        <v>1158604.3397249999</v>
      </c>
      <c r="H23" t="s">
        <v>57</v>
      </c>
      <c r="I23" s="23" t="str">
        <f>INDEX(Data!$B$2:$B$51,MATCH(1,INDEX((Data!$C$2:$C$51=B23)*(Data!$Q$2:$Q$51=A23),0),0))</f>
        <v>Pennsylvania</v>
      </c>
      <c r="J23" s="16">
        <f>SUMPRODUCT((Data!$B$2:$B$51=$I23)*(Data!$C$2:$C$51=$H23)*(Data!H$2:H$51))</f>
        <v>593291.74225999997</v>
      </c>
      <c r="K23" s="16">
        <f>SUMPRODUCT((Data!$B$2:$B$51=$I23)*(Data!$C$2:$C$51=$H23)*(Data!I$2:I$51))</f>
        <v>563627.15514699998</v>
      </c>
      <c r="L23" s="16">
        <f>SUMPRODUCT((Data!$B$2:$B$51=$I23)*(Data!$C$2:$C$51=$H23)*(Data!J$2:J$51))</f>
        <v>603081.05600729003</v>
      </c>
      <c r="M23" s="16">
        <f>SUMPRODUCT((Data!$B$2:$B$51=$I23)*(Data!$C$2:$C$51=$H23)*(Data!K$2:K$51))</f>
        <v>482464.84480583202</v>
      </c>
      <c r="N23" t="s">
        <v>57</v>
      </c>
      <c r="O23" s="23" t="str">
        <f>INDEX(Data!$B$2:$B$51,MATCH(1,INDEX((Data!$C$2:$C$51=N23)*(Data!$O$2:$O$51=A23),0),0))</f>
        <v>Connecticut</v>
      </c>
      <c r="P23" s="16">
        <f>SUMPRODUCT((Data!$B$2:$B$51=O23)*(Data!$C$2:$C$51=N23)*(Data!$M$2:$M$51))</f>
        <v>741.4</v>
      </c>
      <c r="Q23" t="s">
        <v>57</v>
      </c>
      <c r="R23" s="23" t="str">
        <f>INDEX(Data!$B$2:$B$51,MATCH(1,INDEX((Data!$C$2:$C$51=Q23)*(Data!$R$2:$R$51=A23),0),0))</f>
        <v>New Jersey</v>
      </c>
      <c r="S23" s="17">
        <f>SUMPRODUCT((Data!$B$2:$B$51=R23)*(Data!$C$2:$C$51=Q23)*(Data!$L$2:$L$51))</f>
        <v>8.4000000000000005E-2</v>
      </c>
    </row>
    <row r="24" spans="1:19" x14ac:dyDescent="0.25">
      <c r="A24">
        <v>3</v>
      </c>
      <c r="B24" t="s">
        <v>57</v>
      </c>
      <c r="C24" s="23" t="str">
        <f>INDEX(Data!$B$2:$B$51,MATCH(1,INDEX((Data!$C$2:$C$51=B24)*(Data!$P$2:$P$51=A24),0),0))</f>
        <v>Pennsylvania</v>
      </c>
      <c r="D24" s="16">
        <f>SUMPRODUCT((Data!$B$2:$B$51=C24)*(Data!$C$2:$C$51=B24)*(Data!$D$2:$D$51))</f>
        <v>832389.70153949992</v>
      </c>
      <c r="E24" s="16">
        <f>SUMPRODUCT((Data!$B$2:$B$51=$C24)*(Data!$C$2:$C$51=$B24)*(Data!E$2:E$51))</f>
        <v>1089615.1499999999</v>
      </c>
      <c r="F24" s="16">
        <f>SUMPRODUCT((Data!$B$2:$B$51=$C24)*(Data!$C$2:$C$51=$B24)*(Data!F$2:F$51))</f>
        <v>1035134.3924999998</v>
      </c>
      <c r="G24" s="16">
        <f>SUMPRODUCT((Data!$B$2:$B$51=$C24)*(Data!$C$2:$C$51=$B24)*(Data!G$2:G$51))</f>
        <v>1107593.7999749999</v>
      </c>
      <c r="H24" t="s">
        <v>57</v>
      </c>
      <c r="I24" s="23" t="str">
        <f>INDEX(Data!$B$2:$B$51,MATCH(1,INDEX((Data!$C$2:$C$51=B24)*(Data!$Q$2:$Q$51=A24),0),0))</f>
        <v>New Jersey</v>
      </c>
      <c r="J24" s="16">
        <f>SUMPRODUCT((Data!$B$2:$B$51=$I24)*(Data!$C$2:$C$51=$H24)*(Data!H$2:H$51))</f>
        <v>410628.02850999997</v>
      </c>
      <c r="K24" s="16">
        <f>SUMPRODUCT((Data!$B$2:$B$51=$I24)*(Data!$C$2:$C$51=$H24)*(Data!I$2:I$51))</f>
        <v>390096.62708449998</v>
      </c>
      <c r="L24" s="16">
        <f>SUMPRODUCT((Data!$B$2:$B$51=$I24)*(Data!$C$2:$C$51=$H24)*(Data!J$2:J$51))</f>
        <v>427155.80665752746</v>
      </c>
      <c r="M24" s="16">
        <f>SUMPRODUCT((Data!$B$2:$B$51=$I24)*(Data!$C$2:$C$51=$H24)*(Data!K$2:K$51))</f>
        <v>405798.01632465108</v>
      </c>
      <c r="N24" t="s">
        <v>57</v>
      </c>
      <c r="O24" s="23" t="str">
        <f>INDEX(Data!$B$2:$B$51,MATCH(1,INDEX((Data!$C$2:$C$51=N24)*(Data!$O$2:$O$51=A24),0),0))</f>
        <v>Maryland</v>
      </c>
      <c r="P24" s="16">
        <f>SUMPRODUCT((Data!$B$2:$B$51=O24)*(Data!$C$2:$C$51=N24)*(Data!$M$2:$M$51))</f>
        <v>606.20000000000005</v>
      </c>
      <c r="Q24" t="s">
        <v>57</v>
      </c>
      <c r="R24" s="23" t="str">
        <f>INDEX(Data!$B$2:$B$51,MATCH(1,INDEX((Data!$C$2:$C$51=Q24)*(Data!$R$2:$R$51=A24),0),0))</f>
        <v>Connecticut</v>
      </c>
      <c r="S24" s="17">
        <f>SUMPRODUCT((Data!$B$2:$B$51=R24)*(Data!$C$2:$C$51=Q24)*(Data!$L$2:$L$51))</f>
        <v>7.9000000000000001E-2</v>
      </c>
    </row>
    <row r="25" spans="1:19" x14ac:dyDescent="0.25">
      <c r="A25">
        <v>4</v>
      </c>
      <c r="B25" t="s">
        <v>57</v>
      </c>
      <c r="C25" s="23" t="str">
        <f>INDEX(Data!$B$2:$B$51,MATCH(1,INDEX((Data!$C$2:$C$51=B25)*(Data!$P$2:$P$51=A25),0),0))</f>
        <v>Massachusetts</v>
      </c>
      <c r="D25" s="16">
        <f>SUMPRODUCT((Data!$B$2:$B$51=C25)*(Data!$C$2:$C$51=B25)*(Data!$D$2:$D$51))</f>
        <v>624326.77929600002</v>
      </c>
      <c r="E25" s="16">
        <f>SUMPRODUCT((Data!$B$2:$B$51=$C25)*(Data!$C$2:$C$51=$B25)*(Data!E$2:E$51))</f>
        <v>798269.76</v>
      </c>
      <c r="F25" s="16">
        <f>SUMPRODUCT((Data!$B$2:$B$51=$C25)*(Data!$C$2:$C$51=$B25)*(Data!F$2:F$51))</f>
        <v>758356.272</v>
      </c>
      <c r="G25" s="16">
        <f>SUMPRODUCT((Data!$B$2:$B$51=$C25)*(Data!$C$2:$C$51=$B25)*(Data!G$2:G$51))</f>
        <v>781106.96016000002</v>
      </c>
      <c r="H25" t="s">
        <v>57</v>
      </c>
      <c r="I25" s="23" t="str">
        <f>INDEX(Data!$B$2:$B$51,MATCH(1,INDEX((Data!$C$2:$C$51=B25)*(Data!$Q$2:$Q$51=A25),0),0))</f>
        <v>Massachusetts</v>
      </c>
      <c r="J25" s="16">
        <f>SUMPRODUCT((Data!$B$2:$B$51=$I25)*(Data!$C$2:$C$51=$H25)*(Data!H$2:H$51))</f>
        <v>305413.72938999999</v>
      </c>
      <c r="K25" s="16">
        <f>SUMPRODUCT((Data!$B$2:$B$51=$I25)*(Data!$C$2:$C$51=$H25)*(Data!I$2:I$51))</f>
        <v>290143.04292049998</v>
      </c>
      <c r="L25" s="16">
        <f>SUMPRODUCT((Data!$B$2:$B$51=$I25)*(Data!$C$2:$C$51=$H25)*(Data!J$2:J$51))</f>
        <v>298847.334208115</v>
      </c>
      <c r="M25" s="16">
        <f>SUMPRODUCT((Data!$B$2:$B$51=$I25)*(Data!$C$2:$C$51=$H25)*(Data!K$2:K$51))</f>
        <v>283904.96749770927</v>
      </c>
      <c r="N25" t="s">
        <v>57</v>
      </c>
      <c r="O25" s="23" t="str">
        <f>INDEX(Data!$B$2:$B$51,MATCH(1,INDEX((Data!$C$2:$C$51=N25)*(Data!$O$2:$O$51=A25),0),0))</f>
        <v>Delaware</v>
      </c>
      <c r="P25" s="16">
        <f>SUMPRODUCT((Data!$B$2:$B$51=O25)*(Data!$C$2:$C$51=N25)*(Data!$M$2:$M$51))</f>
        <v>470.7</v>
      </c>
      <c r="Q25" t="s">
        <v>57</v>
      </c>
      <c r="R25" s="23" t="str">
        <f>INDEX(Data!$B$2:$B$51,MATCH(1,INDEX((Data!$C$2:$C$51=Q25)*(Data!$R$2:$R$51=A25),0),0))</f>
        <v>New York</v>
      </c>
      <c r="S25" s="17">
        <f>SUMPRODUCT((Data!$B$2:$B$51=R25)*(Data!$C$2:$C$51=Q25)*(Data!$L$2:$L$51))</f>
        <v>7.6999999999999999E-2</v>
      </c>
    </row>
    <row r="26" spans="1:19" x14ac:dyDescent="0.25">
      <c r="A26">
        <v>5</v>
      </c>
      <c r="B26" t="s">
        <v>57</v>
      </c>
      <c r="C26" s="23" t="str">
        <f>INDEX(Data!$B$2:$B$51,MATCH(1,INDEX((Data!$C$2:$C$51=B26)*(Data!$P$2:$P$51=A26),0),0))</f>
        <v>Connecticut</v>
      </c>
      <c r="D26" s="16">
        <f>SUMPRODUCT((Data!$B$2:$B$51=C26)*(Data!$C$2:$C$51=B26)*(Data!$D$2:$D$51))</f>
        <v>365907.83888400003</v>
      </c>
      <c r="E26" s="16">
        <f>SUMPRODUCT((Data!$B$2:$B$51=$C26)*(Data!$C$2:$C$51=$B26)*(Data!E$2:E$51))</f>
        <v>472627.02</v>
      </c>
      <c r="F26" s="16">
        <f>SUMPRODUCT((Data!$B$2:$B$51=$C26)*(Data!$C$2:$C$51=$B26)*(Data!F$2:F$51))</f>
        <v>517526.58689999999</v>
      </c>
      <c r="G26" s="16">
        <f>SUMPRODUCT((Data!$B$2:$B$51=$C26)*(Data!$C$2:$C$51=$B26)*(Data!G$2:G$51))</f>
        <v>533052.38450699998</v>
      </c>
      <c r="H26" t="s">
        <v>57</v>
      </c>
      <c r="I26" s="23" t="str">
        <f>INDEX(Data!$B$2:$B$51,MATCH(1,INDEX((Data!$C$2:$C$51=B26)*(Data!$Q$2:$Q$51=A26),0),0))</f>
        <v>Maryland</v>
      </c>
      <c r="J26" s="16">
        <f>SUMPRODUCT((Data!$B$2:$B$51=$I26)*(Data!$C$2:$C$51=$H26)*(Data!H$2:H$51))</f>
        <v>270342.29635000002</v>
      </c>
      <c r="K26" s="16">
        <f>SUMPRODUCT((Data!$B$2:$B$51=$I26)*(Data!$C$2:$C$51=$H26)*(Data!I$2:I$51))</f>
        <v>262232.02745950001</v>
      </c>
      <c r="L26" s="16">
        <f>SUMPRODUCT((Data!$B$2:$B$51=$I26)*(Data!$C$2:$C$51=$H26)*(Data!J$2:J$51))</f>
        <v>287144.0700681525</v>
      </c>
      <c r="M26" s="16">
        <f>SUMPRODUCT((Data!$B$2:$B$51=$I26)*(Data!$C$2:$C$51=$H26)*(Data!K$2:K$51))</f>
        <v>278529.74796610791</v>
      </c>
      <c r="N26" t="s">
        <v>57</v>
      </c>
      <c r="O26" s="23" t="str">
        <f>INDEX(Data!$B$2:$B$51,MATCH(1,INDEX((Data!$C$2:$C$51=N26)*(Data!$O$2:$O$51=A26),0),0))</f>
        <v>New York</v>
      </c>
      <c r="P26" s="16">
        <f>SUMPRODUCT((Data!$B$2:$B$51=O26)*(Data!$C$2:$C$51=N26)*(Data!$M$2:$M$51))</f>
        <v>415.3</v>
      </c>
      <c r="Q26" t="s">
        <v>57</v>
      </c>
      <c r="R26" s="23" t="str">
        <f>INDEX(Data!$B$2:$B$51,MATCH(1,INDEX((Data!$C$2:$C$51=Q26)*(Data!$R$2:$R$51=A26),0),0))</f>
        <v>Pennsylvania</v>
      </c>
      <c r="S26" s="17">
        <f>SUMPRODUCT((Data!$B$2:$B$51=R26)*(Data!$C$2:$C$51=Q26)*(Data!$L$2:$L$51))</f>
        <v>7.4999999999999997E-2</v>
      </c>
    </row>
    <row r="27" spans="1:19" x14ac:dyDescent="0.25">
      <c r="A27">
        <v>6</v>
      </c>
      <c r="B27" t="s">
        <v>57</v>
      </c>
      <c r="C27" s="23" t="str">
        <f>INDEX(Data!$B$2:$B$51,MATCH(1,INDEX((Data!$C$2:$C$51=B27)*(Data!$P$2:$P$51=A27),0),0))</f>
        <v>Maryland</v>
      </c>
      <c r="D27" s="16">
        <f>SUMPRODUCT((Data!$B$2:$B$51=C27)*(Data!$C$2:$C$51=B27)*(Data!$D$2:$D$51))</f>
        <v>376244.86264200002</v>
      </c>
      <c r="E27" s="16">
        <f>SUMPRODUCT((Data!$B$2:$B$51=$C27)*(Data!$C$2:$C$51=$B27)*(Data!E$2:E$51))</f>
        <v>481070.02</v>
      </c>
      <c r="F27" s="16">
        <f>SUMPRODUCT((Data!$B$2:$B$51=$C27)*(Data!$C$2:$C$51=$B27)*(Data!F$2:F$51))</f>
        <v>466637.91940000001</v>
      </c>
      <c r="G27" s="16">
        <f>SUMPRODUCT((Data!$B$2:$B$51=$C27)*(Data!$C$2:$C$51=$B27)*(Data!G$2:G$51))</f>
        <v>510968.52174300002</v>
      </c>
      <c r="H27" t="s">
        <v>57</v>
      </c>
      <c r="I27" s="23" t="str">
        <f>INDEX(Data!$B$2:$B$51,MATCH(1,INDEX((Data!$C$2:$C$51=B27)*(Data!$Q$2:$Q$51=A27),0),0))</f>
        <v>Connecticut</v>
      </c>
      <c r="J27" s="16">
        <f>SUMPRODUCT((Data!$B$2:$B$51=$I27)*(Data!$C$2:$C$51=$H27)*(Data!H$2:H$51))</f>
        <v>166589.30694000001</v>
      </c>
      <c r="K27" s="16">
        <f>SUMPRODUCT((Data!$B$2:$B$51=$I27)*(Data!$C$2:$C$51=$H27)*(Data!I$2:I$51))</f>
        <v>182415.2910993</v>
      </c>
      <c r="L27" s="16">
        <f>SUMPRODUCT((Data!$B$2:$B$51=$I27)*(Data!$C$2:$C$51=$H27)*(Data!J$2:J$51))</f>
        <v>187887.74983227899</v>
      </c>
      <c r="M27" s="16">
        <f>SUMPRODUCT((Data!$B$2:$B$51=$I27)*(Data!$C$2:$C$51=$H27)*(Data!K$2:K$51))</f>
        <v>178493.36234066504</v>
      </c>
      <c r="N27" t="s">
        <v>57</v>
      </c>
      <c r="O27" s="23" t="str">
        <f>INDEX(Data!$B$2:$B$51,MATCH(1,INDEX((Data!$C$2:$C$51=N27)*(Data!$O$2:$O$51=A27),0),0))</f>
        <v>Pennsylvania</v>
      </c>
      <c r="P27" s="16">
        <f>SUMPRODUCT((Data!$B$2:$B$51=O27)*(Data!$C$2:$C$51=N27)*(Data!$M$2:$M$51))</f>
        <v>285.3</v>
      </c>
      <c r="Q27" t="s">
        <v>57</v>
      </c>
      <c r="R27" s="23" t="str">
        <f>INDEX(Data!$B$2:$B$51,MATCH(1,INDEX((Data!$C$2:$C$51=Q27)*(Data!$R$2:$R$51=A27),0),0))</f>
        <v>Massachusetts</v>
      </c>
      <c r="S27" s="17">
        <f>SUMPRODUCT((Data!$B$2:$B$51=R27)*(Data!$C$2:$C$51=Q27)*(Data!$L$2:$L$51))</f>
        <v>7.2000000000000008E-2</v>
      </c>
    </row>
    <row r="28" spans="1:19" x14ac:dyDescent="0.25">
      <c r="A28">
        <v>7</v>
      </c>
      <c r="B28" t="s">
        <v>57</v>
      </c>
      <c r="C28" s="23" t="str">
        <f>INDEX(Data!$B$2:$B$51,MATCH(1,INDEX((Data!$C$2:$C$51=B28)*(Data!$P$2:$P$51=A28),0),0))</f>
        <v>Delaware</v>
      </c>
      <c r="D28" s="16">
        <f>SUMPRODUCT((Data!$B$2:$B$51=C28)*(Data!$C$2:$C$51=B28)*(Data!$D$2:$D$51))</f>
        <v>175949.74989600002</v>
      </c>
      <c r="E28" s="16">
        <f>SUMPRODUCT((Data!$B$2:$B$51=$C28)*(Data!$C$2:$C$51=$B28)*(Data!E$2:E$51))</f>
        <v>218354.12</v>
      </c>
      <c r="F28" s="16">
        <f>SUMPRODUCT((Data!$B$2:$B$51=$C28)*(Data!$C$2:$C$51=$B28)*(Data!F$2:F$51))</f>
        <v>207436.41399999999</v>
      </c>
      <c r="G28" s="16">
        <f>SUMPRODUCT((Data!$B$2:$B$51=$C28)*(Data!$C$2:$C$51=$B28)*(Data!G$2:G$51))</f>
        <v>201213.32157999999</v>
      </c>
      <c r="H28" t="s">
        <v>57</v>
      </c>
      <c r="I28" s="23" t="str">
        <f>INDEX(Data!$B$2:$B$51,MATCH(1,INDEX((Data!$C$2:$C$51=B28)*(Data!$Q$2:$Q$51=A28),0),0))</f>
        <v>New Hampshire</v>
      </c>
      <c r="J28" s="16">
        <f>SUMPRODUCT((Data!$B$2:$B$51=$I28)*(Data!$C$2:$C$51=$H28)*(Data!H$2:H$51))</f>
        <v>61375.007819999999</v>
      </c>
      <c r="K28" s="16">
        <f>SUMPRODUCT((Data!$B$2:$B$51=$I28)*(Data!$C$2:$C$51=$H28)*(Data!I$2:I$51))</f>
        <v>63216.258054600003</v>
      </c>
      <c r="L28" s="16">
        <f>SUMPRODUCT((Data!$B$2:$B$51=$I28)*(Data!$C$2:$C$51=$H28)*(Data!J$2:J$51))</f>
        <v>65112.745796238007</v>
      </c>
      <c r="M28" s="16">
        <f>SUMPRODUCT((Data!$B$2:$B$51=$I28)*(Data!$C$2:$C$51=$H28)*(Data!K$2:K$51))</f>
        <v>67066.128170125143</v>
      </c>
      <c r="N28" t="s">
        <v>57</v>
      </c>
      <c r="O28" s="23" t="str">
        <f>INDEX(Data!$B$2:$B$51,MATCH(1,INDEX((Data!$C$2:$C$51=N28)*(Data!$O$2:$O$51=A28),0),0))</f>
        <v>New Jersey</v>
      </c>
      <c r="P28" s="16">
        <f>SUMPRODUCT((Data!$B$2:$B$51=O28)*(Data!$C$2:$C$51=N28)*(Data!$M$2:$M$51))</f>
        <v>204</v>
      </c>
      <c r="Q28" t="s">
        <v>57</v>
      </c>
      <c r="R28" s="23" t="str">
        <f>INDEX(Data!$B$2:$B$51,MATCH(1,INDEX((Data!$C$2:$C$51=Q28)*(Data!$R$2:$R$51=A28),0),0))</f>
        <v>Delaware</v>
      </c>
      <c r="S28" s="17">
        <f>SUMPRODUCT((Data!$B$2:$B$51=R28)*(Data!$C$2:$C$51=Q28)*(Data!$L$2:$L$51))</f>
        <v>6.8000000000000005E-2</v>
      </c>
    </row>
    <row r="29" spans="1:19" x14ac:dyDescent="0.25">
      <c r="A29">
        <v>8</v>
      </c>
      <c r="B29" t="s">
        <v>57</v>
      </c>
      <c r="C29" s="23" t="str">
        <f>INDEX(Data!$B$2:$B$51,MATCH(1,INDEX((Data!$C$2:$C$51=B29)*(Data!$P$2:$P$51=A29),0),0))</f>
        <v>Rhode Island</v>
      </c>
      <c r="D29" s="16">
        <f>SUMPRODUCT((Data!$B$2:$B$51=C29)*(Data!$C$2:$C$51=B29)*(Data!$D$2:$D$51))</f>
        <v>88576.259604000006</v>
      </c>
      <c r="E29" s="16">
        <f>SUMPRODUCT((Data!$B$2:$B$51=$C29)*(Data!$C$2:$C$51=$B29)*(Data!E$2:E$51))</f>
        <v>109923.38</v>
      </c>
      <c r="F29" s="16">
        <f>SUMPRODUCT((Data!$B$2:$B$51=$C29)*(Data!$C$2:$C$51=$B29)*(Data!F$2:F$51))</f>
        <v>113221.08140000001</v>
      </c>
      <c r="G29" s="16">
        <f>SUMPRODUCT((Data!$B$2:$B$51=$C29)*(Data!$C$2:$C$51=$B29)*(Data!G$2:G$51))</f>
        <v>116617.71384200001</v>
      </c>
      <c r="H29" t="s">
        <v>57</v>
      </c>
      <c r="I29" s="23" t="str">
        <f>INDEX(Data!$B$2:$B$51,MATCH(1,INDEX((Data!$C$2:$C$51=B29)*(Data!$Q$2:$Q$51=A29),0),0))</f>
        <v>Maine</v>
      </c>
      <c r="J29" s="16">
        <f>SUMPRODUCT((Data!$B$2:$B$51=$I29)*(Data!$C$2:$C$51=$H29)*(Data!H$2:H$51))</f>
        <v>61375.007819999999</v>
      </c>
      <c r="K29" s="16">
        <f>SUMPRODUCT((Data!$B$2:$B$51=$I29)*(Data!$C$2:$C$51=$H29)*(Data!I$2:I$51))</f>
        <v>63216.258054600003</v>
      </c>
      <c r="L29" s="16">
        <f>SUMPRODUCT((Data!$B$2:$B$51=$I29)*(Data!$C$2:$C$51=$H29)*(Data!J$2:J$51))</f>
        <v>60055.445151870001</v>
      </c>
      <c r="M29" s="16">
        <f>SUMPRODUCT((Data!$B$2:$B$51=$I29)*(Data!$C$2:$C$51=$H29)*(Data!K$2:K$51))</f>
        <v>65760.712441297655</v>
      </c>
      <c r="N29" t="s">
        <v>57</v>
      </c>
      <c r="O29" s="23" t="str">
        <f>INDEX(Data!$B$2:$B$51,MATCH(1,INDEX((Data!$C$2:$C$51=N29)*(Data!$O$2:$O$51=A29),0),0))</f>
        <v>New Hampshire</v>
      </c>
      <c r="P29" s="16">
        <f>SUMPRODUCT((Data!$B$2:$B$51=O29)*(Data!$C$2:$C$51=N29)*(Data!$M$2:$M$51))</f>
        <v>147</v>
      </c>
      <c r="Q29" t="s">
        <v>57</v>
      </c>
      <c r="R29" s="23" t="str">
        <f>INDEX(Data!$B$2:$B$51,MATCH(1,INDEX((Data!$C$2:$C$51=Q29)*(Data!$R$2:$R$51=A29),0),0))</f>
        <v>Maryland</v>
      </c>
      <c r="S29" s="17">
        <f>SUMPRODUCT((Data!$B$2:$B$51=R29)*(Data!$C$2:$C$51=Q29)*(Data!$L$2:$L$51))</f>
        <v>6.7000000000000004E-2</v>
      </c>
    </row>
    <row r="30" spans="1:19" x14ac:dyDescent="0.25">
      <c r="A30">
        <v>9</v>
      </c>
      <c r="B30" t="s">
        <v>57</v>
      </c>
      <c r="C30" s="23" t="str">
        <f>INDEX(Data!$B$2:$B$51,MATCH(1,INDEX((Data!$C$2:$C$51=B30)*(Data!$P$2:$P$51=A30),0),0))</f>
        <v>New Hampshire</v>
      </c>
      <c r="D30" s="16">
        <f>SUMPRODUCT((Data!$B$2:$B$51=C30)*(Data!$C$2:$C$51=B30)*(Data!$D$2:$D$51))</f>
        <v>70972.374078000008</v>
      </c>
      <c r="E30" s="16">
        <f>SUMPRODUCT((Data!$B$2:$B$51=$C30)*(Data!$C$2:$C$51=$B30)*(Data!E$2:E$51))</f>
        <v>88076.91</v>
      </c>
      <c r="F30" s="16">
        <f>SUMPRODUCT((Data!$B$2:$B$51=$C30)*(Data!$C$2:$C$51=$B30)*(Data!F$2:F$51))</f>
        <v>90719.217300000004</v>
      </c>
      <c r="G30" s="16">
        <f>SUMPRODUCT((Data!$B$2:$B$51=$C30)*(Data!$C$2:$C$51=$B30)*(Data!G$2:G$51))</f>
        <v>93440.793819000013</v>
      </c>
      <c r="H30" t="s">
        <v>57</v>
      </c>
      <c r="I30" s="23" t="str">
        <f>INDEX(Data!$B$2:$B$51,MATCH(1,INDEX((Data!$C$2:$C$51=B30)*(Data!$Q$2:$Q$51=A30),0),0))</f>
        <v>Rhode Island</v>
      </c>
      <c r="J30" s="16">
        <f>SUMPRODUCT((Data!$B$2:$B$51=$I30)*(Data!$C$2:$C$51=$H30)*(Data!H$2:H$51))</f>
        <v>49684.530140000003</v>
      </c>
      <c r="K30" s="16">
        <f>SUMPRODUCT((Data!$B$2:$B$51=$I30)*(Data!$C$2:$C$51=$H30)*(Data!I$2:I$51))</f>
        <v>51175.066044200001</v>
      </c>
      <c r="L30" s="16">
        <f>SUMPRODUCT((Data!$B$2:$B$51=$I30)*(Data!$C$2:$C$51=$H30)*(Data!J$2:J$51))</f>
        <v>52710.318025526001</v>
      </c>
      <c r="M30" s="16">
        <f>SUMPRODUCT((Data!$B$2:$B$51=$I30)*(Data!$C$2:$C$51=$H30)*(Data!K$2:K$51))</f>
        <v>50074.802124249698</v>
      </c>
      <c r="N30" t="s">
        <v>57</v>
      </c>
      <c r="O30" s="23" t="str">
        <f>INDEX(Data!$B$2:$B$51,MATCH(1,INDEX((Data!$C$2:$C$51=N30)*(Data!$O$2:$O$51=A30),0),0))</f>
        <v>Rhode Island</v>
      </c>
      <c r="P30" s="16">
        <f>SUMPRODUCT((Data!$B$2:$B$51=O30)*(Data!$C$2:$C$51=N30)*(Data!$M$2:$M$51))</f>
        <v>100.6</v>
      </c>
      <c r="Q30" t="s">
        <v>57</v>
      </c>
      <c r="R30" s="23" t="str">
        <f>INDEX(Data!$B$2:$B$51,MATCH(1,INDEX((Data!$C$2:$C$51=Q30)*(Data!$R$2:$R$51=A30),0),0))</f>
        <v>Maine</v>
      </c>
      <c r="S30" s="17">
        <f>SUMPRODUCT((Data!$B$2:$B$51=R30)*(Data!$C$2:$C$51=Q30)*(Data!$L$2:$L$51))</f>
        <v>6.7000000000000004E-2</v>
      </c>
    </row>
    <row r="31" spans="1:19" x14ac:dyDescent="0.25">
      <c r="A31">
        <v>10</v>
      </c>
      <c r="B31" t="s">
        <v>57</v>
      </c>
      <c r="C31" s="23" t="str">
        <f>INDEX(Data!$B$2:$B$51,MATCH(1,INDEX((Data!$C$2:$C$51=B31)*(Data!$P$2:$P$51=A31),0),0))</f>
        <v>Maine</v>
      </c>
      <c r="D31" s="16">
        <f>SUMPRODUCT((Data!$B$2:$B$51=C31)*(Data!$C$2:$C$51=B31)*(Data!$D$2:$D$51))</f>
        <v>50194.804962000002</v>
      </c>
      <c r="E31" s="16">
        <f>SUMPRODUCT((Data!$B$2:$B$51=$C31)*(Data!$C$2:$C$51=$B31)*(Data!E$2:E$51))</f>
        <v>62291.89</v>
      </c>
      <c r="F31" s="16">
        <f>SUMPRODUCT((Data!$B$2:$B$51=$C31)*(Data!$C$2:$C$51=$B31)*(Data!F$2:F$51))</f>
        <v>64160.646699999998</v>
      </c>
      <c r="G31" s="16">
        <f>SUMPRODUCT((Data!$B$2:$B$51=$C31)*(Data!$C$2:$C$51=$B31)*(Data!G$2:G$51))</f>
        <v>70255.908136500002</v>
      </c>
      <c r="H31" t="s">
        <v>57</v>
      </c>
      <c r="I31" s="23" t="str">
        <f>INDEX(Data!$B$2:$B$51,MATCH(1,INDEX((Data!$C$2:$C$51=B31)*(Data!$Q$2:$Q$51=A31),0),0))</f>
        <v>Delaware</v>
      </c>
      <c r="J31" s="16">
        <f>SUMPRODUCT((Data!$B$2:$B$51=$I31)*(Data!$C$2:$C$51=$H31)*(Data!H$2:H$51))</f>
        <v>42377.981590000003</v>
      </c>
      <c r="K31" s="16">
        <f>SUMPRODUCT((Data!$B$2:$B$51=$I31)*(Data!$C$2:$C$51=$H31)*(Data!I$2:I$51))</f>
        <v>40259.082510500004</v>
      </c>
      <c r="L31" s="16">
        <f>SUMPRODUCT((Data!$B$2:$B$51=$I31)*(Data!$C$2:$C$51=$H31)*(Data!J$2:J$51))</f>
        <v>39051.310035185001</v>
      </c>
      <c r="M31" s="16">
        <f>SUMPRODUCT((Data!$B$2:$B$51=$I31)*(Data!$C$2:$C$51=$H31)*(Data!K$2:K$51))</f>
        <v>37098.74453342575</v>
      </c>
      <c r="N31" t="s">
        <v>57</v>
      </c>
      <c r="O31" s="23" t="str">
        <f>INDEX(Data!$B$2:$B$51,MATCH(1,INDEX((Data!$C$2:$C$51=N31)*(Data!$O$2:$O$51=A31),0),0))</f>
        <v>Vermont</v>
      </c>
      <c r="P31" s="16">
        <f>SUMPRODUCT((Data!$B$2:$B$51=O31)*(Data!$C$2:$C$51=N31)*(Data!$M$2:$M$51))</f>
        <v>67.73</v>
      </c>
      <c r="Q31" t="s">
        <v>57</v>
      </c>
      <c r="R31" s="23" t="str">
        <f>INDEX(Data!$B$2:$B$51,MATCH(1,INDEX((Data!$C$2:$C$51=Q31)*(Data!$R$2:$R$51=A31),0),0))</f>
        <v>New Hampshire</v>
      </c>
      <c r="S31" s="17">
        <f>SUMPRODUCT((Data!$B$2:$B$51=R31)*(Data!$C$2:$C$51=Q31)*(Data!$L$2:$L$51))</f>
        <v>5.0999999999999997E-2</v>
      </c>
    </row>
    <row r="32" spans="1:19" x14ac:dyDescent="0.25">
      <c r="A32">
        <v>1</v>
      </c>
      <c r="B32" t="s">
        <v>56</v>
      </c>
      <c r="C32" s="23" t="str">
        <f>INDEX(Data!$B$2:$B$51,MATCH(1,INDEX((Data!$C$2:$C$51=B32)*(Data!$P$2:$P$51=A32),0),0))</f>
        <v>Illinois</v>
      </c>
      <c r="D32" s="16">
        <f>SUMPRODUCT((Data!$B$2:$B$51=C32)*(Data!$C$2:$C$51=B32)*(Data!$D$2:$D$51))</f>
        <v>950567.47242110013</v>
      </c>
      <c r="E32" s="16">
        <f>SUMPRODUCT((Data!$B$2:$B$51=$C32)*(Data!$C$2:$C$51=$B32)*(Data!E$2:E$51))</f>
        <v>1244312.27</v>
      </c>
      <c r="F32" s="16">
        <f>SUMPRODUCT((Data!$B$2:$B$51=$C32)*(Data!$C$2:$C$51=$B32)*(Data!F$2:F$51))</f>
        <v>1182096.6565</v>
      </c>
      <c r="G32" s="16">
        <f>SUMPRODUCT((Data!$B$2:$B$51=$C32)*(Data!$C$2:$C$51=$B32)*(Data!G$2:G$51))</f>
        <v>1264843.4224550002</v>
      </c>
      <c r="H32" t="s">
        <v>56</v>
      </c>
      <c r="I32" s="23" t="str">
        <f>INDEX(Data!$B$2:$B$51,MATCH(1,INDEX((Data!$C$2:$C$51=B32)*(Data!$Q$2:$Q$51=A32),0),0))</f>
        <v>Illinois</v>
      </c>
      <c r="J32" s="16">
        <f>SUMPRODUCT((Data!$B$2:$B$51=$I32)*(Data!$C$2:$C$51=$H32)*(Data!H$2:H$51))</f>
        <v>599136.98109999998</v>
      </c>
      <c r="K32" s="16">
        <f>SUMPRODUCT((Data!$B$2:$B$51=$I32)*(Data!$C$2:$C$51=$H32)*(Data!I$2:I$51))</f>
        <v>569180.13204499998</v>
      </c>
      <c r="L32" s="16">
        <f>SUMPRODUCT((Data!$B$2:$B$51=$I32)*(Data!$C$2:$C$51=$H32)*(Data!J$2:J$51))</f>
        <v>609022.74128814996</v>
      </c>
      <c r="M32" s="16">
        <f>SUMPRODUCT((Data!$B$2:$B$51=$I32)*(Data!$C$2:$C$51=$H32)*(Data!K$2:K$51))</f>
        <v>666879.90171052422</v>
      </c>
      <c r="N32" t="s">
        <v>56</v>
      </c>
      <c r="O32" s="23" t="str">
        <f>INDEX(Data!$B$2:$B$51,MATCH(1,INDEX((Data!$C$2:$C$51=N32)*(Data!$O$2:$O$51=A32),0),0))</f>
        <v>Ohio</v>
      </c>
      <c r="P32" s="16">
        <f>SUMPRODUCT((Data!$B$2:$B$51=O32)*(Data!$C$2:$C$51=N32)*(Data!$M$2:$M$51))</f>
        <v>282.5</v>
      </c>
      <c r="Q32" t="s">
        <v>56</v>
      </c>
      <c r="R32" s="23" t="str">
        <f>INDEX(Data!$B$2:$B$51,MATCH(1,INDEX((Data!$C$2:$C$51=Q32)*(Data!$R$2:$R$51=A32),0),0))</f>
        <v>Michigan</v>
      </c>
      <c r="S32" s="17">
        <f>SUMPRODUCT((Data!$B$2:$B$51=R32)*(Data!$C$2:$C$51=Q32)*(Data!$L$2:$L$51))</f>
        <v>0.09</v>
      </c>
    </row>
    <row r="33" spans="1:19" x14ac:dyDescent="0.25">
      <c r="A33">
        <v>2</v>
      </c>
      <c r="B33" t="s">
        <v>56</v>
      </c>
      <c r="C33" s="23" t="str">
        <f>INDEX(Data!$B$2:$B$51,MATCH(1,INDEX((Data!$C$2:$C$51=B33)*(Data!$P$2:$P$51=A33),0),0))</f>
        <v>Ohio</v>
      </c>
      <c r="D33" s="16">
        <f>SUMPRODUCT((Data!$B$2:$B$51=C33)*(Data!$C$2:$C$51=B33)*(Data!$D$2:$D$51))</f>
        <v>848682.50264680013</v>
      </c>
      <c r="E33" s="16">
        <f>SUMPRODUCT((Data!$B$2:$B$51=$C33)*(Data!$C$2:$C$51=$B33)*(Data!E$2:E$51))</f>
        <v>1110942.76</v>
      </c>
      <c r="F33" s="16">
        <f>SUMPRODUCT((Data!$B$2:$B$51=$C33)*(Data!$C$2:$C$51=$B33)*(Data!F$2:F$51))</f>
        <v>1055395.622</v>
      </c>
      <c r="G33" s="16">
        <f>SUMPRODUCT((Data!$B$2:$B$51=$C33)*(Data!$C$2:$C$51=$B33)*(Data!G$2:G$51))</f>
        <v>1002625.8409</v>
      </c>
      <c r="H33" t="s">
        <v>56</v>
      </c>
      <c r="I33" s="23" t="str">
        <f>INDEX(Data!$B$2:$B$51,MATCH(1,INDEX((Data!$C$2:$C$51=B33)*(Data!$Q$2:$Q$51=A33),0),0))</f>
        <v>Michigan</v>
      </c>
      <c r="J33" s="16">
        <f>SUMPRODUCT((Data!$B$2:$B$51=$I33)*(Data!$C$2:$C$51=$H33)*(Data!H$2:H$51))</f>
        <v>461773.86836000008</v>
      </c>
      <c r="K33" s="16">
        <f>SUMPRODUCT((Data!$B$2:$B$51=$I33)*(Data!$C$2:$C$51=$H33)*(Data!I$2:I$51))</f>
        <v>447920.65230920009</v>
      </c>
      <c r="L33" s="16">
        <f>SUMPRODUCT((Data!$B$2:$B$51=$I33)*(Data!$C$2:$C$51=$H33)*(Data!J$2:J$51))</f>
        <v>430003.82621683209</v>
      </c>
      <c r="M33" s="16">
        <f>SUMPRODUCT((Data!$B$2:$B$51=$I33)*(Data!$C$2:$C$51=$H33)*(Data!K$2:K$51))</f>
        <v>470854.18970743113</v>
      </c>
      <c r="N33" t="s">
        <v>56</v>
      </c>
      <c r="O33" s="23" t="str">
        <f>INDEX(Data!$B$2:$B$51,MATCH(1,INDEX((Data!$C$2:$C$51=N33)*(Data!$O$2:$O$51=A33),0),0))</f>
        <v>Illinois</v>
      </c>
      <c r="P33" s="16">
        <f>SUMPRODUCT((Data!$B$2:$B$51=O33)*(Data!$C$2:$C$51=N33)*(Data!$M$2:$M$51))</f>
        <v>231.9</v>
      </c>
      <c r="Q33" t="s">
        <v>56</v>
      </c>
      <c r="R33" s="23" t="str">
        <f>INDEX(Data!$B$2:$B$51,MATCH(1,INDEX((Data!$C$2:$C$51=Q33)*(Data!$R$2:$R$51=A33),0),0))</f>
        <v>Illinois</v>
      </c>
      <c r="S33" s="17">
        <f>SUMPRODUCT((Data!$B$2:$B$51=R33)*(Data!$C$2:$C$51=Q33)*(Data!$L$2:$L$51))</f>
        <v>8.900000000000001E-2</v>
      </c>
    </row>
    <row r="34" spans="1:19" x14ac:dyDescent="0.25">
      <c r="A34">
        <v>3</v>
      </c>
      <c r="B34" t="s">
        <v>56</v>
      </c>
      <c r="C34" s="23" t="str">
        <f>INDEX(Data!$B$2:$B$51,MATCH(1,INDEX((Data!$C$2:$C$51=B34)*(Data!$P$2:$P$51=A34),0),0))</f>
        <v>Minnesota</v>
      </c>
      <c r="D34" s="16">
        <f>SUMPRODUCT((Data!$B$2:$B$51=C34)*(Data!$C$2:$C$51=B34)*(Data!$D$2:$D$51))</f>
        <v>615398.52904199995</v>
      </c>
      <c r="E34" s="16">
        <f>SUMPRODUCT((Data!$B$2:$B$51=$C34)*(Data!$C$2:$C$51=$B34)*(Data!E$2:E$51))</f>
        <v>786854.02</v>
      </c>
      <c r="F34" s="16">
        <f>SUMPRODUCT((Data!$B$2:$B$51=$C34)*(Data!$C$2:$C$51=$B34)*(Data!F$2:F$51))</f>
        <v>810459.64060000004</v>
      </c>
      <c r="G34" s="16">
        <f>SUMPRODUCT((Data!$B$2:$B$51=$C34)*(Data!$C$2:$C$51=$B34)*(Data!G$2:G$51))</f>
        <v>769936.65856999997</v>
      </c>
      <c r="H34" t="s">
        <v>56</v>
      </c>
      <c r="I34" s="23" t="str">
        <f>INDEX(Data!$B$2:$B$51,MATCH(1,INDEX((Data!$C$2:$C$51=B34)*(Data!$Q$2:$Q$51=A34),0),0))</f>
        <v>Ohio</v>
      </c>
      <c r="J34" s="16">
        <f>SUMPRODUCT((Data!$B$2:$B$51=$I34)*(Data!$C$2:$C$51=$H34)*(Data!H$2:H$51))</f>
        <v>539223.28299000009</v>
      </c>
      <c r="K34" s="16">
        <f>SUMPRODUCT((Data!$B$2:$B$51=$I34)*(Data!$C$2:$C$51=$H34)*(Data!I$2:I$51))</f>
        <v>512262.11884050007</v>
      </c>
      <c r="L34" s="16">
        <f>SUMPRODUCT((Data!$B$2:$B$51=$I34)*(Data!$C$2:$C$51=$H34)*(Data!J$2:J$51))</f>
        <v>486649.01289847505</v>
      </c>
      <c r="M34" s="16">
        <f>SUMPRODUCT((Data!$B$2:$B$51=$I34)*(Data!$C$2:$C$51=$H34)*(Data!K$2:K$51))</f>
        <v>467183.05238253606</v>
      </c>
      <c r="N34" t="s">
        <v>56</v>
      </c>
      <c r="O34" s="23" t="str">
        <f>INDEX(Data!$B$2:$B$51,MATCH(1,INDEX((Data!$C$2:$C$51=N34)*(Data!$O$2:$O$51=A34),0),0))</f>
        <v>Indiana</v>
      </c>
      <c r="P34" s="16">
        <f>SUMPRODUCT((Data!$B$2:$B$51=O34)*(Data!$C$2:$C$51=N34)*(Data!$M$2:$M$51))</f>
        <v>182.5</v>
      </c>
      <c r="Q34" t="s">
        <v>56</v>
      </c>
      <c r="R34" s="23" t="str">
        <f>INDEX(Data!$B$2:$B$51,MATCH(1,INDEX((Data!$C$2:$C$51=Q34)*(Data!$R$2:$R$51=A34),0),0))</f>
        <v>Ohio</v>
      </c>
      <c r="S34" s="17">
        <f>SUMPRODUCT((Data!$B$2:$B$51=R34)*(Data!$C$2:$C$51=Q34)*(Data!$L$2:$L$51))</f>
        <v>7.4999999999999997E-2</v>
      </c>
    </row>
    <row r="35" spans="1:19" x14ac:dyDescent="0.25">
      <c r="A35">
        <v>4</v>
      </c>
      <c r="B35" t="s">
        <v>56</v>
      </c>
      <c r="C35" s="23" t="str">
        <f>INDEX(Data!$B$2:$B$51,MATCH(1,INDEX((Data!$C$2:$C$51=B35)*(Data!$P$2:$P$51=A35),0),0))</f>
        <v>Michigan</v>
      </c>
      <c r="D35" s="16">
        <f>SUMPRODUCT((Data!$B$2:$B$51=C35)*(Data!$C$2:$C$51=B35)*(Data!$D$2:$D$51))</f>
        <v>452324.16000939999</v>
      </c>
      <c r="E35" s="16">
        <f>SUMPRODUCT((Data!$B$2:$B$51=$C35)*(Data!$C$2:$C$51=$B35)*(Data!E$2:E$51))</f>
        <v>592101.57999999996</v>
      </c>
      <c r="F35" s="16">
        <f>SUMPRODUCT((Data!$B$2:$B$51=$C35)*(Data!$C$2:$C$51=$B35)*(Data!F$2:F$51))</f>
        <v>574338.53259999992</v>
      </c>
      <c r="G35" s="16">
        <f>SUMPRODUCT((Data!$B$2:$B$51=$C35)*(Data!$C$2:$C$51=$B35)*(Data!G$2:G$51))</f>
        <v>551364.99129599985</v>
      </c>
      <c r="H35" t="s">
        <v>56</v>
      </c>
      <c r="I35" s="23" t="str">
        <f>INDEX(Data!$B$2:$B$51,MATCH(1,INDEX((Data!$C$2:$C$51=B35)*(Data!$Q$2:$Q$51=A35),0),0))</f>
        <v>Wisconsin</v>
      </c>
      <c r="J35" s="16">
        <f>SUMPRODUCT((Data!$B$2:$B$51=$I35)*(Data!$C$2:$C$51=$H35)*(Data!H$2:H$51))</f>
        <v>265958.36722000001</v>
      </c>
      <c r="K35" s="16">
        <f>SUMPRODUCT((Data!$B$2:$B$51=$I35)*(Data!$C$2:$C$51=$H35)*(Data!I$2:I$51))</f>
        <v>291224.4121059</v>
      </c>
      <c r="L35" s="16">
        <f>SUMPRODUCT((Data!$B$2:$B$51=$I35)*(Data!$C$2:$C$51=$H35)*(Data!J$2:J$51))</f>
        <v>276663.19150060497</v>
      </c>
      <c r="M35" s="16">
        <f>SUMPRODUCT((Data!$B$2:$B$51=$I35)*(Data!$C$2:$C$51=$H35)*(Data!K$2:K$51))</f>
        <v>302946.19469316246</v>
      </c>
      <c r="N35" t="s">
        <v>56</v>
      </c>
      <c r="O35" s="23" t="str">
        <f>INDEX(Data!$B$2:$B$51,MATCH(1,INDEX((Data!$C$2:$C$51=N35)*(Data!$O$2:$O$51=A35),0),0))</f>
        <v>Michigan</v>
      </c>
      <c r="P35" s="16">
        <f>SUMPRODUCT((Data!$B$2:$B$51=O35)*(Data!$C$2:$C$51=N35)*(Data!$M$2:$M$51))</f>
        <v>174.8</v>
      </c>
      <c r="Q35" t="s">
        <v>56</v>
      </c>
      <c r="R35" s="23" t="str">
        <f>INDEX(Data!$B$2:$B$51,MATCH(1,INDEX((Data!$C$2:$C$51=Q35)*(Data!$R$2:$R$51=A35),0),0))</f>
        <v>Indiana</v>
      </c>
      <c r="S35" s="17">
        <f>SUMPRODUCT((Data!$B$2:$B$51=R35)*(Data!$C$2:$C$51=Q35)*(Data!$L$2:$L$51))</f>
        <v>7.4999999999999997E-2</v>
      </c>
    </row>
    <row r="36" spans="1:19" x14ac:dyDescent="0.25">
      <c r="A36">
        <v>5</v>
      </c>
      <c r="B36" t="s">
        <v>56</v>
      </c>
      <c r="C36" s="23" t="str">
        <f>INDEX(Data!$B$2:$B$51,MATCH(1,INDEX((Data!$C$2:$C$51=B36)*(Data!$P$2:$P$51=A36),0),0))</f>
        <v>Wisconsin</v>
      </c>
      <c r="D36" s="16">
        <f>SUMPRODUCT((Data!$B$2:$B$51=C36)*(Data!$C$2:$C$51=B36)*(Data!$D$2:$D$51))</f>
        <v>324556.11609299999</v>
      </c>
      <c r="E36" s="16">
        <f>SUMPRODUCT((Data!$B$2:$B$51=$C36)*(Data!$C$2:$C$51=$B36)*(Data!E$2:E$51))</f>
        <v>414980.33</v>
      </c>
      <c r="F36" s="16">
        <f>SUMPRODUCT((Data!$B$2:$B$51=$C36)*(Data!$C$2:$C$51=$B36)*(Data!F$2:F$51))</f>
        <v>454403.46135</v>
      </c>
      <c r="G36" s="16">
        <f>SUMPRODUCT((Data!$B$2:$B$51=$C36)*(Data!$C$2:$C$51=$B36)*(Data!G$2:G$51))</f>
        <v>468035.5651905</v>
      </c>
      <c r="H36" t="s">
        <v>56</v>
      </c>
      <c r="I36" s="23" t="str">
        <f>INDEX(Data!$B$2:$B$51,MATCH(1,INDEX((Data!$C$2:$C$51=B36)*(Data!$Q$2:$Q$51=A36),0),0))</f>
        <v>Indiana</v>
      </c>
      <c r="J36" s="16">
        <f>SUMPRODUCT((Data!$B$2:$B$51=$I36)*(Data!$C$2:$C$51=$H36)*(Data!H$2:H$51))</f>
        <v>302491.10996999999</v>
      </c>
      <c r="K36" s="16">
        <f>SUMPRODUCT((Data!$B$2:$B$51=$I36)*(Data!$C$2:$C$51=$H36)*(Data!I$2:I$51))</f>
        <v>287366.55447149999</v>
      </c>
      <c r="L36" s="16">
        <f>SUMPRODUCT((Data!$B$2:$B$51=$I36)*(Data!$C$2:$C$51=$H36)*(Data!J$2:J$51))</f>
        <v>272998.22674792499</v>
      </c>
      <c r="M36" s="16">
        <f>SUMPRODUCT((Data!$B$2:$B$51=$I36)*(Data!$C$2:$C$51=$H36)*(Data!K$2:K$51))</f>
        <v>264808.27994548721</v>
      </c>
      <c r="N36" t="s">
        <v>56</v>
      </c>
      <c r="O36" s="23" t="str">
        <f>INDEX(Data!$B$2:$B$51,MATCH(1,INDEX((Data!$C$2:$C$51=N36)*(Data!$O$2:$O$51=A36),0),0))</f>
        <v>Wisconsin</v>
      </c>
      <c r="P36" s="16">
        <f>SUMPRODUCT((Data!$B$2:$B$51=O36)*(Data!$C$2:$C$51=N36)*(Data!$M$2:$M$51))</f>
        <v>105.2</v>
      </c>
      <c r="Q36" t="s">
        <v>56</v>
      </c>
      <c r="R36" s="23" t="str">
        <f>INDEX(Data!$B$2:$B$51,MATCH(1,INDEX((Data!$C$2:$C$51=Q36)*(Data!$R$2:$R$51=A36),0),0))</f>
        <v>Missouri</v>
      </c>
      <c r="S36" s="17">
        <f>SUMPRODUCT((Data!$B$2:$B$51=R36)*(Data!$C$2:$C$51=Q36)*(Data!$L$2:$L$51))</f>
        <v>6.5000000000000002E-2</v>
      </c>
    </row>
    <row r="37" spans="1:19" x14ac:dyDescent="0.25">
      <c r="A37">
        <v>6</v>
      </c>
      <c r="B37" t="s">
        <v>56</v>
      </c>
      <c r="C37" s="23" t="str">
        <f>INDEX(Data!$B$2:$B$51,MATCH(1,INDEX((Data!$C$2:$C$51=B37)*(Data!$P$2:$P$51=A37),0),0))</f>
        <v>Indiana</v>
      </c>
      <c r="D37" s="16">
        <f>SUMPRODUCT((Data!$B$2:$B$51=C37)*(Data!$C$2:$C$51=B37)*(Data!$D$2:$D$51))</f>
        <v>400736.402352</v>
      </c>
      <c r="E37" s="16">
        <f>SUMPRODUCT((Data!$B$2:$B$51=$C37)*(Data!$C$2:$C$51=$B37)*(Data!E$2:E$51))</f>
        <v>512385.12</v>
      </c>
      <c r="F37" s="16">
        <f>SUMPRODUCT((Data!$B$2:$B$51=$C37)*(Data!$C$2:$C$51=$B37)*(Data!F$2:F$51))</f>
        <v>486765.864</v>
      </c>
      <c r="G37" s="16">
        <f>SUMPRODUCT((Data!$B$2:$B$51=$C37)*(Data!$C$2:$C$51=$B37)*(Data!G$2:G$51))</f>
        <v>462427.57079999999</v>
      </c>
      <c r="H37" t="s">
        <v>56</v>
      </c>
      <c r="I37" s="23" t="str">
        <f>INDEX(Data!$B$2:$B$51,MATCH(1,INDEX((Data!$C$2:$C$51=B37)*(Data!$Q$2:$Q$51=A37),0),0))</f>
        <v>Missouri</v>
      </c>
      <c r="J37" s="16">
        <f>SUMPRODUCT((Data!$B$2:$B$51=$I37)*(Data!$C$2:$C$51=$H37)*(Data!H$2:H$51))</f>
        <v>279110.15461000003</v>
      </c>
      <c r="K37" s="16">
        <f>SUMPRODUCT((Data!$B$2:$B$51=$I37)*(Data!$C$2:$C$51=$H37)*(Data!I$2:I$51))</f>
        <v>267945.7484256</v>
      </c>
      <c r="L37" s="16">
        <f>SUMPRODUCT((Data!$B$2:$B$51=$I37)*(Data!$C$2:$C$51=$H37)*(Data!J$2:J$51))</f>
        <v>259907.375972832</v>
      </c>
      <c r="M37" s="16">
        <f>SUMPRODUCT((Data!$B$2:$B$51=$I37)*(Data!$C$2:$C$51=$H37)*(Data!K$2:K$51))</f>
        <v>246912.0071741904</v>
      </c>
      <c r="N37" t="s">
        <v>56</v>
      </c>
      <c r="O37" s="23" t="str">
        <f>INDEX(Data!$B$2:$B$51,MATCH(1,INDEX((Data!$C$2:$C$51=N37)*(Data!$O$2:$O$51=A37),0),0))</f>
        <v>Missouri</v>
      </c>
      <c r="P37" s="16">
        <f>SUMPRODUCT((Data!$B$2:$B$51=O37)*(Data!$C$2:$C$51=N37)*(Data!$M$2:$M$51))</f>
        <v>87.26</v>
      </c>
      <c r="Q37" t="s">
        <v>56</v>
      </c>
      <c r="R37" s="23" t="str">
        <f>INDEX(Data!$B$2:$B$51,MATCH(1,INDEX((Data!$C$2:$C$51=Q37)*(Data!$R$2:$R$51=A37),0),0))</f>
        <v>Wisconsin</v>
      </c>
      <c r="S37" s="17">
        <f>SUMPRODUCT((Data!$B$2:$B$51=R37)*(Data!$C$2:$C$51=Q37)*(Data!$L$2:$L$51))</f>
        <v>6.5000000000000002E-2</v>
      </c>
    </row>
    <row r="38" spans="1:19" x14ac:dyDescent="0.25">
      <c r="A38">
        <v>7</v>
      </c>
      <c r="B38" t="s">
        <v>56</v>
      </c>
      <c r="C38" s="23" t="str">
        <f>INDEX(Data!$B$2:$B$51,MATCH(1,INDEX((Data!$C$2:$C$51=B38)*(Data!$P$2:$P$51=A38),0),0))</f>
        <v>Missouri</v>
      </c>
      <c r="D38" s="16">
        <f>SUMPRODUCT((Data!$B$2:$B$51=C38)*(Data!$C$2:$C$51=B38)*(Data!$D$2:$D$51))</f>
        <v>378640.00478700001</v>
      </c>
      <c r="E38" s="16">
        <f>SUMPRODUCT((Data!$B$2:$B$51=$C38)*(Data!$C$2:$C$51=$B38)*(Data!E$2:E$51))</f>
        <v>484132.47</v>
      </c>
      <c r="F38" s="16">
        <f>SUMPRODUCT((Data!$B$2:$B$51=$C38)*(Data!$C$2:$C$51=$B38)*(Data!F$2:F$51))</f>
        <v>464767.17119999998</v>
      </c>
      <c r="G38" s="16">
        <f>SUMPRODUCT((Data!$B$2:$B$51=$C38)*(Data!$C$2:$C$51=$B38)*(Data!G$2:G$51))</f>
        <v>450824.15606399998</v>
      </c>
      <c r="H38" t="s">
        <v>56</v>
      </c>
      <c r="I38" s="23" t="str">
        <f>INDEX(Data!$B$2:$B$51,MATCH(1,INDEX((Data!$C$2:$C$51=B38)*(Data!$Q$2:$Q$51=A38),0),0))</f>
        <v>Minnesota</v>
      </c>
      <c r="J38" s="16">
        <f>SUMPRODUCT((Data!$B$2:$B$51=$I38)*(Data!$C$2:$C$51=$H38)*(Data!H$2:H$51))</f>
        <v>248422.65070000003</v>
      </c>
      <c r="K38" s="16">
        <f>SUMPRODUCT((Data!$B$2:$B$51=$I38)*(Data!$C$2:$C$51=$H38)*(Data!I$2:I$51))</f>
        <v>255875.33022100004</v>
      </c>
      <c r="L38" s="16">
        <f>SUMPRODUCT((Data!$B$2:$B$51=$I38)*(Data!$C$2:$C$51=$H38)*(Data!J$2:J$51))</f>
        <v>243081.56370995002</v>
      </c>
      <c r="M38" s="16">
        <f>SUMPRODUCT((Data!$B$2:$B$51=$I38)*(Data!$C$2:$C$51=$H38)*(Data!K$2:K$51))</f>
        <v>230927.4855244525</v>
      </c>
      <c r="N38" t="s">
        <v>56</v>
      </c>
      <c r="O38" s="23" t="str">
        <f>INDEX(Data!$B$2:$B$51,MATCH(1,INDEX((Data!$C$2:$C$51=N38)*(Data!$O$2:$O$51=A38),0),0))</f>
        <v>Minnesota</v>
      </c>
      <c r="P38" s="16">
        <f>SUMPRODUCT((Data!$B$2:$B$51=O38)*(Data!$C$2:$C$51=N38)*(Data!$M$2:$M$51))</f>
        <v>67.14</v>
      </c>
      <c r="Q38" t="s">
        <v>56</v>
      </c>
      <c r="R38" s="23" t="str">
        <f>INDEX(Data!$B$2:$B$51,MATCH(1,INDEX((Data!$C$2:$C$51=Q38)*(Data!$R$2:$R$51=A38),0),0))</f>
        <v>Kansas</v>
      </c>
      <c r="S38" s="17">
        <f>SUMPRODUCT((Data!$B$2:$B$51=R38)*(Data!$C$2:$C$51=Q38)*(Data!$L$2:$L$51))</f>
        <v>5.5999999999999994E-2</v>
      </c>
    </row>
    <row r="39" spans="1:19" x14ac:dyDescent="0.25">
      <c r="A39">
        <v>8</v>
      </c>
      <c r="B39" t="s">
        <v>56</v>
      </c>
      <c r="C39" s="23" t="str">
        <f>INDEX(Data!$B$2:$B$51,MATCH(1,INDEX((Data!$C$2:$C$51=B39)*(Data!$P$2:$P$51=A39),0),0))</f>
        <v>Kansas</v>
      </c>
      <c r="D39" s="16">
        <f>SUMPRODUCT((Data!$B$2:$B$51=C39)*(Data!$C$2:$C$51=B39)*(Data!$D$2:$D$51))</f>
        <v>169585.52932999999</v>
      </c>
      <c r="E39" s="16">
        <f>SUMPRODUCT((Data!$B$2:$B$51=$C39)*(Data!$C$2:$C$51=$B39)*(Data!E$2:E$51))</f>
        <v>219046.15</v>
      </c>
      <c r="F39" s="16">
        <f>SUMPRODUCT((Data!$B$2:$B$51=$C39)*(Data!$C$2:$C$51=$B39)*(Data!F$2:F$51))</f>
        <v>225617.53450000001</v>
      </c>
      <c r="G39" s="16">
        <f>SUMPRODUCT((Data!$B$2:$B$51=$C39)*(Data!$C$2:$C$51=$B39)*(Data!G$2:G$51))</f>
        <v>232386.06053500003</v>
      </c>
      <c r="H39" t="s">
        <v>56</v>
      </c>
      <c r="I39" s="23" t="str">
        <f>INDEX(Data!$B$2:$B$51,MATCH(1,INDEX((Data!$C$2:$C$51=B39)*(Data!$Q$2:$Q$51=A39),0),0))</f>
        <v>Iowa</v>
      </c>
      <c r="J39" s="16">
        <f>SUMPRODUCT((Data!$B$2:$B$51=$I39)*(Data!$C$2:$C$51=$H39)*(Data!H$2:H$51))</f>
        <v>141747.04186999999</v>
      </c>
      <c r="K39" s="16">
        <f>SUMPRODUCT((Data!$B$2:$B$51=$I39)*(Data!$C$2:$C$51=$H39)*(Data!I$2:I$51))</f>
        <v>145999.45312609998</v>
      </c>
      <c r="L39" s="16">
        <f>SUMPRODUCT((Data!$B$2:$B$51=$I39)*(Data!$C$2:$C$51=$H39)*(Data!J$2:J$51))</f>
        <v>150379.43671988297</v>
      </c>
      <c r="M39" s="16">
        <f>SUMPRODUCT((Data!$B$2:$B$51=$I39)*(Data!$C$2:$C$51=$H39)*(Data!K$2:K$51))</f>
        <v>144364.25925108764</v>
      </c>
      <c r="N39" t="s">
        <v>56</v>
      </c>
      <c r="O39" s="23" t="str">
        <f>INDEX(Data!$B$2:$B$51,MATCH(1,INDEX((Data!$C$2:$C$51=N39)*(Data!$O$2:$O$51=A39),0),0))</f>
        <v>Iowa</v>
      </c>
      <c r="P39" s="16">
        <f>SUMPRODUCT((Data!$B$2:$B$51=O39)*(Data!$C$2:$C$51=N39)*(Data!$M$2:$M$51))</f>
        <v>54.81</v>
      </c>
      <c r="Q39" t="s">
        <v>56</v>
      </c>
      <c r="R39" s="23" t="str">
        <f>INDEX(Data!$B$2:$B$51,MATCH(1,INDEX((Data!$C$2:$C$51=Q39)*(Data!$R$2:$R$51=A39),0),0))</f>
        <v>Minnesota</v>
      </c>
      <c r="S39" s="17">
        <f>SUMPRODUCT((Data!$B$2:$B$51=R39)*(Data!$C$2:$C$51=Q39)*(Data!$L$2:$L$51))</f>
        <v>4.8000000000000001E-2</v>
      </c>
    </row>
    <row r="40" spans="1:19" x14ac:dyDescent="0.25">
      <c r="A40">
        <v>9</v>
      </c>
      <c r="B40" t="s">
        <v>56</v>
      </c>
      <c r="C40" s="23" t="str">
        <f>INDEX(Data!$B$2:$B$51,MATCH(1,INDEX((Data!$C$2:$C$51=B40)*(Data!$P$2:$P$51=A40),0),0))</f>
        <v>Iowa</v>
      </c>
      <c r="D40" s="16">
        <f>SUMPRODUCT((Data!$B$2:$B$51=C40)*(Data!$C$2:$C$51=B40)*(Data!$D$2:$D$51))</f>
        <v>145190.34023200002</v>
      </c>
      <c r="E40" s="16">
        <f>SUMPRODUCT((Data!$B$2:$B$51=$C40)*(Data!$C$2:$C$51=$B40)*(Data!E$2:E$51))</f>
        <v>187535.96</v>
      </c>
      <c r="F40" s="16">
        <f>SUMPRODUCT((Data!$B$2:$B$51=$C40)*(Data!$C$2:$C$51=$B40)*(Data!F$2:F$51))</f>
        <v>193162.03880000001</v>
      </c>
      <c r="G40" s="16">
        <f>SUMPRODUCT((Data!$B$2:$B$51=$C40)*(Data!$C$2:$C$51=$B40)*(Data!G$2:G$51))</f>
        <v>198956.89996400001</v>
      </c>
      <c r="H40" t="s">
        <v>56</v>
      </c>
      <c r="I40" s="23" t="str">
        <f>INDEX(Data!$B$2:$B$51,MATCH(1,INDEX((Data!$C$2:$C$51=B40)*(Data!$Q$2:$Q$51=A40),0),0))</f>
        <v>Kansas</v>
      </c>
      <c r="J40" s="16">
        <f>SUMPRODUCT((Data!$B$2:$B$51=$I40)*(Data!$C$2:$C$51=$H40)*(Data!H$2:H$51))</f>
        <v>132979.18361000001</v>
      </c>
      <c r="K40" s="16">
        <f>SUMPRODUCT((Data!$B$2:$B$51=$I40)*(Data!$C$2:$C$51=$H40)*(Data!I$2:I$51))</f>
        <v>136968.55911830001</v>
      </c>
      <c r="L40" s="16">
        <f>SUMPRODUCT((Data!$B$2:$B$51=$I40)*(Data!$C$2:$C$51=$H40)*(Data!J$2:J$51))</f>
        <v>141077.61589184901</v>
      </c>
      <c r="M40" s="16">
        <f>SUMPRODUCT((Data!$B$2:$B$51=$I40)*(Data!$C$2:$C$51=$H40)*(Data!K$2:K$51))</f>
        <v>112862.09271347921</v>
      </c>
      <c r="N40" t="s">
        <v>56</v>
      </c>
      <c r="O40" s="23" t="str">
        <f>INDEX(Data!$B$2:$B$51,MATCH(1,INDEX((Data!$C$2:$C$51=N40)*(Data!$O$2:$O$51=A40),0),0))</f>
        <v>Kansas</v>
      </c>
      <c r="P40" s="16">
        <f>SUMPRODUCT((Data!$B$2:$B$51=O40)*(Data!$C$2:$C$51=N40)*(Data!$M$2:$M$51))</f>
        <v>35.090000000000003</v>
      </c>
      <c r="Q40" t="s">
        <v>56</v>
      </c>
      <c r="R40" s="23" t="str">
        <f>INDEX(Data!$B$2:$B$51,MATCH(1,INDEX((Data!$C$2:$C$51=Q40)*(Data!$R$2:$R$51=A40),0),0))</f>
        <v>Iowa</v>
      </c>
      <c r="S40" s="17">
        <f>SUMPRODUCT((Data!$B$2:$B$51=R40)*(Data!$C$2:$C$51=Q40)*(Data!$L$2:$L$51))</f>
        <v>4.5999999999999999E-2</v>
      </c>
    </row>
    <row r="41" spans="1:19" x14ac:dyDescent="0.25">
      <c r="A41">
        <v>10</v>
      </c>
      <c r="B41" t="s">
        <v>56</v>
      </c>
      <c r="C41" s="23" t="str">
        <f>INDEX(Data!$B$2:$B$51,MATCH(1,INDEX((Data!$C$2:$C$51=B41)*(Data!$P$2:$P$51=A41),0),0))</f>
        <v>Nebraska</v>
      </c>
      <c r="D41" s="16">
        <f>SUMPRODUCT((Data!$B$2:$B$51=C41)*(Data!$C$2:$C$51=B41)*(Data!$D$2:$D$51))</f>
        <v>153254.85646800001</v>
      </c>
      <c r="E41" s="16">
        <f>SUMPRODUCT((Data!$B$2:$B$51=$C41)*(Data!$C$2:$C$51=$B41)*(Data!E$2:E$51))</f>
        <v>197952.54</v>
      </c>
      <c r="F41" s="16">
        <f>SUMPRODUCT((Data!$B$2:$B$51=$C41)*(Data!$C$2:$C$51=$B41)*(Data!F$2:F$51))</f>
        <v>188054.913</v>
      </c>
      <c r="G41" s="16">
        <f>SUMPRODUCT((Data!$B$2:$B$51=$C41)*(Data!$C$2:$C$51=$B41)*(Data!G$2:G$51))</f>
        <v>178652.16735</v>
      </c>
      <c r="H41" t="s">
        <v>56</v>
      </c>
      <c r="I41" s="23" t="str">
        <f>INDEX(Data!$B$2:$B$51,MATCH(1,INDEX((Data!$C$2:$C$51=B41)*(Data!$Q$2:$Q$51=A41),0),0))</f>
        <v>Nebraska</v>
      </c>
      <c r="J41" s="16">
        <f>SUMPRODUCT((Data!$B$2:$B$51=$I41)*(Data!$C$2:$C$51=$H41)*(Data!H$2:H$51))</f>
        <v>84755.963180000006</v>
      </c>
      <c r="K41" s="16">
        <f>SUMPRODUCT((Data!$B$2:$B$51=$I41)*(Data!$C$2:$C$51=$H41)*(Data!I$2:I$51))</f>
        <v>80518.165021000008</v>
      </c>
      <c r="L41" s="16">
        <f>SUMPRODUCT((Data!$B$2:$B$51=$I41)*(Data!$C$2:$C$51=$H41)*(Data!J$2:J$51))</f>
        <v>76492.256769950007</v>
      </c>
      <c r="M41" s="16">
        <f>SUMPRODUCT((Data!$B$2:$B$51=$I41)*(Data!$C$2:$C$51=$H41)*(Data!K$2:K$51))</f>
        <v>72667.643931452505</v>
      </c>
      <c r="N41" t="s">
        <v>56</v>
      </c>
      <c r="O41" s="23" t="str">
        <f>INDEX(Data!$B$2:$B$51,MATCH(1,INDEX((Data!$C$2:$C$51=N41)*(Data!$O$2:$O$51=A41),0),0))</f>
        <v>Nebraska</v>
      </c>
      <c r="P41" s="16">
        <f>SUMPRODUCT((Data!$B$2:$B$51=O41)*(Data!$C$2:$C$51=N41)*(Data!$M$2:$M$51))</f>
        <v>23.97</v>
      </c>
      <c r="Q41" t="s">
        <v>56</v>
      </c>
      <c r="R41" s="23" t="str">
        <f>INDEX(Data!$B$2:$B$51,MATCH(1,INDEX((Data!$C$2:$C$51=Q41)*(Data!$R$2:$R$51=A41),0),0))</f>
        <v>Nebraska</v>
      </c>
      <c r="S41" s="17">
        <f>SUMPRODUCT((Data!$B$2:$B$51=R41)*(Data!$C$2:$C$51=Q41)*(Data!$L$2:$L$51))</f>
        <v>3.9E-2</v>
      </c>
    </row>
    <row r="42" spans="1:19" x14ac:dyDescent="0.25">
      <c r="A42">
        <v>1</v>
      </c>
      <c r="B42" s="4" t="s">
        <v>62</v>
      </c>
      <c r="C42" s="4" t="str">
        <f>INDEX(C$2:C$41,MATCH(VLOOKUP(LARGE(G$2:G$41,A42),G$2:G$41,1,0),G$2:G$41,0),1)</f>
        <v>California</v>
      </c>
      <c r="D42" s="22">
        <f>SUMPRODUCT((($C$2:$C$41=$C42)*(D$2:D$41)))</f>
        <v>1787984.7286865602</v>
      </c>
      <c r="E42" s="22">
        <f t="shared" ref="E42:G42" si="0">SUMPRODUCT((($C$2:$C$41=$C42)*(E$2:E$41)))</f>
        <v>2340508.5920000002</v>
      </c>
      <c r="F42" s="22">
        <f t="shared" si="0"/>
        <v>2410723.8497600006</v>
      </c>
      <c r="G42" s="22">
        <f t="shared" si="0"/>
        <v>2483045.5652528009</v>
      </c>
      <c r="H42" s="4" t="s">
        <v>62</v>
      </c>
      <c r="I42" s="4" t="str">
        <f>INDEX(I$2:I$41,MATCH(VLOOKUP(LARGE(M$2:M$41,A42),M$2:M$41,1,0),M$2:M$41,0),1)</f>
        <v>California</v>
      </c>
      <c r="J42" s="22">
        <f>SUMPRODUCT((($I$2:$I$41=$I42)*(J$2:J$41)))</f>
        <v>1089787.0131937501</v>
      </c>
      <c r="K42" s="22">
        <f t="shared" ref="K42:M42" si="1">SUMPRODUCT((($I$2:$I$41=$I42)*(K$2:K$41)))</f>
        <v>1122480.6235895625</v>
      </c>
      <c r="L42" s="22">
        <f t="shared" si="1"/>
        <v>1156155.0422972494</v>
      </c>
      <c r="M42" s="22">
        <f t="shared" si="1"/>
        <v>1167716.592720222</v>
      </c>
      <c r="N42" s="4" t="s">
        <v>62</v>
      </c>
      <c r="O42" s="4" t="str">
        <f t="shared" ref="O42:O51" si="2">INDEX(O$2:O$41,MATCH(VLOOKUP(LARGE(P$2:P$41,$A42),P$2:P$41,1,0),P$2:P$41,0),1)</f>
        <v>Massachusetts</v>
      </c>
      <c r="P42" s="22">
        <f t="shared" ref="P42:P51" si="3">VLOOKUP(LARGE(P$2:P$41,$A42),P$2:P$41,1,0)</f>
        <v>852.1</v>
      </c>
      <c r="Q42" s="4" t="s">
        <v>62</v>
      </c>
      <c r="R42" s="4" t="str">
        <f t="shared" ref="R42:R51" si="4">INDEX(R$2:R$41,MATCH(VLOOKUP(LARGE(S$2:S$41,$A42),S$2:S$41,1,0),S$2:S$41,0),1)</f>
        <v>Nevada</v>
      </c>
      <c r="S42" s="21">
        <f t="shared" ref="S42:S51" si="5">VLOOKUP(LARGE(S$2:S$41,A42),S$2:S$41,1,0)</f>
        <v>9.3000000000000013E-2</v>
      </c>
    </row>
    <row r="43" spans="1:19" x14ac:dyDescent="0.25">
      <c r="A43">
        <v>2</v>
      </c>
      <c r="B43" s="4" t="s">
        <v>62</v>
      </c>
      <c r="C43" s="4" t="str">
        <f t="shared" ref="C43:C51" si="6">INDEX(C$2:C$41,MATCH(VLOOKUP(LARGE(G$2:G$41,A43),G$2:G$41,1,0),G$2:G$41,0),1)</f>
        <v>Texas</v>
      </c>
      <c r="D43" s="22">
        <f t="shared" ref="D43:G51" si="7">SUMPRODUCT((($C$2:$C$41=$C43)*(D$2:D$41)))</f>
        <v>1676519.8460053997</v>
      </c>
      <c r="E43" s="22">
        <f t="shared" si="7"/>
        <v>2194598.7799999998</v>
      </c>
      <c r="F43" s="22">
        <f t="shared" si="7"/>
        <v>2084868.8409999998</v>
      </c>
      <c r="G43" s="22">
        <f t="shared" si="7"/>
        <v>2147414.9062299998</v>
      </c>
      <c r="H43" s="4" t="s">
        <v>62</v>
      </c>
      <c r="I43" s="4" t="str">
        <f t="shared" ref="I43:I51" si="8">INDEX(I$2:I$41,MATCH(VLOOKUP(LARGE(M$2:M$41,A43),M$2:M$41,1,0),M$2:M$41,0),1)</f>
        <v>Texas</v>
      </c>
      <c r="J43" s="22">
        <f t="shared" ref="J43:M51" si="9">SUMPRODUCT((($I$2:$I$41=$I43)*(J$2:J$41)))</f>
        <v>1174893.0068399999</v>
      </c>
      <c r="K43" s="22">
        <f t="shared" si="9"/>
        <v>1116148.356498</v>
      </c>
      <c r="L43" s="22">
        <f t="shared" si="9"/>
        <v>1149632.80719294</v>
      </c>
      <c r="M43" s="22">
        <f t="shared" si="9"/>
        <v>1161129.1352648695</v>
      </c>
      <c r="N43" s="4" t="s">
        <v>62</v>
      </c>
      <c r="O43" s="4" t="str">
        <f t="shared" si="2"/>
        <v>Connecticut</v>
      </c>
      <c r="P43" s="22">
        <f t="shared" si="3"/>
        <v>741.4</v>
      </c>
      <c r="Q43" s="4" t="s">
        <v>62</v>
      </c>
      <c r="R43" s="4" t="str">
        <f t="shared" si="4"/>
        <v>Rhode Island</v>
      </c>
      <c r="S43" s="21">
        <f t="shared" si="5"/>
        <v>9.1999999999999998E-2</v>
      </c>
    </row>
    <row r="44" spans="1:19" x14ac:dyDescent="0.25">
      <c r="A44">
        <v>3</v>
      </c>
      <c r="B44" s="4" t="s">
        <v>62</v>
      </c>
      <c r="C44" s="4" t="str">
        <f t="shared" si="6"/>
        <v>New York</v>
      </c>
      <c r="D44" s="22">
        <f t="shared" si="7"/>
        <v>1536782.3509922</v>
      </c>
      <c r="E44" s="22">
        <f t="shared" si="7"/>
        <v>2011679.54</v>
      </c>
      <c r="F44" s="22">
        <f t="shared" si="7"/>
        <v>1911095.5629999998</v>
      </c>
      <c r="G44" s="22">
        <f t="shared" si="7"/>
        <v>2044872.25241</v>
      </c>
      <c r="H44" s="4" t="s">
        <v>62</v>
      </c>
      <c r="I44" s="4" t="str">
        <f t="shared" si="8"/>
        <v>New York</v>
      </c>
      <c r="J44" s="22">
        <f t="shared" si="9"/>
        <v>904550.71048999997</v>
      </c>
      <c r="K44" s="22">
        <f t="shared" si="9"/>
        <v>859323.1749654999</v>
      </c>
      <c r="L44" s="22">
        <f t="shared" si="9"/>
        <v>919475.797213085</v>
      </c>
      <c r="M44" s="22">
        <f t="shared" si="9"/>
        <v>928670.5551852159</v>
      </c>
      <c r="N44" s="4" t="s">
        <v>62</v>
      </c>
      <c r="O44" s="4" t="str">
        <f t="shared" si="2"/>
        <v>Maryland</v>
      </c>
      <c r="P44" s="22">
        <f t="shared" si="3"/>
        <v>606.20000000000005</v>
      </c>
      <c r="Q44" s="4" t="s">
        <v>62</v>
      </c>
      <c r="R44" s="4" t="str">
        <f t="shared" si="4"/>
        <v>Michigan</v>
      </c>
      <c r="S44" s="21">
        <f t="shared" si="5"/>
        <v>0.09</v>
      </c>
    </row>
    <row r="45" spans="1:19" x14ac:dyDescent="0.25">
      <c r="A45">
        <v>4</v>
      </c>
      <c r="B45" s="4" t="s">
        <v>62</v>
      </c>
      <c r="C45" s="4" t="str">
        <f t="shared" si="6"/>
        <v>Illinois</v>
      </c>
      <c r="D45" s="22">
        <f t="shared" si="7"/>
        <v>950567.47242110013</v>
      </c>
      <c r="E45" s="22">
        <f t="shared" si="7"/>
        <v>1244312.27</v>
      </c>
      <c r="F45" s="22">
        <f t="shared" si="7"/>
        <v>1182096.6565</v>
      </c>
      <c r="G45" s="22">
        <f t="shared" si="7"/>
        <v>1264843.4224550002</v>
      </c>
      <c r="H45" s="4" t="s">
        <v>62</v>
      </c>
      <c r="I45" s="4" t="str">
        <f t="shared" si="8"/>
        <v>Florida</v>
      </c>
      <c r="J45" s="22">
        <f t="shared" si="9"/>
        <v>878247.13570999994</v>
      </c>
      <c r="K45" s="22">
        <f t="shared" si="9"/>
        <v>834334.77892449987</v>
      </c>
      <c r="L45" s="22">
        <f t="shared" si="9"/>
        <v>892738.21344921493</v>
      </c>
      <c r="M45" s="22">
        <f t="shared" si="9"/>
        <v>901665.59558370709</v>
      </c>
      <c r="N45" s="4" t="s">
        <v>62</v>
      </c>
      <c r="O45" s="4" t="str">
        <f t="shared" si="2"/>
        <v>Delaware</v>
      </c>
      <c r="P45" s="22">
        <f t="shared" si="3"/>
        <v>470.7</v>
      </c>
      <c r="Q45" s="4" t="s">
        <v>62</v>
      </c>
      <c r="R45" s="4" t="str">
        <f t="shared" si="4"/>
        <v>Illinois</v>
      </c>
      <c r="S45" s="21">
        <f t="shared" si="5"/>
        <v>8.900000000000001E-2</v>
      </c>
    </row>
    <row r="46" spans="1:19" x14ac:dyDescent="0.25">
      <c r="A46">
        <v>5</v>
      </c>
      <c r="B46" s="4" t="s">
        <v>62</v>
      </c>
      <c r="C46" s="4" t="str">
        <f t="shared" si="6"/>
        <v>Florida</v>
      </c>
      <c r="D46" s="22">
        <f t="shared" si="7"/>
        <v>933901.63665550016</v>
      </c>
      <c r="E46" s="22">
        <f t="shared" si="7"/>
        <v>1222496.3500000001</v>
      </c>
      <c r="F46" s="22">
        <f t="shared" si="7"/>
        <v>1161371.5325</v>
      </c>
      <c r="G46" s="22">
        <f t="shared" si="7"/>
        <v>1242667.539775</v>
      </c>
      <c r="H46" s="4" t="s">
        <v>62</v>
      </c>
      <c r="I46" s="4" t="str">
        <f t="shared" si="8"/>
        <v>Illinois</v>
      </c>
      <c r="J46" s="22">
        <f t="shared" si="9"/>
        <v>599136.98109999998</v>
      </c>
      <c r="K46" s="22">
        <f t="shared" si="9"/>
        <v>569180.13204499998</v>
      </c>
      <c r="L46" s="22">
        <f t="shared" si="9"/>
        <v>609022.74128814996</v>
      </c>
      <c r="M46" s="22">
        <f t="shared" si="9"/>
        <v>666879.90171052422</v>
      </c>
      <c r="N46" s="4" t="s">
        <v>62</v>
      </c>
      <c r="O46" s="4" t="str">
        <f t="shared" si="2"/>
        <v>New York</v>
      </c>
      <c r="P46" s="22">
        <f t="shared" si="3"/>
        <v>415.3</v>
      </c>
      <c r="Q46" s="4" t="s">
        <v>62</v>
      </c>
      <c r="R46" s="4" t="str">
        <f t="shared" si="4"/>
        <v>California</v>
      </c>
      <c r="S46" s="21">
        <f t="shared" si="5"/>
        <v>8.6999999999999994E-2</v>
      </c>
    </row>
    <row r="47" spans="1:19" x14ac:dyDescent="0.25">
      <c r="A47">
        <v>6</v>
      </c>
      <c r="B47" s="4" t="s">
        <v>62</v>
      </c>
      <c r="C47" s="4" t="str">
        <f t="shared" si="6"/>
        <v>New Jersey</v>
      </c>
      <c r="D47" s="22">
        <f t="shared" si="7"/>
        <v>871083.34928999993</v>
      </c>
      <c r="E47" s="22">
        <f t="shared" si="7"/>
        <v>1113774.8999999999</v>
      </c>
      <c r="F47" s="22">
        <f t="shared" si="7"/>
        <v>1058086.1549999998</v>
      </c>
      <c r="G47" s="22">
        <f t="shared" si="7"/>
        <v>1158604.3397249999</v>
      </c>
      <c r="H47" s="4" t="s">
        <v>62</v>
      </c>
      <c r="I47" s="4" t="str">
        <f t="shared" si="8"/>
        <v>Washington</v>
      </c>
      <c r="J47" s="22">
        <f t="shared" si="9"/>
        <v>628363.1753</v>
      </c>
      <c r="K47" s="22">
        <f t="shared" si="9"/>
        <v>596945.01653499994</v>
      </c>
      <c r="L47" s="22">
        <f t="shared" si="9"/>
        <v>638731.16769244999</v>
      </c>
      <c r="M47" s="22">
        <f t="shared" si="9"/>
        <v>606794.60930782743</v>
      </c>
      <c r="N47" s="4" t="s">
        <v>62</v>
      </c>
      <c r="O47" s="4" t="str">
        <f t="shared" si="2"/>
        <v>Florida</v>
      </c>
      <c r="P47" s="22">
        <f t="shared" si="3"/>
        <v>360.2</v>
      </c>
      <c r="Q47" s="4" t="s">
        <v>62</v>
      </c>
      <c r="R47" s="4" t="str">
        <f t="shared" si="4"/>
        <v>Mississippi</v>
      </c>
      <c r="S47" s="21">
        <f t="shared" si="5"/>
        <v>8.5000000000000006E-2</v>
      </c>
    </row>
    <row r="48" spans="1:19" x14ac:dyDescent="0.25">
      <c r="A48">
        <v>7</v>
      </c>
      <c r="B48" s="4" t="s">
        <v>62</v>
      </c>
      <c r="C48" s="4" t="str">
        <f t="shared" si="6"/>
        <v>Pennsylvania</v>
      </c>
      <c r="D48" s="22">
        <f t="shared" si="7"/>
        <v>832389.70153949992</v>
      </c>
      <c r="E48" s="22">
        <f t="shared" si="7"/>
        <v>1089615.1499999999</v>
      </c>
      <c r="F48" s="22">
        <f t="shared" si="7"/>
        <v>1035134.3924999998</v>
      </c>
      <c r="G48" s="22">
        <f t="shared" si="7"/>
        <v>1107593.7999749999</v>
      </c>
      <c r="H48" s="4" t="s">
        <v>62</v>
      </c>
      <c r="I48" s="4" t="str">
        <f t="shared" si="8"/>
        <v>Pennsylvania</v>
      </c>
      <c r="J48" s="22">
        <f t="shared" si="9"/>
        <v>593291.74225999997</v>
      </c>
      <c r="K48" s="22">
        <f t="shared" si="9"/>
        <v>563627.15514699998</v>
      </c>
      <c r="L48" s="22">
        <f t="shared" si="9"/>
        <v>603081.05600729003</v>
      </c>
      <c r="M48" s="22">
        <f t="shared" si="9"/>
        <v>482464.84480583202</v>
      </c>
      <c r="N48" s="4" t="s">
        <v>62</v>
      </c>
      <c r="O48" s="4" t="str">
        <f t="shared" si="2"/>
        <v>Pennsylvania</v>
      </c>
      <c r="P48" s="22">
        <f t="shared" si="3"/>
        <v>285.3</v>
      </c>
      <c r="Q48" s="4" t="s">
        <v>62</v>
      </c>
      <c r="R48" s="4" t="str">
        <f t="shared" si="4"/>
        <v>Tennessee</v>
      </c>
      <c r="S48" s="21">
        <f t="shared" si="5"/>
        <v>8.4000000000000005E-2</v>
      </c>
    </row>
    <row r="49" spans="1:25" x14ac:dyDescent="0.25">
      <c r="A49">
        <v>8</v>
      </c>
      <c r="B49" s="4" t="s">
        <v>62</v>
      </c>
      <c r="C49" s="4" t="str">
        <f t="shared" si="6"/>
        <v>Washington</v>
      </c>
      <c r="D49" s="22">
        <f t="shared" si="7"/>
        <v>820326.88940400002</v>
      </c>
      <c r="E49" s="22">
        <f t="shared" si="7"/>
        <v>1048877.24</v>
      </c>
      <c r="F49" s="22">
        <f t="shared" si="7"/>
        <v>996433.37799999991</v>
      </c>
      <c r="G49" s="22">
        <f t="shared" si="7"/>
        <v>1066183.7144599999</v>
      </c>
      <c r="H49" s="4" t="s">
        <v>62</v>
      </c>
      <c r="I49" s="4" t="str">
        <f t="shared" si="8"/>
        <v>Michigan</v>
      </c>
      <c r="J49" s="22">
        <f t="shared" si="9"/>
        <v>461773.86836000008</v>
      </c>
      <c r="K49" s="22">
        <f t="shared" si="9"/>
        <v>447920.65230920009</v>
      </c>
      <c r="L49" s="22">
        <f t="shared" si="9"/>
        <v>430003.82621683209</v>
      </c>
      <c r="M49" s="22">
        <f t="shared" si="9"/>
        <v>470854.18970743113</v>
      </c>
      <c r="N49" s="4" t="s">
        <v>62</v>
      </c>
      <c r="O49" s="4" t="str">
        <f t="shared" si="2"/>
        <v>Ohio</v>
      </c>
      <c r="P49" s="22">
        <f t="shared" si="3"/>
        <v>282.5</v>
      </c>
      <c r="Q49" s="4" t="s">
        <v>62</v>
      </c>
      <c r="R49" s="4" t="str">
        <f t="shared" si="4"/>
        <v>Tennessee</v>
      </c>
      <c r="S49" s="21">
        <f t="shared" si="5"/>
        <v>8.4000000000000005E-2</v>
      </c>
    </row>
    <row r="50" spans="1:25" x14ac:dyDescent="0.25">
      <c r="A50">
        <v>9</v>
      </c>
      <c r="B50" s="4" t="s">
        <v>62</v>
      </c>
      <c r="C50" s="4" t="str">
        <f t="shared" si="6"/>
        <v>Ohio</v>
      </c>
      <c r="D50" s="22">
        <f t="shared" si="7"/>
        <v>848682.50264680013</v>
      </c>
      <c r="E50" s="22">
        <f t="shared" si="7"/>
        <v>1110942.76</v>
      </c>
      <c r="F50" s="22">
        <f t="shared" si="7"/>
        <v>1055395.622</v>
      </c>
      <c r="G50" s="22">
        <f t="shared" si="7"/>
        <v>1002625.8409</v>
      </c>
      <c r="H50" s="4" t="s">
        <v>62</v>
      </c>
      <c r="I50" s="4" t="str">
        <f t="shared" si="8"/>
        <v>Ohio</v>
      </c>
      <c r="J50" s="22">
        <f t="shared" si="9"/>
        <v>539223.28299000009</v>
      </c>
      <c r="K50" s="22">
        <f t="shared" si="9"/>
        <v>512262.11884050007</v>
      </c>
      <c r="L50" s="22">
        <f t="shared" si="9"/>
        <v>486649.01289847505</v>
      </c>
      <c r="M50" s="22">
        <f t="shared" si="9"/>
        <v>467183.05238253606</v>
      </c>
      <c r="N50" s="4" t="s">
        <v>62</v>
      </c>
      <c r="O50" s="4" t="str">
        <f t="shared" si="2"/>
        <v>California</v>
      </c>
      <c r="P50" s="22">
        <f t="shared" si="3"/>
        <v>244.2</v>
      </c>
      <c r="Q50" s="4" t="s">
        <v>62</v>
      </c>
      <c r="R50" s="4" t="str">
        <f t="shared" si="4"/>
        <v>Tennessee</v>
      </c>
      <c r="S50" s="21">
        <f t="shared" si="5"/>
        <v>8.4000000000000005E-2</v>
      </c>
    </row>
    <row r="51" spans="1:25" x14ac:dyDescent="0.25">
      <c r="A51">
        <v>10</v>
      </c>
      <c r="B51" s="4" t="s">
        <v>62</v>
      </c>
      <c r="C51" s="4" t="str">
        <f t="shared" si="6"/>
        <v>Colorado</v>
      </c>
      <c r="D51" s="22">
        <f t="shared" si="7"/>
        <v>645274.74904200004</v>
      </c>
      <c r="E51" s="22">
        <f t="shared" si="7"/>
        <v>825054.02</v>
      </c>
      <c r="F51" s="22">
        <f t="shared" si="7"/>
        <v>849805.64060000004</v>
      </c>
      <c r="G51" s="22">
        <f t="shared" si="7"/>
        <v>807315.35857000004</v>
      </c>
      <c r="H51" s="4" t="s">
        <v>62</v>
      </c>
      <c r="I51" s="4" t="str">
        <f t="shared" si="8"/>
        <v>Arizona</v>
      </c>
      <c r="J51" s="22">
        <f t="shared" si="9"/>
        <v>596214.36167999997</v>
      </c>
      <c r="K51" s="22">
        <f t="shared" si="9"/>
        <v>614100.79253039998</v>
      </c>
      <c r="L51" s="22">
        <f t="shared" si="9"/>
        <v>583395.75290387997</v>
      </c>
      <c r="M51" s="22">
        <f t="shared" si="9"/>
        <v>466716.60232310399</v>
      </c>
      <c r="N51" s="4" t="s">
        <v>62</v>
      </c>
      <c r="O51" s="4" t="str">
        <f t="shared" si="2"/>
        <v>Illinois</v>
      </c>
      <c r="P51" s="22">
        <f t="shared" si="3"/>
        <v>231.9</v>
      </c>
      <c r="Q51" s="4" t="s">
        <v>62</v>
      </c>
      <c r="R51" s="4" t="str">
        <f t="shared" si="4"/>
        <v>Arizona</v>
      </c>
      <c r="S51" s="21">
        <f t="shared" si="5"/>
        <v>8.199999999999999E-2</v>
      </c>
    </row>
    <row r="53" spans="1:25" x14ac:dyDescent="0.25">
      <c r="A53" s="20" t="s">
        <v>61</v>
      </c>
      <c r="B53" s="19" t="s">
        <v>55</v>
      </c>
      <c r="C53" s="19" t="s">
        <v>0</v>
      </c>
      <c r="D53" s="19">
        <v>2010</v>
      </c>
      <c r="E53" s="19">
        <v>2011</v>
      </c>
      <c r="F53" s="19">
        <v>2012</v>
      </c>
      <c r="G53" s="19">
        <v>2013</v>
      </c>
      <c r="H53" s="40" t="s">
        <v>55</v>
      </c>
      <c r="I53" s="40" t="s">
        <v>0</v>
      </c>
      <c r="J53" s="40">
        <v>2010</v>
      </c>
      <c r="K53" s="40">
        <v>2011</v>
      </c>
      <c r="L53" s="40">
        <v>2012</v>
      </c>
      <c r="M53" s="40">
        <v>2013</v>
      </c>
      <c r="N53" s="19" t="s">
        <v>55</v>
      </c>
      <c r="O53" s="19" t="s">
        <v>64</v>
      </c>
      <c r="P53" s="19" t="s">
        <v>65</v>
      </c>
      <c r="Q53" s="19" t="s">
        <v>55</v>
      </c>
      <c r="R53" s="19" t="s">
        <v>0</v>
      </c>
      <c r="S53" s="19" t="s">
        <v>70</v>
      </c>
      <c r="U53" t="s">
        <v>60</v>
      </c>
      <c r="V53" s="20">
        <f>Dash!$B$1</f>
        <v>2010</v>
      </c>
      <c r="W53" s="20" t="s">
        <v>53</v>
      </c>
      <c r="X53" s="20">
        <f>Dash!$B$1</f>
        <v>2010</v>
      </c>
      <c r="Y53" t="s">
        <v>115</v>
      </c>
    </row>
    <row r="54" spans="1:25" x14ac:dyDescent="0.25">
      <c r="A54">
        <v>1</v>
      </c>
      <c r="B54" t="str">
        <f>Dash!$T$11</f>
        <v>The Mid-West</v>
      </c>
      <c r="C54" s="16" t="str">
        <f>INDEX(C$2:C$51,MATCH(1,INDEX(($A$2:$A$51=$A54)*(B$2:B$51=B54),0),0))</f>
        <v>Illinois</v>
      </c>
      <c r="D54" s="16">
        <f t="shared" ref="D54:F58" si="10">SUMPRODUCT(($B$2:$B$51=$B54)*($C$2:$C$51=$C54)*(D$2:D$51))/1000</f>
        <v>950.56747242110009</v>
      </c>
      <c r="E54" s="16">
        <f t="shared" si="10"/>
        <v>1244.3122700000001</v>
      </c>
      <c r="F54" s="16">
        <f t="shared" si="10"/>
        <v>1182.0966565000001</v>
      </c>
      <c r="G54" s="16">
        <f>SUMPRODUCT(($B$2:$B$51=$B54)*($C$2:$C$51=$C54)*(G$2:G$51))/1000</f>
        <v>1264.8434224550003</v>
      </c>
      <c r="H54" t="str">
        <f>Dash!$T$11</f>
        <v>The Mid-West</v>
      </c>
      <c r="I54" s="16" t="str">
        <f>INDEX(I$2:I$51,MATCH(1,INDEX(($A$2:$A$51=$A54)*(H$2:H$51=H54),0),0))</f>
        <v>Illinois</v>
      </c>
      <c r="J54" s="16">
        <f>SUMPRODUCT(($H$2:$H$51=$H54)*($I$2:$I$51=$I54)*(J$2:J$51))/1000</f>
        <v>599.13698109999996</v>
      </c>
      <c r="K54" s="16">
        <f t="shared" ref="K54:M58" si="11">SUMPRODUCT(($H$2:$H$51=$H54)*($I$2:$I$51=$I54)*(K$2:K$51))/1000</f>
        <v>569.18013204499994</v>
      </c>
      <c r="L54" s="16">
        <f t="shared" si="11"/>
        <v>609.02274128814997</v>
      </c>
      <c r="M54" s="16">
        <f t="shared" si="11"/>
        <v>666.87990171052422</v>
      </c>
      <c r="N54" t="str">
        <f>$B54</f>
        <v>The Mid-West</v>
      </c>
      <c r="O54" s="16" t="str">
        <f>INDEX(O$2:O$51,MATCH(1,INDEX(($A$2:$A$51=$A54)*(N$2:N$51=N54),0),0))</f>
        <v>Ohio</v>
      </c>
      <c r="P54" s="16">
        <f>SUMPRODUCT((N$2:N$51=N54)*(O$2:O$51=O54)*(P$2:P$51))</f>
        <v>282.5</v>
      </c>
      <c r="Q54" t="str">
        <f>$B54</f>
        <v>The Mid-West</v>
      </c>
      <c r="R54" s="16" t="str">
        <f>INDEX(R$2:R$51,MATCH(1,INDEX(($A$2:$A$51=$A54)*(Q$2:Q$51=Q54),0),0))</f>
        <v>Michigan</v>
      </c>
      <c r="S54" s="9">
        <f>SUMPRODUCT((Q$2:Q$51=Q54)*(R$2:R$51=R54)*(S$2:S$51))</f>
        <v>0.09</v>
      </c>
      <c r="U54" s="18" t="str">
        <f>C54</f>
        <v>Illinois</v>
      </c>
      <c r="V54" s="16">
        <f>HLOOKUP(Dash!$B$1,$D$53:$G$58,ROW(A2),0)</f>
        <v>950.56747242110009</v>
      </c>
      <c r="W54" s="18" t="str">
        <f>I54</f>
        <v>Illinois</v>
      </c>
      <c r="X54" s="16">
        <f>HLOOKUP(Dash!$B$1,$J$53:$M$58,ROW(A2),0)</f>
        <v>599.13698109999996</v>
      </c>
    </row>
    <row r="55" spans="1:25" x14ac:dyDescent="0.25">
      <c r="A55">
        <v>2</v>
      </c>
      <c r="B55" t="str">
        <f>Dash!$T$11</f>
        <v>The Mid-West</v>
      </c>
      <c r="C55" s="16" t="str">
        <f>INDEX(C$2:C$51,MATCH(1,INDEX(($A$2:$A$51=$A55)*(B$2:B$51=B55),0),0))</f>
        <v>Ohio</v>
      </c>
      <c r="D55" s="16">
        <f t="shared" si="10"/>
        <v>848.68250264680012</v>
      </c>
      <c r="E55" s="16">
        <f t="shared" si="10"/>
        <v>1110.9427599999999</v>
      </c>
      <c r="F55" s="16">
        <f t="shared" si="10"/>
        <v>1055.395622</v>
      </c>
      <c r="G55" s="16">
        <f t="shared" ref="G55:G58" si="12">SUMPRODUCT(($B$2:$B$51=$B55)*($C$2:$C$51=$C55)*(G$2:G$51))/1000</f>
        <v>1002.6258409</v>
      </c>
      <c r="H55" t="str">
        <f>Dash!$T$11</f>
        <v>The Mid-West</v>
      </c>
      <c r="I55" s="16" t="str">
        <f t="shared" ref="I55:I58" si="13">INDEX(I$2:I$51,MATCH(1,INDEX(($A$2:$A$51=$A55)*(H$2:H$51=H55),0),0))</f>
        <v>Michigan</v>
      </c>
      <c r="J55" s="16">
        <f>SUMPRODUCT(($H$2:$H$51=$H55)*($I$2:$I$51=$I55)*(J$2:J$51))/1000</f>
        <v>461.77386836000011</v>
      </c>
      <c r="K55" s="16">
        <f t="shared" si="11"/>
        <v>447.92065230920008</v>
      </c>
      <c r="L55" s="16">
        <f t="shared" si="11"/>
        <v>430.00382621683207</v>
      </c>
      <c r="M55" s="16">
        <f t="shared" si="11"/>
        <v>470.85418970743115</v>
      </c>
      <c r="N55" t="str">
        <f>$B55</f>
        <v>The Mid-West</v>
      </c>
      <c r="O55" s="16" t="str">
        <f>INDEX(O$2:O$51,MATCH(1,INDEX(($A$2:$A$51=$A55)*(N$2:N$51=N55),0),0))</f>
        <v>Illinois</v>
      </c>
      <c r="P55" s="16">
        <f>SUMPRODUCT((N$2:N$51=N55)*(O$2:O$51=O55)*(P$2:P$51))</f>
        <v>231.9</v>
      </c>
      <c r="Q55" t="str">
        <f>$B55</f>
        <v>The Mid-West</v>
      </c>
      <c r="R55" s="16" t="str">
        <f>INDEX(R$2:R$51,MATCH(1,INDEX(($A$2:$A$51=$A55)*(Q$2:Q$51=Q55),0),0))</f>
        <v>Illinois</v>
      </c>
      <c r="S55" s="9">
        <f>SUMPRODUCT((Q$2:Q$51=Q55)*(R$2:R$51=R55)*(S$2:S$51))</f>
        <v>8.900000000000001E-2</v>
      </c>
      <c r="U55" s="18" t="str">
        <f t="shared" ref="U55:U58" si="14">C55</f>
        <v>Ohio</v>
      </c>
      <c r="V55" s="16">
        <f>HLOOKUP(Dash!$B$1,$D$53:$G$58,ROW(A3),0)</f>
        <v>848.68250264680012</v>
      </c>
      <c r="W55" s="18" t="str">
        <f>I55</f>
        <v>Michigan</v>
      </c>
      <c r="X55" s="16">
        <f>HLOOKUP(Dash!$B$1,$J$53:$M$58,ROW(A3),0)</f>
        <v>461.77386836000011</v>
      </c>
    </row>
    <row r="56" spans="1:25" x14ac:dyDescent="0.25">
      <c r="A56">
        <v>3</v>
      </c>
      <c r="B56" t="str">
        <f>Dash!$T$11</f>
        <v>The Mid-West</v>
      </c>
      <c r="C56" s="16" t="str">
        <f>INDEX(C$2:C$51,MATCH(1,INDEX(($A$2:$A$51=$A56)*(B$2:B$51=B56),0),0))</f>
        <v>Minnesota</v>
      </c>
      <c r="D56" s="16">
        <f t="shared" si="10"/>
        <v>615.39852904199995</v>
      </c>
      <c r="E56" s="16">
        <f t="shared" si="10"/>
        <v>786.85401999999999</v>
      </c>
      <c r="F56" s="16">
        <f t="shared" si="10"/>
        <v>810.45964060000006</v>
      </c>
      <c r="G56" s="16">
        <f t="shared" si="12"/>
        <v>769.93665856999996</v>
      </c>
      <c r="H56" t="str">
        <f>Dash!$T$11</f>
        <v>The Mid-West</v>
      </c>
      <c r="I56" s="16" t="str">
        <f t="shared" si="13"/>
        <v>Ohio</v>
      </c>
      <c r="J56" s="16">
        <f>SUMPRODUCT(($H$2:$H$51=$H56)*($I$2:$I$51=$I56)*(J$2:J$51))/1000</f>
        <v>539.22328299000014</v>
      </c>
      <c r="K56" s="16">
        <f t="shared" si="11"/>
        <v>512.26211884050008</v>
      </c>
      <c r="L56" s="16">
        <f t="shared" si="11"/>
        <v>486.64901289847506</v>
      </c>
      <c r="M56" s="16">
        <f t="shared" si="11"/>
        <v>467.18305238253606</v>
      </c>
      <c r="N56" t="str">
        <f>$B56</f>
        <v>The Mid-West</v>
      </c>
      <c r="O56" s="16" t="str">
        <f>INDEX(O$2:O$51,MATCH(1,INDEX(($A$2:$A$51=$A56)*(N$2:N$51=N56),0),0))</f>
        <v>Indiana</v>
      </c>
      <c r="P56" s="16">
        <f>SUMPRODUCT((N$2:N$51=N56)*(O$2:O$51=O56)*(P$2:P$51))</f>
        <v>182.5</v>
      </c>
      <c r="Q56" t="str">
        <f>$B56</f>
        <v>The Mid-West</v>
      </c>
      <c r="R56" s="16" t="str">
        <f>INDEX(R$2:R$51,MATCH(1,INDEX(($A$2:$A$51=$A56)*(Q$2:Q$51=Q56),0),0))</f>
        <v>Ohio</v>
      </c>
      <c r="S56" s="9">
        <f>SUMPRODUCT((Q$2:Q$51=Q56)*(R$2:R$51=R56)*(S$2:S$51))</f>
        <v>7.4999999999999997E-2</v>
      </c>
      <c r="U56" s="18" t="str">
        <f t="shared" si="14"/>
        <v>Minnesota</v>
      </c>
      <c r="V56" s="16">
        <f>HLOOKUP(Dash!$B$1,$D$53:$G$58,ROW(A4),0)</f>
        <v>615.39852904199995</v>
      </c>
      <c r="W56" s="18" t="str">
        <f>I56</f>
        <v>Ohio</v>
      </c>
      <c r="X56" s="16">
        <f>HLOOKUP(Dash!$B$1,$J$53:$M$58,ROW(A4),0)</f>
        <v>539.22328299000014</v>
      </c>
    </row>
    <row r="57" spans="1:25" x14ac:dyDescent="0.25">
      <c r="A57">
        <v>4</v>
      </c>
      <c r="B57" t="str">
        <f>Dash!$T$11</f>
        <v>The Mid-West</v>
      </c>
      <c r="C57" s="16" t="str">
        <f>INDEX(C$2:C$51,MATCH(1,INDEX(($A$2:$A$51=$A57)*(B$2:B$51=B57),0),0))</f>
        <v>Michigan</v>
      </c>
      <c r="D57" s="16">
        <f t="shared" si="10"/>
        <v>452.32416000939998</v>
      </c>
      <c r="E57" s="16">
        <f t="shared" si="10"/>
        <v>592.10158000000001</v>
      </c>
      <c r="F57" s="16">
        <f t="shared" si="10"/>
        <v>574.33853259999989</v>
      </c>
      <c r="G57" s="16">
        <f t="shared" si="12"/>
        <v>551.36499129599986</v>
      </c>
      <c r="H57" t="str">
        <f>Dash!$T$11</f>
        <v>The Mid-West</v>
      </c>
      <c r="I57" s="16" t="str">
        <f t="shared" si="13"/>
        <v>Wisconsin</v>
      </c>
      <c r="J57" s="16">
        <f>SUMPRODUCT(($H$2:$H$51=$H57)*($I$2:$I$51=$I57)*(J$2:J$51))/1000</f>
        <v>265.95836722000001</v>
      </c>
      <c r="K57" s="16">
        <f t="shared" si="11"/>
        <v>291.2244121059</v>
      </c>
      <c r="L57" s="16">
        <f t="shared" si="11"/>
        <v>276.66319150060497</v>
      </c>
      <c r="M57" s="16">
        <f t="shared" si="11"/>
        <v>302.94619469316245</v>
      </c>
      <c r="N57" t="str">
        <f>$B57</f>
        <v>The Mid-West</v>
      </c>
      <c r="O57" s="16" t="str">
        <f>INDEX(O$2:O$51,MATCH(1,INDEX(($A$2:$A$51=$A57)*(N$2:N$51=N57),0),0))</f>
        <v>Michigan</v>
      </c>
      <c r="P57" s="16">
        <f>SUMPRODUCT((N$2:N$51=N57)*(O$2:O$51=O57)*(P$2:P$51))</f>
        <v>174.8</v>
      </c>
      <c r="Q57" t="str">
        <f>$B57</f>
        <v>The Mid-West</v>
      </c>
      <c r="R57" s="16" t="str">
        <f>INDEX(R$2:R$51,MATCH(1,INDEX(($A$2:$A$51=$A57)*(Q$2:Q$51=Q57),0),0))</f>
        <v>Indiana</v>
      </c>
      <c r="S57" s="9">
        <f>SUMPRODUCT((Q$2:Q$51=Q57)*(R$2:R$51=R57)*(S$2:S$51))</f>
        <v>7.4999999999999997E-2</v>
      </c>
      <c r="U57" s="18" t="str">
        <f t="shared" si="14"/>
        <v>Michigan</v>
      </c>
      <c r="V57" s="16">
        <f>HLOOKUP(Dash!$B$1,$D$53:$G$58,ROW(A5),0)</f>
        <v>452.32416000939998</v>
      </c>
      <c r="W57" s="18" t="str">
        <f>I57</f>
        <v>Wisconsin</v>
      </c>
      <c r="X57" s="16">
        <f>HLOOKUP(Dash!$B$1,$J$53:$M$58,ROW(A5),0)</f>
        <v>265.95836722000001</v>
      </c>
    </row>
    <row r="58" spans="1:25" x14ac:dyDescent="0.25">
      <c r="A58">
        <v>5</v>
      </c>
      <c r="B58" t="str">
        <f>Dash!$T$11</f>
        <v>The Mid-West</v>
      </c>
      <c r="C58" s="16" t="str">
        <f>INDEX(C$2:C$51,MATCH(1,INDEX(($A$2:$A$51=$A58)*(B$2:B$51=B58),0),0))</f>
        <v>Wisconsin</v>
      </c>
      <c r="D58" s="16">
        <f t="shared" si="10"/>
        <v>324.55611609300001</v>
      </c>
      <c r="E58" s="16">
        <f t="shared" si="10"/>
        <v>414.98033000000004</v>
      </c>
      <c r="F58" s="16">
        <f t="shared" si="10"/>
        <v>454.40346134999999</v>
      </c>
      <c r="G58" s="16">
        <f t="shared" si="12"/>
        <v>468.03556519049999</v>
      </c>
      <c r="H58" t="str">
        <f>Dash!$T$11</f>
        <v>The Mid-West</v>
      </c>
      <c r="I58" s="16" t="str">
        <f t="shared" si="13"/>
        <v>Indiana</v>
      </c>
      <c r="J58" s="16">
        <f>SUMPRODUCT(($H$2:$H$51=$H58)*($I$2:$I$51=$I58)*(J$2:J$51))/1000</f>
        <v>302.49110996999997</v>
      </c>
      <c r="K58" s="16">
        <f t="shared" si="11"/>
        <v>287.36655447149997</v>
      </c>
      <c r="L58" s="16">
        <f t="shared" si="11"/>
        <v>272.998226747925</v>
      </c>
      <c r="M58" s="16">
        <f t="shared" si="11"/>
        <v>264.80827994548724</v>
      </c>
      <c r="N58" t="str">
        <f>$B58</f>
        <v>The Mid-West</v>
      </c>
      <c r="O58" s="16" t="str">
        <f>INDEX(O$2:O$51,MATCH(1,INDEX(($A$2:$A$51=$A58)*(N$2:N$51=N58),0),0))</f>
        <v>Wisconsin</v>
      </c>
      <c r="P58" s="16">
        <f>SUMPRODUCT((N$2:N$51=N58)*(O$2:O$51=O58)*(P$2:P$51))</f>
        <v>105.2</v>
      </c>
      <c r="Q58" t="str">
        <f>$B58</f>
        <v>The Mid-West</v>
      </c>
      <c r="R58" s="16" t="str">
        <f>INDEX(R$2:R$51,MATCH(1,INDEX(($A$2:$A$51=$A58)*(Q$2:Q$51=Q58),0),0))</f>
        <v>Missouri</v>
      </c>
      <c r="S58" s="9">
        <f>SUMPRODUCT((Q$2:Q$51=Q58)*(R$2:R$51=R58)*(S$2:S$51))</f>
        <v>6.5000000000000002E-2</v>
      </c>
      <c r="U58" s="18" t="str">
        <f t="shared" si="14"/>
        <v>Wisconsin</v>
      </c>
      <c r="V58" s="16">
        <f>HLOOKUP(Dash!$B$1,$D$53:$G$58,ROW(A6),0)</f>
        <v>324.55611609300001</v>
      </c>
      <c r="W58" s="18" t="str">
        <f>I58</f>
        <v>Indiana</v>
      </c>
      <c r="X58" s="16">
        <f>HLOOKUP(Dash!$B$1,$J$53:$M$58,ROW(A6),0)</f>
        <v>302.49110996999997</v>
      </c>
    </row>
    <row r="59" spans="1:25" x14ac:dyDescent="0.25">
      <c r="C59" s="16"/>
      <c r="D59" s="16"/>
      <c r="E59" s="16"/>
      <c r="F59" s="16"/>
      <c r="G59" s="16"/>
      <c r="I59" s="16"/>
      <c r="J59" s="16"/>
      <c r="K59" s="16"/>
      <c r="L59" s="16"/>
      <c r="M59" s="16"/>
      <c r="O59" s="16"/>
      <c r="P59" s="16"/>
      <c r="R59" s="16"/>
      <c r="S59" s="9"/>
    </row>
    <row r="60" spans="1:25" x14ac:dyDescent="0.25">
      <c r="A60" t="s">
        <v>71</v>
      </c>
      <c r="B60" s="19" t="s">
        <v>55</v>
      </c>
      <c r="C60" s="19" t="s">
        <v>0</v>
      </c>
      <c r="D60" s="19">
        <v>2010</v>
      </c>
      <c r="E60" s="19">
        <v>2011</v>
      </c>
      <c r="F60" s="19">
        <v>2012</v>
      </c>
      <c r="G60" s="19">
        <v>2013</v>
      </c>
      <c r="H60" s="40" t="s">
        <v>55</v>
      </c>
      <c r="I60" s="40" t="s">
        <v>0</v>
      </c>
      <c r="J60" s="40">
        <v>2010</v>
      </c>
      <c r="K60" s="40">
        <v>2011</v>
      </c>
      <c r="L60" s="40">
        <v>2012</v>
      </c>
      <c r="M60" s="40">
        <v>2013</v>
      </c>
      <c r="N60" s="6"/>
      <c r="O60" s="6"/>
      <c r="P60" s="6"/>
      <c r="Q60" s="6"/>
      <c r="R60" s="6"/>
      <c r="S60" s="6"/>
      <c r="U60" s="20" t="s">
        <v>60</v>
      </c>
      <c r="V60" s="20">
        <f>Dash!$B$1</f>
        <v>2010</v>
      </c>
      <c r="W60" s="20" t="s">
        <v>53</v>
      </c>
      <c r="X60" s="20">
        <f>Dash!$B$1</f>
        <v>2010</v>
      </c>
      <c r="Y60" t="s">
        <v>116</v>
      </c>
    </row>
    <row r="61" spans="1:25" x14ac:dyDescent="0.25">
      <c r="A61">
        <v>1</v>
      </c>
      <c r="B61" t="str">
        <f>Dash!$T$11</f>
        <v>The Mid-West</v>
      </c>
      <c r="C61" s="16" t="str">
        <f t="shared" ref="C61:C70" si="15">INDEX(C$2:C$51,MATCH(1,INDEX(($A$2:$A$51=$A61)*(B$2:B$51=B61),0),0))</f>
        <v>Illinois</v>
      </c>
      <c r="D61" s="16">
        <f t="shared" ref="D61:F70" si="16">SUMPRODUCT(($B$2:$B$51=$B61)*($C$2:$C$51=$C61)*(D$2:D$51))/1000</f>
        <v>950.56747242110009</v>
      </c>
      <c r="E61" s="16">
        <f t="shared" si="16"/>
        <v>1244.3122700000001</v>
      </c>
      <c r="F61" s="16">
        <f t="shared" si="16"/>
        <v>1182.0966565000001</v>
      </c>
      <c r="G61" s="16">
        <f>SUMPRODUCT(($B$2:$B$51=$B61)*($C$2:$C$51=$C61)*(G$2:G$51))/1000</f>
        <v>1264.8434224550003</v>
      </c>
      <c r="H61" t="s">
        <v>62</v>
      </c>
      <c r="I61" s="16" t="str">
        <f>INDEX(I$2:I$51,MATCH(1,INDEX(($A$2:$A$51=$A61)*(H$2:H$51=H61),0),0))</f>
        <v>California</v>
      </c>
      <c r="J61" s="16">
        <f>SUMPRODUCT(($B$2:$B$51=$B61)*($C$2:$C$51=$C61)*(J$2:J$51))/1000</f>
        <v>599.13698109999996</v>
      </c>
      <c r="K61" s="16">
        <f t="shared" ref="K61:L61" si="17">SUMPRODUCT(($B$2:$B$51=$B61)*($C$2:$C$51=$C61)*(K$2:K$51))/1000</f>
        <v>569.18013204499994</v>
      </c>
      <c r="L61" s="16">
        <f t="shared" si="17"/>
        <v>609.02274128814997</v>
      </c>
      <c r="M61" s="7">
        <f>SUMPRODUCT(($B$2:$B$51=$B61)*($C$2:$C$51=$C61)*(M$2:M$51))/1000</f>
        <v>666.87990171052422</v>
      </c>
      <c r="N61" t="str">
        <f t="shared" ref="N61:N70" si="18">$B61</f>
        <v>The Mid-West</v>
      </c>
      <c r="O61" s="16" t="str">
        <f t="shared" ref="O61:O70" si="19">INDEX(O$2:O$51,MATCH(1,INDEX(($A$2:$A$51=$A61)*(N$2:N$51=N61),0),0))</f>
        <v>Ohio</v>
      </c>
      <c r="P61" s="16">
        <f t="shared" ref="P61:P70" si="20">SUMPRODUCT((N$2:N$51=N61)*(O$2:O$51=O61)*(P$2:P$51))</f>
        <v>282.5</v>
      </c>
      <c r="Q61" t="str">
        <f t="shared" ref="Q61:Q70" si="21">$B61</f>
        <v>The Mid-West</v>
      </c>
      <c r="R61" s="16" t="str">
        <f t="shared" ref="R61:R70" si="22">INDEX(R$2:R$51,MATCH(1,INDEX(($A$2:$A$51=$A61)*(Q$2:Q$51=Q61),0),0))</f>
        <v>Michigan</v>
      </c>
      <c r="S61" s="9">
        <f t="shared" ref="S61:S70" si="23">SUMPRODUCT((Q$2:Q$51=Q61)*(R$2:R$51=R61)*(S$2:S$51))</f>
        <v>0.09</v>
      </c>
      <c r="U61" s="18" t="str">
        <f>C61</f>
        <v>Illinois</v>
      </c>
      <c r="V61" s="16">
        <f>HLOOKUP(Dash!$B$1,$D$60:$G$70,ROW(A2),0)</f>
        <v>950.56747242110009</v>
      </c>
      <c r="W61" s="18" t="str">
        <f>I61</f>
        <v>California</v>
      </c>
      <c r="X61" s="16">
        <f>HLOOKUP(Dash!$B$1,$J$60:$M$70,ROW(A2),0)</f>
        <v>599.13698109999996</v>
      </c>
    </row>
    <row r="62" spans="1:25" x14ac:dyDescent="0.25">
      <c r="A62">
        <v>2</v>
      </c>
      <c r="B62" t="str">
        <f>Dash!$T$11</f>
        <v>The Mid-West</v>
      </c>
      <c r="C62" s="16" t="str">
        <f t="shared" si="15"/>
        <v>Ohio</v>
      </c>
      <c r="D62" s="16">
        <f t="shared" si="16"/>
        <v>848.68250264680012</v>
      </c>
      <c r="E62" s="16">
        <f t="shared" si="16"/>
        <v>1110.9427599999999</v>
      </c>
      <c r="F62" s="16">
        <f t="shared" si="16"/>
        <v>1055.395622</v>
      </c>
      <c r="G62" s="16">
        <f t="shared" ref="G62:G70" si="24">SUMPRODUCT(($B$2:$B$51=$B62)*($C$2:$C$51=$C62)*(G$2:G$51))/1000</f>
        <v>1002.6258409</v>
      </c>
      <c r="H62" t="s">
        <v>62</v>
      </c>
      <c r="I62" s="16" t="str">
        <f t="shared" ref="I62:I70" si="25">INDEX(I$2:I$51,MATCH(1,INDEX(($A$2:$A$51=$A62)*(H$2:H$51=H62),0),0))</f>
        <v>Texas</v>
      </c>
      <c r="J62" s="16">
        <f t="shared" ref="J62:M70" si="26">SUMPRODUCT(($B$2:$B$51=$B62)*($C$2:$C$51=$C62)*(J$2:J$51))/1000</f>
        <v>461.77386836000011</v>
      </c>
      <c r="K62" s="16">
        <f t="shared" si="26"/>
        <v>447.92065230920008</v>
      </c>
      <c r="L62" s="16">
        <f t="shared" si="26"/>
        <v>430.00382621683207</v>
      </c>
      <c r="M62" s="16">
        <f t="shared" si="26"/>
        <v>470.85418970743115</v>
      </c>
      <c r="N62" t="str">
        <f t="shared" si="18"/>
        <v>The Mid-West</v>
      </c>
      <c r="O62" s="16" t="str">
        <f t="shared" si="19"/>
        <v>Illinois</v>
      </c>
      <c r="P62" s="16">
        <f t="shared" si="20"/>
        <v>231.9</v>
      </c>
      <c r="Q62" t="str">
        <f t="shared" si="21"/>
        <v>The Mid-West</v>
      </c>
      <c r="R62" s="16" t="str">
        <f t="shared" si="22"/>
        <v>Illinois</v>
      </c>
      <c r="S62" s="9">
        <f t="shared" si="23"/>
        <v>8.900000000000001E-2</v>
      </c>
      <c r="U62" s="18" t="str">
        <f t="shared" ref="U62:U70" si="27">C62</f>
        <v>Ohio</v>
      </c>
      <c r="V62" s="16">
        <f>HLOOKUP(Dash!$B$1,$D$60:$G$70,ROW(A3),0)</f>
        <v>848.68250264680012</v>
      </c>
      <c r="W62" s="18" t="str">
        <f t="shared" ref="W62:W70" si="28">I62</f>
        <v>Texas</v>
      </c>
      <c r="X62" s="16">
        <f>HLOOKUP(Dash!$B$1,$J$60:$M$70,ROW(A3),0)</f>
        <v>461.77386836000011</v>
      </c>
    </row>
    <row r="63" spans="1:25" x14ac:dyDescent="0.25">
      <c r="A63">
        <v>3</v>
      </c>
      <c r="B63" t="str">
        <f>Dash!$T$11</f>
        <v>The Mid-West</v>
      </c>
      <c r="C63" s="16" t="str">
        <f t="shared" si="15"/>
        <v>Minnesota</v>
      </c>
      <c r="D63" s="16">
        <f t="shared" si="16"/>
        <v>615.39852904199995</v>
      </c>
      <c r="E63" s="16">
        <f t="shared" si="16"/>
        <v>786.85401999999999</v>
      </c>
      <c r="F63" s="16">
        <f t="shared" si="16"/>
        <v>810.45964060000006</v>
      </c>
      <c r="G63" s="16">
        <f t="shared" si="24"/>
        <v>769.93665856999996</v>
      </c>
      <c r="H63" t="s">
        <v>62</v>
      </c>
      <c r="I63" s="16" t="str">
        <f t="shared" si="25"/>
        <v>New York</v>
      </c>
      <c r="J63" s="16">
        <f t="shared" si="26"/>
        <v>539.22328299000014</v>
      </c>
      <c r="K63" s="16">
        <f t="shared" si="26"/>
        <v>512.26211884050008</v>
      </c>
      <c r="L63" s="16">
        <f t="shared" si="26"/>
        <v>486.64901289847506</v>
      </c>
      <c r="M63" s="16">
        <f t="shared" si="26"/>
        <v>467.18305238253606</v>
      </c>
      <c r="N63" t="str">
        <f t="shared" si="18"/>
        <v>The Mid-West</v>
      </c>
      <c r="O63" s="16" t="str">
        <f t="shared" si="19"/>
        <v>Indiana</v>
      </c>
      <c r="P63" s="16">
        <f t="shared" si="20"/>
        <v>182.5</v>
      </c>
      <c r="Q63" t="str">
        <f t="shared" si="21"/>
        <v>The Mid-West</v>
      </c>
      <c r="R63" s="16" t="str">
        <f t="shared" si="22"/>
        <v>Ohio</v>
      </c>
      <c r="S63" s="9">
        <f t="shared" si="23"/>
        <v>7.4999999999999997E-2</v>
      </c>
      <c r="U63" s="18" t="str">
        <f t="shared" si="27"/>
        <v>Minnesota</v>
      </c>
      <c r="V63" s="16">
        <f>HLOOKUP(Dash!$B$1,$D$60:$G$70,ROW(A4),0)</f>
        <v>615.39852904199995</v>
      </c>
      <c r="W63" s="18" t="str">
        <f t="shared" si="28"/>
        <v>New York</v>
      </c>
      <c r="X63" s="16">
        <f>HLOOKUP(Dash!$B$1,$J$60:$M$70,ROW(A4),0)</f>
        <v>539.22328299000014</v>
      </c>
    </row>
    <row r="64" spans="1:25" x14ac:dyDescent="0.25">
      <c r="A64">
        <v>4</v>
      </c>
      <c r="B64" t="str">
        <f>Dash!$T$11</f>
        <v>The Mid-West</v>
      </c>
      <c r="C64" s="16" t="str">
        <f t="shared" si="15"/>
        <v>Michigan</v>
      </c>
      <c r="D64" s="16">
        <f t="shared" si="16"/>
        <v>452.32416000939998</v>
      </c>
      <c r="E64" s="16">
        <f t="shared" si="16"/>
        <v>592.10158000000001</v>
      </c>
      <c r="F64" s="16">
        <f t="shared" si="16"/>
        <v>574.33853259999989</v>
      </c>
      <c r="G64" s="16">
        <f t="shared" si="24"/>
        <v>551.36499129599986</v>
      </c>
      <c r="H64" t="s">
        <v>62</v>
      </c>
      <c r="I64" s="16" t="str">
        <f t="shared" si="25"/>
        <v>Florida</v>
      </c>
      <c r="J64" s="16">
        <f t="shared" si="26"/>
        <v>265.95836722000001</v>
      </c>
      <c r="K64" s="16">
        <f t="shared" si="26"/>
        <v>291.2244121059</v>
      </c>
      <c r="L64" s="16">
        <f t="shared" si="26"/>
        <v>276.66319150060497</v>
      </c>
      <c r="M64" s="16">
        <f t="shared" si="26"/>
        <v>302.94619469316245</v>
      </c>
      <c r="N64" t="str">
        <f t="shared" si="18"/>
        <v>The Mid-West</v>
      </c>
      <c r="O64" s="16" t="str">
        <f t="shared" si="19"/>
        <v>Michigan</v>
      </c>
      <c r="P64" s="16">
        <f t="shared" si="20"/>
        <v>174.8</v>
      </c>
      <c r="Q64" t="str">
        <f t="shared" si="21"/>
        <v>The Mid-West</v>
      </c>
      <c r="R64" s="16" t="str">
        <f t="shared" si="22"/>
        <v>Indiana</v>
      </c>
      <c r="S64" s="9">
        <f t="shared" si="23"/>
        <v>7.4999999999999997E-2</v>
      </c>
      <c r="U64" s="18" t="str">
        <f t="shared" si="27"/>
        <v>Michigan</v>
      </c>
      <c r="V64" s="16">
        <f>HLOOKUP(Dash!$B$1,$D$60:$G$70,ROW(A5),0)</f>
        <v>452.32416000939998</v>
      </c>
      <c r="W64" s="18" t="str">
        <f t="shared" si="28"/>
        <v>Florida</v>
      </c>
      <c r="X64" s="16">
        <f>HLOOKUP(Dash!$B$1,$J$60:$M$70,ROW(A5),0)</f>
        <v>265.95836722000001</v>
      </c>
    </row>
    <row r="65" spans="1:24" x14ac:dyDescent="0.25">
      <c r="A65">
        <v>5</v>
      </c>
      <c r="B65" t="str">
        <f>Dash!$T$11</f>
        <v>The Mid-West</v>
      </c>
      <c r="C65" s="16" t="str">
        <f t="shared" si="15"/>
        <v>Wisconsin</v>
      </c>
      <c r="D65" s="16">
        <f t="shared" si="16"/>
        <v>324.55611609300001</v>
      </c>
      <c r="E65" s="16">
        <f t="shared" si="16"/>
        <v>414.98033000000004</v>
      </c>
      <c r="F65" s="16">
        <f t="shared" si="16"/>
        <v>454.40346134999999</v>
      </c>
      <c r="G65" s="16">
        <f t="shared" si="24"/>
        <v>468.03556519049999</v>
      </c>
      <c r="H65" t="s">
        <v>62</v>
      </c>
      <c r="I65" s="16" t="str">
        <f t="shared" si="25"/>
        <v>Illinois</v>
      </c>
      <c r="J65" s="16">
        <f t="shared" si="26"/>
        <v>302.49110996999997</v>
      </c>
      <c r="K65" s="16">
        <f t="shared" si="26"/>
        <v>287.36655447149997</v>
      </c>
      <c r="L65" s="16">
        <f t="shared" si="26"/>
        <v>272.998226747925</v>
      </c>
      <c r="M65" s="16">
        <f t="shared" si="26"/>
        <v>264.80827994548724</v>
      </c>
      <c r="N65" t="str">
        <f t="shared" si="18"/>
        <v>The Mid-West</v>
      </c>
      <c r="O65" s="16" t="str">
        <f t="shared" si="19"/>
        <v>Wisconsin</v>
      </c>
      <c r="P65" s="16">
        <f t="shared" si="20"/>
        <v>105.2</v>
      </c>
      <c r="Q65" t="str">
        <f t="shared" si="21"/>
        <v>The Mid-West</v>
      </c>
      <c r="R65" s="16" t="str">
        <f t="shared" si="22"/>
        <v>Missouri</v>
      </c>
      <c r="S65" s="9">
        <f t="shared" si="23"/>
        <v>6.5000000000000002E-2</v>
      </c>
      <c r="U65" s="18" t="str">
        <f t="shared" si="27"/>
        <v>Wisconsin</v>
      </c>
      <c r="V65" s="16">
        <f>HLOOKUP(Dash!$B$1,$D$60:$G$70,ROW(A6),0)</f>
        <v>324.55611609300001</v>
      </c>
      <c r="W65" s="18" t="str">
        <f t="shared" si="28"/>
        <v>Illinois</v>
      </c>
      <c r="X65" s="16">
        <f>HLOOKUP(Dash!$B$1,$J$60:$M$70,ROW(A6),0)</f>
        <v>302.49110996999997</v>
      </c>
    </row>
    <row r="66" spans="1:24" x14ac:dyDescent="0.25">
      <c r="A66">
        <v>6</v>
      </c>
      <c r="B66" t="str">
        <f>Dash!$T$11</f>
        <v>The Mid-West</v>
      </c>
      <c r="C66" s="16" t="str">
        <f t="shared" si="15"/>
        <v>Indiana</v>
      </c>
      <c r="D66" s="16">
        <f t="shared" si="16"/>
        <v>400.73640235200003</v>
      </c>
      <c r="E66" s="16">
        <f t="shared" si="16"/>
        <v>512.38512000000003</v>
      </c>
      <c r="F66" s="16">
        <f t="shared" si="16"/>
        <v>486.76586400000002</v>
      </c>
      <c r="G66" s="16">
        <f t="shared" si="24"/>
        <v>462.42757080000001</v>
      </c>
      <c r="H66" t="s">
        <v>62</v>
      </c>
      <c r="I66" s="16" t="str">
        <f t="shared" si="25"/>
        <v>Washington</v>
      </c>
      <c r="J66" s="16">
        <f t="shared" si="26"/>
        <v>279.11015461000005</v>
      </c>
      <c r="K66" s="16">
        <f t="shared" si="26"/>
        <v>267.94574842560002</v>
      </c>
      <c r="L66" s="16">
        <f t="shared" si="26"/>
        <v>259.90737597283203</v>
      </c>
      <c r="M66" s="16">
        <f t="shared" si="26"/>
        <v>246.91200717419039</v>
      </c>
      <c r="N66" t="str">
        <f t="shared" si="18"/>
        <v>The Mid-West</v>
      </c>
      <c r="O66" s="16" t="str">
        <f t="shared" si="19"/>
        <v>Missouri</v>
      </c>
      <c r="P66" s="16">
        <f t="shared" si="20"/>
        <v>87.26</v>
      </c>
      <c r="Q66" t="str">
        <f t="shared" si="21"/>
        <v>The Mid-West</v>
      </c>
      <c r="R66" s="16" t="str">
        <f t="shared" si="22"/>
        <v>Wisconsin</v>
      </c>
      <c r="S66" s="9">
        <f t="shared" si="23"/>
        <v>6.5000000000000002E-2</v>
      </c>
      <c r="U66" s="18" t="str">
        <f t="shared" si="27"/>
        <v>Indiana</v>
      </c>
      <c r="V66" s="16">
        <f>HLOOKUP(Dash!$B$1,$D$60:$G$70,ROW(A7),0)</f>
        <v>400.73640235200003</v>
      </c>
      <c r="W66" s="18" t="str">
        <f t="shared" si="28"/>
        <v>Washington</v>
      </c>
      <c r="X66" s="16">
        <f>HLOOKUP(Dash!$B$1,$J$60:$M$70,ROW(A7),0)</f>
        <v>279.11015461000005</v>
      </c>
    </row>
    <row r="67" spans="1:24" x14ac:dyDescent="0.25">
      <c r="A67">
        <v>7</v>
      </c>
      <c r="B67" t="str">
        <f>Dash!$T$11</f>
        <v>The Mid-West</v>
      </c>
      <c r="C67" s="16" t="str">
        <f t="shared" si="15"/>
        <v>Missouri</v>
      </c>
      <c r="D67" s="16">
        <f t="shared" si="16"/>
        <v>378.64000478700001</v>
      </c>
      <c r="E67" s="16">
        <f t="shared" si="16"/>
        <v>484.13246999999996</v>
      </c>
      <c r="F67" s="16">
        <f t="shared" si="16"/>
        <v>464.76717120000001</v>
      </c>
      <c r="G67" s="16">
        <f t="shared" si="24"/>
        <v>450.82415606399996</v>
      </c>
      <c r="H67" t="s">
        <v>62</v>
      </c>
      <c r="I67" s="16" t="str">
        <f t="shared" si="25"/>
        <v>Pennsylvania</v>
      </c>
      <c r="J67" s="16">
        <f t="shared" si="26"/>
        <v>248.42265070000002</v>
      </c>
      <c r="K67" s="16">
        <f t="shared" si="26"/>
        <v>255.87533022100004</v>
      </c>
      <c r="L67" s="16">
        <f t="shared" si="26"/>
        <v>243.08156370995002</v>
      </c>
      <c r="M67" s="16">
        <f t="shared" si="26"/>
        <v>230.92748552445249</v>
      </c>
      <c r="N67" t="str">
        <f t="shared" si="18"/>
        <v>The Mid-West</v>
      </c>
      <c r="O67" s="16" t="str">
        <f t="shared" si="19"/>
        <v>Minnesota</v>
      </c>
      <c r="P67" s="16">
        <f t="shared" si="20"/>
        <v>67.14</v>
      </c>
      <c r="Q67" t="str">
        <f t="shared" si="21"/>
        <v>The Mid-West</v>
      </c>
      <c r="R67" s="16" t="str">
        <f t="shared" si="22"/>
        <v>Kansas</v>
      </c>
      <c r="S67" s="9">
        <f t="shared" si="23"/>
        <v>5.5999999999999994E-2</v>
      </c>
      <c r="U67" s="18" t="str">
        <f t="shared" si="27"/>
        <v>Missouri</v>
      </c>
      <c r="V67" s="16">
        <f>HLOOKUP(Dash!$B$1,$D$60:$G$70,ROW(A8),0)</f>
        <v>378.64000478700001</v>
      </c>
      <c r="W67" s="18" t="str">
        <f t="shared" si="28"/>
        <v>Pennsylvania</v>
      </c>
      <c r="X67" s="16">
        <f>HLOOKUP(Dash!$B$1,$J$60:$M$70,ROW(A8),0)</f>
        <v>248.42265070000002</v>
      </c>
    </row>
    <row r="68" spans="1:24" x14ac:dyDescent="0.25">
      <c r="A68">
        <v>8</v>
      </c>
      <c r="B68" t="str">
        <f>Dash!$T$11</f>
        <v>The Mid-West</v>
      </c>
      <c r="C68" s="16" t="str">
        <f t="shared" si="15"/>
        <v>Kansas</v>
      </c>
      <c r="D68" s="16">
        <f t="shared" si="16"/>
        <v>169.58552932999999</v>
      </c>
      <c r="E68" s="16">
        <f t="shared" si="16"/>
        <v>219.04614999999998</v>
      </c>
      <c r="F68" s="16">
        <f t="shared" si="16"/>
        <v>225.6175345</v>
      </c>
      <c r="G68" s="16">
        <f t="shared" si="24"/>
        <v>232.38606053500001</v>
      </c>
      <c r="H68" t="s">
        <v>62</v>
      </c>
      <c r="I68" s="16" t="str">
        <f t="shared" si="25"/>
        <v>Michigan</v>
      </c>
      <c r="J68" s="16">
        <f t="shared" si="26"/>
        <v>141.74704186999998</v>
      </c>
      <c r="K68" s="16">
        <f t="shared" si="26"/>
        <v>145.99945312609998</v>
      </c>
      <c r="L68" s="16">
        <f t="shared" si="26"/>
        <v>150.37943671988296</v>
      </c>
      <c r="M68" s="16">
        <f t="shared" si="26"/>
        <v>144.36425925108765</v>
      </c>
      <c r="N68" t="str">
        <f t="shared" si="18"/>
        <v>The Mid-West</v>
      </c>
      <c r="O68" s="16" t="str">
        <f t="shared" si="19"/>
        <v>Iowa</v>
      </c>
      <c r="P68" s="16">
        <f t="shared" si="20"/>
        <v>54.81</v>
      </c>
      <c r="Q68" t="str">
        <f t="shared" si="21"/>
        <v>The Mid-West</v>
      </c>
      <c r="R68" s="16" t="str">
        <f t="shared" si="22"/>
        <v>Minnesota</v>
      </c>
      <c r="S68" s="9">
        <f t="shared" si="23"/>
        <v>4.8000000000000001E-2</v>
      </c>
      <c r="U68" s="18" t="str">
        <f t="shared" si="27"/>
        <v>Kansas</v>
      </c>
      <c r="V68" s="16">
        <f>HLOOKUP(Dash!$B$1,$D$60:$G$70,ROW(A9),0)</f>
        <v>169.58552932999999</v>
      </c>
      <c r="W68" s="18" t="str">
        <f t="shared" si="28"/>
        <v>Michigan</v>
      </c>
      <c r="X68" s="16">
        <f>HLOOKUP(Dash!$B$1,$J$60:$M$70,ROW(A9),0)</f>
        <v>141.74704186999998</v>
      </c>
    </row>
    <row r="69" spans="1:24" x14ac:dyDescent="0.25">
      <c r="A69">
        <v>9</v>
      </c>
      <c r="B69" t="str">
        <f>Dash!$T$11</f>
        <v>The Mid-West</v>
      </c>
      <c r="C69" s="16" t="str">
        <f t="shared" si="15"/>
        <v>Iowa</v>
      </c>
      <c r="D69" s="16">
        <f t="shared" si="16"/>
        <v>145.19034023200001</v>
      </c>
      <c r="E69" s="16">
        <f t="shared" si="16"/>
        <v>187.53595999999999</v>
      </c>
      <c r="F69" s="16">
        <f t="shared" si="16"/>
        <v>193.1620388</v>
      </c>
      <c r="G69" s="16">
        <f t="shared" si="24"/>
        <v>198.956899964</v>
      </c>
      <c r="H69" t="s">
        <v>62</v>
      </c>
      <c r="I69" s="16" t="str">
        <f t="shared" si="25"/>
        <v>Ohio</v>
      </c>
      <c r="J69" s="16">
        <f t="shared" si="26"/>
        <v>132.97918361000001</v>
      </c>
      <c r="K69" s="16">
        <f t="shared" si="26"/>
        <v>136.96855911829999</v>
      </c>
      <c r="L69" s="16">
        <f t="shared" si="26"/>
        <v>141.07761589184901</v>
      </c>
      <c r="M69" s="16">
        <f t="shared" si="26"/>
        <v>112.86209271347921</v>
      </c>
      <c r="N69" t="str">
        <f t="shared" si="18"/>
        <v>The Mid-West</v>
      </c>
      <c r="O69" s="16" t="str">
        <f t="shared" si="19"/>
        <v>Kansas</v>
      </c>
      <c r="P69" s="16">
        <f t="shared" si="20"/>
        <v>35.090000000000003</v>
      </c>
      <c r="Q69" t="str">
        <f t="shared" si="21"/>
        <v>The Mid-West</v>
      </c>
      <c r="R69" s="16" t="str">
        <f t="shared" si="22"/>
        <v>Iowa</v>
      </c>
      <c r="S69" s="9">
        <f t="shared" si="23"/>
        <v>4.5999999999999999E-2</v>
      </c>
      <c r="U69" s="18" t="str">
        <f t="shared" si="27"/>
        <v>Iowa</v>
      </c>
      <c r="V69" s="16">
        <f>HLOOKUP(Dash!$B$1,$D$60:$G$70,ROW(A10),0)</f>
        <v>145.19034023200001</v>
      </c>
      <c r="W69" s="18" t="str">
        <f t="shared" si="28"/>
        <v>Ohio</v>
      </c>
      <c r="X69" s="16">
        <f>HLOOKUP(Dash!$B$1,$J$60:$M$70,ROW(A10),0)</f>
        <v>132.97918361000001</v>
      </c>
    </row>
    <row r="70" spans="1:24" x14ac:dyDescent="0.25">
      <c r="A70">
        <v>10</v>
      </c>
      <c r="B70" t="str">
        <f>Dash!$T$11</f>
        <v>The Mid-West</v>
      </c>
      <c r="C70" s="16" t="str">
        <f t="shared" si="15"/>
        <v>Nebraska</v>
      </c>
      <c r="D70" s="16">
        <f t="shared" si="16"/>
        <v>153.25485646800001</v>
      </c>
      <c r="E70" s="16">
        <f t="shared" si="16"/>
        <v>197.95254</v>
      </c>
      <c r="F70" s="16">
        <f t="shared" si="16"/>
        <v>188.054913</v>
      </c>
      <c r="G70" s="16">
        <f t="shared" si="24"/>
        <v>178.65216735000001</v>
      </c>
      <c r="H70" t="s">
        <v>62</v>
      </c>
      <c r="I70" s="16" t="str">
        <f t="shared" si="25"/>
        <v>Arizona</v>
      </c>
      <c r="J70" s="16">
        <f t="shared" si="26"/>
        <v>84.755963180000009</v>
      </c>
      <c r="K70" s="16">
        <f t="shared" si="26"/>
        <v>80.518165021000002</v>
      </c>
      <c r="L70" s="16">
        <f t="shared" si="26"/>
        <v>76.492256769950004</v>
      </c>
      <c r="M70" s="16">
        <f t="shared" si="26"/>
        <v>72.667643931452503</v>
      </c>
      <c r="N70" t="str">
        <f t="shared" si="18"/>
        <v>The Mid-West</v>
      </c>
      <c r="O70" s="16" t="str">
        <f t="shared" si="19"/>
        <v>Nebraska</v>
      </c>
      <c r="P70" s="16">
        <f t="shared" si="20"/>
        <v>23.97</v>
      </c>
      <c r="Q70" t="str">
        <f t="shared" si="21"/>
        <v>The Mid-West</v>
      </c>
      <c r="R70" s="16" t="str">
        <f t="shared" si="22"/>
        <v>Nebraska</v>
      </c>
      <c r="S70" s="9">
        <f t="shared" si="23"/>
        <v>3.9E-2</v>
      </c>
      <c r="U70" s="18" t="str">
        <f t="shared" si="27"/>
        <v>Nebraska</v>
      </c>
      <c r="V70" s="16">
        <f>HLOOKUP(Dash!$B$1,$D$60:$G$70,ROW(A11),0)</f>
        <v>153.25485646800001</v>
      </c>
      <c r="W70" s="18" t="str">
        <f t="shared" si="28"/>
        <v>Arizona</v>
      </c>
      <c r="X70" s="16">
        <f>HLOOKUP(Dash!$B$1,$J$60:$M$70,ROW(A11),0)</f>
        <v>84.755963180000009</v>
      </c>
    </row>
    <row r="72" spans="1:24" x14ac:dyDescent="0.25">
      <c r="C72" t="s">
        <v>60</v>
      </c>
      <c r="D72" s="19">
        <v>2010</v>
      </c>
      <c r="E72" s="19">
        <v>2011</v>
      </c>
      <c r="F72" s="19">
        <v>2012</v>
      </c>
      <c r="G72" s="19">
        <v>2013</v>
      </c>
      <c r="I72" t="s">
        <v>53</v>
      </c>
      <c r="J72" s="40">
        <v>2010</v>
      </c>
      <c r="K72" s="40">
        <v>2011</v>
      </c>
      <c r="L72" s="40">
        <v>2012</v>
      </c>
      <c r="M72" s="40">
        <v>2013</v>
      </c>
      <c r="O72" s="16">
        <f>Dash!B1</f>
        <v>2010</v>
      </c>
    </row>
    <row r="73" spans="1:24" x14ac:dyDescent="0.25">
      <c r="B73" t="str">
        <f>Dash!$T$11</f>
        <v>The Mid-West</v>
      </c>
      <c r="D73" s="7">
        <f>SUM(D61:D70)</f>
        <v>4438.9359133813005</v>
      </c>
      <c r="E73" s="7">
        <f t="shared" ref="E73:G73" si="29">SUM(E61:E70)</f>
        <v>5750.2431999999999</v>
      </c>
      <c r="F73" s="7">
        <f t="shared" si="29"/>
        <v>5635.0614345499998</v>
      </c>
      <c r="G73" s="7">
        <f t="shared" si="29"/>
        <v>5580.0533331244997</v>
      </c>
      <c r="H73" t="str">
        <f>Dash!$T$11</f>
        <v>The Mid-West</v>
      </c>
      <c r="J73" s="7">
        <f>SUM(J61:J70)</f>
        <v>3055.5986036099994</v>
      </c>
      <c r="K73" s="7">
        <f t="shared" ref="K73:M73" si="30">SUM(K61:K70)</f>
        <v>2995.2611256841005</v>
      </c>
      <c r="L73" s="7">
        <f t="shared" si="30"/>
        <v>2946.2752477164508</v>
      </c>
      <c r="M73" s="7">
        <f t="shared" si="30"/>
        <v>2980.4051070338037</v>
      </c>
      <c r="N73" t="s">
        <v>53</v>
      </c>
      <c r="O73" s="50">
        <f>HLOOKUP(O72,$J$72:$M$74,3,0)</f>
        <v>0.40771025827988011</v>
      </c>
    </row>
    <row r="74" spans="1:24" x14ac:dyDescent="0.25">
      <c r="B74" t="str">
        <f>Dash!$T$11</f>
        <v>The Mid-West</v>
      </c>
      <c r="D74" s="50">
        <f>D73/(D73+J73)</f>
        <v>0.59228974172011994</v>
      </c>
      <c r="E74" s="50">
        <f t="shared" ref="E74:G74" si="31">E73/(E73+K73)</f>
        <v>0.65750847359511178</v>
      </c>
      <c r="F74" s="50">
        <f t="shared" si="31"/>
        <v>0.65666476484893044</v>
      </c>
      <c r="G74" s="50">
        <f t="shared" si="31"/>
        <v>0.65184047935420042</v>
      </c>
      <c r="H74" t="str">
        <f>Dash!$T$11</f>
        <v>The Mid-West</v>
      </c>
      <c r="J74" s="50">
        <f>J73/(D73+J73)</f>
        <v>0.40771025827988011</v>
      </c>
      <c r="K74" s="50">
        <f t="shared" ref="K74:M74" si="32">K73/(E73+K73)</f>
        <v>0.34249152640488828</v>
      </c>
      <c r="L74" s="50">
        <f t="shared" si="32"/>
        <v>0.34333523515106956</v>
      </c>
      <c r="M74" s="50">
        <f t="shared" si="32"/>
        <v>0.34815952064579953</v>
      </c>
      <c r="N74" t="s">
        <v>60</v>
      </c>
      <c r="O74" s="50">
        <f>HLOOKUP(O72,$D$72:$G$74,3,0)</f>
        <v>0.59228974172011994</v>
      </c>
    </row>
    <row r="76" spans="1:24" x14ac:dyDescent="0.25">
      <c r="B76" s="19" t="s">
        <v>55</v>
      </c>
      <c r="C76" s="19"/>
      <c r="D76" s="19">
        <v>2010</v>
      </c>
      <c r="E76" s="19">
        <v>2011</v>
      </c>
      <c r="F76" s="19">
        <v>2012</v>
      </c>
      <c r="G76" s="19">
        <v>2013</v>
      </c>
      <c r="H76" s="19" t="s">
        <v>55</v>
      </c>
      <c r="I76" s="19"/>
      <c r="J76" s="19">
        <v>2010</v>
      </c>
      <c r="K76" s="19">
        <v>2011</v>
      </c>
      <c r="L76" s="19">
        <v>2012</v>
      </c>
      <c r="M76" s="19">
        <v>2013</v>
      </c>
    </row>
    <row r="77" spans="1:24" x14ac:dyDescent="0.25">
      <c r="B77" t="s">
        <v>59</v>
      </c>
      <c r="D77" s="43">
        <f t="shared" ref="D77:G80" si="33">SUMIF($B$2:$B$41,$B77,D$2:D$41)/1000</f>
        <v>5174.6604741725596</v>
      </c>
      <c r="E77" s="43">
        <f t="shared" si="33"/>
        <v>6641.0682019999986</v>
      </c>
      <c r="F77" s="43">
        <f t="shared" si="33"/>
        <v>6679.4252021599996</v>
      </c>
      <c r="G77" s="43">
        <f t="shared" si="33"/>
        <v>6710.2425834908008</v>
      </c>
      <c r="H77" t="s">
        <v>59</v>
      </c>
      <c r="J77" s="43">
        <f t="shared" ref="J77:M80" si="34">SUMIF($B$2:$B$41,$H77,J$2:J$41)/1000</f>
        <v>3394.2724258637504</v>
      </c>
      <c r="K77" s="43">
        <f t="shared" si="34"/>
        <v>3412.7694124269128</v>
      </c>
      <c r="L77" s="43">
        <f t="shared" si="34"/>
        <v>3463.3208988355605</v>
      </c>
      <c r="M77" s="43">
        <f t="shared" si="34"/>
        <v>3300.929650547735</v>
      </c>
      <c r="N77" s="16"/>
      <c r="O77" s="16"/>
    </row>
    <row r="78" spans="1:24" x14ac:dyDescent="0.25">
      <c r="B78" t="s">
        <v>58</v>
      </c>
      <c r="D78" s="43">
        <f t="shared" si="33"/>
        <v>5325.9360558605022</v>
      </c>
      <c r="E78" s="43">
        <f t="shared" si="33"/>
        <v>6923.9956899999997</v>
      </c>
      <c r="F78" s="43">
        <f t="shared" si="33"/>
        <v>6699.3231474999993</v>
      </c>
      <c r="G78" s="43">
        <f t="shared" si="33"/>
        <v>6862.5745371044995</v>
      </c>
      <c r="H78" t="s">
        <v>58</v>
      </c>
      <c r="J78" s="43">
        <f t="shared" si="34"/>
        <v>4449.6880669499997</v>
      </c>
      <c r="K78" s="43">
        <f t="shared" si="34"/>
        <v>4335.055626749051</v>
      </c>
      <c r="L78" s="43">
        <f t="shared" si="34"/>
        <v>4388.6344742007141</v>
      </c>
      <c r="M78" s="43">
        <f t="shared" si="34"/>
        <v>4380.385258868404</v>
      </c>
      <c r="N78" s="16"/>
      <c r="O78" s="16"/>
    </row>
    <row r="79" spans="1:24" x14ac:dyDescent="0.25">
      <c r="B79" t="s">
        <v>57</v>
      </c>
      <c r="D79" s="43">
        <f t="shared" si="33"/>
        <v>4992.4280711837</v>
      </c>
      <c r="E79" s="43">
        <f t="shared" si="33"/>
        <v>6445.6826899999987</v>
      </c>
      <c r="F79" s="43">
        <f t="shared" si="33"/>
        <v>6222.3742481999998</v>
      </c>
      <c r="G79" s="43">
        <f t="shared" si="33"/>
        <v>6617.7259958975001</v>
      </c>
      <c r="H79" t="s">
        <v>57</v>
      </c>
      <c r="J79" s="43">
        <f t="shared" si="34"/>
        <v>2865.6283413099995</v>
      </c>
      <c r="K79" s="43">
        <f t="shared" si="34"/>
        <v>2765.7039833402005</v>
      </c>
      <c r="L79" s="43">
        <f t="shared" si="34"/>
        <v>2940.5216329952682</v>
      </c>
      <c r="M79" s="43">
        <f t="shared" si="34"/>
        <v>2777.8618813892795</v>
      </c>
      <c r="N79" s="16"/>
      <c r="O79" s="16"/>
    </row>
    <row r="80" spans="1:24" x14ac:dyDescent="0.25">
      <c r="B80" t="s">
        <v>56</v>
      </c>
      <c r="D80" s="43">
        <f t="shared" si="33"/>
        <v>4438.9359133813005</v>
      </c>
      <c r="E80" s="43">
        <f t="shared" si="33"/>
        <v>5750.2431999999999</v>
      </c>
      <c r="F80" s="43">
        <f t="shared" si="33"/>
        <v>5635.0614345499998</v>
      </c>
      <c r="G80" s="43">
        <f t="shared" si="33"/>
        <v>5580.0533331244997</v>
      </c>
      <c r="H80" t="s">
        <v>56</v>
      </c>
      <c r="J80" s="43">
        <f t="shared" si="34"/>
        <v>3055.5986036100007</v>
      </c>
      <c r="K80" s="43">
        <f t="shared" si="34"/>
        <v>2995.2611256841001</v>
      </c>
      <c r="L80" s="43">
        <f t="shared" si="34"/>
        <v>2946.2752477164508</v>
      </c>
      <c r="M80" s="43">
        <f t="shared" si="34"/>
        <v>2980.4051070338032</v>
      </c>
      <c r="N80" s="16"/>
      <c r="O80" s="16"/>
    </row>
    <row r="82" spans="2:12" ht="45" x14ac:dyDescent="0.25">
      <c r="B82" s="20" t="s">
        <v>105</v>
      </c>
      <c r="C82" s="20" t="s">
        <v>104</v>
      </c>
      <c r="D82" s="20" t="s">
        <v>79</v>
      </c>
      <c r="E82" s="46" t="s">
        <v>80</v>
      </c>
      <c r="F82" s="46" t="s">
        <v>81</v>
      </c>
      <c r="G82" s="46" t="s">
        <v>82</v>
      </c>
      <c r="H82" s="46" t="s">
        <v>83</v>
      </c>
      <c r="I82" s="56" t="s">
        <v>74</v>
      </c>
      <c r="J82" s="56" t="s">
        <v>75</v>
      </c>
      <c r="K82" s="56" t="s">
        <v>76</v>
      </c>
      <c r="L82" s="56" t="s">
        <v>77</v>
      </c>
    </row>
    <row r="83" spans="2:12" x14ac:dyDescent="0.25">
      <c r="B83" t="str">
        <f>Dash!$T$32</f>
        <v>Australia</v>
      </c>
      <c r="C83">
        <v>2010</v>
      </c>
      <c r="D83" s="14">
        <f>SUMPRODUCT((SocialData!$A$2:$A$81=$B88)*(SocialData!$B$2:$B$81=$C88)*(SocialData!C$2:C$81))</f>
        <v>0</v>
      </c>
      <c r="E83" s="14">
        <f>SUMPRODUCT((SocialData!$A$2:$A$81=$B83)*(SocialData!$B$2:$B$81=$C83)*(SocialData!D$2:D$81))</f>
        <v>0</v>
      </c>
      <c r="F83" s="14">
        <f>SUMPRODUCT((SocialData!$A$2:$A$81=$B83)*(SocialData!$B$2:$B$81=$C83)*(SocialData!E$2:E$81))</f>
        <v>0</v>
      </c>
      <c r="G83" s="14">
        <f>SUMPRODUCT((SocialData!$A$2:$A$81=$B83)*(SocialData!$B$2:$B$81=$C83)*(SocialData!F$2:F$81))</f>
        <v>0</v>
      </c>
      <c r="H83" s="14">
        <f>SUMPRODUCT((SocialData!$A$2:$A$81=$B83)*(SocialData!$B$2:$B$81=$C83)*(SocialData!G$2:G$81))</f>
        <v>0</v>
      </c>
      <c r="I83" s="14">
        <f>SUMPRODUCT((SocialData!$A$2:$A$81=$B83)*(SocialData!$B$2:$B$81=$C83)*(SocialData!H$2:H$81))</f>
        <v>0</v>
      </c>
      <c r="J83" s="7">
        <f>SUMPRODUCT((SocialData!$A$2:$A$81=$B83)*(SocialData!$B$2:$B$81=$C83)*(SocialData!I$2:I$81))</f>
        <v>0</v>
      </c>
      <c r="K83" s="7">
        <f>SUMPRODUCT((SocialData!$A$2:$A$81=$B83)*(SocialData!$B$2:$B$81=$C83)*(SocialData!J$2:J$81))</f>
        <v>0</v>
      </c>
      <c r="L83" s="14">
        <f>SUMPRODUCT((SocialData!$A$2:$A$81=$B83)*(SocialData!$B$2:$B$81=$C83)*(SocialData!K$2:K$81))</f>
        <v>0</v>
      </c>
    </row>
    <row r="84" spans="2:12" x14ac:dyDescent="0.25">
      <c r="B84" t="str">
        <f>Dash!$T$32</f>
        <v>Australia</v>
      </c>
      <c r="C84">
        <v>2011</v>
      </c>
      <c r="D84" s="14">
        <f>SUMPRODUCT((SocialData!$A$2:$A$81=$B84)*(SocialData!$B$2:$B$81=$C84)*(SocialData!C$2:C$81))</f>
        <v>0</v>
      </c>
      <c r="E84" s="14">
        <f>SUMPRODUCT((SocialData!$A$2:$A$81=$B84)*(SocialData!$B$2:$B$81=$C84)*(SocialData!D$2:D$81))</f>
        <v>0</v>
      </c>
      <c r="F84" s="14">
        <f>SUMPRODUCT((SocialData!$A$2:$A$81=$B84)*(SocialData!$B$2:$B$81=$C84)*(SocialData!E$2:E$81))</f>
        <v>0</v>
      </c>
      <c r="G84" s="14">
        <f>SUMPRODUCT((SocialData!$A$2:$A$81=$B84)*(SocialData!$B$2:$B$81=$C84)*(SocialData!F$2:F$81))</f>
        <v>0</v>
      </c>
      <c r="H84" s="14">
        <f>SUMPRODUCT((SocialData!$A$2:$A$81=$B84)*(SocialData!$B$2:$B$81=$C84)*(SocialData!G$2:G$81))</f>
        <v>0</v>
      </c>
      <c r="I84" s="14">
        <f>SUMPRODUCT((SocialData!$A$2:$A$81=$B84)*(SocialData!$B$2:$B$81=$C84)*(SocialData!H$2:H$81))</f>
        <v>0</v>
      </c>
      <c r="J84" s="7">
        <f>SUMPRODUCT((SocialData!$A$2:$A$81=$B84)*(SocialData!$B$2:$B$81=$C84)*(SocialData!I$2:I$81))</f>
        <v>0</v>
      </c>
      <c r="K84" s="7">
        <f>SUMPRODUCT((SocialData!$A$2:$A$81=$B84)*(SocialData!$B$2:$B$81=$C84)*(SocialData!J$2:J$81))</f>
        <v>0</v>
      </c>
      <c r="L84" s="14">
        <f>SUMPRODUCT((SocialData!$A$2:$A$81=$B84)*(SocialData!$B$2:$B$81=$C84)*(SocialData!K$2:K$81))</f>
        <v>0</v>
      </c>
    </row>
    <row r="85" spans="2:12" x14ac:dyDescent="0.25">
      <c r="B85" t="str">
        <f>Dash!$T$32</f>
        <v>Australia</v>
      </c>
      <c r="C85">
        <v>2012</v>
      </c>
      <c r="D85" s="14">
        <f>SUMPRODUCT((SocialData!$A$2:$A$81=$B85)*(SocialData!$B$2:$B$81=$C85)*(SocialData!C$2:C$81))</f>
        <v>0</v>
      </c>
      <c r="E85" s="14">
        <f>SUMPRODUCT((SocialData!$A$2:$A$81=$B85)*(SocialData!$B$2:$B$81=$C85)*(SocialData!D$2:D$81))</f>
        <v>0</v>
      </c>
      <c r="F85" s="14">
        <f>SUMPRODUCT((SocialData!$A$2:$A$81=$B85)*(SocialData!$B$2:$B$81=$C85)*(SocialData!E$2:E$81))</f>
        <v>0</v>
      </c>
      <c r="G85" s="14">
        <f>SUMPRODUCT((SocialData!$A$2:$A$81=$B85)*(SocialData!$B$2:$B$81=$C85)*(SocialData!F$2:F$81))</f>
        <v>0</v>
      </c>
      <c r="H85" s="14">
        <f>SUMPRODUCT((SocialData!$A$2:$A$81=$B85)*(SocialData!$B$2:$B$81=$C85)*(SocialData!G$2:G$81))</f>
        <v>0</v>
      </c>
      <c r="I85" s="14">
        <f>SUMPRODUCT((SocialData!$A$2:$A$81=$B85)*(SocialData!$B$2:$B$81=$C85)*(SocialData!H$2:H$81))</f>
        <v>0</v>
      </c>
      <c r="J85" s="7">
        <f>SUMPRODUCT((SocialData!$A$2:$A$81=$B85)*(SocialData!$B$2:$B$81=$C85)*(SocialData!I$2:I$81))</f>
        <v>0</v>
      </c>
      <c r="K85" s="7">
        <f>SUMPRODUCT((SocialData!$A$2:$A$81=$B85)*(SocialData!$B$2:$B$81=$C85)*(SocialData!J$2:J$81))</f>
        <v>0</v>
      </c>
      <c r="L85" s="14">
        <f>SUMPRODUCT((SocialData!$A$2:$A$81=$B85)*(SocialData!$B$2:$B$81=$C85)*(SocialData!K$2:K$81))</f>
        <v>0</v>
      </c>
    </row>
    <row r="86" spans="2:12" x14ac:dyDescent="0.25">
      <c r="B86" t="str">
        <f>Dash!$T$32</f>
        <v>Australia</v>
      </c>
      <c r="C86">
        <v>2013</v>
      </c>
      <c r="D86" s="14">
        <f>SUMPRODUCT((SocialData!$A$2:$A$81=$B86)*(SocialData!$B$2:$B$81=$C86)*(SocialData!C$2:C$81))</f>
        <v>0</v>
      </c>
      <c r="E86" s="14">
        <f>SUMPRODUCT((SocialData!$A$2:$A$81=$B86)*(SocialData!$B$2:$B$81=$C86)*(SocialData!D$2:D$81))</f>
        <v>0</v>
      </c>
      <c r="F86" s="14">
        <f>SUMPRODUCT((SocialData!$A$2:$A$81=$B86)*(SocialData!$B$2:$B$81=$C86)*(SocialData!E$2:E$81))</f>
        <v>0</v>
      </c>
      <c r="G86" s="14">
        <f>SUMPRODUCT((SocialData!$A$2:$A$81=$B86)*(SocialData!$B$2:$B$81=$C86)*(SocialData!F$2:F$81))</f>
        <v>0</v>
      </c>
      <c r="H86" s="14">
        <f>SUMPRODUCT((SocialData!$A$2:$A$81=$B86)*(SocialData!$B$2:$B$81=$C86)*(SocialData!G$2:G$81))</f>
        <v>0</v>
      </c>
      <c r="I86" s="14">
        <f>SUMPRODUCT((SocialData!$A$2:$A$81=$B86)*(SocialData!$B$2:$B$81=$C86)*(SocialData!H$2:H$81))</f>
        <v>0</v>
      </c>
      <c r="J86" s="7">
        <f>SUMPRODUCT((SocialData!$A$2:$A$81=$B86)*(SocialData!$B$2:$B$81=$C86)*(SocialData!I$2:I$81))</f>
        <v>0</v>
      </c>
      <c r="K86" s="7">
        <f>SUMPRODUCT((SocialData!$A$2:$A$81=$B86)*(SocialData!$B$2:$B$81=$C86)*(SocialData!J$2:J$81))</f>
        <v>0</v>
      </c>
      <c r="L86" s="14">
        <f>SUMPRODUCT((SocialData!$A$2:$A$81=$B86)*(SocialData!$B$2:$B$81=$C86)*(SocialData!K$2:K$81))</f>
        <v>0</v>
      </c>
    </row>
    <row r="87" spans="2:12" x14ac:dyDescent="0.25">
      <c r="D87" s="14"/>
      <c r="J87" s="34"/>
    </row>
    <row r="88" spans="2:12" x14ac:dyDescent="0.25">
      <c r="B88" t="str">
        <f>Dash!T32</f>
        <v>Australia</v>
      </c>
      <c r="C88" s="19">
        <v>2010</v>
      </c>
      <c r="D88" s="19">
        <v>2011</v>
      </c>
      <c r="E88" s="19">
        <v>2012</v>
      </c>
      <c r="F88" s="19">
        <v>2013</v>
      </c>
      <c r="H88" t="s">
        <v>110</v>
      </c>
      <c r="I88" s="20">
        <f>Dash!$B$1</f>
        <v>2010</v>
      </c>
      <c r="J88" s="34"/>
    </row>
    <row r="89" spans="2:12" x14ac:dyDescent="0.25">
      <c r="B89" s="47" t="s">
        <v>79</v>
      </c>
      <c r="C89" s="16">
        <f>SUMPRODUCT((SocialData!$A$2:$A$81=$B88)*(SocialData!$B$2:$B$81=C$88)*(SocialData!$C$2:$C$81))</f>
        <v>0</v>
      </c>
      <c r="D89" s="16">
        <f>SUMPRODUCT((SocialData!$A$2:$A$81=$B88)*(SocialData!$B$2:$B$81=D$88)*(SocialData!$C$2:$C$81))</f>
        <v>0</v>
      </c>
      <c r="E89" s="16">
        <f>SUMPRODUCT((SocialData!$A$2:$A$81=$B88)*(SocialData!$B$2:$B$81=E$88)*(SocialData!$C$2:$C$81))</f>
        <v>0</v>
      </c>
      <c r="F89" s="16">
        <f>SUMPRODUCT((SocialData!$A$2:$A$81=$B88)*(SocialData!$B$2:$B$81=F$88)*(SocialData!$C$2:$C$81))</f>
        <v>0</v>
      </c>
      <c r="H89" t="s">
        <v>111</v>
      </c>
      <c r="I89" s="58">
        <f>SUMIFS(SocialData!$N$2:$N$13,SocialData!$L$2:$L$13,$I$88,SocialData!$M$2:$M$13,H89)</f>
        <v>0.6</v>
      </c>
      <c r="J89" s="34"/>
    </row>
    <row r="90" spans="2:12" x14ac:dyDescent="0.25">
      <c r="B90" s="47" t="s">
        <v>80</v>
      </c>
      <c r="C90" s="16">
        <f>SUMPRODUCT((SocialData!$A$2:$A$81=$B$88)*(SocialData!$B$2:$B$81=C$88)*(SocialData!$D$2:$D$81))</f>
        <v>0</v>
      </c>
      <c r="D90" s="16">
        <f>SUMPRODUCT((SocialData!$A$2:$A$81=$B$88)*(SocialData!$B$2:$B$81=D$88)*(SocialData!$D$2:$D$81))</f>
        <v>0</v>
      </c>
      <c r="E90" s="16">
        <f>SUMPRODUCT((SocialData!$A$2:$A$81=$B$88)*(SocialData!$B$2:$B$81=E$88)*(SocialData!$D$2:$D$81))</f>
        <v>0</v>
      </c>
      <c r="F90" s="16">
        <f>SUMPRODUCT((SocialData!$A$2:$A$81=$B$88)*(SocialData!$B$2:$B$81=F$88)*(SocialData!$D$2:$D$81))</f>
        <v>0</v>
      </c>
      <c r="H90" t="s">
        <v>112</v>
      </c>
      <c r="I90" s="58">
        <f>SUMIFS(SocialData!$N$2:$N$13,SocialData!$L$2:$L$13,$I$88,SocialData!$M$2:$M$13,H90)</f>
        <v>0.26</v>
      </c>
      <c r="J90" s="34"/>
    </row>
    <row r="91" spans="2:12" x14ac:dyDescent="0.25">
      <c r="B91" s="47" t="s">
        <v>81</v>
      </c>
      <c r="C91" s="16">
        <f>SUMPRODUCT((SocialData!$A$2:$A$81=$B$88)*(SocialData!$B$2:$B$81=C$88)*(SocialData!$E$2:$E$81))</f>
        <v>0</v>
      </c>
      <c r="D91" s="16">
        <f>SUMPRODUCT((SocialData!$A$2:$A$81=$B$88)*(SocialData!$B$2:$B$81=D$88)*(SocialData!$E$2:$E$81))</f>
        <v>0</v>
      </c>
      <c r="E91" s="16">
        <f>SUMPRODUCT((SocialData!$A$2:$A$81=$B$88)*(SocialData!$B$2:$B$81=E$88)*(SocialData!$E$2:$E$81))</f>
        <v>0</v>
      </c>
      <c r="F91" s="16">
        <f>SUMPRODUCT((SocialData!$A$2:$A$81=$B$88)*(SocialData!$B$2:$B$81=F$88)*(SocialData!$E$2:$E$81))</f>
        <v>0</v>
      </c>
      <c r="H91" t="s">
        <v>113</v>
      </c>
      <c r="I91" s="58">
        <f>SUMIFS(SocialData!$N$2:$N$13,SocialData!$L$2:$L$13,$I$88,SocialData!$M$2:$M$13,H91)</f>
        <v>0.14000000000000001</v>
      </c>
      <c r="J91" s="34"/>
    </row>
    <row r="92" spans="2:12" x14ac:dyDescent="0.25">
      <c r="B92" s="47" t="s">
        <v>82</v>
      </c>
      <c r="C92" s="16">
        <f>SUMPRODUCT((SocialData!$A$2:$A$81=$B$88)*(SocialData!$B$2:$B$81=C$88)*(SocialData!$F$2:$F$81))</f>
        <v>0</v>
      </c>
      <c r="D92" s="16">
        <f>SUMPRODUCT((SocialData!$A$2:$A$81=$B$88)*(SocialData!$B$2:$B$81=D$88)*(SocialData!$F$2:$F$81))</f>
        <v>0</v>
      </c>
      <c r="E92" s="16">
        <f>SUMPRODUCT((SocialData!$A$2:$A$81=$B$88)*(SocialData!$B$2:$B$81=E$88)*(SocialData!$F$2:$F$81))</f>
        <v>0</v>
      </c>
      <c r="F92" s="16">
        <f>SUMPRODUCT((SocialData!$A$2:$A$81=$B$88)*(SocialData!$B$2:$B$81=F$88)*(SocialData!$F$2:$F$81))</f>
        <v>0</v>
      </c>
      <c r="J92" s="34"/>
    </row>
    <row r="93" spans="2:12" x14ac:dyDescent="0.25">
      <c r="B93" s="47" t="s">
        <v>83</v>
      </c>
      <c r="C93" s="16">
        <f>SUMPRODUCT((SocialData!$A$2:$A$81=$B$88)*(SocialData!$B$2:$B$81=C$88)*(SocialData!$G$2:$G$81))</f>
        <v>0</v>
      </c>
      <c r="D93" s="16">
        <f>SUMPRODUCT((SocialData!$A$2:$A$81=$B$88)*(SocialData!$B$2:$B$81=D$88)*(SocialData!$G$2:$G$81))</f>
        <v>0</v>
      </c>
      <c r="E93" s="16">
        <f>SUMPRODUCT((SocialData!$A$2:$A$81=$B$88)*(SocialData!$B$2:$B$81=E$88)*(SocialData!$G$2:$G$81))</f>
        <v>0</v>
      </c>
      <c r="F93" s="16">
        <f>SUMPRODUCT((SocialData!$A$2:$A$81=$B$88)*(SocialData!$B$2:$B$81=F$88)*(SocialData!$G$2:$G$81))</f>
        <v>0</v>
      </c>
      <c r="J93" s="34"/>
    </row>
    <row r="94" spans="2:12" ht="16.5" customHeight="1" x14ac:dyDescent="0.25">
      <c r="B94" s="47" t="s">
        <v>74</v>
      </c>
      <c r="C94" s="16">
        <f>SUMPRODUCT((SocialData!$A$2:$A$81=$B$88)*(SocialData!$B$2:$B$81=C$88)*(SocialData!$H$2:$H$81))</f>
        <v>0</v>
      </c>
      <c r="D94" s="16">
        <f>SUMPRODUCT((SocialData!$A$2:$A$81=$B$88)*(SocialData!$B$2:$B$81=D$88)*(SocialData!$H$2:$H$81))</f>
        <v>0</v>
      </c>
      <c r="E94" s="16">
        <f>SUMPRODUCT((SocialData!$A$2:$A$81=$B$88)*(SocialData!$B$2:$B$81=E$88)*(SocialData!$H$2:$H$81))</f>
        <v>0</v>
      </c>
      <c r="F94" s="16">
        <f>SUMPRODUCT((SocialData!$A$2:$A$81=$B$88)*(SocialData!$B$2:$B$81=F$88)*(SocialData!$H$2:$H$81))</f>
        <v>0</v>
      </c>
      <c r="J94" s="34"/>
    </row>
    <row r="95" spans="2:12" ht="16.5" customHeight="1" x14ac:dyDescent="0.25">
      <c r="B95" s="47" t="s">
        <v>75</v>
      </c>
      <c r="C95" s="16">
        <f>SUMPRODUCT((SocialData!$A$2:$A$81=$B$88)*(SocialData!$B$2:$B$81=C$88)*(SocialData!$I$2:$I$81))</f>
        <v>0</v>
      </c>
      <c r="D95" s="16">
        <f>SUMPRODUCT((SocialData!$A$2:$A$81=$B$88)*(SocialData!$B$2:$B$81=D$88)*(SocialData!$I$2:$I$81))</f>
        <v>0</v>
      </c>
      <c r="E95" s="16">
        <f>SUMPRODUCT((SocialData!$A$2:$A$81=$B$88)*(SocialData!$B$2:$B$81=E$88)*(SocialData!$I$2:$I$81))</f>
        <v>0</v>
      </c>
      <c r="F95" s="16">
        <f>SUMPRODUCT((SocialData!$A$2:$A$81=$B$88)*(SocialData!$B$2:$B$81=F$88)*(SocialData!$I$2:$I$81))</f>
        <v>0</v>
      </c>
      <c r="J95" s="34"/>
    </row>
    <row r="96" spans="2:12" ht="16.5" customHeight="1" x14ac:dyDescent="0.25">
      <c r="B96" s="47" t="s">
        <v>76</v>
      </c>
      <c r="C96" s="7">
        <f>SUMPRODUCT((SocialData!$A$2:$A$81=$B$88)*(SocialData!$B$2:$B$81=C$88)*(SocialData!$J$2:$J$81))</f>
        <v>0</v>
      </c>
      <c r="D96" s="7">
        <f>SUMPRODUCT((SocialData!$A$2:$A$81=$B$88)*(SocialData!$B$2:$B$81=D$88)*(SocialData!$J$2:$J$81))</f>
        <v>0</v>
      </c>
      <c r="E96" s="7">
        <f>SUMPRODUCT((SocialData!$A$2:$A$81=$B$88)*(SocialData!$B$2:$B$81=E$88)*(SocialData!$J$2:$J$81))</f>
        <v>0</v>
      </c>
      <c r="F96" s="7">
        <f>SUMPRODUCT((SocialData!$A$2:$A$81=$B$88)*(SocialData!$B$2:$B$81=F$88)*(SocialData!$J$2:$J$81))</f>
        <v>0</v>
      </c>
      <c r="J96" s="34"/>
    </row>
    <row r="97" spans="2:10" ht="16.5" customHeight="1" x14ac:dyDescent="0.25">
      <c r="B97" s="47" t="s">
        <v>77</v>
      </c>
      <c r="C97" s="7">
        <f>SUMPRODUCT((SocialData!$A$2:$A$81=$B$88)*(SocialData!$B$2:$B$81=C$88)*(SocialData!$K$2:$K$81))</f>
        <v>0</v>
      </c>
      <c r="D97" s="7">
        <f>SUMPRODUCT((SocialData!$A$2:$A$81=$B$88)*(SocialData!$B$2:$B$81=D$88)*(SocialData!$K$2:$K$81))</f>
        <v>0</v>
      </c>
      <c r="E97" s="7">
        <f>SUMPRODUCT((SocialData!$A$2:$A$81=$B$88)*(SocialData!$B$2:$B$81=E$88)*(SocialData!$K$2:$K$81))</f>
        <v>0</v>
      </c>
      <c r="F97" s="7">
        <f>SUMPRODUCT((SocialData!$A$2:$A$81=$B$88)*(SocialData!$B$2:$B$81=F$88)*(SocialData!$K$2:$K$81))</f>
        <v>0</v>
      </c>
      <c r="J97" s="34"/>
    </row>
    <row r="98" spans="2:10" ht="16.5" customHeight="1" x14ac:dyDescent="0.25">
      <c r="D98" s="14"/>
      <c r="J98" s="34"/>
    </row>
    <row r="99" spans="2:10" x14ac:dyDescent="0.25">
      <c r="D99" s="14"/>
      <c r="J99" s="34"/>
    </row>
    <row r="100" spans="2:10" x14ac:dyDescent="0.25">
      <c r="D100" s="14"/>
      <c r="J100" s="34"/>
    </row>
    <row r="101" spans="2:10" x14ac:dyDescent="0.25">
      <c r="D101" s="14"/>
      <c r="J101" s="34"/>
    </row>
    <row r="102" spans="2:10" x14ac:dyDescent="0.25">
      <c r="D102" s="14"/>
      <c r="J102" s="34"/>
    </row>
  </sheetData>
  <sortState xmlns:xlrd2="http://schemas.microsoft.com/office/spreadsheetml/2017/richdata2" ref="H3:M42">
    <sortCondition descending="1" ref="M3:M12"/>
  </sortState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4" tint="-0.249977111117893"/>
  </sheetPr>
  <dimension ref="A1:X46"/>
  <sheetViews>
    <sheetView showGridLines="0" zoomScale="90" zoomScaleNormal="90" workbookViewId="0">
      <selection activeCell="F4" sqref="F4"/>
    </sheetView>
  </sheetViews>
  <sheetFormatPr defaultRowHeight="15" x14ac:dyDescent="0.25"/>
  <cols>
    <col min="1" max="2" width="3.140625" style="3" customWidth="1"/>
    <col min="3" max="3" width="31.5703125" customWidth="1"/>
    <col min="4" max="7" width="11.85546875" customWidth="1"/>
    <col min="8" max="8" width="9.140625" customWidth="1"/>
    <col min="9" max="9" width="2.28515625" customWidth="1"/>
    <col min="13" max="13" width="9.5703125" bestFit="1" customWidth="1"/>
    <col min="14" max="14" width="10.140625" customWidth="1"/>
    <col min="15" max="17" width="9.28515625" customWidth="1"/>
    <col min="18" max="18" width="11.85546875" customWidth="1"/>
    <col min="19" max="19" width="9.5703125" bestFit="1" customWidth="1"/>
    <col min="20" max="20" width="9.140625" customWidth="1"/>
    <col min="21" max="21" width="6.140625" customWidth="1"/>
    <col min="22" max="22" width="4.140625" customWidth="1"/>
  </cols>
  <sheetData>
    <row r="1" spans="2:24" x14ac:dyDescent="0.25">
      <c r="B1" s="3">
        <v>2010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2:24" x14ac:dyDescent="0.25">
      <c r="B2" s="3" t="str">
        <f>$B$1 &amp; " Rev Exp Split"</f>
        <v>2010 Rev Exp Split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2:24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4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2:24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2:24" ht="8.25" customHeight="1" x14ac:dyDescent="0.3">
      <c r="B6" s="1"/>
      <c r="C6" s="59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X6" s="23"/>
    </row>
    <row r="7" spans="2:24" ht="6.7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4" ht="8.25" customHeight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4" x14ac:dyDescent="0.25">
      <c r="B9" s="2"/>
      <c r="C9" s="1"/>
      <c r="D9" s="1"/>
      <c r="E9" s="1"/>
      <c r="F9" s="1"/>
      <c r="G9" s="1"/>
      <c r="H9" s="1"/>
      <c r="I9" s="2"/>
      <c r="J9" s="1"/>
      <c r="K9" s="1"/>
      <c r="L9" s="1"/>
      <c r="M9" s="1"/>
      <c r="N9" s="53"/>
      <c r="O9" s="53"/>
      <c r="P9" s="53"/>
      <c r="Q9" s="53"/>
      <c r="R9" s="1"/>
      <c r="S9" s="1"/>
      <c r="T9" s="1"/>
      <c r="U9" s="1"/>
      <c r="V9" s="2"/>
    </row>
    <row r="10" spans="2:24" ht="13.5" customHeight="1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49">
        <v>2020</v>
      </c>
      <c r="O10" s="49">
        <v>2021</v>
      </c>
      <c r="P10" s="49">
        <v>2022</v>
      </c>
      <c r="Q10" s="49">
        <v>2023</v>
      </c>
      <c r="R10" s="2"/>
      <c r="S10" s="2"/>
      <c r="T10" s="2"/>
      <c r="U10" s="2"/>
      <c r="V10" s="2"/>
    </row>
    <row r="11" spans="2:24" ht="21.75" customHeight="1" x14ac:dyDescent="0.3">
      <c r="B11" s="2"/>
      <c r="C11" s="3"/>
      <c r="D11" s="3"/>
      <c r="E11" s="3"/>
      <c r="F11" s="3"/>
      <c r="G11" s="3"/>
      <c r="H11" s="3"/>
      <c r="I11" s="2"/>
      <c r="J11" s="3"/>
      <c r="K11" s="3"/>
      <c r="L11" s="3"/>
      <c r="M11" s="3"/>
      <c r="N11" s="52">
        <f>N10</f>
        <v>2020</v>
      </c>
      <c r="O11" s="52">
        <f t="shared" ref="O11:Q11" si="0">O10</f>
        <v>2021</v>
      </c>
      <c r="P11" s="52">
        <f t="shared" si="0"/>
        <v>2022</v>
      </c>
      <c r="Q11" s="52">
        <f t="shared" si="0"/>
        <v>2023</v>
      </c>
      <c r="R11" s="3"/>
      <c r="S11" s="3"/>
      <c r="T11" s="3" t="s">
        <v>56</v>
      </c>
      <c r="U11" s="3"/>
      <c r="V11" s="2"/>
    </row>
    <row r="12" spans="2:24" x14ac:dyDescent="0.25">
      <c r="B12" s="2"/>
      <c r="C12" s="3"/>
      <c r="D12" s="3"/>
      <c r="E12" s="3"/>
      <c r="F12" s="3"/>
      <c r="G12" s="3"/>
      <c r="H12" s="3"/>
      <c r="I12" s="2"/>
      <c r="J12" s="3"/>
      <c r="K12" s="3"/>
      <c r="L12" s="3"/>
      <c r="M12" s="3"/>
      <c r="N12" s="32" t="s">
        <v>73</v>
      </c>
      <c r="O12" s="32" t="s">
        <v>73</v>
      </c>
      <c r="P12" s="32" t="s">
        <v>73</v>
      </c>
      <c r="Q12" s="32" t="s">
        <v>73</v>
      </c>
      <c r="R12" s="3"/>
      <c r="S12" s="3"/>
      <c r="T12" s="3"/>
      <c r="U12" s="3"/>
      <c r="V12" s="2"/>
    </row>
    <row r="13" spans="2:24" ht="15.75" x14ac:dyDescent="0.25">
      <c r="B13" s="2"/>
      <c r="C13" s="3"/>
      <c r="D13" s="2"/>
      <c r="E13" s="2"/>
      <c r="F13" s="2"/>
      <c r="G13" s="2"/>
      <c r="H13" s="2"/>
      <c r="I13" s="2"/>
      <c r="J13" s="2"/>
      <c r="K13" s="2"/>
      <c r="L13" s="2"/>
      <c r="M13" s="3"/>
      <c r="N13" s="5" t="s">
        <v>60</v>
      </c>
      <c r="O13" s="3"/>
      <c r="P13" s="3"/>
      <c r="Q13" s="3"/>
      <c r="R13" s="5" t="s">
        <v>53</v>
      </c>
      <c r="S13" s="3"/>
      <c r="T13" s="3"/>
      <c r="U13" s="3"/>
      <c r="V13" s="2"/>
    </row>
    <row r="14" spans="2:24" ht="21" customHeight="1" x14ac:dyDescent="0.25">
      <c r="B14" s="2"/>
      <c r="C14" s="3"/>
      <c r="D14" s="2"/>
      <c r="E14" s="2"/>
      <c r="F14" s="2"/>
      <c r="G14" s="2"/>
      <c r="H14" s="2"/>
      <c r="I14" s="2"/>
      <c r="J14" s="2"/>
      <c r="K14" s="2"/>
      <c r="L14" s="2"/>
      <c r="M14" s="3"/>
      <c r="N14" s="24" t="str">
        <f>Calcs!C54</f>
        <v>Illinois</v>
      </c>
      <c r="O14" s="29"/>
      <c r="P14" s="26"/>
      <c r="Q14" s="26"/>
      <c r="R14" s="57" t="str">
        <f>Calcs!W54</f>
        <v>Illinois</v>
      </c>
      <c r="S14" s="3"/>
      <c r="T14" s="29"/>
      <c r="U14" s="3"/>
      <c r="V14" s="2"/>
    </row>
    <row r="15" spans="2:24" ht="21" customHeight="1" x14ac:dyDescent="0.25">
      <c r="B15" s="2"/>
      <c r="C15" s="3"/>
      <c r="D15" s="2"/>
      <c r="E15" s="2"/>
      <c r="F15" s="2"/>
      <c r="G15" s="2"/>
      <c r="H15" s="2"/>
      <c r="I15" s="2"/>
      <c r="J15" s="2"/>
      <c r="K15" s="2"/>
      <c r="L15" s="2"/>
      <c r="M15" s="3"/>
      <c r="N15" s="24" t="str">
        <f>Calcs!C55</f>
        <v>Ohio</v>
      </c>
      <c r="O15" s="29"/>
      <c r="P15" s="26"/>
      <c r="Q15" s="26"/>
      <c r="R15" s="57" t="str">
        <f>Calcs!W55</f>
        <v>Michigan</v>
      </c>
      <c r="S15" s="3"/>
      <c r="T15" s="29"/>
      <c r="U15" s="3"/>
      <c r="V15" s="2"/>
    </row>
    <row r="16" spans="2:24" ht="21" customHeight="1" x14ac:dyDescent="0.25">
      <c r="B16" s="2"/>
      <c r="C16" s="3"/>
      <c r="D16" s="2"/>
      <c r="E16" s="2"/>
      <c r="F16" s="2"/>
      <c r="G16" s="2"/>
      <c r="H16" s="2"/>
      <c r="I16" s="2"/>
      <c r="J16" s="2"/>
      <c r="K16" s="2"/>
      <c r="L16" s="2"/>
      <c r="M16" s="3"/>
      <c r="N16" s="24" t="str">
        <f>Calcs!C56</f>
        <v>Minnesota</v>
      </c>
      <c r="O16" s="29"/>
      <c r="P16" s="26"/>
      <c r="Q16" s="26"/>
      <c r="R16" s="57" t="str">
        <f>Calcs!W56</f>
        <v>Ohio</v>
      </c>
      <c r="S16" s="3"/>
      <c r="T16" s="29"/>
      <c r="U16" s="3"/>
      <c r="V16" s="2"/>
    </row>
    <row r="17" spans="2:22" ht="21" customHeight="1" x14ac:dyDescent="0.25">
      <c r="B17" s="2"/>
      <c r="C17" s="3"/>
      <c r="D17" s="2"/>
      <c r="E17" s="2"/>
      <c r="F17" s="2"/>
      <c r="G17" s="2"/>
      <c r="H17" s="2"/>
      <c r="I17" s="2"/>
      <c r="J17" s="2"/>
      <c r="K17" s="2"/>
      <c r="L17" s="2"/>
      <c r="M17" s="3"/>
      <c r="N17" s="24" t="str">
        <f>Calcs!C57</f>
        <v>Michigan</v>
      </c>
      <c r="O17" s="29"/>
      <c r="P17" s="26"/>
      <c r="Q17" s="26"/>
      <c r="R17" s="57" t="str">
        <f>Calcs!W57</f>
        <v>Wisconsin</v>
      </c>
      <c r="S17" s="3"/>
      <c r="T17" s="29"/>
      <c r="U17" s="3"/>
      <c r="V17" s="2"/>
    </row>
    <row r="18" spans="2:22" ht="21" customHeight="1" x14ac:dyDescent="0.25">
      <c r="B18" s="2"/>
      <c r="C18" s="3"/>
      <c r="D18" s="2"/>
      <c r="E18" s="2"/>
      <c r="F18" s="2"/>
      <c r="G18" s="2"/>
      <c r="H18" s="2"/>
      <c r="I18" s="2"/>
      <c r="J18" s="2"/>
      <c r="K18" s="2"/>
      <c r="L18" s="2"/>
      <c r="M18" s="3"/>
      <c r="N18" s="24" t="str">
        <f>Calcs!C58</f>
        <v>Wisconsin</v>
      </c>
      <c r="O18" s="29"/>
      <c r="P18" s="26"/>
      <c r="Q18" s="26"/>
      <c r="R18" s="57" t="str">
        <f>Calcs!W58</f>
        <v>Indiana</v>
      </c>
      <c r="S18" s="3"/>
      <c r="T18" s="29"/>
      <c r="U18" s="3"/>
      <c r="V18" s="2"/>
    </row>
    <row r="19" spans="2:22" x14ac:dyDescent="0.25">
      <c r="B19" s="2"/>
      <c r="C19" s="3"/>
      <c r="D19" s="3"/>
      <c r="E19" s="3"/>
      <c r="F19" s="3"/>
      <c r="G19" s="3"/>
      <c r="H19" s="3"/>
      <c r="I19" s="2"/>
      <c r="J19" s="2"/>
      <c r="K19" s="2"/>
      <c r="L19" s="2"/>
      <c r="M19" s="3"/>
      <c r="N19" s="3"/>
      <c r="O19" s="26"/>
      <c r="P19" s="26"/>
      <c r="Q19" s="26"/>
      <c r="R19" s="26"/>
      <c r="S19" s="26"/>
      <c r="T19" s="3"/>
      <c r="U19" s="3"/>
      <c r="V19" s="2"/>
    </row>
    <row r="20" spans="2:22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7"/>
      <c r="P20" s="27"/>
      <c r="Q20" s="27"/>
      <c r="R20" s="27"/>
      <c r="S20" s="27"/>
      <c r="T20" s="2"/>
      <c r="U20" s="2"/>
      <c r="V20" s="2"/>
    </row>
    <row r="21" spans="2:22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7"/>
      <c r="P21" s="27"/>
      <c r="Q21" s="27"/>
      <c r="R21" s="27"/>
      <c r="S21" s="27"/>
      <c r="T21" s="2"/>
      <c r="U21" s="2"/>
      <c r="V21" s="2"/>
    </row>
    <row r="22" spans="2:22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7"/>
      <c r="Q22" s="27"/>
      <c r="R22" s="27"/>
      <c r="S22" s="27"/>
      <c r="T22" s="2"/>
      <c r="U22" s="2"/>
      <c r="V22" s="2"/>
    </row>
    <row r="23" spans="2:22" ht="18" customHeight="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25" t="s">
        <v>72</v>
      </c>
      <c r="O23" s="26"/>
      <c r="P23" s="26"/>
      <c r="Q23" s="26"/>
      <c r="R23" s="28" t="str">
        <f>Calcs!P53</f>
        <v>FTE</v>
      </c>
      <c r="S23" s="26"/>
      <c r="T23" s="3"/>
      <c r="U23" s="3"/>
      <c r="V23" s="2"/>
    </row>
    <row r="24" spans="2:22" ht="18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24" t="str">
        <f>Calcs!R54</f>
        <v>Michigan</v>
      </c>
      <c r="O24" s="26"/>
      <c r="P24" s="26"/>
      <c r="Q24" s="26"/>
      <c r="R24" s="57" t="str">
        <f>Calcs!O54</f>
        <v>Ohio</v>
      </c>
      <c r="S24" s="3"/>
      <c r="T24" s="26"/>
      <c r="U24" s="3"/>
      <c r="V24" s="2"/>
    </row>
    <row r="25" spans="2:22" ht="18" customHeight="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  <c r="N25" s="24" t="str">
        <f>Calcs!R55</f>
        <v>Illinois</v>
      </c>
      <c r="O25" s="26"/>
      <c r="P25" s="26"/>
      <c r="Q25" s="26"/>
      <c r="R25" s="57" t="str">
        <f>Calcs!O55</f>
        <v>Illinois</v>
      </c>
      <c r="S25" s="3"/>
      <c r="T25" s="26"/>
      <c r="U25" s="3"/>
      <c r="V25" s="2"/>
    </row>
    <row r="26" spans="2:22" ht="18" customHeight="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  <c r="N26" s="24" t="str">
        <f>Calcs!R56</f>
        <v>Ohio</v>
      </c>
      <c r="O26" s="26"/>
      <c r="P26" s="26"/>
      <c r="Q26" s="26"/>
      <c r="R26" s="57" t="str">
        <f>Calcs!O56</f>
        <v>Indiana</v>
      </c>
      <c r="S26" s="3"/>
      <c r="T26" s="26"/>
      <c r="U26" s="3"/>
      <c r="V26" s="2"/>
    </row>
    <row r="27" spans="2:22" ht="18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  <c r="N27" s="24" t="str">
        <f>Calcs!R57</f>
        <v>Indiana</v>
      </c>
      <c r="O27" s="26"/>
      <c r="P27" s="26"/>
      <c r="Q27" s="26"/>
      <c r="R27" s="57" t="str">
        <f>Calcs!O57</f>
        <v>Michigan</v>
      </c>
      <c r="S27" s="3"/>
      <c r="T27" s="26"/>
      <c r="U27" s="3"/>
      <c r="V27" s="2"/>
    </row>
    <row r="28" spans="2:22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  <c r="N28" s="24" t="str">
        <f>Calcs!R58</f>
        <v>Missouri</v>
      </c>
      <c r="O28" s="26"/>
      <c r="P28" s="26"/>
      <c r="Q28" s="26"/>
      <c r="R28" s="57" t="str">
        <f>Calcs!O58</f>
        <v>Wisconsin</v>
      </c>
      <c r="S28" s="3"/>
      <c r="T28" s="26"/>
      <c r="U28" s="3"/>
      <c r="V28" s="2"/>
    </row>
    <row r="29" spans="2:22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  <c r="N29" s="3"/>
      <c r="O29" s="3"/>
      <c r="P29" s="3"/>
      <c r="Q29" s="3"/>
      <c r="R29" s="3"/>
      <c r="S29" s="3"/>
      <c r="T29" s="3"/>
      <c r="U29" s="3"/>
      <c r="V29" s="2"/>
    </row>
    <row r="30" spans="2:22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2"/>
      <c r="C32" s="3"/>
      <c r="D32" s="51">
        <f>N10</f>
        <v>2020</v>
      </c>
      <c r="E32" s="51">
        <f t="shared" ref="E32:G32" si="1">O10</f>
        <v>2021</v>
      </c>
      <c r="F32" s="51">
        <f t="shared" si="1"/>
        <v>2022</v>
      </c>
      <c r="G32" s="51">
        <f t="shared" si="1"/>
        <v>2023</v>
      </c>
      <c r="H32" s="51" t="s">
        <v>78</v>
      </c>
      <c r="I32" s="2"/>
      <c r="J32" s="3"/>
      <c r="K32" s="3"/>
      <c r="L32" s="3"/>
      <c r="M32" s="51">
        <f>D32</f>
        <v>2020</v>
      </c>
      <c r="N32" s="51">
        <f t="shared" ref="N32:P32" si="2">E32</f>
        <v>2021</v>
      </c>
      <c r="O32" s="51">
        <f t="shared" si="2"/>
        <v>2022</v>
      </c>
      <c r="P32" s="51">
        <f t="shared" si="2"/>
        <v>2023</v>
      </c>
      <c r="Q32" s="51" t="s">
        <v>78</v>
      </c>
      <c r="R32" s="3"/>
      <c r="S32" s="3"/>
      <c r="T32" s="3" t="s">
        <v>96</v>
      </c>
      <c r="U32" s="3"/>
      <c r="V32" s="2"/>
    </row>
    <row r="33" spans="2:22" x14ac:dyDescent="0.25">
      <c r="B33" s="2"/>
      <c r="C33" s="31" t="s">
        <v>60</v>
      </c>
      <c r="D33" s="32" t="s">
        <v>73</v>
      </c>
      <c r="E33" s="32" t="s">
        <v>73</v>
      </c>
      <c r="F33" s="32" t="s">
        <v>73</v>
      </c>
      <c r="G33" s="32" t="s">
        <v>73</v>
      </c>
      <c r="H33" s="3"/>
      <c r="I33" s="2"/>
      <c r="J33" s="3"/>
      <c r="K33" s="3"/>
      <c r="L33" s="3"/>
      <c r="M33" s="32" t="s">
        <v>73</v>
      </c>
      <c r="N33" s="32" t="s">
        <v>73</v>
      </c>
      <c r="O33" s="32" t="s">
        <v>73</v>
      </c>
      <c r="P33" s="32" t="s">
        <v>73</v>
      </c>
      <c r="Q33" s="3"/>
      <c r="R33" s="3"/>
      <c r="S33" s="3"/>
      <c r="T33" s="3"/>
      <c r="U33" s="3"/>
      <c r="V33" s="2"/>
    </row>
    <row r="34" spans="2:22" x14ac:dyDescent="0.25">
      <c r="B34" s="2"/>
      <c r="C34" s="3" t="s">
        <v>59</v>
      </c>
      <c r="D34" s="41">
        <f>Calcs!D77</f>
        <v>5174.6604741725596</v>
      </c>
      <c r="E34" s="41">
        <f>Calcs!E77</f>
        <v>6641.0682019999986</v>
      </c>
      <c r="F34" s="41">
        <f>Calcs!F77</f>
        <v>6679.4252021599996</v>
      </c>
      <c r="G34" s="41">
        <f>Calcs!G77</f>
        <v>6710.2425834908008</v>
      </c>
      <c r="H34" s="3"/>
      <c r="I34" s="2"/>
      <c r="J34" s="3" t="s">
        <v>74</v>
      </c>
      <c r="K34" s="3"/>
      <c r="L34" s="3"/>
      <c r="M34" s="41">
        <f>Calcs!C94</f>
        <v>0</v>
      </c>
      <c r="N34" s="41">
        <f>Calcs!D94</f>
        <v>0</v>
      </c>
      <c r="O34" s="41">
        <f>Calcs!E94</f>
        <v>0</v>
      </c>
      <c r="P34" s="41">
        <f>Calcs!F94</f>
        <v>0</v>
      </c>
      <c r="Q34" s="48"/>
      <c r="R34" s="3"/>
      <c r="S34" s="3"/>
      <c r="T34" s="3"/>
      <c r="U34" s="3"/>
      <c r="V34" s="2"/>
    </row>
    <row r="35" spans="2:22" x14ac:dyDescent="0.25">
      <c r="B35" s="2"/>
      <c r="C35" s="3" t="s">
        <v>58</v>
      </c>
      <c r="D35" s="41">
        <f>Calcs!D78</f>
        <v>5325.9360558605022</v>
      </c>
      <c r="E35" s="41">
        <f>Calcs!E78</f>
        <v>6923.9956899999997</v>
      </c>
      <c r="F35" s="41">
        <f>Calcs!F78</f>
        <v>6699.3231474999993</v>
      </c>
      <c r="G35" s="41">
        <f>Calcs!G78</f>
        <v>6862.5745371044995</v>
      </c>
      <c r="H35" s="3"/>
      <c r="I35" s="2"/>
      <c r="J35" s="3" t="s">
        <v>75</v>
      </c>
      <c r="K35" s="3"/>
      <c r="L35" s="3"/>
      <c r="M35" s="41">
        <f>Calcs!C95</f>
        <v>0</v>
      </c>
      <c r="N35" s="41">
        <f>Calcs!D95</f>
        <v>0</v>
      </c>
      <c r="O35" s="41">
        <f>Calcs!E95</f>
        <v>0</v>
      </c>
      <c r="P35" s="41">
        <f>Calcs!F95</f>
        <v>0</v>
      </c>
      <c r="Q35" s="48"/>
      <c r="R35" s="3"/>
      <c r="S35" s="3"/>
      <c r="T35" s="3"/>
      <c r="U35" s="3"/>
      <c r="V35" s="2"/>
    </row>
    <row r="36" spans="2:22" x14ac:dyDescent="0.25">
      <c r="B36" s="2"/>
      <c r="C36" s="3" t="s">
        <v>57</v>
      </c>
      <c r="D36" s="41">
        <f>Calcs!D79</f>
        <v>4992.4280711837</v>
      </c>
      <c r="E36" s="41">
        <f>Calcs!E79</f>
        <v>6445.6826899999987</v>
      </c>
      <c r="F36" s="41">
        <f>Calcs!F79</f>
        <v>6222.3742481999998</v>
      </c>
      <c r="G36" s="41">
        <f>Calcs!G79</f>
        <v>6617.7259958975001</v>
      </c>
      <c r="H36" s="3"/>
      <c r="I36" s="2"/>
      <c r="J36" s="3" t="s">
        <v>76</v>
      </c>
      <c r="K36" s="3"/>
      <c r="L36" s="3"/>
      <c r="M36" s="45">
        <f>Calcs!C96</f>
        <v>0</v>
      </c>
      <c r="N36" s="45">
        <f>Calcs!D96</f>
        <v>0</v>
      </c>
      <c r="O36" s="45">
        <f>Calcs!E96</f>
        <v>0</v>
      </c>
      <c r="P36" s="45">
        <f>Calcs!F96</f>
        <v>0</v>
      </c>
      <c r="Q36" s="48"/>
      <c r="R36" s="3"/>
      <c r="S36" s="3"/>
      <c r="T36" s="3"/>
      <c r="U36" s="3"/>
      <c r="V36" s="2"/>
    </row>
    <row r="37" spans="2:22" x14ac:dyDescent="0.25">
      <c r="B37" s="2"/>
      <c r="C37" s="3" t="s">
        <v>56</v>
      </c>
      <c r="D37" s="41">
        <f>Calcs!D80</f>
        <v>4438.9359133813005</v>
      </c>
      <c r="E37" s="41">
        <f>Calcs!E80</f>
        <v>5750.2431999999999</v>
      </c>
      <c r="F37" s="41">
        <f>Calcs!F80</f>
        <v>5635.0614345499998</v>
      </c>
      <c r="G37" s="41">
        <f>Calcs!G80</f>
        <v>5580.0533331244997</v>
      </c>
      <c r="H37" s="3"/>
      <c r="I37" s="2"/>
      <c r="J37" s="3" t="s">
        <v>77</v>
      </c>
      <c r="K37" s="3"/>
      <c r="L37" s="3"/>
      <c r="M37" s="41">
        <f>Calcs!C97</f>
        <v>0</v>
      </c>
      <c r="N37" s="41">
        <f>Calcs!D97</f>
        <v>0</v>
      </c>
      <c r="O37" s="41">
        <f>Calcs!E97</f>
        <v>0</v>
      </c>
      <c r="P37" s="41">
        <f>Calcs!F97</f>
        <v>0</v>
      </c>
      <c r="Q37" s="48"/>
      <c r="R37" s="3"/>
      <c r="S37" s="3"/>
      <c r="T37" s="3"/>
      <c r="U37" s="3"/>
      <c r="V37" s="2"/>
    </row>
    <row r="38" spans="2:22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5">
      <c r="B39" s="2"/>
      <c r="C39" s="3"/>
      <c r="D39" s="51">
        <f>D32</f>
        <v>2020</v>
      </c>
      <c r="E39" s="51">
        <f t="shared" ref="E39:G39" si="3">E32</f>
        <v>2021</v>
      </c>
      <c r="F39" s="51">
        <f t="shared" si="3"/>
        <v>2022</v>
      </c>
      <c r="G39" s="51">
        <f t="shared" si="3"/>
        <v>2023</v>
      </c>
      <c r="H39" s="51" t="s">
        <v>78</v>
      </c>
      <c r="I39" s="2"/>
      <c r="J39" s="3"/>
      <c r="K39" s="3"/>
      <c r="L39" s="3"/>
      <c r="M39" s="51">
        <f>M32</f>
        <v>2020</v>
      </c>
      <c r="N39" s="51">
        <f t="shared" ref="N39:P39" si="4">N32</f>
        <v>2021</v>
      </c>
      <c r="O39" s="51">
        <f t="shared" si="4"/>
        <v>2022</v>
      </c>
      <c r="P39" s="51">
        <f t="shared" si="4"/>
        <v>2023</v>
      </c>
      <c r="Q39" s="51" t="s">
        <v>78</v>
      </c>
      <c r="R39" s="3"/>
      <c r="S39" s="3"/>
      <c r="T39" s="3"/>
      <c r="U39" s="3"/>
      <c r="V39" s="2"/>
    </row>
    <row r="40" spans="2:22" x14ac:dyDescent="0.25">
      <c r="B40" s="2"/>
      <c r="C40" s="31"/>
      <c r="D40" s="32" t="s">
        <v>73</v>
      </c>
      <c r="E40" s="32" t="s">
        <v>73</v>
      </c>
      <c r="F40" s="32" t="s">
        <v>73</v>
      </c>
      <c r="G40" s="32" t="s">
        <v>73</v>
      </c>
      <c r="H40" s="3"/>
      <c r="I40" s="2"/>
      <c r="J40" s="3"/>
      <c r="K40" s="3"/>
      <c r="L40" s="3"/>
      <c r="M40" s="32" t="s">
        <v>73</v>
      </c>
      <c r="N40" s="32" t="s">
        <v>73</v>
      </c>
      <c r="O40" s="32" t="s">
        <v>73</v>
      </c>
      <c r="P40" s="32" t="s">
        <v>73</v>
      </c>
      <c r="Q40" s="3"/>
      <c r="R40" s="3"/>
      <c r="S40" s="3"/>
      <c r="T40" s="3"/>
      <c r="U40" s="3"/>
      <c r="V40" s="2"/>
    </row>
    <row r="41" spans="2:22" x14ac:dyDescent="0.25">
      <c r="B41" s="2"/>
      <c r="C41" s="31"/>
      <c r="D41" s="44"/>
      <c r="E41" s="44"/>
      <c r="F41" s="44"/>
      <c r="G41" s="44"/>
      <c r="H41" s="3"/>
      <c r="I41" s="2"/>
      <c r="J41" s="3" t="s">
        <v>79</v>
      </c>
      <c r="K41" s="3"/>
      <c r="L41" s="3"/>
      <c r="M41" s="41">
        <f>Calcs!C89</f>
        <v>0</v>
      </c>
      <c r="N41" s="42">
        <f>Calcs!D89</f>
        <v>0</v>
      </c>
      <c r="O41" s="42">
        <f>Calcs!E89</f>
        <v>0</v>
      </c>
      <c r="P41" s="42">
        <f>Calcs!F89</f>
        <v>0</v>
      </c>
      <c r="Q41" s="48"/>
      <c r="R41" s="3"/>
      <c r="S41" s="3"/>
      <c r="T41" s="3"/>
      <c r="U41" s="3"/>
      <c r="V41" s="2"/>
    </row>
    <row r="42" spans="2:22" x14ac:dyDescent="0.25">
      <c r="B42" s="2"/>
      <c r="C42" s="3" t="s">
        <v>59</v>
      </c>
      <c r="D42" s="41">
        <f>Calcs!J77</f>
        <v>3394.2724258637504</v>
      </c>
      <c r="E42" s="41">
        <f>Calcs!K77</f>
        <v>3412.7694124269128</v>
      </c>
      <c r="F42" s="41">
        <f>Calcs!L77</f>
        <v>3463.3208988355605</v>
      </c>
      <c r="G42" s="41">
        <f>Calcs!M77</f>
        <v>3300.929650547735</v>
      </c>
      <c r="H42" s="3"/>
      <c r="I42" s="2"/>
      <c r="J42" s="3" t="s">
        <v>80</v>
      </c>
      <c r="K42" s="3"/>
      <c r="L42" s="3"/>
      <c r="M42" s="41">
        <f>Calcs!C90</f>
        <v>0</v>
      </c>
      <c r="N42" s="42">
        <f>Calcs!D90</f>
        <v>0</v>
      </c>
      <c r="O42" s="42">
        <f>Calcs!E90</f>
        <v>0</v>
      </c>
      <c r="P42" s="42">
        <f>Calcs!F90</f>
        <v>0</v>
      </c>
      <c r="Q42" s="48"/>
      <c r="R42" s="3"/>
      <c r="S42" s="3"/>
      <c r="T42" s="3"/>
      <c r="U42" s="3"/>
      <c r="V42" s="2"/>
    </row>
    <row r="43" spans="2:22" x14ac:dyDescent="0.25">
      <c r="B43" s="2"/>
      <c r="C43" s="3" t="s">
        <v>58</v>
      </c>
      <c r="D43" s="41">
        <f>Calcs!J78</f>
        <v>4449.6880669499997</v>
      </c>
      <c r="E43" s="41">
        <f>Calcs!K78</f>
        <v>4335.055626749051</v>
      </c>
      <c r="F43" s="41">
        <f>Calcs!L78</f>
        <v>4388.6344742007141</v>
      </c>
      <c r="G43" s="41">
        <f>Calcs!M78</f>
        <v>4380.385258868404</v>
      </c>
      <c r="H43" s="3"/>
      <c r="I43" s="2"/>
      <c r="J43" s="3" t="s">
        <v>81</v>
      </c>
      <c r="K43" s="3"/>
      <c r="L43" s="3"/>
      <c r="M43" s="41">
        <f>Calcs!C91</f>
        <v>0</v>
      </c>
      <c r="N43" s="42">
        <f>Calcs!D91</f>
        <v>0</v>
      </c>
      <c r="O43" s="42">
        <f>Calcs!E91</f>
        <v>0</v>
      </c>
      <c r="P43" s="42">
        <f>Calcs!F91</f>
        <v>0</v>
      </c>
      <c r="Q43" s="48"/>
      <c r="R43" s="3"/>
      <c r="S43" s="3"/>
      <c r="T43" s="3"/>
      <c r="U43" s="3"/>
      <c r="V43" s="2"/>
    </row>
    <row r="44" spans="2:22" x14ac:dyDescent="0.25">
      <c r="B44" s="2"/>
      <c r="C44" s="3" t="s">
        <v>57</v>
      </c>
      <c r="D44" s="41">
        <f>Calcs!J79</f>
        <v>2865.6283413099995</v>
      </c>
      <c r="E44" s="41">
        <f>Calcs!K79</f>
        <v>2765.7039833402005</v>
      </c>
      <c r="F44" s="41">
        <f>Calcs!L79</f>
        <v>2940.5216329952682</v>
      </c>
      <c r="G44" s="41">
        <f>Calcs!M79</f>
        <v>2777.8618813892795</v>
      </c>
      <c r="H44" s="3"/>
      <c r="I44" s="2"/>
      <c r="J44" s="3" t="s">
        <v>82</v>
      </c>
      <c r="K44" s="3"/>
      <c r="L44" s="3"/>
      <c r="M44" s="41">
        <f>Calcs!C92</f>
        <v>0</v>
      </c>
      <c r="N44" s="42">
        <f>Calcs!D92</f>
        <v>0</v>
      </c>
      <c r="O44" s="42">
        <f>Calcs!E92</f>
        <v>0</v>
      </c>
      <c r="P44" s="42">
        <f>Calcs!F92</f>
        <v>0</v>
      </c>
      <c r="Q44" s="48"/>
      <c r="R44" s="3"/>
      <c r="S44" s="3"/>
      <c r="T44" s="3"/>
      <c r="U44" s="3"/>
      <c r="V44" s="2"/>
    </row>
    <row r="45" spans="2:22" x14ac:dyDescent="0.25">
      <c r="B45" s="2"/>
      <c r="C45" s="3" t="s">
        <v>56</v>
      </c>
      <c r="D45" s="41">
        <f>Calcs!J80</f>
        <v>3055.5986036100007</v>
      </c>
      <c r="E45" s="41">
        <f>Calcs!K80</f>
        <v>2995.2611256841001</v>
      </c>
      <c r="F45" s="41">
        <f>Calcs!L80</f>
        <v>2946.2752477164508</v>
      </c>
      <c r="G45" s="41">
        <f>Calcs!M80</f>
        <v>2980.4051070338032</v>
      </c>
      <c r="H45" s="3"/>
      <c r="I45" s="2"/>
      <c r="J45" s="3" t="s">
        <v>83</v>
      </c>
      <c r="K45" s="3"/>
      <c r="L45" s="3"/>
      <c r="M45" s="41">
        <f>Calcs!C93</f>
        <v>0</v>
      </c>
      <c r="N45" s="42">
        <f>Calcs!D93</f>
        <v>0</v>
      </c>
      <c r="O45" s="42">
        <f>Calcs!E93</f>
        <v>0</v>
      </c>
      <c r="P45" s="42">
        <f>Calcs!F93</f>
        <v>0</v>
      </c>
      <c r="Q45" s="48"/>
      <c r="R45" s="3"/>
      <c r="S45" s="3"/>
      <c r="T45" s="3"/>
      <c r="U45" s="3"/>
      <c r="V45" s="2"/>
    </row>
    <row r="46" spans="2:22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</sheetData>
  <conditionalFormatting sqref="D34:G37">
    <cfRule type="expression" dxfId="4" priority="1">
      <formula>IF(D$32=$B$1,1,0)</formula>
    </cfRule>
  </conditionalFormatting>
  <conditionalFormatting sqref="D42:G45">
    <cfRule type="expression" dxfId="3" priority="2">
      <formula>IF(D$32=$B$1,1,0)</formula>
    </cfRule>
  </conditionalFormatting>
  <conditionalFormatting sqref="H34:H3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H42:H45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M34:P37">
    <cfRule type="expression" dxfId="2" priority="4">
      <formula>IF(M$32=$B$1,1,0)</formula>
    </cfRule>
  </conditionalFormatting>
  <conditionalFormatting sqref="M41:P45">
    <cfRule type="expression" dxfId="1" priority="3">
      <formula>IF(M$32=$B$1,1,0)</formula>
    </cfRule>
  </conditionalFormatting>
  <conditionalFormatting sqref="N11:Q12">
    <cfRule type="expression" dxfId="0" priority="5">
      <formula>IF(N$11=$B$1,1,0)</formula>
    </cfRule>
  </conditionalFormatting>
  <pageMargins left="0.7" right="0.7" top="0.75" bottom="0.75" header="0.3" footer="0.3"/>
  <pageSetup scale="58" orientation="landscape" horizontalDpi="0" verticalDpi="0" r:id="rId1"/>
  <colBreaks count="1" manualBreakCount="1">
    <brk id="21" max="1048575" man="1"/>
  </colBreaks>
  <drawing r:id="rId2"/>
  <legacyDrawing r:id="rId3"/>
  <controls>
    <mc:AlternateContent xmlns:mc="http://schemas.openxmlformats.org/markup-compatibility/2006">
      <mc:Choice Requires="x14">
        <control shapeId="8193" r:id="rId4" name="cboRegion">
          <controlPr defaultSize="0" autoLine="0" linkedCell="T11" listFillRange="Region" r:id="rId5">
            <anchor moveWithCells="1">
              <from>
                <xdr:col>18</xdr:col>
                <xdr:colOff>0</xdr:colOff>
                <xdr:row>10</xdr:row>
                <xdr:rowOff>47625</xdr:rowOff>
              </from>
              <to>
                <xdr:col>21</xdr:col>
                <xdr:colOff>0</xdr:colOff>
                <xdr:row>11</xdr:row>
                <xdr:rowOff>47625</xdr:rowOff>
              </to>
            </anchor>
          </controlPr>
        </control>
      </mc:Choice>
      <mc:Fallback>
        <control shapeId="8193" r:id="rId4" name="cboRegion"/>
      </mc:Fallback>
    </mc:AlternateContent>
    <mc:AlternateContent xmlns:mc="http://schemas.openxmlformats.org/markup-compatibility/2006">
      <mc:Choice Requires="x14">
        <control shapeId="8194" r:id="rId6" name="cboCountry">
          <controlPr defaultSize="0" autoLine="0" linkedCell="T32" listFillRange="Country" r:id="rId7">
            <anchor moveWithCells="1">
              <from>
                <xdr:col>18</xdr:col>
                <xdr:colOff>285750</xdr:colOff>
                <xdr:row>31</xdr:row>
                <xdr:rowOff>38100</xdr:rowOff>
              </from>
              <to>
                <xdr:col>20</xdr:col>
                <xdr:colOff>381000</xdr:colOff>
                <xdr:row>32</xdr:row>
                <xdr:rowOff>123825</xdr:rowOff>
              </to>
            </anchor>
          </controlPr>
        </control>
      </mc:Choice>
      <mc:Fallback>
        <control shapeId="8194" r:id="rId6" name="cboCountry"/>
      </mc:Fallback>
    </mc:AlternateContent>
  </control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400-00000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Dash!M41:P41</xm:f>
              <xm:sqref>Q41</xm:sqref>
            </x14:sparkline>
            <x14:sparkline>
              <xm:f>Dash!M42:P42</xm:f>
              <xm:sqref>Q42</xm:sqref>
            </x14:sparkline>
            <x14:sparkline>
              <xm:f>Dash!M43:P43</xm:f>
              <xm:sqref>Q43</xm:sqref>
            </x14:sparkline>
            <x14:sparkline>
              <xm:f>Dash!M44:P44</xm:f>
              <xm:sqref>Q44</xm:sqref>
            </x14:sparkline>
            <x14:sparkline>
              <xm:f>Dash!M45:P45</xm:f>
              <xm:sqref>Q45</xm:sqref>
            </x14:sparkline>
          </x14:sparklines>
        </x14:sparklineGroup>
        <x14:sparklineGroup type="column" displayEmptyCellsAs="gap" xr2:uid="{00000000-0003-0000-0400-000002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Dash!D34:G34</xm:f>
              <xm:sqref>H34</xm:sqref>
            </x14:sparkline>
            <x14:sparkline>
              <xm:f>Dash!D35:G35</xm:f>
              <xm:sqref>H35</xm:sqref>
            </x14:sparkline>
            <x14:sparkline>
              <xm:f>Dash!D36:G36</xm:f>
              <xm:sqref>H36</xm:sqref>
            </x14:sparkline>
            <x14:sparkline>
              <xm:f>Dash!D37:G37</xm:f>
              <xm:sqref>H37</xm:sqref>
            </x14:sparkline>
          </x14:sparklines>
        </x14:sparklineGroup>
        <x14:sparklineGroup type="column" displayEmptyCellsAs="gap" xr2:uid="{00000000-0003-0000-04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Dash!D42:G42</xm:f>
              <xm:sqref>H42</xm:sqref>
            </x14:sparkline>
            <x14:sparkline>
              <xm:f>Dash!D43:G43</xm:f>
              <xm:sqref>H43</xm:sqref>
            </x14:sparkline>
            <x14:sparkline>
              <xm:f>Dash!D44:G44</xm:f>
              <xm:sqref>H44</xm:sqref>
            </x14:sparkline>
            <x14:sparkline>
              <xm:f>Dash!D45:G45</xm:f>
              <xm:sqref>H45</xm:sqref>
            </x14:sparkline>
          </x14:sparklines>
        </x14:sparklineGroup>
        <x14:sparklineGroup type="column" displayEmptyCellsAs="gap" xr2:uid="{00000000-0003-0000-04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Dash!M34:P34</xm:f>
              <xm:sqref>Q34</xm:sqref>
            </x14:sparkline>
            <x14:sparkline>
              <xm:f>Dash!M35:P35</xm:f>
              <xm:sqref>Q35</xm:sqref>
            </x14:sparkline>
            <x14:sparkline>
              <xm:f>Dash!M36:P36</xm:f>
              <xm:sqref>Q36</xm:sqref>
            </x14:sparkline>
            <x14:sparkline>
              <xm:f>Dash!M37:P37</xm:f>
              <xm:sqref>Q37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List</vt:lpstr>
      <vt:lpstr>SocialData</vt:lpstr>
      <vt:lpstr>Data</vt:lpstr>
      <vt:lpstr>Calcs</vt:lpstr>
      <vt:lpstr>Dash</vt:lpstr>
      <vt:lpstr>Country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tech</cp:lastModifiedBy>
  <cp:lastPrinted>2021-09-05T17:53:10Z</cp:lastPrinted>
  <dcterms:created xsi:type="dcterms:W3CDTF">2014-06-02T12:13:30Z</dcterms:created>
  <dcterms:modified xsi:type="dcterms:W3CDTF">2023-08-10T13:42:15Z</dcterms:modified>
</cp:coreProperties>
</file>